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4.xml" ContentType="application/vnd.openxmlformats-officedocument.drawing+xml"/>
  <Override PartName="/xl/slicers/slicer3.xml" ContentType="application/vnd.ms-excel.slicer+xml"/>
  <Override PartName="/xl/timelines/timeline2.xml" ContentType="application/vnd.ms-excel.timelin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4.xml" ContentType="application/vnd.openxmlformats-officedocument.spreadsheetml.table+xml"/>
  <Override PartName="/xl/drawings/drawing17.xml" ContentType="application/vnd.openxmlformats-officedocument.drawing+xml"/>
  <Override PartName="/xl/tables/table5.xml" ContentType="application/vnd.openxmlformats-officedocument.spreadsheetml.tab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GF CONTABILIDADE\06 - Contabilidade\06.17 - Indicador\AGF EQUIPAMENTOS\"/>
    </mc:Choice>
  </mc:AlternateContent>
  <xr:revisionPtr revIDLastSave="0" documentId="13_ncr:1_{00FCB614-04C7-4A15-A6C6-F7D3385C25F2}" xr6:coauthVersionLast="47" xr6:coauthVersionMax="47" xr10:uidLastSave="{00000000-0000-0000-0000-000000000000}"/>
  <workbookProtection workbookAlgorithmName="SHA-512" workbookHashValue="1JvObDhZyMoZ5RtGLwsvvvLtlYb6PBO9mMW8ATFO+04oYCLoZI+9gO+GgM6yL4jFM7E6YRIxsIUsb24n0O6pqg==" workbookSaltValue="ZTCZVn/qQQhQuTp1Xt2Dow==" workbookSpinCount="100000" lockStructure="1"/>
  <bookViews>
    <workbookView showHorizontalScroll="0" showVerticalScroll="0" showSheetTabs="0" xWindow="-108" yWindow="-108" windowWidth="23256" windowHeight="12456" tabRatio="808" firstSheet="1" activeTab="1" xr2:uid="{F9D0707A-DF27-409D-9664-416B3951D8DD}"/>
  </bookViews>
  <sheets>
    <sheet name="MENU" sheetId="1" state="veryHidden" r:id="rId1"/>
    <sheet name="HabilitarMacros" sheetId="23" r:id="rId2"/>
    <sheet name="INDICADORES" sheetId="3" state="veryHidden" r:id="rId3"/>
    <sheet name="INDICADORES-EMPRESAS" sheetId="30" r:id="rId4"/>
    <sheet name="BALANCO" sheetId="9" state="veryHidden" r:id="rId5"/>
    <sheet name="BALANCOTRIM" sheetId="26" r:id="rId6"/>
    <sheet name="BALANCOSEME" sheetId="32" r:id="rId7"/>
    <sheet name="DRE" sheetId="5" state="veryHidden" r:id="rId8"/>
    <sheet name="DRETRIM" sheetId="28" r:id="rId9"/>
    <sheet name="DRESEME" sheetId="33" r:id="rId10"/>
    <sheet name="DADOS" sheetId="6" state="veryHidden" r:id="rId11"/>
    <sheet name="DB" sheetId="10" state="veryHidden" r:id="rId12"/>
    <sheet name="BDINDICADORES" sheetId="11" state="veryHidden" r:id="rId13"/>
    <sheet name="dinInd" sheetId="20" state="veryHidden" r:id="rId14"/>
    <sheet name="BDDRE" sheetId="39" r:id="rId15"/>
    <sheet name="dinDRE" sheetId="40" r:id="rId16"/>
    <sheet name="Print" sheetId="21" state="veryHidden" r:id="rId17"/>
    <sheet name="RelacaoFaturamento" sheetId="24" state="veryHidden" r:id="rId18"/>
    <sheet name="TBFatMensal" sheetId="36" r:id="rId19"/>
    <sheet name="DFC" sheetId="29" r:id="rId20"/>
    <sheet name="VALOREMPRESAS" sheetId="31" r:id="rId21"/>
    <sheet name="FORMULAS" sheetId="8" state="veryHidden" r:id="rId22"/>
    <sheet name="PrintRelatorio" sheetId="37" r:id="rId23"/>
    <sheet name="admin" sheetId="22" state="veryHidden" r:id="rId24"/>
    <sheet name="EVOLUCAO MO" sheetId="38" r:id="rId25"/>
  </sheets>
  <externalReferences>
    <externalReference r:id="rId26"/>
    <externalReference r:id="rId27"/>
  </externalReferences>
  <definedNames>
    <definedName name="ACUMULADOATUAL" localSheetId="22">[1]DB!$CD:$CG</definedName>
    <definedName name="ACUMULADOATUAL">DB!$DP:$DS</definedName>
    <definedName name="_xlnm.Print_Area" localSheetId="19">DFC!$AC$2:$AD$53</definedName>
    <definedName name="_xlnm.Print_Area" localSheetId="16">Print!$J$6:$L$39</definedName>
    <definedName name="_xlnm.Print_Area" localSheetId="17">RelacaoFaturamento!$P$1:$S$21</definedName>
    <definedName name="ImpGeradoAno">"Drop Down 2488"</definedName>
    <definedName name="ImpGeradoMes">"Drop Down 2487"</definedName>
    <definedName name="InpGeradoBTN">"Button 2491"</definedName>
    <definedName name="LISTAANO" localSheetId="22">[1]FORMULAS!$C$31:$C$42</definedName>
    <definedName name="LISTAANO">FORMULAS!$C$31:$C$44</definedName>
    <definedName name="LISTAANODFC">DFC!$W$1:$W$3</definedName>
    <definedName name="LISTAIND" localSheetId="22">[1]BDINDICADORES!$P$4:$P$36</definedName>
    <definedName name="LISTAIND">BDINDICADORES!$P$4:$P$39</definedName>
    <definedName name="LISTAMES" localSheetId="22">[1]FORMULAS!$B$31:$B$42</definedName>
    <definedName name="LISTAMES">FORMULAS!$B$31:$B$42</definedName>
    <definedName name="ListaMes2" localSheetId="22">[1]FORMULAS!$H$30:$H$42</definedName>
    <definedName name="ListaMes2">FORMULAS!$H$30:$H$42</definedName>
    <definedName name="LISTAMES3" localSheetId="22">[1]FORMULAS!$H$30:$I$42</definedName>
    <definedName name="LISTAMES3">FORMULAS!$H$30:$I$42</definedName>
    <definedName name="LISTAMES4" localSheetId="22">[1]FORMULAS!$K$30:$K$43</definedName>
    <definedName name="LISTAMES4">FORMULAS!$K$30:$K$46</definedName>
    <definedName name="LISTAMESDFC">DFC!$V$1:$V$12</definedName>
    <definedName name="listaPeriodos" localSheetId="22">[1]DB!$4:$4</definedName>
    <definedName name="listaPeriodos">DB!$4:$4</definedName>
    <definedName name="LISTASEMESTRE" localSheetId="22">[1]FORMULAS!$L$30:$M$41</definedName>
    <definedName name="LISTASEMESTRE">FORMULAS!$L$30:$M$41</definedName>
    <definedName name="LISTATRIMESTRE" localSheetId="22">[1]FORMULAS!$I$30:$J$41</definedName>
    <definedName name="LISTATRIMESTRE">FORMULAS!$I$30:$J$41</definedName>
    <definedName name="NativeTimeline_Periodo">#N/A</definedName>
    <definedName name="NativeTimeline_Periodo1">#N/A</definedName>
    <definedName name="NativeTimeline_Periodo2">#N/A</definedName>
    <definedName name="numanos" localSheetId="22">[1]FORMULAS!$C$31:$F$45</definedName>
    <definedName name="numanos">FORMULAS!$C$31:$F$45</definedName>
    <definedName name="NUMMESES" localSheetId="22">[1]FORMULAS!$A$31:$B$42</definedName>
    <definedName name="NUMMESES">FORMULAS!$A$31:$B$42</definedName>
    <definedName name="planoContas" localSheetId="22">[1]DB!$A$5:$A$313</definedName>
    <definedName name="planoContas">DB!$A$5:$A$314</definedName>
    <definedName name="PrintDFC">DFC!$AC$2:$AD$53</definedName>
    <definedName name="SegmentaçãodeDados_Indicador">#N/A</definedName>
    <definedName name="SegmentaçãodeDados_Indicador1">#N/A</definedName>
    <definedName name="SegmentaçãodeDados_Indicador2">#N/A</definedName>
    <definedName name="SegmentaçãodeDados_TRIMESTRE">#N/A</definedName>
    <definedName name="SegmentaçãodeDados_TRIMESTRE1">#N/A</definedName>
    <definedName name="SegmentaçãodeDados_TRIMESTRE2">#N/A</definedName>
    <definedName name="SegmentaçãodeDados_TRIMESTRE3">#N/A</definedName>
    <definedName name="SegmentaçãodeDados_TRIMESTRE4">#N/A</definedName>
    <definedName name="SELECDB" localSheetId="22">[1]DB!$B$4:$XFD$312</definedName>
    <definedName name="SELECDB">DB!$B$4:$XFD$313</definedName>
    <definedName name="TBFatMensalData" localSheetId="15">tbFatMensal[[#All],[DATA]]</definedName>
    <definedName name="TBFatMensalData">tbFatMensal[[#All],[DATA]]</definedName>
    <definedName name="tbindicadores" localSheetId="6">Tabela1[#All]</definedName>
    <definedName name="tbindicadores" localSheetId="5">Tabela1[#All]</definedName>
    <definedName name="tbindicadores" localSheetId="15">Tabela1[#All]</definedName>
    <definedName name="tbindicadores" localSheetId="9">Tabela1[#All]</definedName>
    <definedName name="tbindicadores" localSheetId="22">[1]!Tabela1[#All]</definedName>
    <definedName name="tbindicadores">Tabela1[#All]</definedName>
    <definedName name="tbIndicadoresCol1" localSheetId="15">Tabela1[Indicador]</definedName>
    <definedName name="tbIndicadoresCol1" localSheetId="22">[1]!Tabela1[Indicador]</definedName>
    <definedName name="tbIndicadoresCol1">Tabela1[Indicador]</definedName>
    <definedName name="TELABALANCO">BALANCO!$E$1:$M$31</definedName>
    <definedName name="TELABALANCOSEM">BALANCOSEME!$E$1:$M$36</definedName>
    <definedName name="TELABALANCOTRIM">BALANCOTRIM!$E$1:$M$35</definedName>
    <definedName name="TELADADOS">DADOS!$D$1:$J$38</definedName>
    <definedName name="TELADRE">DRE!$F$1:$S$36</definedName>
    <definedName name="TELADRETRIM" localSheetId="9">DRESEME!$F$1:$R$38</definedName>
    <definedName name="TELADRETRIM">DRETRIM!$F$1:$R$38</definedName>
    <definedName name="TELAINDEMPRESAS">'INDICADORES-EMPRESAS'!$A$1:$AE$33</definedName>
    <definedName name="TelaIndicadores" localSheetId="3">'INDICADORES-EMPRESAS'!$A$1:$AA$34</definedName>
    <definedName name="TelaIndicadores">INDICADORES!$A$1:$AA$34</definedName>
    <definedName name="TELAMENU">MENU!$D$1:$W$35</definedName>
    <definedName name="teste" localSheetId="15">Tabela1[#All]</definedName>
    <definedName name="teste" localSheetId="9">Tabela1[#All]</definedName>
    <definedName name="teste" localSheetId="22">[1]!Tabela1[#All]</definedName>
    <definedName name="teste">Tabela1[#All]</definedName>
  </definedNames>
  <calcPr calcId="191029" calcMode="autoNoTable"/>
  <pivotCaches>
    <pivotCache cacheId="14" r:id="rId28"/>
    <pivotCache cacheId="15" r:id="rId29"/>
  </pivotCaches>
  <extLst>
    <ext xmlns:x14="http://schemas.microsoft.com/office/spreadsheetml/2009/9/main" uri="{BBE1A952-AA13-448e-AADC-164F8A28A991}">
      <x14:slicerCaches>
        <x14:slicerCache r:id="rId30"/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3"/>
        <x15:timelineCacheRef r:id="rId34"/>
        <x15:timelineCacheRef r:id="rId35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36"/>
        <x14:slicerCache r:id="rId37"/>
        <x14:slicerCache r:id="rId38"/>
        <x14:slicerCache r:id="rId39"/>
        <x14:slicerCache r:id="rId40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M90" i="10" l="1"/>
  <c r="DL90" i="10"/>
  <c r="DL22" i="10"/>
  <c r="DL103" i="10"/>
  <c r="DM131" i="10"/>
  <c r="DM116" i="10"/>
  <c r="DM106" i="10"/>
  <c r="DM110" i="10" s="1"/>
  <c r="DM98" i="10"/>
  <c r="DM102" i="10" s="1"/>
  <c r="DM104" i="10" s="1"/>
  <c r="DM111" i="10" s="1"/>
  <c r="DM118" i="10" s="1"/>
  <c r="DM120" i="10" s="1"/>
  <c r="DM123" i="10" s="1"/>
  <c r="DM125" i="10" s="1"/>
  <c r="DM81" i="10"/>
  <c r="DM76" i="10"/>
  <c r="DM65" i="10" s="1"/>
  <c r="DM58" i="10"/>
  <c r="DM42" i="10"/>
  <c r="DM39" i="10"/>
  <c r="DM35" i="10"/>
  <c r="DM6" i="10"/>
  <c r="B9" i="8"/>
  <c r="A9" i="8"/>
  <c r="A4" i="8"/>
  <c r="DH76" i="10"/>
  <c r="DI76" i="10" s="1"/>
  <c r="DJ76" i="10" s="1"/>
  <c r="DK76" i="10" s="1"/>
  <c r="DL76" i="10" s="1"/>
  <c r="DM34" i="10" l="1"/>
  <c r="DM5" i="10" s="1"/>
  <c r="DL131" i="10"/>
  <c r="DL116" i="10"/>
  <c r="DL106" i="10"/>
  <c r="DL110" i="10" s="1"/>
  <c r="DL98" i="10"/>
  <c r="DL102" i="10" s="1"/>
  <c r="DL104" i="10" s="1"/>
  <c r="DL81" i="10"/>
  <c r="DL65" i="10"/>
  <c r="DL58" i="10"/>
  <c r="DL42" i="10"/>
  <c r="DL39" i="10"/>
  <c r="DL35" i="10"/>
  <c r="DL6" i="10"/>
  <c r="DK90" i="10"/>
  <c r="DK131" i="10"/>
  <c r="DK116" i="10"/>
  <c r="DK106" i="10"/>
  <c r="DK110" i="10" s="1"/>
  <c r="DK98" i="10"/>
  <c r="DK102" i="10" s="1"/>
  <c r="DK104" i="10" s="1"/>
  <c r="DK81" i="10"/>
  <c r="DK65" i="10"/>
  <c r="DK58" i="10"/>
  <c r="DK42" i="10"/>
  <c r="DK39" i="10"/>
  <c r="DK35" i="10"/>
  <c r="DK6" i="10"/>
  <c r="DJ106" i="10"/>
  <c r="DJ110" i="10" s="1"/>
  <c r="DJ131" i="10"/>
  <c r="DJ116" i="10"/>
  <c r="DJ98" i="10"/>
  <c r="DJ102" i="10" s="1"/>
  <c r="DJ104" i="10" s="1"/>
  <c r="DJ81" i="10"/>
  <c r="DJ65" i="10"/>
  <c r="DJ58" i="10"/>
  <c r="DJ42" i="10"/>
  <c r="DJ39" i="10"/>
  <c r="DJ35" i="10"/>
  <c r="DJ6" i="10"/>
  <c r="DI131" i="10"/>
  <c r="DI116" i="10"/>
  <c r="DI106" i="10"/>
  <c r="DI110" i="10" s="1"/>
  <c r="DI98" i="10"/>
  <c r="DI102" i="10" s="1"/>
  <c r="DI104" i="10" s="1"/>
  <c r="DI81" i="10"/>
  <c r="DI65" i="10"/>
  <c r="DI58" i="10"/>
  <c r="DI42" i="10"/>
  <c r="DI39" i="10"/>
  <c r="DI35" i="10"/>
  <c r="DI6" i="10"/>
  <c r="DH131" i="10"/>
  <c r="DH116" i="10"/>
  <c r="DH110" i="10"/>
  <c r="DH98" i="10"/>
  <c r="DH102" i="10" s="1"/>
  <c r="DH104" i="10" s="1"/>
  <c r="DH81" i="10"/>
  <c r="DH65" i="10"/>
  <c r="DH58" i="10"/>
  <c r="DH42" i="10"/>
  <c r="DH39" i="10"/>
  <c r="DH35" i="10"/>
  <c r="DH6" i="10"/>
  <c r="DF88" i="10"/>
  <c r="DG122" i="10"/>
  <c r="DG121" i="10"/>
  <c r="DG88" i="10"/>
  <c r="DG85" i="10" s="1"/>
  <c r="DG314" i="10"/>
  <c r="DG313" i="10"/>
  <c r="DG312" i="10"/>
  <c r="DG311" i="10"/>
  <c r="DG310" i="10"/>
  <c r="DG309" i="10"/>
  <c r="DG308" i="10"/>
  <c r="DG307" i="10"/>
  <c r="DG306" i="10"/>
  <c r="DG305" i="10"/>
  <c r="DG304" i="10"/>
  <c r="DG303" i="10"/>
  <c r="DG302" i="10"/>
  <c r="DG301" i="10"/>
  <c r="DG300" i="10"/>
  <c r="DG299" i="10"/>
  <c r="DG298" i="10"/>
  <c r="DG297" i="10"/>
  <c r="DG296" i="10"/>
  <c r="DG295" i="10"/>
  <c r="DG294" i="10"/>
  <c r="DG293" i="10"/>
  <c r="DG292" i="10"/>
  <c r="DG291" i="10"/>
  <c r="DG290" i="10"/>
  <c r="DG289" i="10"/>
  <c r="DG288" i="10"/>
  <c r="DG287" i="10"/>
  <c r="DG286" i="10"/>
  <c r="DG285" i="10"/>
  <c r="DG284" i="10"/>
  <c r="DG283" i="10"/>
  <c r="DG282" i="10"/>
  <c r="DG281" i="10"/>
  <c r="DG280" i="10"/>
  <c r="DG279" i="10"/>
  <c r="DG278" i="10"/>
  <c r="DG277" i="10"/>
  <c r="DG276" i="10"/>
  <c r="DG275" i="10"/>
  <c r="DG274" i="10"/>
  <c r="DG273" i="10"/>
  <c r="DG272" i="10"/>
  <c r="DG271" i="10"/>
  <c r="DG270" i="10"/>
  <c r="DG269" i="10"/>
  <c r="DG268" i="10"/>
  <c r="DG267" i="10"/>
  <c r="DG266" i="10"/>
  <c r="DG265" i="10"/>
  <c r="DG264" i="10"/>
  <c r="DG263" i="10"/>
  <c r="DG262" i="10"/>
  <c r="DG261" i="10"/>
  <c r="DG260" i="10"/>
  <c r="DG259" i="10"/>
  <c r="DG258" i="10"/>
  <c r="DG257" i="10"/>
  <c r="DG256" i="10"/>
  <c r="DG255" i="10"/>
  <c r="DG254" i="10"/>
  <c r="DG253" i="10"/>
  <c r="DG252" i="10"/>
  <c r="DG251" i="10"/>
  <c r="DG250" i="10"/>
  <c r="DG249" i="10"/>
  <c r="DG248" i="10"/>
  <c r="DG247" i="10"/>
  <c r="DG246" i="10"/>
  <c r="DG245" i="10"/>
  <c r="DG244" i="10"/>
  <c r="DG243" i="10"/>
  <c r="DG242" i="10"/>
  <c r="DG241" i="10"/>
  <c r="DG240" i="10"/>
  <c r="DG239" i="10"/>
  <c r="DG238" i="10"/>
  <c r="DG237" i="10"/>
  <c r="DG236" i="10"/>
  <c r="DG235" i="10"/>
  <c r="DG234" i="10"/>
  <c r="DG233" i="10"/>
  <c r="DG232" i="10"/>
  <c r="DG231" i="10"/>
  <c r="DG230" i="10"/>
  <c r="DG229" i="10"/>
  <c r="DG228" i="10"/>
  <c r="DG227" i="10"/>
  <c r="DG226" i="10"/>
  <c r="DG225" i="10"/>
  <c r="DG224" i="10"/>
  <c r="DG223" i="10"/>
  <c r="DG222" i="10"/>
  <c r="DG221" i="10"/>
  <c r="DG220" i="10"/>
  <c r="DG219" i="10"/>
  <c r="DG218" i="10"/>
  <c r="DG217" i="10"/>
  <c r="DG216" i="10"/>
  <c r="DG215" i="10"/>
  <c r="DG214" i="10"/>
  <c r="DG213" i="10"/>
  <c r="DG212" i="10"/>
  <c r="DG211" i="10"/>
  <c r="DG210" i="10"/>
  <c r="DG209" i="10"/>
  <c r="DG208" i="10"/>
  <c r="DG207" i="10"/>
  <c r="DG206" i="10"/>
  <c r="DG205" i="10"/>
  <c r="DG204" i="10"/>
  <c r="DG203" i="10"/>
  <c r="DG202" i="10"/>
  <c r="DG201" i="10"/>
  <c r="DG200" i="10"/>
  <c r="DG199" i="10"/>
  <c r="DG198" i="10"/>
  <c r="DG197" i="10"/>
  <c r="DG196" i="10"/>
  <c r="DG195" i="10"/>
  <c r="DG194" i="10"/>
  <c r="DG193" i="10"/>
  <c r="DG192" i="10"/>
  <c r="DG191" i="10"/>
  <c r="DG190" i="10"/>
  <c r="DG189" i="10"/>
  <c r="DG188" i="10"/>
  <c r="DG187" i="10"/>
  <c r="DG186" i="10"/>
  <c r="DG185" i="10"/>
  <c r="DG184" i="10"/>
  <c r="DG183" i="10"/>
  <c r="DG182" i="10"/>
  <c r="DG181" i="10"/>
  <c r="DG180" i="10"/>
  <c r="DG179" i="10"/>
  <c r="DG178" i="10"/>
  <c r="DG177" i="10"/>
  <c r="DG176" i="10"/>
  <c r="DG175" i="10"/>
  <c r="DG174" i="10"/>
  <c r="DG173" i="10"/>
  <c r="DG172" i="10"/>
  <c r="DG171" i="10"/>
  <c r="DG170" i="10"/>
  <c r="DG169" i="10"/>
  <c r="DG168" i="10"/>
  <c r="DG167" i="10"/>
  <c r="DG166" i="10"/>
  <c r="DG165" i="10"/>
  <c r="DG164" i="10"/>
  <c r="DG163" i="10"/>
  <c r="DG162" i="10"/>
  <c r="DG161" i="10"/>
  <c r="DG160" i="10"/>
  <c r="DG159" i="10"/>
  <c r="DG158" i="10"/>
  <c r="DG157" i="10"/>
  <c r="DG156" i="10"/>
  <c r="DG155" i="10"/>
  <c r="DG154" i="10"/>
  <c r="DG153" i="10"/>
  <c r="DG152" i="10"/>
  <c r="DG151" i="10"/>
  <c r="DG150" i="10"/>
  <c r="DG149" i="10"/>
  <c r="DG148" i="10"/>
  <c r="DG147" i="10"/>
  <c r="DG146" i="10"/>
  <c r="DG145" i="10"/>
  <c r="DG144" i="10"/>
  <c r="DG143" i="10"/>
  <c r="DG142" i="10"/>
  <c r="DG141" i="10"/>
  <c r="DG140" i="10"/>
  <c r="DG139" i="10"/>
  <c r="DG138" i="10"/>
  <c r="DG137" i="10"/>
  <c r="DG136" i="10"/>
  <c r="DG135" i="10"/>
  <c r="DG134" i="10"/>
  <c r="DG133" i="10"/>
  <c r="DG132" i="10"/>
  <c r="DG130" i="10"/>
  <c r="DG129" i="10"/>
  <c r="DG128" i="10"/>
  <c r="DG127" i="10"/>
  <c r="DG126" i="10"/>
  <c r="DG124" i="10"/>
  <c r="DG119" i="10"/>
  <c r="DG117" i="10"/>
  <c r="DG114" i="10"/>
  <c r="DG113" i="10"/>
  <c r="DG112" i="10"/>
  <c r="DG109" i="10"/>
  <c r="DG108" i="10"/>
  <c r="DG107" i="10"/>
  <c r="DG106" i="10"/>
  <c r="DG105" i="10"/>
  <c r="DG103" i="10"/>
  <c r="DG101" i="10"/>
  <c r="DG100" i="10"/>
  <c r="DG99" i="10"/>
  <c r="DG97" i="10"/>
  <c r="DG96" i="10"/>
  <c r="DG95" i="10"/>
  <c r="DG94" i="10"/>
  <c r="DG93" i="10"/>
  <c r="DG81" i="10"/>
  <c r="DG65" i="10"/>
  <c r="DG58" i="10"/>
  <c r="DG42" i="10"/>
  <c r="DG39" i="10"/>
  <c r="DG35" i="10"/>
  <c r="DG6" i="10"/>
  <c r="DF131" i="10"/>
  <c r="DF116" i="10"/>
  <c r="DF110" i="10"/>
  <c r="DF98" i="10"/>
  <c r="DF102" i="10" s="1"/>
  <c r="DF104" i="10" s="1"/>
  <c r="DF81" i="10"/>
  <c r="DF65" i="10"/>
  <c r="DF58" i="10"/>
  <c r="DF42" i="10"/>
  <c r="DF39" i="10"/>
  <c r="DF35" i="10"/>
  <c r="DF6" i="10"/>
  <c r="DL111" i="10" l="1"/>
  <c r="DL118" i="10" s="1"/>
  <c r="DL120" i="10" s="1"/>
  <c r="DL123" i="10" s="1"/>
  <c r="DL125" i="10" s="1"/>
  <c r="DL34" i="10"/>
  <c r="DL5" i="10" s="1"/>
  <c r="DK111" i="10"/>
  <c r="DK118" i="10" s="1"/>
  <c r="DK120" i="10" s="1"/>
  <c r="DK123" i="10" s="1"/>
  <c r="DK125" i="10" s="1"/>
  <c r="DK34" i="10"/>
  <c r="DK5" i="10" s="1"/>
  <c r="DJ111" i="10"/>
  <c r="DJ118" i="10" s="1"/>
  <c r="DJ120" i="10" s="1"/>
  <c r="DJ123" i="10" s="1"/>
  <c r="DJ125" i="10" s="1"/>
  <c r="DJ34" i="10"/>
  <c r="DJ5" i="10" s="1"/>
  <c r="DI111" i="10"/>
  <c r="DI118" i="10" s="1"/>
  <c r="DI120" i="10" s="1"/>
  <c r="DI123" i="10" s="1"/>
  <c r="DI125" i="10" s="1"/>
  <c r="DI34" i="10"/>
  <c r="DI5" i="10" s="1"/>
  <c r="DH111" i="10"/>
  <c r="DH118" i="10" s="1"/>
  <c r="DH120" i="10" s="1"/>
  <c r="DH123" i="10" s="1"/>
  <c r="DH125" i="10" s="1"/>
  <c r="DH34" i="10"/>
  <c r="DH5" i="10" s="1"/>
  <c r="DG64" i="10"/>
  <c r="DG34" i="10"/>
  <c r="DG5" i="10" s="1"/>
  <c r="DF111" i="10"/>
  <c r="DF118" i="10" s="1"/>
  <c r="DF120" i="10" s="1"/>
  <c r="DF123" i="10" s="1"/>
  <c r="DF125" i="10" s="1"/>
  <c r="DF34" i="10"/>
  <c r="DF5" i="10" s="1"/>
  <c r="CU76" i="10"/>
  <c r="DH91" i="10" l="1"/>
  <c r="DI91" i="10" s="1"/>
  <c r="DE35" i="10"/>
  <c r="DE131" i="10"/>
  <c r="DE116" i="10"/>
  <c r="DE110" i="10"/>
  <c r="DE98" i="10"/>
  <c r="DE102" i="10" s="1"/>
  <c r="DE104" i="10" s="1"/>
  <c r="DE81" i="10"/>
  <c r="DE58" i="10"/>
  <c r="DE42" i="10"/>
  <c r="DE39" i="10"/>
  <c r="DE6" i="10"/>
  <c r="DH85" i="10" l="1"/>
  <c r="DH64" i="10" s="1"/>
  <c r="DI85" i="10"/>
  <c r="DI64" i="10" s="1"/>
  <c r="DJ91" i="10"/>
  <c r="DE111" i="10"/>
  <c r="DE118" i="10" s="1"/>
  <c r="DE120" i="10" s="1"/>
  <c r="DE123" i="10" s="1"/>
  <c r="DE125" i="10" s="1"/>
  <c r="DE34" i="10"/>
  <c r="DE5" i="10" s="1"/>
  <c r="DJ85" i="10" l="1"/>
  <c r="DJ64" i="10" s="1"/>
  <c r="DK91" i="10"/>
  <c r="DD35" i="10"/>
  <c r="DC35" i="10"/>
  <c r="DB35" i="10"/>
  <c r="DD131" i="10"/>
  <c r="DD116" i="10"/>
  <c r="DD110" i="10"/>
  <c r="DD98" i="10"/>
  <c r="DD102" i="10" s="1"/>
  <c r="DD104" i="10" s="1"/>
  <c r="DD81" i="10"/>
  <c r="DD58" i="10"/>
  <c r="DD42" i="10"/>
  <c r="DD39" i="10"/>
  <c r="DD6" i="10"/>
  <c r="DC131" i="10"/>
  <c r="DC116" i="10"/>
  <c r="DC110" i="10"/>
  <c r="DC98" i="10"/>
  <c r="DC102" i="10" s="1"/>
  <c r="DC104" i="10" s="1"/>
  <c r="DC81" i="10"/>
  <c r="DC58" i="10"/>
  <c r="DC42" i="10"/>
  <c r="DC39" i="10"/>
  <c r="DC6" i="10"/>
  <c r="DB131" i="10"/>
  <c r="DB116" i="10"/>
  <c r="DB110" i="10"/>
  <c r="DB98" i="10"/>
  <c r="DB102" i="10" s="1"/>
  <c r="DB104" i="10" s="1"/>
  <c r="DB81" i="10"/>
  <c r="DB58" i="10"/>
  <c r="DB42" i="10"/>
  <c r="DB39" i="10"/>
  <c r="DB6" i="10"/>
  <c r="DA131" i="10"/>
  <c r="DA116" i="10"/>
  <c r="DA110" i="10"/>
  <c r="DA98" i="10"/>
  <c r="DA102" i="10" s="1"/>
  <c r="DA104" i="10" s="1"/>
  <c r="DA81" i="10"/>
  <c r="DA58" i="10"/>
  <c r="DA42" i="10"/>
  <c r="DA39" i="10"/>
  <c r="DA35" i="10"/>
  <c r="DA6" i="10"/>
  <c r="CZ131" i="10"/>
  <c r="CZ116" i="10"/>
  <c r="CZ110" i="10"/>
  <c r="CZ98" i="10"/>
  <c r="CZ102" i="10" s="1"/>
  <c r="CZ104" i="10" s="1"/>
  <c r="CZ81" i="10"/>
  <c r="CZ58" i="10"/>
  <c r="CZ42" i="10"/>
  <c r="CZ39" i="10"/>
  <c r="CZ35" i="10"/>
  <c r="CZ6" i="10"/>
  <c r="CY131" i="10"/>
  <c r="CY116" i="10"/>
  <c r="CY110" i="10"/>
  <c r="CY98" i="10"/>
  <c r="CY102" i="10" s="1"/>
  <c r="CY104" i="10" s="1"/>
  <c r="CY81" i="10"/>
  <c r="CY58" i="10"/>
  <c r="CY42" i="10"/>
  <c r="CY39" i="10"/>
  <c r="CY35" i="10"/>
  <c r="CY6" i="10"/>
  <c r="CX81" i="10"/>
  <c r="CX131" i="10"/>
  <c r="CX116" i="10"/>
  <c r="CX110" i="10"/>
  <c r="CX98" i="10"/>
  <c r="CX102" i="10" s="1"/>
  <c r="CX104" i="10" s="1"/>
  <c r="CX58" i="10"/>
  <c r="CX42" i="10"/>
  <c r="CX39" i="10"/>
  <c r="CX35" i="10"/>
  <c r="CX6" i="10"/>
  <c r="CW131" i="10"/>
  <c r="CW116" i="10"/>
  <c r="CW110" i="10"/>
  <c r="CW98" i="10"/>
  <c r="CW102" i="10" s="1"/>
  <c r="CW104" i="10" s="1"/>
  <c r="CW81" i="10"/>
  <c r="CW58" i="10"/>
  <c r="CW42" i="10"/>
  <c r="CW39" i="10"/>
  <c r="CW35" i="10"/>
  <c r="CW6" i="10"/>
  <c r="CV76" i="10"/>
  <c r="CV131" i="10"/>
  <c r="CV116" i="10"/>
  <c r="CV110" i="10"/>
  <c r="CV98" i="10"/>
  <c r="CV102" i="10" s="1"/>
  <c r="CV104" i="10" s="1"/>
  <c r="CV81" i="10"/>
  <c r="CV58" i="10"/>
  <c r="CV42" i="10"/>
  <c r="CV39" i="10"/>
  <c r="CV35" i="10"/>
  <c r="CV6" i="10"/>
  <c r="CU131" i="10"/>
  <c r="CU116" i="10"/>
  <c r="CU110" i="10"/>
  <c r="CU98" i="10"/>
  <c r="CU81" i="10"/>
  <c r="CU65" i="10"/>
  <c r="CU58" i="10"/>
  <c r="CU42" i="10"/>
  <c r="CU39" i="10"/>
  <c r="CU35" i="10"/>
  <c r="CU6" i="10"/>
  <c r="DK85" i="10" l="1"/>
  <c r="DK64" i="10" s="1"/>
  <c r="DL91" i="10"/>
  <c r="CU102" i="10"/>
  <c r="DG98" i="10"/>
  <c r="DG110" i="10"/>
  <c r="DG131" i="10"/>
  <c r="DG116" i="10"/>
  <c r="CV65" i="10"/>
  <c r="CW76" i="10"/>
  <c r="DB111" i="10"/>
  <c r="DB118" i="10" s="1"/>
  <c r="DB120" i="10" s="1"/>
  <c r="DB123" i="10" s="1"/>
  <c r="DB125" i="10" s="1"/>
  <c r="DD111" i="10"/>
  <c r="DD118" i="10" s="1"/>
  <c r="DD120" i="10" s="1"/>
  <c r="DD123" i="10" s="1"/>
  <c r="DD125" i="10" s="1"/>
  <c r="DD34" i="10"/>
  <c r="DD5" i="10" s="1"/>
  <c r="DC111" i="10"/>
  <c r="DC118" i="10" s="1"/>
  <c r="DC120" i="10" s="1"/>
  <c r="DC123" i="10" s="1"/>
  <c r="DC125" i="10" s="1"/>
  <c r="DC34" i="10"/>
  <c r="DC5" i="10" s="1"/>
  <c r="DB34" i="10"/>
  <c r="DB5" i="10" s="1"/>
  <c r="DA111" i="10"/>
  <c r="DA118" i="10" s="1"/>
  <c r="DA120" i="10" s="1"/>
  <c r="DA123" i="10" s="1"/>
  <c r="DA125" i="10" s="1"/>
  <c r="CZ111" i="10"/>
  <c r="CZ118" i="10" s="1"/>
  <c r="CZ120" i="10" s="1"/>
  <c r="CZ123" i="10" s="1"/>
  <c r="CZ125" i="10" s="1"/>
  <c r="DA34" i="10"/>
  <c r="DA5" i="10" s="1"/>
  <c r="CY111" i="10"/>
  <c r="CY118" i="10" s="1"/>
  <c r="CY120" i="10" s="1"/>
  <c r="CY123" i="10" s="1"/>
  <c r="CY125" i="10" s="1"/>
  <c r="CZ34" i="10"/>
  <c r="CZ5" i="10" s="1"/>
  <c r="CW111" i="10"/>
  <c r="CW118" i="10" s="1"/>
  <c r="CW120" i="10" s="1"/>
  <c r="CW123" i="10" s="1"/>
  <c r="CW125" i="10" s="1"/>
  <c r="CY34" i="10"/>
  <c r="CY5" i="10" s="1"/>
  <c r="CX111" i="10"/>
  <c r="CX118" i="10" s="1"/>
  <c r="CX120" i="10" s="1"/>
  <c r="CX123" i="10" s="1"/>
  <c r="CX125" i="10" s="1"/>
  <c r="CX34" i="10"/>
  <c r="CX5" i="10" s="1"/>
  <c r="CV111" i="10"/>
  <c r="CV118" i="10" s="1"/>
  <c r="CV120" i="10" s="1"/>
  <c r="CV123" i="10" s="1"/>
  <c r="CV125" i="10" s="1"/>
  <c r="CW34" i="10"/>
  <c r="CW5" i="10" s="1"/>
  <c r="CV34" i="10"/>
  <c r="CV5" i="10" s="1"/>
  <c r="CU34" i="10"/>
  <c r="CU5" i="10" s="1"/>
  <c r="DL85" i="10" l="1"/>
  <c r="DL64" i="10" s="1"/>
  <c r="DM91" i="10"/>
  <c r="DM85" i="10" s="1"/>
  <c r="DM64" i="10" s="1"/>
  <c r="CU104" i="10"/>
  <c r="DG102" i="10"/>
  <c r="CX76" i="10"/>
  <c r="CW65" i="10"/>
  <c r="F45" i="8"/>
  <c r="DR2" i="10" s="1"/>
  <c r="D3183" i="11"/>
  <c r="C3183" i="11"/>
  <c r="D3157" i="11"/>
  <c r="C3157" i="11"/>
  <c r="E2076" i="11"/>
  <c r="D1559" i="11"/>
  <c r="C1559" i="11"/>
  <c r="D1441" i="11"/>
  <c r="C1441" i="11"/>
  <c r="D3131" i="11"/>
  <c r="C3131" i="11"/>
  <c r="DG104" i="10" l="1"/>
  <c r="CU111" i="10"/>
  <c r="CY76" i="10"/>
  <c r="CX65" i="10"/>
  <c r="CU118" i="10" l="1"/>
  <c r="DG111" i="10"/>
  <c r="CZ76" i="10"/>
  <c r="CY65" i="10"/>
  <c r="CU120" i="10" l="1"/>
  <c r="DG118" i="10"/>
  <c r="DA76" i="10"/>
  <c r="CZ65" i="10"/>
  <c r="CU123" i="10" l="1"/>
  <c r="DG120" i="10"/>
  <c r="DG123" i="10" s="1"/>
  <c r="DG125" i="10" s="1"/>
  <c r="DB76" i="10"/>
  <c r="DB65" i="10" s="1"/>
  <c r="DA65" i="10"/>
  <c r="CU91" i="10" l="1"/>
  <c r="CU125" i="10"/>
  <c r="DC76" i="10"/>
  <c r="D3182" i="11"/>
  <c r="C3182" i="11"/>
  <c r="D3156" i="11"/>
  <c r="C3156" i="11"/>
  <c r="D3181" i="11"/>
  <c r="C3181" i="11"/>
  <c r="D3155" i="11"/>
  <c r="C3155" i="11"/>
  <c r="D3180" i="11"/>
  <c r="C3180" i="11"/>
  <c r="D3154" i="11"/>
  <c r="C3154" i="11"/>
  <c r="D3179" i="11"/>
  <c r="C3179" i="11"/>
  <c r="D3153" i="11"/>
  <c r="C3153" i="11"/>
  <c r="CV91" i="10" l="1"/>
  <c r="CW91" i="10" s="1"/>
  <c r="CU85" i="10"/>
  <c r="CU64" i="10" s="1"/>
  <c r="DD76" i="10"/>
  <c r="DC65" i="10"/>
  <c r="CW85" i="10" l="1"/>
  <c r="CW64" i="10" s="1"/>
  <c r="CX91" i="10"/>
  <c r="DE76" i="10"/>
  <c r="DE65" i="10" s="1"/>
  <c r="DD65" i="10"/>
  <c r="D3178" i="11"/>
  <c r="C3178" i="11"/>
  <c r="D3152" i="11"/>
  <c r="C3152" i="11"/>
  <c r="E69" i="39"/>
  <c r="D69" i="39"/>
  <c r="D138" i="39"/>
  <c r="E138" i="39"/>
  <c r="D207" i="39"/>
  <c r="E207" i="39"/>
  <c r="E276" i="39"/>
  <c r="D276" i="39"/>
  <c r="CX85" i="10" l="1"/>
  <c r="CX64" i="10" s="1"/>
  <c r="CY91" i="10"/>
  <c r="CY85" i="10" l="1"/>
  <c r="CY64" i="10" s="1"/>
  <c r="CZ91" i="10"/>
  <c r="CV85" i="10"/>
  <c r="CV64" i="10" s="1"/>
  <c r="CZ85" i="10" l="1"/>
  <c r="CZ64" i="10" s="1"/>
  <c r="DA91" i="10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249" i="39"/>
  <c r="D250" i="39"/>
  <c r="D251" i="39"/>
  <c r="D252" i="39"/>
  <c r="D253" i="39"/>
  <c r="D254" i="39"/>
  <c r="D255" i="39"/>
  <c r="D256" i="39"/>
  <c r="D257" i="39"/>
  <c r="D258" i="39"/>
  <c r="D259" i="39"/>
  <c r="D260" i="39"/>
  <c r="D261" i="39"/>
  <c r="D262" i="39"/>
  <c r="D263" i="39"/>
  <c r="D264" i="39"/>
  <c r="D265" i="39"/>
  <c r="D266" i="39"/>
  <c r="D267" i="39"/>
  <c r="D268" i="39"/>
  <c r="D269" i="39"/>
  <c r="D270" i="39"/>
  <c r="D271" i="39"/>
  <c r="D272" i="39"/>
  <c r="D273" i="39"/>
  <c r="D274" i="39"/>
  <c r="D275" i="39"/>
  <c r="E209" i="39"/>
  <c r="E210" i="39"/>
  <c r="E211" i="39"/>
  <c r="E212" i="39"/>
  <c r="E213" i="39"/>
  <c r="E214" i="39"/>
  <c r="E215" i="39"/>
  <c r="E216" i="39"/>
  <c r="E217" i="39"/>
  <c r="E218" i="39"/>
  <c r="E219" i="39"/>
  <c r="E220" i="39"/>
  <c r="E221" i="39"/>
  <c r="E222" i="39"/>
  <c r="E223" i="39"/>
  <c r="E224" i="39"/>
  <c r="E225" i="39"/>
  <c r="E226" i="39"/>
  <c r="E227" i="39"/>
  <c r="E228" i="39"/>
  <c r="E229" i="39"/>
  <c r="E230" i="39"/>
  <c r="E231" i="39"/>
  <c r="E232" i="39"/>
  <c r="E233" i="39"/>
  <c r="E234" i="39"/>
  <c r="E235" i="39"/>
  <c r="E236" i="39"/>
  <c r="E237" i="39"/>
  <c r="E238" i="39"/>
  <c r="E239" i="39"/>
  <c r="E240" i="39"/>
  <c r="E241" i="39"/>
  <c r="E242" i="39"/>
  <c r="E243" i="39"/>
  <c r="E244" i="39"/>
  <c r="E245" i="39"/>
  <c r="E246" i="39"/>
  <c r="E247" i="39"/>
  <c r="E248" i="39"/>
  <c r="E249" i="39"/>
  <c r="E250" i="39"/>
  <c r="E251" i="39"/>
  <c r="E252" i="39"/>
  <c r="E253" i="39"/>
  <c r="E254" i="39"/>
  <c r="E255" i="39"/>
  <c r="E256" i="39"/>
  <c r="E257" i="39"/>
  <c r="E258" i="39"/>
  <c r="E259" i="39"/>
  <c r="E260" i="39"/>
  <c r="E261" i="39"/>
  <c r="E262" i="39"/>
  <c r="E263" i="39"/>
  <c r="E264" i="39"/>
  <c r="E265" i="39"/>
  <c r="E266" i="39"/>
  <c r="E267" i="39"/>
  <c r="E268" i="39"/>
  <c r="E269" i="39"/>
  <c r="E270" i="39"/>
  <c r="E271" i="39"/>
  <c r="E272" i="39"/>
  <c r="E273" i="39"/>
  <c r="E274" i="39"/>
  <c r="E275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194" i="39"/>
  <c r="D195" i="39"/>
  <c r="D196" i="39"/>
  <c r="D197" i="39"/>
  <c r="D198" i="39"/>
  <c r="D199" i="39"/>
  <c r="D200" i="39"/>
  <c r="D201" i="39"/>
  <c r="D202" i="39"/>
  <c r="D203" i="39"/>
  <c r="D204" i="39"/>
  <c r="D205" i="39"/>
  <c r="D206" i="39"/>
  <c r="E151" i="39"/>
  <c r="E152" i="39"/>
  <c r="E153" i="39"/>
  <c r="E154" i="39"/>
  <c r="E155" i="39"/>
  <c r="E156" i="39"/>
  <c r="E157" i="39"/>
  <c r="E158" i="39"/>
  <c r="E159" i="39"/>
  <c r="E160" i="39"/>
  <c r="E161" i="39"/>
  <c r="E162" i="39"/>
  <c r="E163" i="39"/>
  <c r="E164" i="39"/>
  <c r="E165" i="39"/>
  <c r="E166" i="39"/>
  <c r="E167" i="39"/>
  <c r="E168" i="39"/>
  <c r="E169" i="39"/>
  <c r="E170" i="39"/>
  <c r="E171" i="39"/>
  <c r="E172" i="39"/>
  <c r="E173" i="39"/>
  <c r="E174" i="39"/>
  <c r="E175" i="39"/>
  <c r="E176" i="39"/>
  <c r="E177" i="39"/>
  <c r="E178" i="39"/>
  <c r="E179" i="39"/>
  <c r="E180" i="39"/>
  <c r="E181" i="39"/>
  <c r="E182" i="39"/>
  <c r="E183" i="39"/>
  <c r="E184" i="39"/>
  <c r="E185" i="39"/>
  <c r="E186" i="39"/>
  <c r="E187" i="39"/>
  <c r="E188" i="39"/>
  <c r="E189" i="39"/>
  <c r="E190" i="39"/>
  <c r="E191" i="39"/>
  <c r="E192" i="39"/>
  <c r="E193" i="39"/>
  <c r="E194" i="39"/>
  <c r="E195" i="39"/>
  <c r="E196" i="39"/>
  <c r="E197" i="39"/>
  <c r="E198" i="39"/>
  <c r="E199" i="39"/>
  <c r="E200" i="39"/>
  <c r="E201" i="39"/>
  <c r="E202" i="39"/>
  <c r="E203" i="39"/>
  <c r="E204" i="39"/>
  <c r="E205" i="39"/>
  <c r="E206" i="39"/>
  <c r="D140" i="39"/>
  <c r="D141" i="39"/>
  <c r="D142" i="39"/>
  <c r="D143" i="39"/>
  <c r="D144" i="39"/>
  <c r="D145" i="39"/>
  <c r="D146" i="39"/>
  <c r="D147" i="39"/>
  <c r="D148" i="39"/>
  <c r="D149" i="39"/>
  <c r="D150" i="39"/>
  <c r="E140" i="39"/>
  <c r="E141" i="39"/>
  <c r="E142" i="39"/>
  <c r="E143" i="39"/>
  <c r="E144" i="39"/>
  <c r="E145" i="39"/>
  <c r="E146" i="39"/>
  <c r="E147" i="39"/>
  <c r="E148" i="39"/>
  <c r="E149" i="39"/>
  <c r="E150" i="39"/>
  <c r="A141" i="39"/>
  <c r="A142" i="39" s="1"/>
  <c r="A72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E71" i="39"/>
  <c r="E72" i="39"/>
  <c r="E73" i="39"/>
  <c r="E74" i="39"/>
  <c r="E75" i="39"/>
  <c r="E76" i="39"/>
  <c r="E77" i="39"/>
  <c r="E78" i="39"/>
  <c r="E79" i="39"/>
  <c r="E80" i="39"/>
  <c r="E81" i="39"/>
  <c r="E82" i="39"/>
  <c r="E83" i="39"/>
  <c r="E84" i="39"/>
  <c r="E85" i="39"/>
  <c r="E86" i="39"/>
  <c r="E87" i="39"/>
  <c r="E88" i="39"/>
  <c r="E89" i="39"/>
  <c r="E90" i="39"/>
  <c r="E91" i="39"/>
  <c r="E92" i="39"/>
  <c r="E93" i="39"/>
  <c r="E94" i="39"/>
  <c r="E95" i="39"/>
  <c r="E96" i="39"/>
  <c r="E97" i="39"/>
  <c r="E98" i="39"/>
  <c r="E99" i="39"/>
  <c r="E100" i="39"/>
  <c r="E101" i="39"/>
  <c r="E102" i="39"/>
  <c r="E103" i="39"/>
  <c r="E104" i="39"/>
  <c r="E105" i="39"/>
  <c r="E106" i="39"/>
  <c r="E107" i="39"/>
  <c r="E108" i="39"/>
  <c r="E109" i="39"/>
  <c r="E110" i="39"/>
  <c r="E111" i="39"/>
  <c r="E112" i="39"/>
  <c r="E113" i="39"/>
  <c r="E114" i="39"/>
  <c r="E115" i="39"/>
  <c r="E116" i="39"/>
  <c r="E117" i="39"/>
  <c r="E118" i="39"/>
  <c r="E119" i="39"/>
  <c r="E120" i="39"/>
  <c r="E121" i="39"/>
  <c r="E122" i="39"/>
  <c r="E123" i="39"/>
  <c r="E124" i="39"/>
  <c r="E125" i="39"/>
  <c r="E126" i="39"/>
  <c r="E127" i="39"/>
  <c r="E128" i="39"/>
  <c r="E129" i="39"/>
  <c r="E130" i="39"/>
  <c r="E131" i="39"/>
  <c r="E132" i="39"/>
  <c r="E133" i="39"/>
  <c r="E134" i="39"/>
  <c r="E135" i="39"/>
  <c r="E136" i="39"/>
  <c r="E137" i="39"/>
  <c r="A68" i="39"/>
  <c r="A69" i="39" s="1"/>
  <c r="D68" i="39"/>
  <c r="E68" i="39"/>
  <c r="D3" i="39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2" i="39"/>
  <c r="D2" i="39"/>
  <c r="D3177" i="11"/>
  <c r="C3177" i="11"/>
  <c r="D3151" i="11"/>
  <c r="C3151" i="11"/>
  <c r="D3176" i="11"/>
  <c r="C3176" i="11"/>
  <c r="D3150" i="11"/>
  <c r="C3150" i="11"/>
  <c r="D3175" i="11"/>
  <c r="C3175" i="11"/>
  <c r="D3149" i="11"/>
  <c r="C3149" i="11"/>
  <c r="D3174" i="11"/>
  <c r="C3174" i="11"/>
  <c r="D3148" i="11"/>
  <c r="C3148" i="11"/>
  <c r="DA85" i="10" l="1"/>
  <c r="DA64" i="10" s="1"/>
  <c r="DB91" i="10"/>
  <c r="A143" i="39"/>
  <c r="A144" i="39" s="1"/>
  <c r="A73" i="39"/>
  <c r="DB85" i="10" l="1"/>
  <c r="DB64" i="10" s="1"/>
  <c r="DC91" i="10"/>
  <c r="A74" i="39"/>
  <c r="A145" i="39"/>
  <c r="CT88" i="10"/>
  <c r="CS12" i="10"/>
  <c r="CS122" i="10"/>
  <c r="DD91" i="10" l="1"/>
  <c r="DC85" i="10"/>
  <c r="DC64" i="10" s="1"/>
  <c r="A75" i="39"/>
  <c r="A146" i="39"/>
  <c r="CT130" i="10"/>
  <c r="CT129" i="10"/>
  <c r="CT128" i="10"/>
  <c r="CT127" i="10"/>
  <c r="CT126" i="10"/>
  <c r="CT124" i="10"/>
  <c r="CT314" i="10"/>
  <c r="CT313" i="10"/>
  <c r="CT312" i="10"/>
  <c r="CT311" i="10"/>
  <c r="CT310" i="10"/>
  <c r="CT309" i="10"/>
  <c r="CT308" i="10"/>
  <c r="CT307" i="10"/>
  <c r="CT306" i="10"/>
  <c r="CT305" i="10"/>
  <c r="CT304" i="10"/>
  <c r="CT303" i="10"/>
  <c r="CT302" i="10"/>
  <c r="CT301" i="10"/>
  <c r="CT300" i="10"/>
  <c r="CT299" i="10"/>
  <c r="CT298" i="10"/>
  <c r="CT297" i="10"/>
  <c r="CT296" i="10"/>
  <c r="CT295" i="10"/>
  <c r="CT294" i="10"/>
  <c r="CT293" i="10"/>
  <c r="CT292" i="10"/>
  <c r="CT291" i="10"/>
  <c r="CT290" i="10"/>
  <c r="CT289" i="10"/>
  <c r="CT288" i="10"/>
  <c r="CT287" i="10"/>
  <c r="CT286" i="10"/>
  <c r="CT285" i="10"/>
  <c r="CT284" i="10"/>
  <c r="CT283" i="10"/>
  <c r="CT282" i="10"/>
  <c r="CT281" i="10"/>
  <c r="CT280" i="10"/>
  <c r="CT279" i="10"/>
  <c r="CT278" i="10"/>
  <c r="CT277" i="10"/>
  <c r="CT276" i="10"/>
  <c r="CT275" i="10"/>
  <c r="CT274" i="10"/>
  <c r="CT273" i="10"/>
  <c r="CT272" i="10"/>
  <c r="CT271" i="10"/>
  <c r="CT270" i="10"/>
  <c r="CT269" i="10"/>
  <c r="CT268" i="10"/>
  <c r="CT267" i="10"/>
  <c r="CT266" i="10"/>
  <c r="CT265" i="10"/>
  <c r="CT264" i="10"/>
  <c r="CT263" i="10"/>
  <c r="CT262" i="10"/>
  <c r="CT261" i="10"/>
  <c r="CT260" i="10"/>
  <c r="CT259" i="10"/>
  <c r="CT258" i="10"/>
  <c r="CT257" i="10"/>
  <c r="CT256" i="10"/>
  <c r="CT255" i="10"/>
  <c r="CT254" i="10"/>
  <c r="CT253" i="10"/>
  <c r="CT252" i="10"/>
  <c r="CT251" i="10"/>
  <c r="CT250" i="10"/>
  <c r="CT249" i="10"/>
  <c r="CT248" i="10"/>
  <c r="CT247" i="10"/>
  <c r="CT246" i="10"/>
  <c r="CT245" i="10"/>
  <c r="CT244" i="10"/>
  <c r="CT243" i="10"/>
  <c r="CT242" i="10"/>
  <c r="CT241" i="10"/>
  <c r="CT240" i="10"/>
  <c r="CT239" i="10"/>
  <c r="CT238" i="10"/>
  <c r="CT237" i="10"/>
  <c r="CT236" i="10"/>
  <c r="CT235" i="10"/>
  <c r="CT234" i="10"/>
  <c r="CT233" i="10"/>
  <c r="CT232" i="10"/>
  <c r="CT231" i="10"/>
  <c r="CT230" i="10"/>
  <c r="CT229" i="10"/>
  <c r="CT228" i="10"/>
  <c r="CT227" i="10"/>
  <c r="CT226" i="10"/>
  <c r="CT225" i="10"/>
  <c r="CT224" i="10"/>
  <c r="CT223" i="10"/>
  <c r="CT222" i="10"/>
  <c r="CT221" i="10"/>
  <c r="CT220" i="10"/>
  <c r="CT219" i="10"/>
  <c r="CT218" i="10"/>
  <c r="CT217" i="10"/>
  <c r="CT216" i="10"/>
  <c r="CT215" i="10"/>
  <c r="CT214" i="10"/>
  <c r="CT213" i="10"/>
  <c r="CT212" i="10"/>
  <c r="CT211" i="10"/>
  <c r="CT210" i="10"/>
  <c r="CT209" i="10"/>
  <c r="CT208" i="10"/>
  <c r="CT207" i="10"/>
  <c r="CT206" i="10"/>
  <c r="CT205" i="10"/>
  <c r="CT204" i="10"/>
  <c r="CT203" i="10"/>
  <c r="CT202" i="10"/>
  <c r="CT201" i="10"/>
  <c r="CT200" i="10"/>
  <c r="CT199" i="10"/>
  <c r="CT198" i="10"/>
  <c r="CT197" i="10"/>
  <c r="CT196" i="10"/>
  <c r="CT195" i="10"/>
  <c r="CT194" i="10"/>
  <c r="CT193" i="10"/>
  <c r="CT192" i="10"/>
  <c r="CT191" i="10"/>
  <c r="CT190" i="10"/>
  <c r="CT189" i="10"/>
  <c r="CT188" i="10"/>
  <c r="CT187" i="10"/>
  <c r="CT186" i="10"/>
  <c r="CT185" i="10"/>
  <c r="CT184" i="10"/>
  <c r="CT183" i="10"/>
  <c r="CT182" i="10"/>
  <c r="CT181" i="10"/>
  <c r="CT180" i="10"/>
  <c r="CT179" i="10"/>
  <c r="CT178" i="10"/>
  <c r="CT177" i="10"/>
  <c r="CT176" i="10"/>
  <c r="CT175" i="10"/>
  <c r="CT174" i="10"/>
  <c r="CT173" i="10"/>
  <c r="CT172" i="10"/>
  <c r="CT171" i="10"/>
  <c r="CT170" i="10"/>
  <c r="CT169" i="10"/>
  <c r="CT168" i="10"/>
  <c r="CT167" i="10"/>
  <c r="CT166" i="10"/>
  <c r="CT165" i="10"/>
  <c r="CT164" i="10"/>
  <c r="CT163" i="10"/>
  <c r="CT162" i="10"/>
  <c r="CT161" i="10"/>
  <c r="CT160" i="10"/>
  <c r="CT159" i="10"/>
  <c r="CT158" i="10"/>
  <c r="CT157" i="10"/>
  <c r="CT156" i="10"/>
  <c r="CT155" i="10"/>
  <c r="CT154" i="10"/>
  <c r="CT153" i="10"/>
  <c r="CT152" i="10"/>
  <c r="CT151" i="10"/>
  <c r="CT150" i="10"/>
  <c r="CT149" i="10"/>
  <c r="CT148" i="10"/>
  <c r="CT147" i="10"/>
  <c r="CT146" i="10"/>
  <c r="CT145" i="10"/>
  <c r="CT144" i="10"/>
  <c r="CT143" i="10"/>
  <c r="CT142" i="10"/>
  <c r="CT141" i="10"/>
  <c r="CT140" i="10"/>
  <c r="CT139" i="10"/>
  <c r="CT138" i="10"/>
  <c r="CT137" i="10"/>
  <c r="CT136" i="10"/>
  <c r="CT135" i="10"/>
  <c r="CT134" i="10"/>
  <c r="CT133" i="10"/>
  <c r="CT132" i="10"/>
  <c r="CT122" i="10"/>
  <c r="CT121" i="10"/>
  <c r="CT119" i="10"/>
  <c r="CT117" i="10"/>
  <c r="CT115" i="10"/>
  <c r="CT114" i="10"/>
  <c r="CT113" i="10"/>
  <c r="CT112" i="10"/>
  <c r="CT109" i="10"/>
  <c r="CT108" i="10"/>
  <c r="CT107" i="10"/>
  <c r="CT106" i="10"/>
  <c r="CT105" i="10"/>
  <c r="CT103" i="10"/>
  <c r="CT101" i="10"/>
  <c r="CT100" i="10"/>
  <c r="CT99" i="10"/>
  <c r="CT97" i="10"/>
  <c r="CT96" i="10"/>
  <c r="CT95" i="10"/>
  <c r="CT94" i="10"/>
  <c r="CT93" i="10"/>
  <c r="CT89" i="10"/>
  <c r="CT87" i="10"/>
  <c r="CT86" i="10"/>
  <c r="CT84" i="10"/>
  <c r="CT83" i="10"/>
  <c r="CT82" i="10"/>
  <c r="CT80" i="10"/>
  <c r="CT79" i="10"/>
  <c r="CT78" i="10"/>
  <c r="CT77" i="10"/>
  <c r="CT75" i="10"/>
  <c r="CT74" i="10"/>
  <c r="CT73" i="10"/>
  <c r="CT72" i="10"/>
  <c r="CT71" i="10"/>
  <c r="CT70" i="10"/>
  <c r="CT69" i="10"/>
  <c r="CT68" i="10"/>
  <c r="CT67" i="10"/>
  <c r="CT66" i="10"/>
  <c r="CT63" i="10"/>
  <c r="CT62" i="10"/>
  <c r="CT61" i="10"/>
  <c r="CT60" i="10"/>
  <c r="CT59" i="10"/>
  <c r="CT57" i="10"/>
  <c r="CT56" i="10"/>
  <c r="CT55" i="10"/>
  <c r="CT54" i="10"/>
  <c r="CT53" i="10"/>
  <c r="CT52" i="10"/>
  <c r="CT51" i="10"/>
  <c r="CT50" i="10"/>
  <c r="CT49" i="10"/>
  <c r="CT48" i="10"/>
  <c r="CT47" i="10"/>
  <c r="CT46" i="10"/>
  <c r="CT45" i="10"/>
  <c r="CT44" i="10"/>
  <c r="CT43" i="10"/>
  <c r="CT41" i="10"/>
  <c r="CT40" i="10"/>
  <c r="CT37" i="10"/>
  <c r="CT36" i="10"/>
  <c r="CT33" i="10"/>
  <c r="CT32" i="10"/>
  <c r="CT31" i="10"/>
  <c r="CT30" i="10"/>
  <c r="CT29" i="10"/>
  <c r="CT28" i="10"/>
  <c r="CT27" i="10"/>
  <c r="CT26" i="10"/>
  <c r="CT25" i="10"/>
  <c r="CT24" i="10"/>
  <c r="CT23" i="10"/>
  <c r="CT22" i="10"/>
  <c r="CT21" i="10"/>
  <c r="CT20" i="10"/>
  <c r="CT19" i="10"/>
  <c r="CT18" i="10"/>
  <c r="CT17" i="10"/>
  <c r="CT16" i="10"/>
  <c r="CT15" i="10"/>
  <c r="CT14" i="10"/>
  <c r="CT13" i="10"/>
  <c r="CT12" i="10"/>
  <c r="CT11" i="10"/>
  <c r="CT10" i="10"/>
  <c r="CT9" i="10"/>
  <c r="CT8" i="10"/>
  <c r="CT7" i="10"/>
  <c r="CS90" i="10"/>
  <c r="CS131" i="10"/>
  <c r="CS116" i="10"/>
  <c r="CS110" i="10"/>
  <c r="CS98" i="10"/>
  <c r="CS102" i="10" s="1"/>
  <c r="CS104" i="10" s="1"/>
  <c r="CS81" i="10"/>
  <c r="CS58" i="10"/>
  <c r="CS42" i="10"/>
  <c r="CS39" i="10"/>
  <c r="CS35" i="10"/>
  <c r="CS6" i="10"/>
  <c r="CR90" i="10"/>
  <c r="CR131" i="10"/>
  <c r="CR116" i="10"/>
  <c r="CR110" i="10"/>
  <c r="CR98" i="10"/>
  <c r="CR102" i="10" s="1"/>
  <c r="CR104" i="10" s="1"/>
  <c r="CR81" i="10"/>
  <c r="CR58" i="10"/>
  <c r="CR42" i="10"/>
  <c r="CR39" i="10"/>
  <c r="CR35" i="10"/>
  <c r="CR6" i="10"/>
  <c r="CQ90" i="10"/>
  <c r="CQ131" i="10"/>
  <c r="CQ116" i="10"/>
  <c r="CQ110" i="10"/>
  <c r="CQ98" i="10"/>
  <c r="CQ102" i="10" s="1"/>
  <c r="CQ104" i="10" s="1"/>
  <c r="CQ81" i="10"/>
  <c r="CQ58" i="10"/>
  <c r="CQ42" i="10"/>
  <c r="CQ39" i="10"/>
  <c r="CQ35" i="10"/>
  <c r="CQ6" i="10"/>
  <c r="CP90" i="10"/>
  <c r="CP131" i="10"/>
  <c r="CP116" i="10"/>
  <c r="CP110" i="10"/>
  <c r="CP98" i="10"/>
  <c r="CP102" i="10" s="1"/>
  <c r="CP104" i="10" s="1"/>
  <c r="CP81" i="10"/>
  <c r="CP58" i="10"/>
  <c r="CP42" i="10"/>
  <c r="CP39" i="10"/>
  <c r="CP35" i="10"/>
  <c r="CP6" i="10"/>
  <c r="CO90" i="10"/>
  <c r="CO131" i="10"/>
  <c r="CO116" i="10"/>
  <c r="CO110" i="10"/>
  <c r="CO98" i="10"/>
  <c r="CO102" i="10" s="1"/>
  <c r="CO104" i="10" s="1"/>
  <c r="CO81" i="10"/>
  <c r="CO58" i="10"/>
  <c r="CO42" i="10"/>
  <c r="CO39" i="10"/>
  <c r="CO35" i="10"/>
  <c r="CO6" i="10"/>
  <c r="CN90" i="10"/>
  <c r="CN131" i="10"/>
  <c r="CN116" i="10"/>
  <c r="CN110" i="10"/>
  <c r="CN98" i="10"/>
  <c r="CN102" i="10" s="1"/>
  <c r="CN104" i="10" s="1"/>
  <c r="CN81" i="10"/>
  <c r="CN58" i="10"/>
  <c r="CN42" i="10"/>
  <c r="CN39" i="10"/>
  <c r="CN35" i="10"/>
  <c r="CN6" i="10"/>
  <c r="CM131" i="10"/>
  <c r="CM116" i="10"/>
  <c r="CM110" i="10"/>
  <c r="CM98" i="10"/>
  <c r="CM102" i="10" s="1"/>
  <c r="CM104" i="10" s="1"/>
  <c r="CM81" i="10"/>
  <c r="CM58" i="10"/>
  <c r="CM42" i="10"/>
  <c r="CM39" i="10"/>
  <c r="CM35" i="10"/>
  <c r="CM6" i="10"/>
  <c r="CL131" i="10"/>
  <c r="CL116" i="10"/>
  <c r="CL110" i="10"/>
  <c r="CL98" i="10"/>
  <c r="CL102" i="10" s="1"/>
  <c r="CL104" i="10" s="1"/>
  <c r="CL81" i="10"/>
  <c r="CL58" i="10"/>
  <c r="CL42" i="10"/>
  <c r="CL39" i="10"/>
  <c r="CL35" i="10"/>
  <c r="CL6" i="10"/>
  <c r="CK131" i="10"/>
  <c r="CK116" i="10"/>
  <c r="CK110" i="10"/>
  <c r="CK98" i="10"/>
  <c r="CK102" i="10" s="1"/>
  <c r="CK104" i="10" s="1"/>
  <c r="CK81" i="10"/>
  <c r="CK58" i="10"/>
  <c r="CK42" i="10"/>
  <c r="CK39" i="10"/>
  <c r="CK35" i="10"/>
  <c r="CK6" i="10"/>
  <c r="CJ131" i="10"/>
  <c r="CJ116" i="10"/>
  <c r="CJ110" i="10"/>
  <c r="CJ98" i="10"/>
  <c r="CJ102" i="10" s="1"/>
  <c r="CJ104" i="10" s="1"/>
  <c r="CJ81" i="10"/>
  <c r="CJ58" i="10"/>
  <c r="CJ42" i="10"/>
  <c r="CJ39" i="10"/>
  <c r="CJ35" i="10"/>
  <c r="CJ6" i="10"/>
  <c r="CI131" i="10"/>
  <c r="CI116" i="10"/>
  <c r="CI110" i="10"/>
  <c r="CI98" i="10"/>
  <c r="CI102" i="10" s="1"/>
  <c r="CI104" i="10" s="1"/>
  <c r="CI81" i="10"/>
  <c r="CI58" i="10"/>
  <c r="CI42" i="10"/>
  <c r="CI39" i="10"/>
  <c r="CI35" i="10"/>
  <c r="CI6" i="10"/>
  <c r="CG117" i="10"/>
  <c r="CH131" i="10"/>
  <c r="CH116" i="10"/>
  <c r="CH110" i="10"/>
  <c r="CH98" i="10"/>
  <c r="CH102" i="10" s="1"/>
  <c r="CH104" i="10" s="1"/>
  <c r="CH81" i="10"/>
  <c r="CH76" i="10"/>
  <c r="CH65" i="10" s="1"/>
  <c r="CH58" i="10"/>
  <c r="CH6" i="10"/>
  <c r="CH42" i="10"/>
  <c r="CH39" i="10"/>
  <c r="CH35" i="10"/>
  <c r="D3173" i="11"/>
  <c r="C3173" i="11"/>
  <c r="D3147" i="11"/>
  <c r="C3147" i="11"/>
  <c r="DE91" i="10" l="1"/>
  <c r="DD85" i="10"/>
  <c r="DD64" i="10" s="1"/>
  <c r="A76" i="39"/>
  <c r="A147" i="39"/>
  <c r="CT116" i="10"/>
  <c r="CT39" i="10"/>
  <c r="CT58" i="10"/>
  <c r="CT110" i="10"/>
  <c r="CT81" i="10"/>
  <c r="CT131" i="10"/>
  <c r="CT6" i="10"/>
  <c r="CT98" i="10"/>
  <c r="CT102" i="10" s="1"/>
  <c r="CT104" i="10" s="1"/>
  <c r="CT35" i="10"/>
  <c r="CT42" i="10"/>
  <c r="CS111" i="10"/>
  <c r="CS118" i="10" s="1"/>
  <c r="CS120" i="10" s="1"/>
  <c r="CS123" i="10" s="1"/>
  <c r="CS125" i="10" s="1"/>
  <c r="CS34" i="10"/>
  <c r="CS5" i="10" s="1"/>
  <c r="CO111" i="10"/>
  <c r="CO118" i="10" s="1"/>
  <c r="CO120" i="10" s="1"/>
  <c r="CO123" i="10" s="1"/>
  <c r="CO125" i="10" s="1"/>
  <c r="CR111" i="10"/>
  <c r="CR118" i="10" s="1"/>
  <c r="CR120" i="10" s="1"/>
  <c r="CR123" i="10" s="1"/>
  <c r="CR125" i="10" s="1"/>
  <c r="CN111" i="10"/>
  <c r="CN118" i="10" s="1"/>
  <c r="CN120" i="10" s="1"/>
  <c r="CN123" i="10" s="1"/>
  <c r="CN125" i="10" s="1"/>
  <c r="CQ111" i="10"/>
  <c r="CQ118" i="10" s="1"/>
  <c r="CQ120" i="10" s="1"/>
  <c r="CQ123" i="10" s="1"/>
  <c r="CQ125" i="10" s="1"/>
  <c r="CR34" i="10"/>
  <c r="CR5" i="10" s="1"/>
  <c r="CQ34" i="10"/>
  <c r="CQ5" i="10" s="1"/>
  <c r="CP111" i="10"/>
  <c r="CP118" i="10" s="1"/>
  <c r="CP120" i="10" s="1"/>
  <c r="CP123" i="10" s="1"/>
  <c r="CP125" i="10" s="1"/>
  <c r="CP34" i="10"/>
  <c r="CP5" i="10" s="1"/>
  <c r="CO34" i="10"/>
  <c r="CO5" i="10" s="1"/>
  <c r="CN34" i="10"/>
  <c r="CN5" i="10" s="1"/>
  <c r="CM111" i="10"/>
  <c r="CM118" i="10" s="1"/>
  <c r="CM120" i="10" s="1"/>
  <c r="CM123" i="10" s="1"/>
  <c r="CM125" i="10" s="1"/>
  <c r="CM34" i="10"/>
  <c r="CM5" i="10" s="1"/>
  <c r="CL111" i="10"/>
  <c r="CL118" i="10" s="1"/>
  <c r="CL120" i="10" s="1"/>
  <c r="CL123" i="10" s="1"/>
  <c r="CL125" i="10" s="1"/>
  <c r="CL34" i="10"/>
  <c r="CL5" i="10" s="1"/>
  <c r="CI111" i="10"/>
  <c r="CI118" i="10" s="1"/>
  <c r="CI120" i="10" s="1"/>
  <c r="CI123" i="10" s="1"/>
  <c r="CI125" i="10" s="1"/>
  <c r="CK111" i="10"/>
  <c r="CK118" i="10" s="1"/>
  <c r="CK120" i="10" s="1"/>
  <c r="CK123" i="10" s="1"/>
  <c r="CK125" i="10" s="1"/>
  <c r="CK34" i="10"/>
  <c r="CK5" i="10" s="1"/>
  <c r="CJ111" i="10"/>
  <c r="CJ118" i="10" s="1"/>
  <c r="CJ120" i="10" s="1"/>
  <c r="CJ123" i="10" s="1"/>
  <c r="CJ125" i="10" s="1"/>
  <c r="CJ34" i="10"/>
  <c r="CJ5" i="10" s="1"/>
  <c r="CI76" i="10"/>
  <c r="CI34" i="10"/>
  <c r="CI5" i="10" s="1"/>
  <c r="CH111" i="10"/>
  <c r="CH118" i="10" s="1"/>
  <c r="CH120" i="10" s="1"/>
  <c r="CH123" i="10" s="1"/>
  <c r="CH34" i="10"/>
  <c r="CH5" i="10" s="1"/>
  <c r="D3172" i="11"/>
  <c r="C3172" i="11"/>
  <c r="D3146" i="11"/>
  <c r="C3146" i="11"/>
  <c r="D3171" i="11"/>
  <c r="C3171" i="11"/>
  <c r="D3145" i="11"/>
  <c r="C3145" i="11"/>
  <c r="D1558" i="11"/>
  <c r="C1558" i="11"/>
  <c r="D1440" i="11"/>
  <c r="C1440" i="11"/>
  <c r="D3130" i="11"/>
  <c r="C3130" i="11"/>
  <c r="F44" i="8"/>
  <c r="DR1" i="10" s="1"/>
  <c r="DF91" i="10" l="1"/>
  <c r="DF85" i="10" s="1"/>
  <c r="DF64" i="10" s="1"/>
  <c r="DE85" i="10"/>
  <c r="DE64" i="10" s="1"/>
  <c r="A77" i="39"/>
  <c r="A148" i="39"/>
  <c r="CT111" i="10"/>
  <c r="CT118" i="10" s="1"/>
  <c r="CT120" i="10" s="1"/>
  <c r="CT34" i="10"/>
  <c r="CT5" i="10" s="1"/>
  <c r="CH125" i="10"/>
  <c r="CT125" i="10" s="1"/>
  <c r="CT123" i="10"/>
  <c r="CI65" i="10"/>
  <c r="CJ76" i="10"/>
  <c r="CH91" i="10"/>
  <c r="F43" i="8"/>
  <c r="B2079" i="11"/>
  <c r="C2079" i="11" s="1"/>
  <c r="D2078" i="11"/>
  <c r="C2078" i="11"/>
  <c r="D3170" i="11"/>
  <c r="C3170" i="11"/>
  <c r="D3144" i="11"/>
  <c r="C3144" i="11"/>
  <c r="D3169" i="11"/>
  <c r="C3169" i="11"/>
  <c r="D3143" i="11"/>
  <c r="C3143" i="11"/>
  <c r="D3168" i="11"/>
  <c r="C3168" i="11"/>
  <c r="D3142" i="11"/>
  <c r="C3142" i="11"/>
  <c r="A78" i="39" l="1"/>
  <c r="A149" i="39"/>
  <c r="CJ65" i="10"/>
  <c r="CK76" i="10"/>
  <c r="CH85" i="10"/>
  <c r="CH64" i="10" s="1"/>
  <c r="CI91" i="10"/>
  <c r="B2080" i="11"/>
  <c r="B2081" i="11" s="1"/>
  <c r="D2079" i="11"/>
  <c r="A79" i="39" l="1"/>
  <c r="A150" i="39"/>
  <c r="CK65" i="10"/>
  <c r="CL76" i="10"/>
  <c r="CI85" i="10"/>
  <c r="CI64" i="10" s="1"/>
  <c r="CJ91" i="10"/>
  <c r="C2080" i="11"/>
  <c r="D2080" i="11"/>
  <c r="B2082" i="11"/>
  <c r="C2081" i="11"/>
  <c r="D2081" i="11"/>
  <c r="A80" i="39" l="1"/>
  <c r="A151" i="39"/>
  <c r="CL65" i="10"/>
  <c r="CM76" i="10"/>
  <c r="CJ85" i="10"/>
  <c r="CJ64" i="10" s="1"/>
  <c r="CK91" i="10"/>
  <c r="C2082" i="11"/>
  <c r="D2082" i="11"/>
  <c r="B2083" i="11"/>
  <c r="DQ126" i="10"/>
  <c r="DQ182" i="10"/>
  <c r="DQ181" i="10"/>
  <c r="A81" i="39" l="1"/>
  <c r="A152" i="39"/>
  <c r="CM65" i="10"/>
  <c r="CN76" i="10"/>
  <c r="CK85" i="10"/>
  <c r="CK64" i="10" s="1"/>
  <c r="CL91" i="10"/>
  <c r="B2084" i="11"/>
  <c r="D2083" i="11"/>
  <c r="C2083" i="11"/>
  <c r="DP19" i="10"/>
  <c r="DP18" i="10"/>
  <c r="DP17" i="10"/>
  <c r="DP16" i="10"/>
  <c r="DP15" i="10"/>
  <c r="A82" i="39" l="1"/>
  <c r="A153" i="39"/>
  <c r="CN65" i="10"/>
  <c r="CO76" i="10"/>
  <c r="CL85" i="10"/>
  <c r="CL64" i="10" s="1"/>
  <c r="CM91" i="10"/>
  <c r="D2084" i="11"/>
  <c r="B2085" i="11"/>
  <c r="C2084" i="11"/>
  <c r="DQ131" i="10"/>
  <c r="DQ129" i="10"/>
  <c r="DQ130" i="10"/>
  <c r="A83" i="39" l="1"/>
  <c r="A154" i="39"/>
  <c r="CO65" i="10"/>
  <c r="CP76" i="10"/>
  <c r="CM85" i="10"/>
  <c r="CM64" i="10" s="1"/>
  <c r="CN91" i="10"/>
  <c r="B2086" i="11"/>
  <c r="C2085" i="11"/>
  <c r="D2085" i="11"/>
  <c r="D3167" i="11"/>
  <c r="C3167" i="11"/>
  <c r="D3141" i="11"/>
  <c r="C3141" i="11"/>
  <c r="B816" i="11"/>
  <c r="B817" i="11" s="1"/>
  <c r="C810" i="11"/>
  <c r="D810" i="11"/>
  <c r="C811" i="11"/>
  <c r="D811" i="11"/>
  <c r="C812" i="11"/>
  <c r="D812" i="11"/>
  <c r="C813" i="11"/>
  <c r="D813" i="11"/>
  <c r="C814" i="11"/>
  <c r="D814" i="11"/>
  <c r="C815" i="11"/>
  <c r="D815" i="11"/>
  <c r="A84" i="39" l="1"/>
  <c r="A155" i="39"/>
  <c r="CP65" i="10"/>
  <c r="CQ76" i="10"/>
  <c r="CN85" i="10"/>
  <c r="CN64" i="10" s="1"/>
  <c r="CO91" i="10"/>
  <c r="C2086" i="11"/>
  <c r="D2086" i="11"/>
  <c r="B2087" i="11"/>
  <c r="C816" i="11"/>
  <c r="D816" i="11"/>
  <c r="C817" i="11"/>
  <c r="D817" i="11"/>
  <c r="B818" i="11"/>
  <c r="K3164" i="11"/>
  <c r="D3166" i="11"/>
  <c r="C3166" i="11"/>
  <c r="D3140" i="11"/>
  <c r="C3140" i="11"/>
  <c r="A85" i="39" l="1"/>
  <c r="A156" i="39"/>
  <c r="CQ65" i="10"/>
  <c r="CR76" i="10"/>
  <c r="CS76" i="10" s="1"/>
  <c r="CO85" i="10"/>
  <c r="CO64" i="10" s="1"/>
  <c r="CP91" i="10"/>
  <c r="C2087" i="11"/>
  <c r="D2087" i="11"/>
  <c r="B2088" i="11"/>
  <c r="C818" i="11"/>
  <c r="D818" i="11"/>
  <c r="B819" i="11"/>
  <c r="A86" i="39" l="1"/>
  <c r="A157" i="39"/>
  <c r="CR65" i="10"/>
  <c r="CP85" i="10"/>
  <c r="CP64" i="10" s="1"/>
  <c r="CQ91" i="10"/>
  <c r="B2089" i="11"/>
  <c r="C2088" i="11"/>
  <c r="D2088" i="11"/>
  <c r="B820" i="11"/>
  <c r="C819" i="11"/>
  <c r="D819" i="11"/>
  <c r="A87" i="39" l="1"/>
  <c r="A158" i="39"/>
  <c r="CS65" i="10"/>
  <c r="CT76" i="10"/>
  <c r="CT65" i="10" s="1"/>
  <c r="CQ85" i="10"/>
  <c r="CQ64" i="10" s="1"/>
  <c r="CR91" i="10"/>
  <c r="C2089" i="11"/>
  <c r="D2089" i="11"/>
  <c r="B2090" i="11"/>
  <c r="B821" i="11"/>
  <c r="C820" i="11"/>
  <c r="D820" i="11"/>
  <c r="A88" i="39" l="1"/>
  <c r="A159" i="39"/>
  <c r="CR85" i="10"/>
  <c r="CR64" i="10" s="1"/>
  <c r="CS91" i="10"/>
  <c r="C2090" i="11"/>
  <c r="D2090" i="11"/>
  <c r="B2091" i="11"/>
  <c r="B822" i="11"/>
  <c r="C821" i="11"/>
  <c r="D821" i="11"/>
  <c r="A89" i="39" l="1"/>
  <c r="A160" i="39"/>
  <c r="CS85" i="10"/>
  <c r="CS64" i="10" s="1"/>
  <c r="CT85" i="10"/>
  <c r="CT64" i="10" s="1"/>
  <c r="B2092" i="11"/>
  <c r="D2091" i="11"/>
  <c r="C2091" i="11"/>
  <c r="D822" i="11"/>
  <c r="C822" i="11"/>
  <c r="B823" i="11"/>
  <c r="A90" i="39" l="1"/>
  <c r="A161" i="39"/>
  <c r="D2092" i="11"/>
  <c r="B2093" i="11"/>
  <c r="C2092" i="11"/>
  <c r="D823" i="11"/>
  <c r="C823" i="11"/>
  <c r="B824" i="11"/>
  <c r="K3163" i="11"/>
  <c r="D3165" i="11"/>
  <c r="C3165" i="11"/>
  <c r="D3139" i="11"/>
  <c r="C3139" i="11"/>
  <c r="A91" i="39" l="1"/>
  <c r="A162" i="39"/>
  <c r="B2094" i="11"/>
  <c r="C2093" i="11"/>
  <c r="D2093" i="11"/>
  <c r="C824" i="11"/>
  <c r="B825" i="11"/>
  <c r="D824" i="11"/>
  <c r="A92" i="39" l="1"/>
  <c r="A163" i="39"/>
  <c r="B2095" i="11"/>
  <c r="C2094" i="11"/>
  <c r="D2094" i="11"/>
  <c r="C825" i="11"/>
  <c r="D825" i="11"/>
  <c r="B826" i="11"/>
  <c r="A93" i="39" l="1"/>
  <c r="A164" i="39"/>
  <c r="C2095" i="11"/>
  <c r="D2095" i="11"/>
  <c r="B2096" i="11"/>
  <c r="C826" i="11"/>
  <c r="D826" i="11"/>
  <c r="B827" i="11"/>
  <c r="D3164" i="11"/>
  <c r="C3164" i="11"/>
  <c r="D3138" i="11"/>
  <c r="C3138" i="11"/>
  <c r="A94" i="39" l="1"/>
  <c r="A165" i="39"/>
  <c r="C2096" i="11"/>
  <c r="B2097" i="11"/>
  <c r="D2096" i="11"/>
  <c r="B828" i="11"/>
  <c r="C827" i="11"/>
  <c r="D827" i="11"/>
  <c r="A95" i="39" l="1"/>
  <c r="A166" i="39"/>
  <c r="D2097" i="11"/>
  <c r="C2097" i="11"/>
  <c r="B2098" i="11"/>
  <c r="B829" i="11"/>
  <c r="C828" i="11"/>
  <c r="D828" i="11"/>
  <c r="D3163" i="11"/>
  <c r="C3163" i="11"/>
  <c r="D3137" i="11"/>
  <c r="C3137" i="11"/>
  <c r="A96" i="39" l="1"/>
  <c r="A167" i="39"/>
  <c r="C2098" i="11"/>
  <c r="D2098" i="11"/>
  <c r="B2099" i="11"/>
  <c r="B830" i="11"/>
  <c r="D829" i="11"/>
  <c r="C829" i="11"/>
  <c r="N119" i="31"/>
  <c r="N118" i="31"/>
  <c r="N117" i="31"/>
  <c r="N116" i="31"/>
  <c r="N115" i="31"/>
  <c r="N113" i="31"/>
  <c r="A97" i="39" l="1"/>
  <c r="A168" i="39"/>
  <c r="B2100" i="11"/>
  <c r="D2099" i="11"/>
  <c r="C2099" i="11"/>
  <c r="D830" i="11"/>
  <c r="C830" i="11"/>
  <c r="B831" i="11"/>
  <c r="N89" i="31"/>
  <c r="N87" i="31"/>
  <c r="N95" i="31"/>
  <c r="N94" i="31"/>
  <c r="N93" i="31"/>
  <c r="N92" i="31"/>
  <c r="N91" i="31"/>
  <c r="N86" i="31"/>
  <c r="A98" i="39" l="1"/>
  <c r="A169" i="39"/>
  <c r="D2100" i="11"/>
  <c r="B2101" i="11"/>
  <c r="C2100" i="11"/>
  <c r="C831" i="11"/>
  <c r="D831" i="11"/>
  <c r="B832" i="11"/>
  <c r="N84" i="31"/>
  <c r="N81" i="31"/>
  <c r="N79" i="31"/>
  <c r="N63" i="31"/>
  <c r="N39" i="31"/>
  <c r="N38" i="31"/>
  <c r="N41" i="31"/>
  <c r="N36" i="31"/>
  <c r="N33" i="31"/>
  <c r="N31" i="31"/>
  <c r="N29" i="31"/>
  <c r="D3162" i="11"/>
  <c r="C3162" i="11"/>
  <c r="D3136" i="11"/>
  <c r="C3136" i="11"/>
  <c r="A99" i="39" l="1"/>
  <c r="A170" i="39"/>
  <c r="B2102" i="11"/>
  <c r="C2101" i="11"/>
  <c r="D2101" i="11"/>
  <c r="C832" i="11"/>
  <c r="B833" i="11"/>
  <c r="D832" i="11"/>
  <c r="M88" i="31"/>
  <c r="M89" i="31" s="1"/>
  <c r="M92" i="31"/>
  <c r="M87" i="31"/>
  <c r="M86" i="31"/>
  <c r="M84" i="31"/>
  <c r="M81" i="31"/>
  <c r="M79" i="31"/>
  <c r="L87" i="31"/>
  <c r="L95" i="31"/>
  <c r="L94" i="31"/>
  <c r="L93" i="31"/>
  <c r="L92" i="31"/>
  <c r="L91" i="31"/>
  <c r="L88" i="31"/>
  <c r="L89" i="31" s="1"/>
  <c r="L86" i="31"/>
  <c r="L84" i="31"/>
  <c r="L81" i="31"/>
  <c r="L79" i="31"/>
  <c r="K87" i="31"/>
  <c r="K85" i="31"/>
  <c r="K92" i="31" s="1"/>
  <c r="K95" i="31"/>
  <c r="K94" i="31"/>
  <c r="K93" i="31"/>
  <c r="K91" i="31"/>
  <c r="K89" i="31"/>
  <c r="K84" i="31"/>
  <c r="K81" i="31"/>
  <c r="K79" i="31"/>
  <c r="J87" i="31"/>
  <c r="J85" i="31"/>
  <c r="J92" i="31" s="1"/>
  <c r="J95" i="31"/>
  <c r="J94" i="31"/>
  <c r="J93" i="31"/>
  <c r="J91" i="31"/>
  <c r="J89" i="31"/>
  <c r="J84" i="31"/>
  <c r="J81" i="31"/>
  <c r="J79" i="31"/>
  <c r="I95" i="31"/>
  <c r="I94" i="31"/>
  <c r="I93" i="31"/>
  <c r="I91" i="31"/>
  <c r="I87" i="31"/>
  <c r="I85" i="31"/>
  <c r="I86" i="31" s="1"/>
  <c r="I89" i="31"/>
  <c r="I84" i="31"/>
  <c r="I82" i="31"/>
  <c r="I81" i="31"/>
  <c r="M77" i="31"/>
  <c r="L77" i="31"/>
  <c r="I77" i="31"/>
  <c r="H77" i="31"/>
  <c r="G77" i="31"/>
  <c r="F77" i="31"/>
  <c r="M111" i="31"/>
  <c r="M113" i="31"/>
  <c r="M119" i="31"/>
  <c r="M118" i="31"/>
  <c r="M117" i="31"/>
  <c r="M116" i="31"/>
  <c r="M115" i="31"/>
  <c r="L119" i="31"/>
  <c r="L118" i="31"/>
  <c r="L117" i="31"/>
  <c r="L116" i="31"/>
  <c r="L115" i="31"/>
  <c r="L111" i="31"/>
  <c r="L113" i="31"/>
  <c r="K119" i="31"/>
  <c r="K118" i="31"/>
  <c r="K117" i="31"/>
  <c r="K116" i="31"/>
  <c r="K115" i="31"/>
  <c r="K111" i="31"/>
  <c r="K113" i="31"/>
  <c r="J119" i="31"/>
  <c r="J118" i="31"/>
  <c r="J117" i="31"/>
  <c r="J116" i="31"/>
  <c r="J115" i="31"/>
  <c r="J111" i="31"/>
  <c r="J113" i="31"/>
  <c r="I119" i="31"/>
  <c r="I118" i="31"/>
  <c r="I117" i="31"/>
  <c r="I116" i="31"/>
  <c r="I115" i="31"/>
  <c r="I111" i="31"/>
  <c r="I113" i="31"/>
  <c r="I108" i="31"/>
  <c r="I103" i="31"/>
  <c r="I101" i="31"/>
  <c r="J99" i="31"/>
  <c r="J101" i="31" s="1"/>
  <c r="J103" i="31" s="1"/>
  <c r="K99" i="31"/>
  <c r="L101" i="31" s="1"/>
  <c r="L99" i="31"/>
  <c r="M99" i="31"/>
  <c r="N99" i="31"/>
  <c r="M63" i="31"/>
  <c r="M61" i="31"/>
  <c r="K63" i="31"/>
  <c r="K61" i="31"/>
  <c r="K62" i="31" s="1"/>
  <c r="L63" i="31"/>
  <c r="L61" i="31"/>
  <c r="L62" i="31" s="1"/>
  <c r="K65" i="31"/>
  <c r="K60" i="31"/>
  <c r="K57" i="31"/>
  <c r="K55" i="31"/>
  <c r="M53" i="31"/>
  <c r="L53" i="31"/>
  <c r="K53" i="31"/>
  <c r="J63" i="31"/>
  <c r="I63" i="31"/>
  <c r="I61" i="31"/>
  <c r="J55" i="31"/>
  <c r="J61" i="31"/>
  <c r="J68" i="31" s="1"/>
  <c r="J71" i="31"/>
  <c r="J70" i="31"/>
  <c r="J69" i="31"/>
  <c r="J67" i="31"/>
  <c r="J65" i="31"/>
  <c r="I65" i="31"/>
  <c r="I60" i="31"/>
  <c r="J60" i="31"/>
  <c r="J57" i="31"/>
  <c r="I57" i="31"/>
  <c r="I55" i="31"/>
  <c r="J53" i="31"/>
  <c r="I53" i="31"/>
  <c r="M39" i="31"/>
  <c r="M41" i="31"/>
  <c r="M38" i="31"/>
  <c r="M36" i="31"/>
  <c r="M33" i="31"/>
  <c r="M31" i="31"/>
  <c r="M29" i="31"/>
  <c r="L39" i="31"/>
  <c r="L29" i="31"/>
  <c r="K39" i="31"/>
  <c r="K37" i="31"/>
  <c r="K38" i="31" s="1"/>
  <c r="K41" i="31"/>
  <c r="K36" i="31"/>
  <c r="K33" i="31"/>
  <c r="K31" i="31"/>
  <c r="K29" i="31"/>
  <c r="J47" i="31"/>
  <c r="I47" i="31"/>
  <c r="J46" i="31"/>
  <c r="I46" i="31"/>
  <c r="J45" i="31"/>
  <c r="I45" i="31"/>
  <c r="J43" i="31"/>
  <c r="I43" i="31"/>
  <c r="J37" i="31"/>
  <c r="J44" i="31" s="1"/>
  <c r="I37" i="31"/>
  <c r="I38" i="31" s="1"/>
  <c r="J41" i="31"/>
  <c r="I41" i="31"/>
  <c r="J39" i="31"/>
  <c r="I39" i="31"/>
  <c r="J36" i="31"/>
  <c r="I36" i="31"/>
  <c r="J33" i="31"/>
  <c r="I33" i="31"/>
  <c r="J31" i="31"/>
  <c r="J29" i="31"/>
  <c r="I29" i="31"/>
  <c r="J75" i="31"/>
  <c r="J77" i="31" s="1"/>
  <c r="K75" i="31"/>
  <c r="L75" i="31"/>
  <c r="M75" i="31"/>
  <c r="N75" i="31"/>
  <c r="J51" i="31"/>
  <c r="K51" i="31"/>
  <c r="L51" i="31"/>
  <c r="M51" i="31"/>
  <c r="N51" i="31"/>
  <c r="N53" i="31" s="1"/>
  <c r="J27" i="31"/>
  <c r="K27" i="31"/>
  <c r="L27" i="31"/>
  <c r="M27" i="31"/>
  <c r="N27" i="31"/>
  <c r="N47" i="31" s="1"/>
  <c r="J3" i="31"/>
  <c r="K3" i="31"/>
  <c r="L3" i="31"/>
  <c r="M3" i="31"/>
  <c r="N3" i="31"/>
  <c r="I99" i="31"/>
  <c r="I75" i="31"/>
  <c r="I51" i="31"/>
  <c r="I27" i="31"/>
  <c r="I3" i="31"/>
  <c r="K3159" i="11"/>
  <c r="D3161" i="11"/>
  <c r="C3161" i="11"/>
  <c r="D3135" i="11"/>
  <c r="C3135" i="11"/>
  <c r="A100" i="39" l="1"/>
  <c r="A171" i="39"/>
  <c r="C2102" i="11"/>
  <c r="D2102" i="11"/>
  <c r="B2103" i="11"/>
  <c r="C833" i="11"/>
  <c r="D833" i="11"/>
  <c r="B834" i="11"/>
  <c r="J38" i="31"/>
  <c r="I92" i="31"/>
  <c r="K86" i="31"/>
  <c r="J86" i="31"/>
  <c r="J62" i="31"/>
  <c r="N101" i="31"/>
  <c r="N77" i="31"/>
  <c r="K77" i="31"/>
  <c r="I44" i="31"/>
  <c r="K101" i="31"/>
  <c r="M101" i="31"/>
  <c r="N55" i="31"/>
  <c r="M55" i="31"/>
  <c r="K71" i="31"/>
  <c r="I68" i="31"/>
  <c r="N45" i="31"/>
  <c r="N43" i="31"/>
  <c r="N46" i="31"/>
  <c r="N44" i="31"/>
  <c r="M43" i="31"/>
  <c r="L31" i="31"/>
  <c r="K46" i="31"/>
  <c r="A101" i="39" l="1"/>
  <c r="A172" i="39"/>
  <c r="C2103" i="11"/>
  <c r="D2103" i="11"/>
  <c r="B2104" i="11"/>
  <c r="D834" i="11"/>
  <c r="C834" i="11"/>
  <c r="B835" i="11"/>
  <c r="M95" i="31"/>
  <c r="M94" i="31"/>
  <c r="M93" i="31"/>
  <c r="M91" i="31"/>
  <c r="K103" i="31"/>
  <c r="K105" i="31" s="1"/>
  <c r="M103" i="31"/>
  <c r="N103" i="31"/>
  <c r="L103" i="31"/>
  <c r="J105" i="31"/>
  <c r="I105" i="31"/>
  <c r="N57" i="31"/>
  <c r="L55" i="31"/>
  <c r="K68" i="31"/>
  <c r="K69" i="31"/>
  <c r="K67" i="31"/>
  <c r="K70" i="31"/>
  <c r="I62" i="31"/>
  <c r="M47" i="31"/>
  <c r="M45" i="31"/>
  <c r="M44" i="31"/>
  <c r="M46" i="31"/>
  <c r="L33" i="31"/>
  <c r="L36" i="31" s="1"/>
  <c r="K43" i="31"/>
  <c r="K47" i="31"/>
  <c r="K45" i="31"/>
  <c r="K44" i="31"/>
  <c r="D1557" i="11"/>
  <c r="C1557" i="11"/>
  <c r="D1439" i="11"/>
  <c r="C1439" i="11"/>
  <c r="D3129" i="11"/>
  <c r="C3129" i="11"/>
  <c r="A102" i="39" l="1"/>
  <c r="A173" i="39"/>
  <c r="C2104" i="11"/>
  <c r="D2104" i="11"/>
  <c r="B2105" i="11"/>
  <c r="B836" i="11"/>
  <c r="D835" i="11"/>
  <c r="C835" i="11"/>
  <c r="K108" i="31"/>
  <c r="L105" i="31"/>
  <c r="N105" i="31"/>
  <c r="J108" i="31"/>
  <c r="M105" i="31"/>
  <c r="I110" i="31"/>
  <c r="L57" i="31"/>
  <c r="M57" i="31"/>
  <c r="N60" i="31" s="1"/>
  <c r="N62" i="31" s="1"/>
  <c r="I71" i="31"/>
  <c r="I69" i="31"/>
  <c r="I70" i="31"/>
  <c r="I67" i="31"/>
  <c r="L44" i="31"/>
  <c r="L38" i="31"/>
  <c r="L41" i="31" s="1"/>
  <c r="L45" i="31" s="1"/>
  <c r="CG121" i="10"/>
  <c r="A103" i="39" l="1"/>
  <c r="A174" i="39"/>
  <c r="C2105" i="11"/>
  <c r="B2106" i="11"/>
  <c r="D2105" i="11"/>
  <c r="B837" i="11"/>
  <c r="C836" i="11"/>
  <c r="D836" i="11"/>
  <c r="J110" i="31"/>
  <c r="M108" i="31"/>
  <c r="L108" i="31"/>
  <c r="K110" i="31"/>
  <c r="N108" i="31"/>
  <c r="N68" i="31"/>
  <c r="M60" i="31"/>
  <c r="M62" i="31" s="1"/>
  <c r="L60" i="31"/>
  <c r="L47" i="31"/>
  <c r="L43" i="31"/>
  <c r="L46" i="31"/>
  <c r="CG122" i="10"/>
  <c r="A104" i="39" l="1"/>
  <c r="A175" i="39"/>
  <c r="C2106" i="11"/>
  <c r="D2106" i="11"/>
  <c r="B2107" i="11"/>
  <c r="B838" i="11"/>
  <c r="C837" i="11"/>
  <c r="D837" i="11"/>
  <c r="L110" i="31"/>
  <c r="M110" i="31"/>
  <c r="N110" i="31"/>
  <c r="N111" i="31" s="1"/>
  <c r="L68" i="31"/>
  <c r="N65" i="31"/>
  <c r="M68" i="31"/>
  <c r="CG4" i="10"/>
  <c r="CG314" i="10"/>
  <c r="CG313" i="10"/>
  <c r="CG312" i="10"/>
  <c r="CG311" i="10"/>
  <c r="CG310" i="10"/>
  <c r="CG309" i="10"/>
  <c r="CG308" i="10"/>
  <c r="CG307" i="10"/>
  <c r="CG306" i="10"/>
  <c r="CG305" i="10"/>
  <c r="CG304" i="10"/>
  <c r="CG303" i="10"/>
  <c r="CG302" i="10"/>
  <c r="CG301" i="10"/>
  <c r="CG300" i="10"/>
  <c r="CG299" i="10"/>
  <c r="CG298" i="10"/>
  <c r="CG297" i="10"/>
  <c r="CG296" i="10"/>
  <c r="CG295" i="10"/>
  <c r="CG294" i="10"/>
  <c r="CG293" i="10"/>
  <c r="CG292" i="10"/>
  <c r="CG291" i="10"/>
  <c r="CG290" i="10"/>
  <c r="CG289" i="10"/>
  <c r="CG288" i="10"/>
  <c r="CG287" i="10"/>
  <c r="CG286" i="10"/>
  <c r="CG285" i="10"/>
  <c r="CG284" i="10"/>
  <c r="CG283" i="10"/>
  <c r="CG282" i="10"/>
  <c r="CG281" i="10"/>
  <c r="CG280" i="10"/>
  <c r="CG279" i="10"/>
  <c r="CG278" i="10"/>
  <c r="CG277" i="10"/>
  <c r="CG276" i="10"/>
  <c r="CG275" i="10"/>
  <c r="CG274" i="10"/>
  <c r="CG273" i="10"/>
  <c r="CG272" i="10"/>
  <c r="CG271" i="10"/>
  <c r="CG270" i="10"/>
  <c r="CG269" i="10"/>
  <c r="CG268" i="10"/>
  <c r="CG267" i="10"/>
  <c r="CG266" i="10"/>
  <c r="CG265" i="10"/>
  <c r="CG264" i="10"/>
  <c r="CG263" i="10"/>
  <c r="CG262" i="10"/>
  <c r="CG261" i="10"/>
  <c r="CG260" i="10"/>
  <c r="CG259" i="10"/>
  <c r="CG258" i="10"/>
  <c r="CG257" i="10"/>
  <c r="CG256" i="10"/>
  <c r="CG255" i="10"/>
  <c r="CG254" i="10"/>
  <c r="CG253" i="10"/>
  <c r="CG252" i="10"/>
  <c r="CG251" i="10"/>
  <c r="CG250" i="10"/>
  <c r="CG249" i="10"/>
  <c r="CG248" i="10"/>
  <c r="CG247" i="10"/>
  <c r="CG246" i="10"/>
  <c r="CG245" i="10"/>
  <c r="CG244" i="10"/>
  <c r="CG243" i="10"/>
  <c r="CG242" i="10"/>
  <c r="CG241" i="10"/>
  <c r="CG240" i="10"/>
  <c r="CG239" i="10"/>
  <c r="CG238" i="10"/>
  <c r="CG237" i="10"/>
  <c r="CG236" i="10"/>
  <c r="CG235" i="10"/>
  <c r="CG234" i="10"/>
  <c r="CG233" i="10"/>
  <c r="CG232" i="10"/>
  <c r="CG231" i="10"/>
  <c r="CG230" i="10"/>
  <c r="CG229" i="10"/>
  <c r="CG228" i="10"/>
  <c r="CG227" i="10"/>
  <c r="CG226" i="10"/>
  <c r="CG225" i="10"/>
  <c r="CG224" i="10"/>
  <c r="CG223" i="10"/>
  <c r="CG222" i="10"/>
  <c r="CG221" i="10"/>
  <c r="CG220" i="10"/>
  <c r="CG219" i="10"/>
  <c r="CG218" i="10"/>
  <c r="CG217" i="10"/>
  <c r="CG216" i="10"/>
  <c r="CG215" i="10"/>
  <c r="CG214" i="10"/>
  <c r="CG213" i="10"/>
  <c r="CG212" i="10"/>
  <c r="CG211" i="10"/>
  <c r="CG210" i="10"/>
  <c r="CG209" i="10"/>
  <c r="CG208" i="10"/>
  <c r="CG207" i="10"/>
  <c r="CG206" i="10"/>
  <c r="CG205" i="10"/>
  <c r="CG204" i="10"/>
  <c r="CG203" i="10"/>
  <c r="CG202" i="10"/>
  <c r="CG201" i="10"/>
  <c r="CG200" i="10"/>
  <c r="CG199" i="10"/>
  <c r="CG198" i="10"/>
  <c r="CG197" i="10"/>
  <c r="CG196" i="10"/>
  <c r="CG195" i="10"/>
  <c r="CG194" i="10"/>
  <c r="CG193" i="10"/>
  <c r="CG192" i="10"/>
  <c r="CG191" i="10"/>
  <c r="CG190" i="10"/>
  <c r="CG189" i="10"/>
  <c r="CG188" i="10"/>
  <c r="CG187" i="10"/>
  <c r="CG186" i="10"/>
  <c r="CG185" i="10"/>
  <c r="CG184" i="10"/>
  <c r="CG183" i="10"/>
  <c r="CG182" i="10"/>
  <c r="CG181" i="10"/>
  <c r="CG180" i="10"/>
  <c r="CG179" i="10"/>
  <c r="CG178" i="10"/>
  <c r="CG177" i="10"/>
  <c r="CG176" i="10"/>
  <c r="CG175" i="10"/>
  <c r="CG174" i="10"/>
  <c r="CG173" i="10"/>
  <c r="CG172" i="10"/>
  <c r="CG171" i="10"/>
  <c r="CG170" i="10"/>
  <c r="CG169" i="10"/>
  <c r="CG168" i="10"/>
  <c r="CG167" i="10"/>
  <c r="CG166" i="10"/>
  <c r="CG165" i="10"/>
  <c r="CG164" i="10"/>
  <c r="CG163" i="10"/>
  <c r="CG162" i="10"/>
  <c r="CG161" i="10"/>
  <c r="CG160" i="10"/>
  <c r="CG159" i="10"/>
  <c r="CG158" i="10"/>
  <c r="CG157" i="10"/>
  <c r="CG156" i="10"/>
  <c r="CG155" i="10"/>
  <c r="CG154" i="10"/>
  <c r="CG153" i="10"/>
  <c r="CG152" i="10"/>
  <c r="CG151" i="10"/>
  <c r="CG150" i="10"/>
  <c r="CG149" i="10"/>
  <c r="CG148" i="10"/>
  <c r="CG147" i="10"/>
  <c r="CG146" i="10"/>
  <c r="CG145" i="10"/>
  <c r="CG144" i="10"/>
  <c r="CG143" i="10"/>
  <c r="CG142" i="10"/>
  <c r="CG141" i="10"/>
  <c r="CG140" i="10"/>
  <c r="CG139" i="10"/>
  <c r="CG138" i="10"/>
  <c r="CG137" i="10"/>
  <c r="CG136" i="10"/>
  <c r="CG135" i="10"/>
  <c r="CG134" i="10"/>
  <c r="CG133" i="10"/>
  <c r="CG132" i="10"/>
  <c r="CG130" i="10"/>
  <c r="CG129" i="10"/>
  <c r="CG128" i="10"/>
  <c r="CG127" i="10"/>
  <c r="CG126" i="10"/>
  <c r="CG124" i="10"/>
  <c r="CG119" i="10"/>
  <c r="CG115" i="10"/>
  <c r="CG114" i="10"/>
  <c r="CG113" i="10"/>
  <c r="CG112" i="10"/>
  <c r="CG109" i="10"/>
  <c r="CG108" i="10"/>
  <c r="CG107" i="10"/>
  <c r="CG106" i="10"/>
  <c r="CG105" i="10"/>
  <c r="CG103" i="10"/>
  <c r="CG101" i="10"/>
  <c r="CG100" i="10"/>
  <c r="CG99" i="10"/>
  <c r="CG97" i="10"/>
  <c r="CG96" i="10"/>
  <c r="CG95" i="10"/>
  <c r="CG94" i="10"/>
  <c r="CG93" i="10"/>
  <c r="CG92" i="10"/>
  <c r="CG90" i="10"/>
  <c r="CG89" i="10"/>
  <c r="CG88" i="10"/>
  <c r="CG87" i="10"/>
  <c r="CG86" i="10"/>
  <c r="CG84" i="10"/>
  <c r="CG83" i="10"/>
  <c r="CG82" i="10"/>
  <c r="CG80" i="10"/>
  <c r="CG79" i="10"/>
  <c r="CG78" i="10"/>
  <c r="CG77" i="10"/>
  <c r="CG75" i="10"/>
  <c r="CG74" i="10"/>
  <c r="CG73" i="10"/>
  <c r="CG72" i="10"/>
  <c r="CG71" i="10"/>
  <c r="CG70" i="10"/>
  <c r="CG69" i="10"/>
  <c r="CG68" i="10"/>
  <c r="CG67" i="10"/>
  <c r="CG66" i="10"/>
  <c r="CG63" i="10"/>
  <c r="CG62" i="10"/>
  <c r="CG61" i="10"/>
  <c r="CG60" i="10"/>
  <c r="CG59" i="10"/>
  <c r="CG57" i="10"/>
  <c r="CG56" i="10"/>
  <c r="CG55" i="10"/>
  <c r="CG54" i="10"/>
  <c r="CG53" i="10"/>
  <c r="CG52" i="10"/>
  <c r="CG51" i="10"/>
  <c r="CG50" i="10"/>
  <c r="CG49" i="10"/>
  <c r="CG48" i="10"/>
  <c r="CG47" i="10"/>
  <c r="CG46" i="10"/>
  <c r="CG45" i="10"/>
  <c r="CG44" i="10"/>
  <c r="CG43" i="10"/>
  <c r="CG41" i="10"/>
  <c r="CG40" i="10"/>
  <c r="CG37" i="10"/>
  <c r="CG36" i="10"/>
  <c r="CG33" i="10"/>
  <c r="CG32" i="10"/>
  <c r="CG31" i="10"/>
  <c r="CG30" i="10"/>
  <c r="CG29" i="10"/>
  <c r="CG28" i="10"/>
  <c r="CG27" i="10"/>
  <c r="CG26" i="10"/>
  <c r="CG25" i="10"/>
  <c r="CG24" i="10"/>
  <c r="CG23" i="10"/>
  <c r="CG22" i="10"/>
  <c r="CG21" i="10"/>
  <c r="CG20" i="10"/>
  <c r="CG19" i="10"/>
  <c r="CG18" i="10"/>
  <c r="CG17" i="10"/>
  <c r="CG16" i="10"/>
  <c r="CG15" i="10"/>
  <c r="CG14" i="10"/>
  <c r="CG13" i="10"/>
  <c r="CG12" i="10"/>
  <c r="CG11" i="10"/>
  <c r="CG10" i="10"/>
  <c r="CG9" i="10"/>
  <c r="CG8" i="10"/>
  <c r="CG7" i="10"/>
  <c r="CE131" i="10"/>
  <c r="CE116" i="10"/>
  <c r="CE110" i="10"/>
  <c r="CE98" i="10"/>
  <c r="CE102" i="10" s="1"/>
  <c r="CE104" i="10" s="1"/>
  <c r="CE81" i="10"/>
  <c r="CE58" i="10"/>
  <c r="CE42" i="10"/>
  <c r="CE39" i="10"/>
  <c r="CE35" i="10"/>
  <c r="CE6" i="10"/>
  <c r="CD131" i="10"/>
  <c r="CD116" i="10"/>
  <c r="CD110" i="10"/>
  <c r="CD98" i="10"/>
  <c r="CD102" i="10" s="1"/>
  <c r="CD104" i="10" s="1"/>
  <c r="CD81" i="10"/>
  <c r="CD58" i="10"/>
  <c r="CD42" i="10"/>
  <c r="CD39" i="10"/>
  <c r="CD35" i="10"/>
  <c r="CD6" i="10"/>
  <c r="CC131" i="10"/>
  <c r="CC116" i="10"/>
  <c r="CC110" i="10"/>
  <c r="CC98" i="10"/>
  <c r="CC102" i="10" s="1"/>
  <c r="CC104" i="10" s="1"/>
  <c r="CC81" i="10"/>
  <c r="CC58" i="10"/>
  <c r="CC42" i="10"/>
  <c r="CC39" i="10"/>
  <c r="CC35" i="10"/>
  <c r="CC6" i="10"/>
  <c r="CB131" i="10"/>
  <c r="CB116" i="10"/>
  <c r="CB110" i="10"/>
  <c r="CB98" i="10"/>
  <c r="CB102" i="10" s="1"/>
  <c r="CB104" i="10" s="1"/>
  <c r="CB81" i="10"/>
  <c r="CB58" i="10"/>
  <c r="CB42" i="10"/>
  <c r="CB39" i="10"/>
  <c r="CB35" i="10"/>
  <c r="CB6" i="10"/>
  <c r="CA131" i="10"/>
  <c r="CA116" i="10"/>
  <c r="CA110" i="10"/>
  <c r="CA98" i="10"/>
  <c r="CA102" i="10" s="1"/>
  <c r="CA104" i="10" s="1"/>
  <c r="CA81" i="10"/>
  <c r="CA58" i="10"/>
  <c r="CA42" i="10"/>
  <c r="CA39" i="10"/>
  <c r="CA35" i="10"/>
  <c r="CA6" i="10"/>
  <c r="BZ131" i="10"/>
  <c r="BZ116" i="10"/>
  <c r="BZ110" i="10"/>
  <c r="BZ98" i="10"/>
  <c r="BZ102" i="10" s="1"/>
  <c r="BZ104" i="10" s="1"/>
  <c r="BZ81" i="10"/>
  <c r="BZ58" i="10"/>
  <c r="BZ42" i="10"/>
  <c r="BZ39" i="10"/>
  <c r="BZ35" i="10"/>
  <c r="BZ6" i="10"/>
  <c r="BY131" i="10"/>
  <c r="BY116" i="10"/>
  <c r="BY110" i="10"/>
  <c r="BY98" i="10"/>
  <c r="BY102" i="10" s="1"/>
  <c r="BY104" i="10" s="1"/>
  <c r="BY81" i="10"/>
  <c r="BY58" i="10"/>
  <c r="BY42" i="10"/>
  <c r="BY39" i="10"/>
  <c r="BY35" i="10"/>
  <c r="BY6" i="10"/>
  <c r="BX131" i="10"/>
  <c r="BX116" i="10"/>
  <c r="BX110" i="10"/>
  <c r="BX98" i="10"/>
  <c r="BX102" i="10" s="1"/>
  <c r="BX104" i="10" s="1"/>
  <c r="BX81" i="10"/>
  <c r="BX58" i="10"/>
  <c r="BX42" i="10"/>
  <c r="BX39" i="10"/>
  <c r="BX35" i="10"/>
  <c r="BX6" i="10"/>
  <c r="BU76" i="10"/>
  <c r="BU65" i="10" s="1"/>
  <c r="BW131" i="10"/>
  <c r="BW116" i="10"/>
  <c r="BW110" i="10"/>
  <c r="BW98" i="10"/>
  <c r="BW102" i="10" s="1"/>
  <c r="BW104" i="10" s="1"/>
  <c r="BW81" i="10"/>
  <c r="BW58" i="10"/>
  <c r="BW42" i="10"/>
  <c r="BW39" i="10"/>
  <c r="BW35" i="10"/>
  <c r="BW6" i="10"/>
  <c r="BV116" i="10"/>
  <c r="BU116" i="10"/>
  <c r="BV110" i="10"/>
  <c r="BU110" i="10"/>
  <c r="BV98" i="10"/>
  <c r="BV102" i="10" s="1"/>
  <c r="BV104" i="10" s="1"/>
  <c r="BU98" i="10"/>
  <c r="BU102" i="10" s="1"/>
  <c r="BU104" i="10" s="1"/>
  <c r="BV81" i="10"/>
  <c r="BU81" i="10"/>
  <c r="BV58" i="10"/>
  <c r="BU58" i="10"/>
  <c r="BV42" i="10"/>
  <c r="BU42" i="10"/>
  <c r="BV39" i="10"/>
  <c r="BU39" i="10"/>
  <c r="BV35" i="10"/>
  <c r="BU35" i="10"/>
  <c r="BV6" i="10"/>
  <c r="BU6" i="10"/>
  <c r="A105" i="39" l="1"/>
  <c r="A176" i="39"/>
  <c r="B2108" i="11"/>
  <c r="C2107" i="11"/>
  <c r="D2107" i="11"/>
  <c r="D838" i="11"/>
  <c r="C838" i="11"/>
  <c r="B839" i="11"/>
  <c r="M65" i="31"/>
  <c r="N67" i="31"/>
  <c r="N69" i="31"/>
  <c r="N70" i="31"/>
  <c r="N71" i="31"/>
  <c r="L65" i="31"/>
  <c r="CE111" i="10"/>
  <c r="CE118" i="10" s="1"/>
  <c r="CE120" i="10" s="1"/>
  <c r="CE123" i="10" s="1"/>
  <c r="CE125" i="10" s="1"/>
  <c r="CG39" i="10"/>
  <c r="CG131" i="10"/>
  <c r="CG35" i="10"/>
  <c r="CG116" i="10"/>
  <c r="BZ111" i="10"/>
  <c r="BZ118" i="10" s="1"/>
  <c r="BZ120" i="10" s="1"/>
  <c r="BZ123" i="10" s="1"/>
  <c r="BZ125" i="10" s="1"/>
  <c r="CD111" i="10"/>
  <c r="CD118" i="10" s="1"/>
  <c r="CD120" i="10" s="1"/>
  <c r="CD123" i="10" s="1"/>
  <c r="CD125" i="10" s="1"/>
  <c r="CG81" i="10"/>
  <c r="CG98" i="10"/>
  <c r="CG102" i="10" s="1"/>
  <c r="CG104" i="10" s="1"/>
  <c r="CG110" i="10"/>
  <c r="CG58" i="10"/>
  <c r="CG6" i="10"/>
  <c r="CG42" i="10"/>
  <c r="CB111" i="10"/>
  <c r="CB118" i="10" s="1"/>
  <c r="CB120" i="10" s="1"/>
  <c r="CB123" i="10" s="1"/>
  <c r="CB125" i="10" s="1"/>
  <c r="CE34" i="10"/>
  <c r="CE5" i="10" s="1"/>
  <c r="BY111" i="10"/>
  <c r="BY118" i="10" s="1"/>
  <c r="BY120" i="10" s="1"/>
  <c r="BY123" i="10" s="1"/>
  <c r="BY125" i="10" s="1"/>
  <c r="CC111" i="10"/>
  <c r="CC118" i="10" s="1"/>
  <c r="CC120" i="10" s="1"/>
  <c r="CC123" i="10" s="1"/>
  <c r="CC125" i="10" s="1"/>
  <c r="CA111" i="10"/>
  <c r="CA118" i="10" s="1"/>
  <c r="CA120" i="10" s="1"/>
  <c r="CA123" i="10" s="1"/>
  <c r="CA125" i="10" s="1"/>
  <c r="CD34" i="10"/>
  <c r="CD5" i="10" s="1"/>
  <c r="CC34" i="10"/>
  <c r="CC5" i="10" s="1"/>
  <c r="CB34" i="10"/>
  <c r="CB5" i="10" s="1"/>
  <c r="BX111" i="10"/>
  <c r="BX118" i="10" s="1"/>
  <c r="BX120" i="10" s="1"/>
  <c r="BX123" i="10" s="1"/>
  <c r="BX125" i="10" s="1"/>
  <c r="CA34" i="10"/>
  <c r="CA5" i="10" s="1"/>
  <c r="BV76" i="10"/>
  <c r="BV65" i="10" s="1"/>
  <c r="BZ34" i="10"/>
  <c r="BZ5" i="10" s="1"/>
  <c r="BW111" i="10"/>
  <c r="BW118" i="10" s="1"/>
  <c r="BW120" i="10" s="1"/>
  <c r="BW123" i="10" s="1"/>
  <c r="BW125" i="10" s="1"/>
  <c r="BY34" i="10"/>
  <c r="BY5" i="10" s="1"/>
  <c r="BX34" i="10"/>
  <c r="BX5" i="10" s="1"/>
  <c r="BU111" i="10"/>
  <c r="BU118" i="10" s="1"/>
  <c r="BU120" i="10" s="1"/>
  <c r="BU123" i="10" s="1"/>
  <c r="BU125" i="10" s="1"/>
  <c r="BW34" i="10"/>
  <c r="BW5" i="10" s="1"/>
  <c r="BV111" i="10"/>
  <c r="BV118" i="10" s="1"/>
  <c r="BV120" i="10" s="1"/>
  <c r="BV123" i="10" s="1"/>
  <c r="BV125" i="10" s="1"/>
  <c r="BU34" i="10"/>
  <c r="BU5" i="10" s="1"/>
  <c r="BV34" i="10"/>
  <c r="BV5" i="10" s="1"/>
  <c r="A106" i="39" l="1"/>
  <c r="A177" i="39"/>
  <c r="D2108" i="11"/>
  <c r="B2109" i="11"/>
  <c r="C2108" i="11"/>
  <c r="D839" i="11"/>
  <c r="C839" i="11"/>
  <c r="B840" i="11"/>
  <c r="L70" i="31"/>
  <c r="L71" i="31"/>
  <c r="L67" i="31"/>
  <c r="L69" i="31"/>
  <c r="M67" i="31"/>
  <c r="M70" i="31"/>
  <c r="M71" i="31"/>
  <c r="M69" i="31"/>
  <c r="CG34" i="10"/>
  <c r="CG5" i="10" s="1"/>
  <c r="CG111" i="10"/>
  <c r="CG118" i="10" s="1"/>
  <c r="CG120" i="10" s="1"/>
  <c r="CG125" i="10"/>
  <c r="CG123" i="10"/>
  <c r="BW76" i="10"/>
  <c r="BX76" i="10" s="1"/>
  <c r="BU91" i="10"/>
  <c r="A107" i="39" l="1"/>
  <c r="A178" i="39"/>
  <c r="B2110" i="11"/>
  <c r="C2109" i="11"/>
  <c r="D2109" i="11"/>
  <c r="C840" i="11"/>
  <c r="B841" i="11"/>
  <c r="D840" i="11"/>
  <c r="BW65" i="10"/>
  <c r="BX65" i="10"/>
  <c r="BY76" i="10"/>
  <c r="BU85" i="10"/>
  <c r="BU64" i="10" s="1"/>
  <c r="BV91" i="10"/>
  <c r="A108" i="39" l="1"/>
  <c r="A179" i="39"/>
  <c r="D2110" i="11"/>
  <c r="B2111" i="11"/>
  <c r="C2110" i="11"/>
  <c r="C841" i="11"/>
  <c r="D841" i="11"/>
  <c r="B842" i="11"/>
  <c r="BY65" i="10"/>
  <c r="BZ76" i="10"/>
  <c r="BV85" i="10"/>
  <c r="BV64" i="10" s="1"/>
  <c r="BW91" i="10"/>
  <c r="A109" i="39" l="1"/>
  <c r="A180" i="39"/>
  <c r="C2111" i="11"/>
  <c r="D2111" i="11"/>
  <c r="B2112" i="11"/>
  <c r="D842" i="11"/>
  <c r="C842" i="11"/>
  <c r="B843" i="11"/>
  <c r="BZ65" i="10"/>
  <c r="CA76" i="10"/>
  <c r="BX91" i="10"/>
  <c r="BW85" i="10"/>
  <c r="BW64" i="10" s="1"/>
  <c r="A110" i="39" l="1"/>
  <c r="A181" i="39"/>
  <c r="C2112" i="11"/>
  <c r="D2112" i="11"/>
  <c r="B2113" i="11"/>
  <c r="B2114" i="11" s="1"/>
  <c r="B2115" i="11" s="1"/>
  <c r="B2116" i="11" s="1"/>
  <c r="B2117" i="11" s="1"/>
  <c r="B2118" i="11" s="1"/>
  <c r="B2119" i="11" s="1"/>
  <c r="B2120" i="11" s="1"/>
  <c r="B2121" i="11" s="1"/>
  <c r="B2122" i="11" s="1"/>
  <c r="B2123" i="11" s="1"/>
  <c r="B2124" i="11" s="1"/>
  <c r="B2125" i="11" s="1"/>
  <c r="B2126" i="11" s="1"/>
  <c r="B844" i="11"/>
  <c r="D843" i="11"/>
  <c r="C843" i="11"/>
  <c r="CA65" i="10"/>
  <c r="CB76" i="10"/>
  <c r="BX85" i="10"/>
  <c r="BX64" i="10" s="1"/>
  <c r="BY91" i="10"/>
  <c r="D2126" i="11" l="1"/>
  <c r="C2126" i="11"/>
  <c r="D2125" i="11"/>
  <c r="C2125" i="11"/>
  <c r="D2124" i="11"/>
  <c r="C2124" i="11"/>
  <c r="D2123" i="11"/>
  <c r="C2123" i="11"/>
  <c r="D2122" i="11"/>
  <c r="C2122" i="11"/>
  <c r="D2121" i="11"/>
  <c r="C2121" i="11"/>
  <c r="A111" i="39"/>
  <c r="A182" i="39"/>
  <c r="D2120" i="11"/>
  <c r="C2120" i="11"/>
  <c r="D2119" i="11"/>
  <c r="C2119" i="11"/>
  <c r="D2118" i="11"/>
  <c r="C2118" i="11"/>
  <c r="D2117" i="11"/>
  <c r="C2117" i="11"/>
  <c r="D2116" i="11"/>
  <c r="C2116" i="11"/>
  <c r="D2115" i="11"/>
  <c r="C2115" i="11"/>
  <c r="D2114" i="11"/>
  <c r="C2114" i="11"/>
  <c r="C2113" i="11"/>
  <c r="D2113" i="11"/>
  <c r="B845" i="11"/>
  <c r="C844" i="11"/>
  <c r="D844" i="11"/>
  <c r="CB65" i="10"/>
  <c r="CC76" i="10"/>
  <c r="BY85" i="10"/>
  <c r="BY64" i="10" s="1"/>
  <c r="BZ91" i="10"/>
  <c r="A112" i="39" l="1"/>
  <c r="A183" i="39"/>
  <c r="B846" i="11"/>
  <c r="C845" i="11"/>
  <c r="D845" i="11"/>
  <c r="CC65" i="10"/>
  <c r="CD76" i="10"/>
  <c r="BZ85" i="10"/>
  <c r="BZ64" i="10" s="1"/>
  <c r="CA91" i="10"/>
  <c r="A113" i="39" l="1"/>
  <c r="A184" i="39"/>
  <c r="C846" i="11"/>
  <c r="D846" i="11"/>
  <c r="B847" i="11"/>
  <c r="CD65" i="10"/>
  <c r="CE76" i="10"/>
  <c r="CA85" i="10"/>
  <c r="CA64" i="10" s="1"/>
  <c r="CB91" i="10"/>
  <c r="A114" i="39" l="1"/>
  <c r="A185" i="39"/>
  <c r="C847" i="11"/>
  <c r="D847" i="11"/>
  <c r="B848" i="11"/>
  <c r="CE65" i="10"/>
  <c r="CB85" i="10"/>
  <c r="CB64" i="10" s="1"/>
  <c r="CC91" i="10"/>
  <c r="A115" i="39" l="1"/>
  <c r="A186" i="39"/>
  <c r="C848" i="11"/>
  <c r="B849" i="11"/>
  <c r="D848" i="11"/>
  <c r="CG76" i="10"/>
  <c r="CG65" i="10" s="1"/>
  <c r="CC85" i="10"/>
  <c r="CC64" i="10" s="1"/>
  <c r="CD91" i="10"/>
  <c r="A116" i="39" l="1"/>
  <c r="A187" i="39"/>
  <c r="C849" i="11"/>
  <c r="D849" i="11"/>
  <c r="B850" i="11"/>
  <c r="CD85" i="10"/>
  <c r="CD64" i="10" s="1"/>
  <c r="CE91" i="10"/>
  <c r="A117" i="39" l="1"/>
  <c r="A188" i="39"/>
  <c r="C850" i="11"/>
  <c r="B851" i="11"/>
  <c r="D850" i="11"/>
  <c r="CE85" i="10"/>
  <c r="CE64" i="10" s="1"/>
  <c r="A118" i="39" l="1"/>
  <c r="A189" i="39"/>
  <c r="D851" i="11"/>
  <c r="B852" i="11"/>
  <c r="C851" i="11"/>
  <c r="CG91" i="10"/>
  <c r="CG85" i="10" s="1"/>
  <c r="CG64" i="10" s="1"/>
  <c r="A119" i="39" l="1"/>
  <c r="A190" i="39"/>
  <c r="B853" i="11"/>
  <c r="C852" i="11"/>
  <c r="D852" i="11"/>
  <c r="D3128" i="11"/>
  <c r="C3128" i="11"/>
  <c r="D1556" i="11"/>
  <c r="C1556" i="11"/>
  <c r="D1438" i="11"/>
  <c r="C1438" i="11"/>
  <c r="A120" i="39" l="1"/>
  <c r="A191" i="39"/>
  <c r="B854" i="11"/>
  <c r="C853" i="11"/>
  <c r="D853" i="11"/>
  <c r="K2" i="36"/>
  <c r="L2" i="36" s="1"/>
  <c r="G1" i="36"/>
  <c r="F1" i="36"/>
  <c r="A121" i="39" l="1"/>
  <c r="A192" i="39"/>
  <c r="C854" i="11"/>
  <c r="D854" i="11"/>
  <c r="B855" i="11"/>
  <c r="BO76" i="10"/>
  <c r="BT4" i="10"/>
  <c r="BT130" i="10"/>
  <c r="BT129" i="10"/>
  <c r="BT128" i="10"/>
  <c r="BT127" i="10"/>
  <c r="BT126" i="10"/>
  <c r="BT124" i="10"/>
  <c r="BT314" i="10"/>
  <c r="BT313" i="10"/>
  <c r="BT312" i="10"/>
  <c r="BT311" i="10"/>
  <c r="BT310" i="10"/>
  <c r="BT309" i="10"/>
  <c r="BT308" i="10"/>
  <c r="BT307" i="10"/>
  <c r="BT306" i="10"/>
  <c r="BT305" i="10"/>
  <c r="BT304" i="10"/>
  <c r="BT303" i="10"/>
  <c r="BT302" i="10"/>
  <c r="BT301" i="10"/>
  <c r="BT300" i="10"/>
  <c r="BT299" i="10"/>
  <c r="BT298" i="10"/>
  <c r="BT297" i="10"/>
  <c r="BT296" i="10"/>
  <c r="BT295" i="10"/>
  <c r="BT294" i="10"/>
  <c r="BT293" i="10"/>
  <c r="BT292" i="10"/>
  <c r="BT291" i="10"/>
  <c r="BT290" i="10"/>
  <c r="BT289" i="10"/>
  <c r="BT288" i="10"/>
  <c r="BT287" i="10"/>
  <c r="BT286" i="10"/>
  <c r="BT285" i="10"/>
  <c r="BT284" i="10"/>
  <c r="BT283" i="10"/>
  <c r="BT282" i="10"/>
  <c r="BT281" i="10"/>
  <c r="BT280" i="10"/>
  <c r="BT279" i="10"/>
  <c r="BT278" i="10"/>
  <c r="BT277" i="10"/>
  <c r="BT276" i="10"/>
  <c r="BT275" i="10"/>
  <c r="BT274" i="10"/>
  <c r="BT273" i="10"/>
  <c r="BT272" i="10"/>
  <c r="BT271" i="10"/>
  <c r="BT270" i="10"/>
  <c r="BT269" i="10"/>
  <c r="BT268" i="10"/>
  <c r="BT267" i="10"/>
  <c r="BT266" i="10"/>
  <c r="BT265" i="10"/>
  <c r="BT264" i="10"/>
  <c r="BT263" i="10"/>
  <c r="BT262" i="10"/>
  <c r="BT261" i="10"/>
  <c r="BT260" i="10"/>
  <c r="BT259" i="10"/>
  <c r="BT258" i="10"/>
  <c r="BT257" i="10"/>
  <c r="BT256" i="10"/>
  <c r="BT255" i="10"/>
  <c r="BT254" i="10"/>
  <c r="BT253" i="10"/>
  <c r="BT252" i="10"/>
  <c r="BT251" i="10"/>
  <c r="BT250" i="10"/>
  <c r="BT249" i="10"/>
  <c r="BT248" i="10"/>
  <c r="BT247" i="10"/>
  <c r="BT246" i="10"/>
  <c r="BT245" i="10"/>
  <c r="BT244" i="10"/>
  <c r="BT243" i="10"/>
  <c r="BT242" i="10"/>
  <c r="BT241" i="10"/>
  <c r="BT240" i="10"/>
  <c r="BT239" i="10"/>
  <c r="BT238" i="10"/>
  <c r="BT237" i="10"/>
  <c r="BT236" i="10"/>
  <c r="BT235" i="10"/>
  <c r="BT234" i="10"/>
  <c r="BT233" i="10"/>
  <c r="BT232" i="10"/>
  <c r="BT231" i="10"/>
  <c r="BT230" i="10"/>
  <c r="BT229" i="10"/>
  <c r="BT228" i="10"/>
  <c r="BT227" i="10"/>
  <c r="BT226" i="10"/>
  <c r="BT225" i="10"/>
  <c r="BT224" i="10"/>
  <c r="BT223" i="10"/>
  <c r="BT222" i="10"/>
  <c r="BT221" i="10"/>
  <c r="BT220" i="10"/>
  <c r="BT219" i="10"/>
  <c r="BT218" i="10"/>
  <c r="BT217" i="10"/>
  <c r="BT216" i="10"/>
  <c r="BT215" i="10"/>
  <c r="BT214" i="10"/>
  <c r="BT213" i="10"/>
  <c r="BT212" i="10"/>
  <c r="BT211" i="10"/>
  <c r="BT210" i="10"/>
  <c r="BT209" i="10"/>
  <c r="BT208" i="10"/>
  <c r="BT207" i="10"/>
  <c r="BT206" i="10"/>
  <c r="BT205" i="10"/>
  <c r="BT204" i="10"/>
  <c r="BT203" i="10"/>
  <c r="BT202" i="10"/>
  <c r="BT201" i="10"/>
  <c r="BT200" i="10"/>
  <c r="BT199" i="10"/>
  <c r="BT198" i="10"/>
  <c r="BT197" i="10"/>
  <c r="BT196" i="10"/>
  <c r="BT195" i="10"/>
  <c r="BT194" i="10"/>
  <c r="BT193" i="10"/>
  <c r="BT192" i="10"/>
  <c r="BT191" i="10"/>
  <c r="BT190" i="10"/>
  <c r="BT189" i="10"/>
  <c r="BT188" i="10"/>
  <c r="BT187" i="10"/>
  <c r="BT186" i="10"/>
  <c r="BT185" i="10"/>
  <c r="BT184" i="10"/>
  <c r="BT183" i="10"/>
  <c r="BT182" i="10"/>
  <c r="BT181" i="10"/>
  <c r="BT180" i="10"/>
  <c r="BT179" i="10"/>
  <c r="BT178" i="10"/>
  <c r="BT177" i="10"/>
  <c r="BT176" i="10"/>
  <c r="BT175" i="10"/>
  <c r="BT174" i="10"/>
  <c r="BT173" i="10"/>
  <c r="BT172" i="10"/>
  <c r="BT171" i="10"/>
  <c r="BT170" i="10"/>
  <c r="BT169" i="10"/>
  <c r="BT168" i="10"/>
  <c r="BT167" i="10"/>
  <c r="BT166" i="10"/>
  <c r="BT165" i="10"/>
  <c r="BT164" i="10"/>
  <c r="BT163" i="10"/>
  <c r="BT162" i="10"/>
  <c r="BT161" i="10"/>
  <c r="BT160" i="10"/>
  <c r="BT159" i="10"/>
  <c r="BT158" i="10"/>
  <c r="BT157" i="10"/>
  <c r="BT156" i="10"/>
  <c r="BT155" i="10"/>
  <c r="BT154" i="10"/>
  <c r="BT153" i="10"/>
  <c r="BT152" i="10"/>
  <c r="BT151" i="10"/>
  <c r="BT150" i="10"/>
  <c r="BT149" i="10"/>
  <c r="BT148" i="10"/>
  <c r="BT147" i="10"/>
  <c r="BT146" i="10"/>
  <c r="BT145" i="10"/>
  <c r="BT144" i="10"/>
  <c r="BT143" i="10"/>
  <c r="BT142" i="10"/>
  <c r="BT141" i="10"/>
  <c r="BT140" i="10"/>
  <c r="BT139" i="10"/>
  <c r="BT138" i="10"/>
  <c r="BT137" i="10"/>
  <c r="BT136" i="10"/>
  <c r="BT135" i="10"/>
  <c r="BT134" i="10"/>
  <c r="BT133" i="10"/>
  <c r="BT132" i="10"/>
  <c r="BT121" i="10"/>
  <c r="BT119" i="10"/>
  <c r="BT117" i="10"/>
  <c r="BT115" i="10"/>
  <c r="BT114" i="10"/>
  <c r="BT113" i="10"/>
  <c r="BT112" i="10"/>
  <c r="BT109" i="10"/>
  <c r="BT108" i="10"/>
  <c r="BT107" i="10"/>
  <c r="BT106" i="10"/>
  <c r="BT105" i="10"/>
  <c r="BT103" i="10"/>
  <c r="BT101" i="10"/>
  <c r="BT100" i="10"/>
  <c r="BT99" i="10"/>
  <c r="BT97" i="10"/>
  <c r="BT96" i="10"/>
  <c r="BT95" i="10"/>
  <c r="BT94" i="10"/>
  <c r="BT93" i="10"/>
  <c r="BT89" i="10"/>
  <c r="BT87" i="10"/>
  <c r="BT86" i="10"/>
  <c r="BT84" i="10"/>
  <c r="BT83" i="10"/>
  <c r="BT82" i="10"/>
  <c r="BT80" i="10"/>
  <c r="BT79" i="10"/>
  <c r="BT78" i="10"/>
  <c r="BT77" i="10"/>
  <c r="BT76" i="10"/>
  <c r="BT75" i="10"/>
  <c r="BT74" i="10"/>
  <c r="BT73" i="10"/>
  <c r="BT72" i="10"/>
  <c r="BT71" i="10"/>
  <c r="BT70" i="10"/>
  <c r="BT69" i="10"/>
  <c r="BT68" i="10"/>
  <c r="BT67" i="10"/>
  <c r="BT66" i="10"/>
  <c r="BT63" i="10"/>
  <c r="BT62" i="10"/>
  <c r="BT61" i="10"/>
  <c r="BT60" i="10"/>
  <c r="BT59" i="10"/>
  <c r="BT57" i="10"/>
  <c r="BT56" i="10"/>
  <c r="BT55" i="10"/>
  <c r="BT54" i="10"/>
  <c r="BT53" i="10"/>
  <c r="BT52" i="10"/>
  <c r="BT51" i="10"/>
  <c r="BT50" i="10"/>
  <c r="BT49" i="10"/>
  <c r="BT48" i="10"/>
  <c r="BT47" i="10"/>
  <c r="BT46" i="10"/>
  <c r="BT45" i="10"/>
  <c r="BT44" i="10"/>
  <c r="BT43" i="10"/>
  <c r="BT41" i="10"/>
  <c r="BT40" i="10"/>
  <c r="BT37" i="10"/>
  <c r="BT36" i="10"/>
  <c r="BT33" i="10"/>
  <c r="BT32" i="10"/>
  <c r="BT31" i="10"/>
  <c r="BT30" i="10"/>
  <c r="BT29" i="10"/>
  <c r="BT28" i="10"/>
  <c r="BT27" i="10"/>
  <c r="BT26" i="10"/>
  <c r="BT25" i="10"/>
  <c r="BT24" i="10"/>
  <c r="BT23" i="10"/>
  <c r="BT22" i="10"/>
  <c r="BT21" i="10"/>
  <c r="BT20" i="10"/>
  <c r="BT19" i="10"/>
  <c r="BT18" i="10"/>
  <c r="BT17" i="10"/>
  <c r="BT16" i="10"/>
  <c r="BT15" i="10"/>
  <c r="BT14" i="10"/>
  <c r="BT13" i="10"/>
  <c r="BT12" i="10"/>
  <c r="BT11" i="10"/>
  <c r="BT10" i="10"/>
  <c r="BT9" i="10"/>
  <c r="BT8" i="10"/>
  <c r="BT7" i="10"/>
  <c r="BS131" i="10"/>
  <c r="BS122" i="10"/>
  <c r="BT122" i="10" s="1"/>
  <c r="BS116" i="10"/>
  <c r="BS110" i="10"/>
  <c r="BS98" i="10"/>
  <c r="BS102" i="10" s="1"/>
  <c r="BS104" i="10" s="1"/>
  <c r="BS81" i="10"/>
  <c r="BS65" i="10"/>
  <c r="BS58" i="10"/>
  <c r="BS42" i="10"/>
  <c r="BS39" i="10"/>
  <c r="BS35" i="10"/>
  <c r="BS6" i="10"/>
  <c r="BR131" i="10"/>
  <c r="BR116" i="10"/>
  <c r="BR110" i="10"/>
  <c r="BR98" i="10"/>
  <c r="BR102" i="10" s="1"/>
  <c r="BR104" i="10" s="1"/>
  <c r="BR81" i="10"/>
  <c r="BR65" i="10"/>
  <c r="BR58" i="10"/>
  <c r="BR42" i="10"/>
  <c r="BR39" i="10"/>
  <c r="BR35" i="10"/>
  <c r="BR6" i="10"/>
  <c r="BQ76" i="10"/>
  <c r="BQ65" i="10" s="1"/>
  <c r="BQ131" i="10"/>
  <c r="BQ116" i="10"/>
  <c r="BQ110" i="10"/>
  <c r="BQ98" i="10"/>
  <c r="BQ102" i="10" s="1"/>
  <c r="BQ104" i="10" s="1"/>
  <c r="BQ81" i="10"/>
  <c r="BQ58" i="10"/>
  <c r="BQ42" i="10"/>
  <c r="BQ39" i="10"/>
  <c r="BQ35" i="10"/>
  <c r="A122" i="39" l="1"/>
  <c r="A193" i="39"/>
  <c r="C855" i="11"/>
  <c r="D855" i="11"/>
  <c r="B856" i="11"/>
  <c r="BQ111" i="10"/>
  <c r="BQ118" i="10" s="1"/>
  <c r="BQ120" i="10" s="1"/>
  <c r="BQ123" i="10" s="1"/>
  <c r="BQ125" i="10" s="1"/>
  <c r="BT35" i="10"/>
  <c r="BT116" i="10"/>
  <c r="BS111" i="10"/>
  <c r="BS118" i="10" s="1"/>
  <c r="BS120" i="10" s="1"/>
  <c r="BS123" i="10" s="1"/>
  <c r="BT81" i="10"/>
  <c r="BT58" i="10"/>
  <c r="BT110" i="10"/>
  <c r="BT65" i="10"/>
  <c r="BR111" i="10"/>
  <c r="BR118" i="10" s="1"/>
  <c r="BR120" i="10" s="1"/>
  <c r="BR123" i="10" s="1"/>
  <c r="BR125" i="10" s="1"/>
  <c r="BT39" i="10"/>
  <c r="BT98" i="10"/>
  <c r="BT102" i="10" s="1"/>
  <c r="BT104" i="10" s="1"/>
  <c r="BT42" i="10"/>
  <c r="BT6" i="10"/>
  <c r="BS34" i="10"/>
  <c r="BS5" i="10" s="1"/>
  <c r="BR34" i="10"/>
  <c r="BR5" i="10" s="1"/>
  <c r="BQ34" i="10"/>
  <c r="BQ6" i="10"/>
  <c r="BP65" i="10"/>
  <c r="BP58" i="10"/>
  <c r="BP42" i="10"/>
  <c r="BP39" i="10"/>
  <c r="BP35" i="10"/>
  <c r="BP6" i="10"/>
  <c r="A123" i="39" l="1"/>
  <c r="A194" i="39"/>
  <c r="B857" i="11"/>
  <c r="C856" i="11"/>
  <c r="D856" i="11"/>
  <c r="BT111" i="10"/>
  <c r="BT118" i="10" s="1"/>
  <c r="BT120" i="10" s="1"/>
  <c r="BT123" i="10" s="1"/>
  <c r="BT125" i="10" s="1"/>
  <c r="BT34" i="10"/>
  <c r="BT5" i="10" s="1"/>
  <c r="BS125" i="10"/>
  <c r="BQ5" i="10"/>
  <c r="BP34" i="10"/>
  <c r="BP5" i="10" s="1"/>
  <c r="BO131" i="10"/>
  <c r="BO116" i="10"/>
  <c r="BO110" i="10"/>
  <c r="BO98" i="10"/>
  <c r="BO102" i="10" s="1"/>
  <c r="BO104" i="10" s="1"/>
  <c r="BO65" i="10"/>
  <c r="BO81" i="10"/>
  <c r="BO58" i="10"/>
  <c r="BO42" i="10"/>
  <c r="BO39" i="10"/>
  <c r="BO35" i="10"/>
  <c r="BO6" i="10"/>
  <c r="A124" i="39" l="1"/>
  <c r="A195" i="39"/>
  <c r="C857" i="11"/>
  <c r="D857" i="11"/>
  <c r="B858" i="11"/>
  <c r="BO111" i="10"/>
  <c r="BO118" i="10" s="1"/>
  <c r="BO120" i="10" s="1"/>
  <c r="BO123" i="10" s="1"/>
  <c r="BO125" i="10" s="1"/>
  <c r="BO34" i="10"/>
  <c r="BO5" i="10" s="1"/>
  <c r="BN131" i="10"/>
  <c r="BN116" i="10"/>
  <c r="BN110" i="10"/>
  <c r="BN98" i="10"/>
  <c r="BN102" i="10" s="1"/>
  <c r="BN104" i="10" s="1"/>
  <c r="BN81" i="10"/>
  <c r="BN65" i="10"/>
  <c r="BN58" i="10"/>
  <c r="BN42" i="10"/>
  <c r="BN39" i="10"/>
  <c r="BN35" i="10"/>
  <c r="BN6" i="10"/>
  <c r="BM131" i="10"/>
  <c r="BM116" i="10"/>
  <c r="BM110" i="10"/>
  <c r="BM98" i="10"/>
  <c r="BM102" i="10" s="1"/>
  <c r="BM104" i="10" s="1"/>
  <c r="BM81" i="10"/>
  <c r="BM65" i="10"/>
  <c r="BM58" i="10"/>
  <c r="BM42" i="10"/>
  <c r="BM39" i="10"/>
  <c r="BM35" i="10"/>
  <c r="BM6" i="10"/>
  <c r="BL116" i="10"/>
  <c r="BL131" i="10"/>
  <c r="BL110" i="10"/>
  <c r="BL98" i="10"/>
  <c r="BL102" i="10" s="1"/>
  <c r="BL104" i="10" s="1"/>
  <c r="BL81" i="10"/>
  <c r="BL58" i="10"/>
  <c r="BL42" i="10"/>
  <c r="BL39" i="10"/>
  <c r="BL35" i="10"/>
  <c r="BL6" i="10"/>
  <c r="BK76" i="10"/>
  <c r="BK131" i="10"/>
  <c r="BK116" i="10"/>
  <c r="BK110" i="10"/>
  <c r="BK98" i="10"/>
  <c r="BK102" i="10" s="1"/>
  <c r="BK104" i="10" s="1"/>
  <c r="BK81" i="10"/>
  <c r="BK58" i="10"/>
  <c r="BK42" i="10"/>
  <c r="BK39" i="10"/>
  <c r="BK35" i="10"/>
  <c r="BK6" i="10"/>
  <c r="A125" i="39" l="1"/>
  <c r="A196" i="39"/>
  <c r="B859" i="11"/>
  <c r="C858" i="11"/>
  <c r="D858" i="11"/>
  <c r="BK65" i="10"/>
  <c r="BL76" i="10"/>
  <c r="BM111" i="10"/>
  <c r="BM118" i="10" s="1"/>
  <c r="BM120" i="10" s="1"/>
  <c r="BM123" i="10" s="1"/>
  <c r="BM125" i="10" s="1"/>
  <c r="BN111" i="10"/>
  <c r="BN118" i="10" s="1"/>
  <c r="BN120" i="10" s="1"/>
  <c r="BN123" i="10" s="1"/>
  <c r="BN125" i="10" s="1"/>
  <c r="BN34" i="10"/>
  <c r="BN5" i="10" s="1"/>
  <c r="BM34" i="10"/>
  <c r="BM5" i="10" s="1"/>
  <c r="BL111" i="10"/>
  <c r="BL118" i="10" s="1"/>
  <c r="BL120" i="10" s="1"/>
  <c r="BL123" i="10" s="1"/>
  <c r="BL125" i="10" s="1"/>
  <c r="BK111" i="10"/>
  <c r="BK118" i="10" s="1"/>
  <c r="BK120" i="10" s="1"/>
  <c r="BK123" i="10" s="1"/>
  <c r="BK125" i="10" s="1"/>
  <c r="BL34" i="10"/>
  <c r="BL5" i="10" s="1"/>
  <c r="BK34" i="10"/>
  <c r="BK5" i="10" s="1"/>
  <c r="BJ131" i="10"/>
  <c r="BJ116" i="10"/>
  <c r="BJ110" i="10"/>
  <c r="BJ98" i="10"/>
  <c r="BJ102" i="10" s="1"/>
  <c r="BJ104" i="10" s="1"/>
  <c r="BJ81" i="10"/>
  <c r="BJ65" i="10"/>
  <c r="BJ58" i="10"/>
  <c r="BJ42" i="10"/>
  <c r="BJ39" i="10"/>
  <c r="BJ35" i="10"/>
  <c r="BJ6" i="10"/>
  <c r="BI131" i="10"/>
  <c r="BI116" i="10"/>
  <c r="BI110" i="10"/>
  <c r="A126" i="39" l="1"/>
  <c r="A197" i="39"/>
  <c r="D859" i="11"/>
  <c r="B860" i="11"/>
  <c r="C859" i="11"/>
  <c r="BJ111" i="10"/>
  <c r="BJ118" i="10" s="1"/>
  <c r="BJ120" i="10" s="1"/>
  <c r="BJ123" i="10" s="1"/>
  <c r="BJ125" i="10" s="1"/>
  <c r="BJ34" i="10"/>
  <c r="BJ5" i="10" s="1"/>
  <c r="BI98" i="10"/>
  <c r="BI102" i="10" s="1"/>
  <c r="BI104" i="10" s="1"/>
  <c r="BI111" i="10" s="1"/>
  <c r="BI118" i="10" s="1"/>
  <c r="BI120" i="10" s="1"/>
  <c r="BI123" i="10" s="1"/>
  <c r="BI125" i="10" s="1"/>
  <c r="BI81" i="10"/>
  <c r="BI58" i="10"/>
  <c r="BI42" i="10"/>
  <c r="BI39" i="10"/>
  <c r="BI35" i="10"/>
  <c r="BI6" i="10"/>
  <c r="BH76" i="10"/>
  <c r="BH131" i="10"/>
  <c r="BT131" i="10" s="1"/>
  <c r="BH116" i="10"/>
  <c r="BH110" i="10"/>
  <c r="BH98" i="10"/>
  <c r="BH102" i="10" s="1"/>
  <c r="BH104" i="10" s="1"/>
  <c r="BH81" i="10"/>
  <c r="BH58" i="10"/>
  <c r="BH42" i="10"/>
  <c r="BH39" i="10"/>
  <c r="BH35" i="10"/>
  <c r="BH6" i="10"/>
  <c r="E2851" i="11"/>
  <c r="E2852" i="11"/>
  <c r="E2853" i="11"/>
  <c r="E2854" i="11"/>
  <c r="E2855" i="11"/>
  <c r="B2856" i="11"/>
  <c r="B2857" i="11" s="1"/>
  <c r="E2857" i="11" s="1"/>
  <c r="C2851" i="11"/>
  <c r="D2851" i="11"/>
  <c r="C2852" i="11"/>
  <c r="D2852" i="11"/>
  <c r="C2853" i="11"/>
  <c r="D2853" i="11"/>
  <c r="C2854" i="11"/>
  <c r="D2854" i="11"/>
  <c r="C2855" i="11"/>
  <c r="D2855" i="11"/>
  <c r="E2850" i="11"/>
  <c r="D2850" i="11"/>
  <c r="E2748" i="11"/>
  <c r="E2749" i="11"/>
  <c r="E2750" i="11"/>
  <c r="E2751" i="11"/>
  <c r="E2752" i="11"/>
  <c r="E2747" i="11"/>
  <c r="B2753" i="11"/>
  <c r="E2753" i="11" s="1"/>
  <c r="C2747" i="11"/>
  <c r="D2747" i="11"/>
  <c r="C2748" i="11"/>
  <c r="D2748" i="11"/>
  <c r="C2749" i="11"/>
  <c r="D2749" i="11"/>
  <c r="C2750" i="11"/>
  <c r="D2750" i="11"/>
  <c r="C2751" i="11"/>
  <c r="D2751" i="11"/>
  <c r="C2752" i="11"/>
  <c r="D2752" i="11"/>
  <c r="E83" i="26"/>
  <c r="D83" i="26"/>
  <c r="C68" i="26"/>
  <c r="C69" i="26" s="1"/>
  <c r="C70" i="26" s="1"/>
  <c r="C71" i="26" s="1"/>
  <c r="C72" i="26" s="1"/>
  <c r="C73" i="26" s="1"/>
  <c r="C74" i="26" s="1"/>
  <c r="C75" i="26" s="1"/>
  <c r="C76" i="26" s="1"/>
  <c r="C77" i="26" s="1"/>
  <c r="C78" i="26" s="1"/>
  <c r="C79" i="26" s="1"/>
  <c r="C80" i="26" s="1"/>
  <c r="C81" i="26" s="1"/>
  <c r="C82" i="26" s="1"/>
  <c r="A127" i="39" l="1"/>
  <c r="A198" i="39"/>
  <c r="B861" i="11"/>
  <c r="C860" i="11"/>
  <c r="D860" i="11"/>
  <c r="BH65" i="10"/>
  <c r="BI76" i="10"/>
  <c r="BI65" i="10" s="1"/>
  <c r="BI34" i="10"/>
  <c r="BI5" i="10" s="1"/>
  <c r="BH111" i="10"/>
  <c r="BH118" i="10" s="1"/>
  <c r="BH120" i="10" s="1"/>
  <c r="BH123" i="10" s="1"/>
  <c r="BH91" i="10" s="1"/>
  <c r="BH34" i="10"/>
  <c r="BH5" i="10" s="1"/>
  <c r="C2856" i="11"/>
  <c r="D2856" i="11"/>
  <c r="E2856" i="11"/>
  <c r="C2857" i="11"/>
  <c r="D2857" i="11"/>
  <c r="B2858" i="11"/>
  <c r="E2858" i="11" s="1"/>
  <c r="C2850" i="11"/>
  <c r="B2754" i="11"/>
  <c r="D2754" i="11" s="1"/>
  <c r="C2753" i="11"/>
  <c r="D2753" i="11"/>
  <c r="D3160" i="11"/>
  <c r="C3160" i="11"/>
  <c r="D3159" i="11"/>
  <c r="C3159" i="11"/>
  <c r="C3134" i="11"/>
  <c r="D3134" i="11"/>
  <c r="C3133" i="11"/>
  <c r="D3133" i="11"/>
  <c r="DP90" i="10"/>
  <c r="A128" i="39" l="1"/>
  <c r="A199" i="39"/>
  <c r="B862" i="11"/>
  <c r="C861" i="11"/>
  <c r="D861" i="11"/>
  <c r="BL65" i="10"/>
  <c r="BH125" i="10"/>
  <c r="BH85" i="10"/>
  <c r="BH64" i="10" s="1"/>
  <c r="BI91" i="10"/>
  <c r="C2858" i="11"/>
  <c r="B2859" i="11"/>
  <c r="E2859" i="11" s="1"/>
  <c r="D2858" i="11"/>
  <c r="C2754" i="11"/>
  <c r="B2755" i="11"/>
  <c r="E2754" i="11"/>
  <c r="A129" i="39" l="1"/>
  <c r="A200" i="39"/>
  <c r="C862" i="11"/>
  <c r="D862" i="11"/>
  <c r="B863" i="11"/>
  <c r="BI85" i="10"/>
  <c r="BI64" i="10" s="1"/>
  <c r="BJ91" i="10"/>
  <c r="C2859" i="11"/>
  <c r="D2859" i="11"/>
  <c r="B2860" i="11"/>
  <c r="E2860" i="11" s="1"/>
  <c r="E2755" i="11"/>
  <c r="D2755" i="11"/>
  <c r="C2755" i="11"/>
  <c r="B2756" i="11"/>
  <c r="A130" i="39" l="1"/>
  <c r="A201" i="39"/>
  <c r="C863" i="11"/>
  <c r="D863" i="11"/>
  <c r="B864" i="11"/>
  <c r="BJ85" i="10"/>
  <c r="BJ64" i="10" s="1"/>
  <c r="BK91" i="10"/>
  <c r="B2861" i="11"/>
  <c r="E2861" i="11" s="1"/>
  <c r="C2860" i="11"/>
  <c r="D2860" i="11"/>
  <c r="E2756" i="11"/>
  <c r="C2756" i="11"/>
  <c r="B2757" i="11"/>
  <c r="B2758" i="11" s="1"/>
  <c r="D2756" i="11"/>
  <c r="E1974" i="11"/>
  <c r="A131" i="39" l="1"/>
  <c r="A202" i="39"/>
  <c r="B865" i="11"/>
  <c r="C864" i="11"/>
  <c r="D864" i="11"/>
  <c r="BK85" i="10"/>
  <c r="BK64" i="10" s="1"/>
  <c r="BL91" i="10"/>
  <c r="D2861" i="11"/>
  <c r="B2862" i="11"/>
  <c r="E2862" i="11" s="1"/>
  <c r="C2861" i="11"/>
  <c r="B2759" i="11"/>
  <c r="E2758" i="11"/>
  <c r="D2758" i="11"/>
  <c r="C2758" i="11"/>
  <c r="E2757" i="11"/>
  <c r="C2757" i="11"/>
  <c r="D2757" i="11"/>
  <c r="P9" i="5"/>
  <c r="N34" i="29"/>
  <c r="N37" i="29"/>
  <c r="N43" i="29"/>
  <c r="Q13" i="29" s="1"/>
  <c r="N46" i="29"/>
  <c r="O2" i="29"/>
  <c r="A132" i="39" l="1"/>
  <c r="A203" i="39"/>
  <c r="C865" i="11"/>
  <c r="D865" i="11"/>
  <c r="B866" i="11"/>
  <c r="BL85" i="10"/>
  <c r="BL64" i="10" s="1"/>
  <c r="BM91" i="10"/>
  <c r="B2863" i="11"/>
  <c r="E2863" i="11" s="1"/>
  <c r="C2862" i="11"/>
  <c r="D2862" i="11"/>
  <c r="E2759" i="11"/>
  <c r="B2760" i="11"/>
  <c r="D2759" i="11"/>
  <c r="C2759" i="11"/>
  <c r="A133" i="39" l="1"/>
  <c r="A204" i="39"/>
  <c r="B867" i="11"/>
  <c r="C866" i="11"/>
  <c r="D866" i="11"/>
  <c r="BM85" i="10"/>
  <c r="BM64" i="10" s="1"/>
  <c r="BN91" i="10"/>
  <c r="B2864" i="11"/>
  <c r="E2864" i="11" s="1"/>
  <c r="D2863" i="11"/>
  <c r="C2863" i="11"/>
  <c r="E2760" i="11"/>
  <c r="B2761" i="11"/>
  <c r="C2760" i="11"/>
  <c r="D2760" i="11"/>
  <c r="A134" i="39" l="1"/>
  <c r="A205" i="39"/>
  <c r="D867" i="11"/>
  <c r="B868" i="11"/>
  <c r="C867" i="11"/>
  <c r="BO91" i="10"/>
  <c r="BN85" i="10"/>
  <c r="BN64" i="10" s="1"/>
  <c r="C2864" i="11"/>
  <c r="D2864" i="11"/>
  <c r="B2865" i="11"/>
  <c r="E2865" i="11" s="1"/>
  <c r="E2761" i="11"/>
  <c r="C2761" i="11"/>
  <c r="B2762" i="11"/>
  <c r="D2761" i="11"/>
  <c r="A135" i="39" l="1"/>
  <c r="A206" i="39"/>
  <c r="A207" i="39" s="1"/>
  <c r="B869" i="11"/>
  <c r="C868" i="11"/>
  <c r="D868" i="11"/>
  <c r="BP91" i="10"/>
  <c r="BO85" i="10"/>
  <c r="BO64" i="10" s="1"/>
  <c r="C2865" i="11"/>
  <c r="D2865" i="11"/>
  <c r="B2866" i="11"/>
  <c r="E2866" i="11" s="1"/>
  <c r="E2762" i="11"/>
  <c r="D2762" i="11"/>
  <c r="B2763" i="11"/>
  <c r="C2762" i="11"/>
  <c r="N10" i="29"/>
  <c r="A136" i="39" l="1"/>
  <c r="B870" i="11"/>
  <c r="C869" i="11"/>
  <c r="D869" i="11"/>
  <c r="BP85" i="10"/>
  <c r="BP64" i="10" s="1"/>
  <c r="BQ91" i="10"/>
  <c r="C2866" i="11"/>
  <c r="B2867" i="11"/>
  <c r="D2866" i="11"/>
  <c r="E2763" i="11"/>
  <c r="B2764" i="11"/>
  <c r="C2763" i="11"/>
  <c r="D2763" i="11"/>
  <c r="BG90" i="10"/>
  <c r="BF90" i="10"/>
  <c r="BE90" i="10"/>
  <c r="BD90" i="10"/>
  <c r="BC90" i="10"/>
  <c r="BB90" i="10"/>
  <c r="BA90" i="10"/>
  <c r="AZ90" i="10"/>
  <c r="AY90" i="10"/>
  <c r="AX90" i="10"/>
  <c r="AW90" i="10"/>
  <c r="AV90" i="10"/>
  <c r="AU90" i="10"/>
  <c r="AT90" i="10"/>
  <c r="AS90" i="10"/>
  <c r="AR90" i="10"/>
  <c r="AQ90" i="10"/>
  <c r="AP90" i="10"/>
  <c r="AO90" i="10"/>
  <c r="AN90" i="10"/>
  <c r="AM90" i="10"/>
  <c r="AL90" i="10"/>
  <c r="AK90" i="10"/>
  <c r="AJ90" i="10"/>
  <c r="AI90" i="10"/>
  <c r="AH90" i="10"/>
  <c r="AG90" i="10"/>
  <c r="A137" i="39" l="1"/>
  <c r="A138" i="39" s="1"/>
  <c r="C870" i="11"/>
  <c r="D870" i="11"/>
  <c r="B871" i="11"/>
  <c r="BQ85" i="10"/>
  <c r="BQ64" i="10" s="1"/>
  <c r="BR91" i="10"/>
  <c r="C2867" i="11"/>
  <c r="D2867" i="11"/>
  <c r="B2868" i="11"/>
  <c r="C2764" i="11"/>
  <c r="D2764" i="11"/>
  <c r="B2765" i="11"/>
  <c r="C871" i="11" l="1"/>
  <c r="D871" i="11"/>
  <c r="B872" i="11"/>
  <c r="BR85" i="10"/>
  <c r="BR64" i="10" s="1"/>
  <c r="BS91" i="10"/>
  <c r="BT88" i="10" s="1"/>
  <c r="B2869" i="11"/>
  <c r="C2868" i="11"/>
  <c r="D2868" i="11"/>
  <c r="D2765" i="11"/>
  <c r="B2766" i="11"/>
  <c r="C2765" i="11"/>
  <c r="B873" i="11" l="1"/>
  <c r="C872" i="11"/>
  <c r="D872" i="11"/>
  <c r="BS85" i="10"/>
  <c r="BS64" i="10" s="1"/>
  <c r="BT85" i="10"/>
  <c r="BT64" i="10" s="1"/>
  <c r="D2869" i="11"/>
  <c r="B2870" i="11"/>
  <c r="C2869" i="11"/>
  <c r="B2767" i="11"/>
  <c r="C2766" i="11"/>
  <c r="D2766" i="11"/>
  <c r="C873" i="11" l="1"/>
  <c r="D873" i="11"/>
  <c r="B874" i="11"/>
  <c r="C2870" i="11"/>
  <c r="D2870" i="11"/>
  <c r="B2871" i="11"/>
  <c r="B2768" i="11"/>
  <c r="D2767" i="11"/>
  <c r="C2767" i="11"/>
  <c r="C3127" i="11"/>
  <c r="B875" i="11" l="1"/>
  <c r="C874" i="11"/>
  <c r="D874" i="11"/>
  <c r="B2872" i="11"/>
  <c r="D2871" i="11"/>
  <c r="C2871" i="11"/>
  <c r="B2769" i="11"/>
  <c r="C2768" i="11"/>
  <c r="D2768" i="11"/>
  <c r="D3127" i="11"/>
  <c r="C4" i="11"/>
  <c r="D4" i="11"/>
  <c r="C5" i="11"/>
  <c r="D5" i="11"/>
  <c r="C6" i="11"/>
  <c r="D6" i="11"/>
  <c r="C7" i="11"/>
  <c r="D7" i="11"/>
  <c r="C8" i="11"/>
  <c r="D8" i="11"/>
  <c r="C9" i="11"/>
  <c r="D9" i="11"/>
  <c r="B10" i="11"/>
  <c r="C10" i="11" s="1"/>
  <c r="C107" i="11"/>
  <c r="D107" i="11"/>
  <c r="B108" i="11"/>
  <c r="D108" i="11" s="1"/>
  <c r="C205" i="11"/>
  <c r="D205" i="11"/>
  <c r="B206" i="11"/>
  <c r="D206" i="11" s="1"/>
  <c r="C303" i="11"/>
  <c r="D303" i="11"/>
  <c r="B304" i="11"/>
  <c r="C304" i="11" s="1"/>
  <c r="C403" i="11"/>
  <c r="D403" i="11"/>
  <c r="B404" i="11"/>
  <c r="C404" i="11" s="1"/>
  <c r="C501" i="11"/>
  <c r="D501" i="11"/>
  <c r="C502" i="11"/>
  <c r="D502" i="11"/>
  <c r="C503" i="11"/>
  <c r="D503" i="11"/>
  <c r="C504" i="11"/>
  <c r="D504" i="11"/>
  <c r="C505" i="11"/>
  <c r="D505" i="11"/>
  <c r="C506" i="11"/>
  <c r="D506" i="11"/>
  <c r="B507" i="11"/>
  <c r="D507" i="11" s="1"/>
  <c r="C604" i="11"/>
  <c r="D604" i="11"/>
  <c r="C605" i="11"/>
  <c r="D605" i="11"/>
  <c r="C606" i="11"/>
  <c r="D606" i="11"/>
  <c r="C607" i="11"/>
  <c r="D607" i="11"/>
  <c r="C608" i="11"/>
  <c r="D608" i="11"/>
  <c r="C609" i="11"/>
  <c r="D609" i="11"/>
  <c r="B610" i="11"/>
  <c r="D610" i="11" s="1"/>
  <c r="C707" i="11"/>
  <c r="D707" i="11"/>
  <c r="C708" i="11"/>
  <c r="D708" i="11"/>
  <c r="C709" i="11"/>
  <c r="D709" i="11"/>
  <c r="C710" i="11"/>
  <c r="D710" i="11"/>
  <c r="C711" i="11"/>
  <c r="D711" i="11"/>
  <c r="C712" i="11"/>
  <c r="D712" i="11"/>
  <c r="B713" i="11"/>
  <c r="D713" i="11" s="1"/>
  <c r="C913" i="11"/>
  <c r="D913" i="11"/>
  <c r="C914" i="11"/>
  <c r="D914" i="11"/>
  <c r="C915" i="11"/>
  <c r="D915" i="11"/>
  <c r="C916" i="11"/>
  <c r="D916" i="11"/>
  <c r="C917" i="11"/>
  <c r="D917" i="11"/>
  <c r="C918" i="11"/>
  <c r="D918" i="11"/>
  <c r="B919" i="11"/>
  <c r="B920" i="11" s="1"/>
  <c r="C1016" i="11"/>
  <c r="D1016" i="11"/>
  <c r="C1017" i="11"/>
  <c r="D1017" i="11"/>
  <c r="C1018" i="11"/>
  <c r="D1018" i="11"/>
  <c r="C1019" i="11"/>
  <c r="D1019" i="11"/>
  <c r="C1020" i="11"/>
  <c r="D1020" i="11"/>
  <c r="C1021" i="11"/>
  <c r="D1021" i="11"/>
  <c r="B1022" i="11"/>
  <c r="D1022" i="11" s="1"/>
  <c r="C1119" i="11"/>
  <c r="D1119" i="11"/>
  <c r="C1120" i="11"/>
  <c r="D1120" i="11"/>
  <c r="C1121" i="11"/>
  <c r="D1121" i="11"/>
  <c r="C1122" i="11"/>
  <c r="D1122" i="11"/>
  <c r="C1123" i="11"/>
  <c r="D1123" i="11"/>
  <c r="C1124" i="11"/>
  <c r="D1124" i="11"/>
  <c r="B1125" i="11"/>
  <c r="B1126" i="11" s="1"/>
  <c r="C1222" i="11"/>
  <c r="D1222" i="11"/>
  <c r="C1223" i="11"/>
  <c r="D1223" i="11"/>
  <c r="C1224" i="11"/>
  <c r="D1224" i="11"/>
  <c r="C1225" i="11"/>
  <c r="D1225" i="11"/>
  <c r="C1226" i="11"/>
  <c r="D1226" i="11"/>
  <c r="C1227" i="11"/>
  <c r="D1227" i="11"/>
  <c r="B1228" i="11"/>
  <c r="C1325" i="11"/>
  <c r="D1325" i="11"/>
  <c r="C1326" i="11"/>
  <c r="D1326" i="11"/>
  <c r="C1327" i="11"/>
  <c r="D1327" i="11"/>
  <c r="C1328" i="11"/>
  <c r="D1328" i="11"/>
  <c r="C1329" i="11"/>
  <c r="D1329" i="11"/>
  <c r="C1330" i="11"/>
  <c r="D1330" i="11"/>
  <c r="B1331" i="11"/>
  <c r="D1331" i="11" s="1"/>
  <c r="C1428" i="11"/>
  <c r="D1428" i="11"/>
  <c r="C1429" i="11"/>
  <c r="D1429" i="11"/>
  <c r="C1430" i="11"/>
  <c r="D1430" i="11"/>
  <c r="C1431" i="11"/>
  <c r="D1431" i="11"/>
  <c r="C1432" i="11"/>
  <c r="D1432" i="11"/>
  <c r="C1433" i="11"/>
  <c r="D1433" i="11"/>
  <c r="C1434" i="11"/>
  <c r="D1434" i="11"/>
  <c r="C1435" i="11"/>
  <c r="D1435" i="11"/>
  <c r="C1436" i="11"/>
  <c r="D1436" i="11"/>
  <c r="C1437" i="11"/>
  <c r="D1437" i="11"/>
  <c r="C1443" i="11"/>
  <c r="D1443" i="11"/>
  <c r="C1444" i="11"/>
  <c r="D1444" i="11"/>
  <c r="C1445" i="11"/>
  <c r="D1445" i="11"/>
  <c r="C1446" i="11"/>
  <c r="D1446" i="11"/>
  <c r="C1447" i="11"/>
  <c r="D1447" i="11"/>
  <c r="C1448" i="11"/>
  <c r="D1448" i="11"/>
  <c r="B1449" i="11"/>
  <c r="C1449" i="11" s="1"/>
  <c r="C1546" i="11"/>
  <c r="D1546" i="11"/>
  <c r="C1547" i="11"/>
  <c r="D1547" i="11"/>
  <c r="C1548" i="11"/>
  <c r="D1548" i="11"/>
  <c r="C1549" i="11"/>
  <c r="D1549" i="11"/>
  <c r="C1550" i="11"/>
  <c r="D1550" i="11"/>
  <c r="C1551" i="11"/>
  <c r="D1551" i="11"/>
  <c r="C1552" i="11"/>
  <c r="D1552" i="11"/>
  <c r="C1553" i="11"/>
  <c r="D1553" i="11"/>
  <c r="C1554" i="11"/>
  <c r="D1554" i="11"/>
  <c r="C1555" i="11"/>
  <c r="D1555" i="11"/>
  <c r="C1561" i="11"/>
  <c r="D1561" i="11"/>
  <c r="C1562" i="11"/>
  <c r="D1562" i="11"/>
  <c r="C1563" i="11"/>
  <c r="D1563" i="11"/>
  <c r="C1564" i="11"/>
  <c r="D1564" i="11"/>
  <c r="C1565" i="11"/>
  <c r="D1565" i="11"/>
  <c r="C1566" i="11"/>
  <c r="D1566" i="11"/>
  <c r="B1567" i="11"/>
  <c r="B1568" i="11" s="1"/>
  <c r="D1568" i="11" s="1"/>
  <c r="C1665" i="11"/>
  <c r="D1665" i="11"/>
  <c r="E1665" i="11"/>
  <c r="C1666" i="11"/>
  <c r="D1666" i="11"/>
  <c r="E1666" i="11"/>
  <c r="C1667" i="11"/>
  <c r="D1667" i="11"/>
  <c r="E1667" i="11"/>
  <c r="C1668" i="11"/>
  <c r="D1668" i="11"/>
  <c r="E1668" i="11"/>
  <c r="C1669" i="11"/>
  <c r="D1669" i="11"/>
  <c r="E1669" i="11"/>
  <c r="C1670" i="11"/>
  <c r="D1670" i="11"/>
  <c r="E1670" i="11"/>
  <c r="B1671" i="11"/>
  <c r="D1671" i="11" s="1"/>
  <c r="C1768" i="11"/>
  <c r="D1768" i="11"/>
  <c r="C1769" i="11"/>
  <c r="D1769" i="11"/>
  <c r="C1770" i="11"/>
  <c r="D1770" i="11"/>
  <c r="C1771" i="11"/>
  <c r="D1771" i="11"/>
  <c r="C1772" i="11"/>
  <c r="D1772" i="11"/>
  <c r="C1773" i="11"/>
  <c r="D1773" i="11"/>
  <c r="B1774" i="11"/>
  <c r="C1774" i="11" s="1"/>
  <c r="C1871" i="11"/>
  <c r="D1871" i="11"/>
  <c r="C1872" i="11"/>
  <c r="D1872" i="11"/>
  <c r="E1872" i="11"/>
  <c r="C1873" i="11"/>
  <c r="D1873" i="11"/>
  <c r="E1873" i="11"/>
  <c r="C1874" i="11"/>
  <c r="D1874" i="11"/>
  <c r="E1874" i="11"/>
  <c r="C1875" i="11"/>
  <c r="D1875" i="11"/>
  <c r="E1875" i="11"/>
  <c r="C1876" i="11"/>
  <c r="D1876" i="11"/>
  <c r="E1876" i="11"/>
  <c r="B1877" i="11"/>
  <c r="C1877" i="11" s="1"/>
  <c r="C1974" i="11"/>
  <c r="D1974" i="11"/>
  <c r="C1975" i="11"/>
  <c r="D1975" i="11"/>
  <c r="C1976" i="11"/>
  <c r="D1976" i="11"/>
  <c r="C1977" i="11"/>
  <c r="D1977" i="11"/>
  <c r="C1978" i="11"/>
  <c r="D1978" i="11"/>
  <c r="C1979" i="11"/>
  <c r="D1979" i="11"/>
  <c r="C1980" i="11"/>
  <c r="D1980" i="11"/>
  <c r="B1981" i="11"/>
  <c r="C1981" i="11" s="1"/>
  <c r="C2128" i="11"/>
  <c r="D2128" i="11"/>
  <c r="C2129" i="11"/>
  <c r="D2129" i="11"/>
  <c r="C2130" i="11"/>
  <c r="D2130" i="11"/>
  <c r="C2131" i="11"/>
  <c r="D2131" i="11"/>
  <c r="C2132" i="11"/>
  <c r="D2132" i="11"/>
  <c r="C2133" i="11"/>
  <c r="D2133" i="11"/>
  <c r="B2134" i="11"/>
  <c r="B2135" i="11" s="1"/>
  <c r="C2231" i="11"/>
  <c r="D2231" i="11"/>
  <c r="E2231" i="11"/>
  <c r="C2232" i="11"/>
  <c r="D2232" i="11"/>
  <c r="E2232" i="11"/>
  <c r="C2233" i="11"/>
  <c r="D2233" i="11"/>
  <c r="E2233" i="11"/>
  <c r="C2234" i="11"/>
  <c r="D2234" i="11"/>
  <c r="E2234" i="11"/>
  <c r="C2235" i="11"/>
  <c r="D2235" i="11"/>
  <c r="E2235" i="11"/>
  <c r="C2236" i="11"/>
  <c r="D2236" i="11"/>
  <c r="E2236" i="11"/>
  <c r="B2237" i="11"/>
  <c r="C2237" i="11" s="1"/>
  <c r="C2334" i="11"/>
  <c r="D2334" i="11"/>
  <c r="E2334" i="11"/>
  <c r="C2335" i="11"/>
  <c r="D2335" i="11"/>
  <c r="E2335" i="11"/>
  <c r="C2336" i="11"/>
  <c r="D2336" i="11"/>
  <c r="E2336" i="11"/>
  <c r="C2337" i="11"/>
  <c r="D2337" i="11"/>
  <c r="E2337" i="11"/>
  <c r="C2338" i="11"/>
  <c r="D2338" i="11"/>
  <c r="E2338" i="11"/>
  <c r="C2339" i="11"/>
  <c r="D2339" i="11"/>
  <c r="E2339" i="11"/>
  <c r="B2340" i="11"/>
  <c r="B2341" i="11" s="1"/>
  <c r="C2437" i="11"/>
  <c r="D2437" i="11"/>
  <c r="E2437" i="11"/>
  <c r="C2438" i="11"/>
  <c r="D2438" i="11"/>
  <c r="E2438" i="11"/>
  <c r="C2439" i="11"/>
  <c r="D2439" i="11"/>
  <c r="E2439" i="11"/>
  <c r="C2440" i="11"/>
  <c r="D2440" i="11"/>
  <c r="E2440" i="11"/>
  <c r="C2441" i="11"/>
  <c r="D2441" i="11"/>
  <c r="E2441" i="11"/>
  <c r="C2442" i="11"/>
  <c r="D2442" i="11"/>
  <c r="E2442" i="11"/>
  <c r="C2443" i="11"/>
  <c r="D2443" i="11"/>
  <c r="E2443" i="11"/>
  <c r="B2444" i="11"/>
  <c r="C2444" i="11" s="1"/>
  <c r="C2541" i="11"/>
  <c r="D2541" i="11"/>
  <c r="E2541" i="11"/>
  <c r="C2542" i="11"/>
  <c r="D2542" i="11"/>
  <c r="E2542" i="11"/>
  <c r="C2543" i="11"/>
  <c r="D2543" i="11"/>
  <c r="E2543" i="11"/>
  <c r="C2544" i="11"/>
  <c r="D2544" i="11"/>
  <c r="E2544" i="11"/>
  <c r="C2545" i="11"/>
  <c r="D2545" i="11"/>
  <c r="E2545" i="11"/>
  <c r="C2546" i="11"/>
  <c r="D2546" i="11"/>
  <c r="E2546" i="11"/>
  <c r="B2547" i="11"/>
  <c r="D2547" i="11" s="1"/>
  <c r="C2644" i="11"/>
  <c r="D2644" i="11"/>
  <c r="E2644" i="11"/>
  <c r="C2645" i="11"/>
  <c r="D2645" i="11"/>
  <c r="E2645" i="11"/>
  <c r="C2646" i="11"/>
  <c r="D2646" i="11"/>
  <c r="E2646" i="11"/>
  <c r="C2647" i="11"/>
  <c r="D2647" i="11"/>
  <c r="E2647" i="11"/>
  <c r="C2648" i="11"/>
  <c r="D2648" i="11"/>
  <c r="E2648" i="11"/>
  <c r="C2649" i="11"/>
  <c r="D2649" i="11"/>
  <c r="E2649" i="11"/>
  <c r="B2650" i="11"/>
  <c r="D2650" i="11" s="1"/>
  <c r="C2953" i="11"/>
  <c r="D2953" i="11"/>
  <c r="E2953" i="11"/>
  <c r="C2954" i="11"/>
  <c r="D2954" i="11"/>
  <c r="E2954" i="11"/>
  <c r="C2955" i="11"/>
  <c r="D2955" i="11"/>
  <c r="E2955" i="11"/>
  <c r="C2956" i="11"/>
  <c r="D2956" i="11"/>
  <c r="E2956" i="11"/>
  <c r="C2957" i="11"/>
  <c r="D2957" i="11"/>
  <c r="E2957" i="11"/>
  <c r="C2958" i="11"/>
  <c r="D2958" i="11"/>
  <c r="E2958" i="11"/>
  <c r="B2959" i="11"/>
  <c r="D2959" i="11" s="1"/>
  <c r="C3118" i="11"/>
  <c r="D3118" i="11"/>
  <c r="C3119" i="11"/>
  <c r="D3119" i="11"/>
  <c r="C3120" i="11"/>
  <c r="D3120" i="11"/>
  <c r="C3121" i="11"/>
  <c r="D3121" i="11"/>
  <c r="C3122" i="11"/>
  <c r="D3122" i="11"/>
  <c r="C3123" i="11"/>
  <c r="D3123" i="11"/>
  <c r="C3124" i="11"/>
  <c r="D3124" i="11"/>
  <c r="C3125" i="11"/>
  <c r="D3125" i="11"/>
  <c r="C3126" i="11"/>
  <c r="D3126" i="11"/>
  <c r="D875" i="11" l="1"/>
  <c r="B876" i="11"/>
  <c r="C875" i="11"/>
  <c r="B2873" i="11"/>
  <c r="C2872" i="11"/>
  <c r="D2872" i="11"/>
  <c r="B2770" i="11"/>
  <c r="C2769" i="11"/>
  <c r="D2769" i="11"/>
  <c r="D1877" i="11"/>
  <c r="C2650" i="11"/>
  <c r="B2651" i="11"/>
  <c r="C2651" i="11" s="1"/>
  <c r="B2445" i="11"/>
  <c r="C2445" i="11" s="1"/>
  <c r="B305" i="11"/>
  <c r="C305" i="11" s="1"/>
  <c r="B714" i="11"/>
  <c r="B715" i="11" s="1"/>
  <c r="C713" i="11"/>
  <c r="B2960" i="11"/>
  <c r="D2960" i="11" s="1"/>
  <c r="C2959" i="11"/>
  <c r="B405" i="11"/>
  <c r="B406" i="11" s="1"/>
  <c r="B207" i="11"/>
  <c r="B208" i="11" s="1"/>
  <c r="C610" i="11"/>
  <c r="B1332" i="11"/>
  <c r="D1332" i="11" s="1"/>
  <c r="E2340" i="11"/>
  <c r="B508" i="11"/>
  <c r="B509" i="11" s="1"/>
  <c r="B307" i="11"/>
  <c r="D307" i="11" s="1"/>
  <c r="D304" i="11"/>
  <c r="B109" i="11"/>
  <c r="C109" i="11" s="1"/>
  <c r="B611" i="11"/>
  <c r="C611" i="11" s="1"/>
  <c r="B1775" i="11"/>
  <c r="D1775" i="11" s="1"/>
  <c r="C507" i="11"/>
  <c r="C108" i="11"/>
  <c r="B1982" i="11"/>
  <c r="C1982" i="11" s="1"/>
  <c r="B1672" i="11"/>
  <c r="C1672" i="11" s="1"/>
  <c r="E2959" i="11"/>
  <c r="E2650" i="11"/>
  <c r="B1878" i="11"/>
  <c r="C1878" i="11" s="1"/>
  <c r="D1774" i="11"/>
  <c r="E1671" i="11"/>
  <c r="D1567" i="11"/>
  <c r="D1449" i="11"/>
  <c r="B1229" i="11"/>
  <c r="B306" i="11"/>
  <c r="D306" i="11" s="1"/>
  <c r="C206" i="11"/>
  <c r="B2238" i="11"/>
  <c r="B2239" i="11" s="1"/>
  <c r="D1981" i="11"/>
  <c r="E1877" i="11"/>
  <c r="C1671" i="11"/>
  <c r="C1567" i="11"/>
  <c r="D1228" i="11"/>
  <c r="B2548" i="11"/>
  <c r="D2548" i="11" s="1"/>
  <c r="E2237" i="11"/>
  <c r="C1228" i="11"/>
  <c r="E2547" i="11"/>
  <c r="D2444" i="11"/>
  <c r="C2340" i="11"/>
  <c r="D2237" i="11"/>
  <c r="C2547" i="11"/>
  <c r="D2135" i="11"/>
  <c r="C2135" i="11"/>
  <c r="B2136" i="11"/>
  <c r="C2341" i="11"/>
  <c r="D2341" i="11"/>
  <c r="E2341" i="11"/>
  <c r="B2342" i="11"/>
  <c r="D2340" i="11"/>
  <c r="C2134" i="11"/>
  <c r="D2134" i="11"/>
  <c r="E2444" i="11"/>
  <c r="B1570" i="11"/>
  <c r="B1569" i="11"/>
  <c r="C1568" i="11"/>
  <c r="C1331" i="11"/>
  <c r="B1450" i="11"/>
  <c r="C1126" i="11"/>
  <c r="D1126" i="11"/>
  <c r="B1127" i="11"/>
  <c r="C920" i="11"/>
  <c r="D920" i="11"/>
  <c r="B921" i="11"/>
  <c r="D1125" i="11"/>
  <c r="B1023" i="11"/>
  <c r="C1125" i="11"/>
  <c r="C1022" i="11"/>
  <c r="C919" i="11"/>
  <c r="D919" i="11"/>
  <c r="D404" i="11"/>
  <c r="B11" i="11"/>
  <c r="D10" i="11"/>
  <c r="B877" i="11" l="1"/>
  <c r="C876" i="11"/>
  <c r="D876" i="11"/>
  <c r="C405" i="11"/>
  <c r="B2874" i="11"/>
  <c r="C2873" i="11"/>
  <c r="D2873" i="11"/>
  <c r="C2770" i="11"/>
  <c r="B2771" i="11"/>
  <c r="D2770" i="11"/>
  <c r="D405" i="11"/>
  <c r="C2960" i="11"/>
  <c r="E2651" i="11"/>
  <c r="B612" i="11"/>
  <c r="C612" i="11" s="1"/>
  <c r="C1332" i="11"/>
  <c r="B2961" i="11"/>
  <c r="E2961" i="11" s="1"/>
  <c r="D2651" i="11"/>
  <c r="B2652" i="11"/>
  <c r="D2652" i="11" s="1"/>
  <c r="E2445" i="11"/>
  <c r="D305" i="11"/>
  <c r="B1879" i="11"/>
  <c r="C1879" i="11" s="1"/>
  <c r="B308" i="11"/>
  <c r="C308" i="11" s="1"/>
  <c r="D109" i="11"/>
  <c r="E2960" i="11"/>
  <c r="B2446" i="11"/>
  <c r="C2446" i="11" s="1"/>
  <c r="D2445" i="11"/>
  <c r="D714" i="11"/>
  <c r="C714" i="11"/>
  <c r="C207" i="11"/>
  <c r="E1878" i="11"/>
  <c r="D1878" i="11"/>
  <c r="B110" i="11"/>
  <c r="D110" i="11" s="1"/>
  <c r="B1333" i="11"/>
  <c r="B1334" i="11" s="1"/>
  <c r="D207" i="11"/>
  <c r="B1230" i="11"/>
  <c r="B1231" i="11" s="1"/>
  <c r="D508" i="11"/>
  <c r="C508" i="11"/>
  <c r="B1776" i="11"/>
  <c r="D1776" i="11" s="1"/>
  <c r="D611" i="11"/>
  <c r="C307" i="11"/>
  <c r="B1983" i="11"/>
  <c r="D1982" i="11"/>
  <c r="C306" i="11"/>
  <c r="C1229" i="11"/>
  <c r="D1229" i="11"/>
  <c r="C1775" i="11"/>
  <c r="B2549" i="11"/>
  <c r="C2548" i="11"/>
  <c r="E2548" i="11"/>
  <c r="E2238" i="11"/>
  <c r="C2238" i="11"/>
  <c r="D2238" i="11"/>
  <c r="B1673" i="11"/>
  <c r="E1672" i="11"/>
  <c r="D1672" i="11"/>
  <c r="D11" i="11"/>
  <c r="B12" i="11"/>
  <c r="C11" i="11"/>
  <c r="C1569" i="11"/>
  <c r="D1569" i="11"/>
  <c r="B2240" i="11"/>
  <c r="C2239" i="11"/>
  <c r="D2239" i="11"/>
  <c r="E2239" i="11"/>
  <c r="D509" i="11"/>
  <c r="C509" i="11"/>
  <c r="B510" i="11"/>
  <c r="C921" i="11"/>
  <c r="D921" i="11"/>
  <c r="B922" i="11"/>
  <c r="C406" i="11"/>
  <c r="D406" i="11"/>
  <c r="B407" i="11"/>
  <c r="B1128" i="11"/>
  <c r="C1127" i="11"/>
  <c r="D1127" i="11"/>
  <c r="B1571" i="11"/>
  <c r="C1570" i="11"/>
  <c r="D1570" i="11"/>
  <c r="D715" i="11"/>
  <c r="C715" i="11"/>
  <c r="B716" i="11"/>
  <c r="C2342" i="11"/>
  <c r="D2342" i="11"/>
  <c r="E2342" i="11"/>
  <c r="B2343" i="11"/>
  <c r="C2136" i="11"/>
  <c r="D2136" i="11"/>
  <c r="B2137" i="11"/>
  <c r="C1023" i="11"/>
  <c r="B1024" i="11"/>
  <c r="D1023" i="11"/>
  <c r="D208" i="11"/>
  <c r="B209" i="11"/>
  <c r="C208" i="11"/>
  <c r="D1450" i="11"/>
  <c r="B1451" i="11"/>
  <c r="C1450" i="11"/>
  <c r="H58" i="31"/>
  <c r="H111" i="31"/>
  <c r="H106" i="31"/>
  <c r="H101" i="31"/>
  <c r="G101" i="31"/>
  <c r="H99" i="31"/>
  <c r="H119" i="31"/>
  <c r="H118" i="31"/>
  <c r="H117" i="31"/>
  <c r="H116" i="31"/>
  <c r="H115" i="31"/>
  <c r="H113" i="31"/>
  <c r="H110" i="31"/>
  <c r="H108" i="31"/>
  <c r="H105" i="31"/>
  <c r="H51" i="31"/>
  <c r="H71" i="31"/>
  <c r="H70" i="31"/>
  <c r="H69" i="31"/>
  <c r="H68" i="31"/>
  <c r="H67" i="31"/>
  <c r="H65" i="31"/>
  <c r="H63" i="31"/>
  <c r="H62" i="31"/>
  <c r="H60" i="31"/>
  <c r="H57" i="31"/>
  <c r="H53" i="31"/>
  <c r="H84" i="31"/>
  <c r="G84" i="31"/>
  <c r="H82" i="31"/>
  <c r="H78" i="31"/>
  <c r="G75" i="31"/>
  <c r="H75" i="31"/>
  <c r="H95" i="31"/>
  <c r="H94" i="31"/>
  <c r="H93" i="31"/>
  <c r="H92" i="31"/>
  <c r="H91" i="31"/>
  <c r="H89" i="31"/>
  <c r="H87" i="31"/>
  <c r="H86" i="31"/>
  <c r="H81" i="31"/>
  <c r="G39" i="31"/>
  <c r="H39" i="31"/>
  <c r="H34" i="31"/>
  <c r="H30" i="31"/>
  <c r="G34" i="31"/>
  <c r="H47" i="31"/>
  <c r="H46" i="31"/>
  <c r="H45" i="31"/>
  <c r="H44" i="31"/>
  <c r="H43" i="31"/>
  <c r="H41" i="31"/>
  <c r="H38" i="31"/>
  <c r="H36" i="31"/>
  <c r="H33" i="31"/>
  <c r="H29" i="31"/>
  <c r="H27" i="31"/>
  <c r="G111" i="31"/>
  <c r="G108" i="31"/>
  <c r="G106" i="31"/>
  <c r="G105" i="31"/>
  <c r="G102" i="31"/>
  <c r="H103" i="31" s="1"/>
  <c r="G63" i="31"/>
  <c r="G58" i="31"/>
  <c r="F54" i="31"/>
  <c r="G54" i="31"/>
  <c r="H55" i="31" s="1"/>
  <c r="G65" i="31"/>
  <c r="G62" i="31"/>
  <c r="G60" i="31"/>
  <c r="G57" i="31"/>
  <c r="G53" i="31"/>
  <c r="H3" i="31"/>
  <c r="T4" i="10"/>
  <c r="AG4" i="10"/>
  <c r="AT4" i="10"/>
  <c r="BG4" i="10"/>
  <c r="C6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 s="1"/>
  <c r="U6" i="10"/>
  <c r="V6" i="10"/>
  <c r="W6" i="10"/>
  <c r="X6" i="10"/>
  <c r="Y6" i="10"/>
  <c r="Z6" i="10"/>
  <c r="AA6" i="10"/>
  <c r="AB6" i="10"/>
  <c r="AC6" i="10"/>
  <c r="AD6" i="10"/>
  <c r="AE6" i="10"/>
  <c r="AF6" i="10"/>
  <c r="AI6" i="10"/>
  <c r="AJ6" i="10"/>
  <c r="AK6" i="10"/>
  <c r="AL6" i="10"/>
  <c r="AM6" i="10"/>
  <c r="AN6" i="10"/>
  <c r="AO6" i="10"/>
  <c r="AP6" i="10"/>
  <c r="AQ6" i="10"/>
  <c r="AR6" i="10"/>
  <c r="AS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T7" i="10"/>
  <c r="AG7" i="10"/>
  <c r="AT7" i="10"/>
  <c r="BG7" i="10"/>
  <c r="T8" i="10"/>
  <c r="AG8" i="10"/>
  <c r="AT8" i="10"/>
  <c r="BG8" i="10"/>
  <c r="T9" i="10"/>
  <c r="AG9" i="10"/>
  <c r="AT9" i="10"/>
  <c r="BG9" i="10"/>
  <c r="T10" i="10"/>
  <c r="AT10" i="10"/>
  <c r="BG10" i="10"/>
  <c r="T11" i="10"/>
  <c r="AG11" i="10"/>
  <c r="AT11" i="10"/>
  <c r="BG11" i="10"/>
  <c r="T12" i="10"/>
  <c r="AG12" i="10"/>
  <c r="AT12" i="10"/>
  <c r="BG12" i="10"/>
  <c r="T22" i="10"/>
  <c r="AG22" i="10"/>
  <c r="AT22" i="10"/>
  <c r="BG22" i="10"/>
  <c r="T23" i="10"/>
  <c r="AG23" i="10"/>
  <c r="AT23" i="10"/>
  <c r="BG23" i="10"/>
  <c r="T24" i="10"/>
  <c r="AG24" i="10"/>
  <c r="AT24" i="10"/>
  <c r="BG24" i="10"/>
  <c r="T25" i="10"/>
  <c r="AG25" i="10"/>
  <c r="AT25" i="10"/>
  <c r="BG25" i="10"/>
  <c r="T26" i="10"/>
  <c r="AG26" i="10"/>
  <c r="AT26" i="10"/>
  <c r="BG26" i="10"/>
  <c r="T27" i="10"/>
  <c r="AG27" i="10"/>
  <c r="AT27" i="10"/>
  <c r="BG27" i="10"/>
  <c r="T28" i="10"/>
  <c r="AG28" i="10"/>
  <c r="AT28" i="10"/>
  <c r="BG28" i="10"/>
  <c r="T29" i="10"/>
  <c r="AG29" i="10"/>
  <c r="BG29" i="10"/>
  <c r="T30" i="10"/>
  <c r="AG30" i="10"/>
  <c r="AT30" i="10"/>
  <c r="BG30" i="10"/>
  <c r="T31" i="10"/>
  <c r="AG31" i="10"/>
  <c r="BG31" i="10"/>
  <c r="T32" i="10"/>
  <c r="AG32" i="10"/>
  <c r="AT32" i="10"/>
  <c r="BG32" i="10"/>
  <c r="T33" i="10"/>
  <c r="AG33" i="10"/>
  <c r="AT33" i="10"/>
  <c r="BG33" i="10"/>
  <c r="C35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 s="1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 s="1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T36" i="10"/>
  <c r="AG36" i="10"/>
  <c r="AT36" i="10"/>
  <c r="BG36" i="10"/>
  <c r="T37" i="10"/>
  <c r="AG37" i="10"/>
  <c r="AT37" i="10"/>
  <c r="BG37" i="10"/>
  <c r="C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 s="1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 s="1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 s="1"/>
  <c r="AV42" i="10"/>
  <c r="AW42" i="10"/>
  <c r="AX42" i="10"/>
  <c r="AY42" i="10"/>
  <c r="AZ42" i="10"/>
  <c r="BC42" i="10"/>
  <c r="BD42" i="10"/>
  <c r="BE42" i="10"/>
  <c r="BF42" i="10"/>
  <c r="T43" i="10"/>
  <c r="AG43" i="10"/>
  <c r="AT43" i="10"/>
  <c r="BG43" i="10"/>
  <c r="T44" i="10"/>
  <c r="AG44" i="10"/>
  <c r="AT44" i="10"/>
  <c r="BG44" i="10"/>
  <c r="T45" i="10"/>
  <c r="AG45" i="10"/>
  <c r="AT45" i="10"/>
  <c r="BG45" i="10"/>
  <c r="T46" i="10"/>
  <c r="AG46" i="10"/>
  <c r="AT46" i="10"/>
  <c r="BG46" i="10"/>
  <c r="T47" i="10"/>
  <c r="AG47" i="10"/>
  <c r="AT47" i="10"/>
  <c r="BG47" i="10"/>
  <c r="T48" i="10"/>
  <c r="AG48" i="10"/>
  <c r="AT48" i="10"/>
  <c r="BA48" i="10"/>
  <c r="BA42" i="10" s="1"/>
  <c r="BB48" i="10"/>
  <c r="BB42" i="10" s="1"/>
  <c r="BG48" i="10"/>
  <c r="T49" i="10"/>
  <c r="AG49" i="10"/>
  <c r="AT49" i="10"/>
  <c r="AU49" i="10"/>
  <c r="AU42" i="10" s="1"/>
  <c r="BG49" i="10"/>
  <c r="T50" i="10"/>
  <c r="AG50" i="10"/>
  <c r="AT50" i="10"/>
  <c r="BG50" i="10"/>
  <c r="T51" i="10"/>
  <c r="AG51" i="10"/>
  <c r="AT51" i="10"/>
  <c r="BG51" i="10"/>
  <c r="T52" i="10"/>
  <c r="AG52" i="10"/>
  <c r="AT52" i="10"/>
  <c r="BG52" i="10"/>
  <c r="T53" i="10"/>
  <c r="AG53" i="10"/>
  <c r="AT53" i="10"/>
  <c r="BG53" i="10"/>
  <c r="T54" i="10"/>
  <c r="AG54" i="10"/>
  <c r="AT54" i="10"/>
  <c r="BG54" i="10"/>
  <c r="T56" i="10"/>
  <c r="AG56" i="10"/>
  <c r="AT56" i="10"/>
  <c r="BG56" i="10"/>
  <c r="T57" i="10"/>
  <c r="AG57" i="10"/>
  <c r="AT57" i="10"/>
  <c r="BG57" i="10"/>
  <c r="C58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 s="1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 s="1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 s="1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T59" i="10"/>
  <c r="AG59" i="10"/>
  <c r="AT59" i="10"/>
  <c r="BG59" i="10"/>
  <c r="T60" i="10"/>
  <c r="AG60" i="10"/>
  <c r="AT60" i="10"/>
  <c r="BG60" i="10"/>
  <c r="T61" i="10"/>
  <c r="AG61" i="10"/>
  <c r="AT61" i="10"/>
  <c r="BG61" i="10"/>
  <c r="T62" i="10"/>
  <c r="AG62" i="10"/>
  <c r="AT62" i="10"/>
  <c r="BG62" i="10"/>
  <c r="T63" i="10"/>
  <c r="AG63" i="10"/>
  <c r="AT63" i="10"/>
  <c r="BG63" i="10"/>
  <c r="C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U65" i="10"/>
  <c r="V65" i="10"/>
  <c r="W65" i="10"/>
  <c r="X65" i="10"/>
  <c r="Y65" i="10"/>
  <c r="Z65" i="10"/>
  <c r="AA65" i="10"/>
  <c r="AB65" i="10"/>
  <c r="AC65" i="10"/>
  <c r="AD65" i="10"/>
  <c r="AF65" i="10"/>
  <c r="AG65" i="10" s="1"/>
  <c r="AH65" i="10"/>
  <c r="AI65" i="10"/>
  <c r="AJ65" i="10"/>
  <c r="AK65" i="10"/>
  <c r="AL65" i="10"/>
  <c r="AM65" i="10"/>
  <c r="AN65" i="10"/>
  <c r="AO65" i="10"/>
  <c r="AP65" i="10"/>
  <c r="AQ65" i="10"/>
  <c r="AR65" i="10"/>
  <c r="AS65" i="10"/>
  <c r="AT65" i="10" s="1"/>
  <c r="AU65" i="10"/>
  <c r="AV65" i="10"/>
  <c r="AW65" i="10"/>
  <c r="AX65" i="10"/>
  <c r="AY65" i="10"/>
  <c r="T66" i="10"/>
  <c r="AG66" i="10"/>
  <c r="AT66" i="10"/>
  <c r="BG66" i="10"/>
  <c r="T67" i="10"/>
  <c r="AG67" i="10"/>
  <c r="AT67" i="10"/>
  <c r="BG67" i="10"/>
  <c r="T68" i="10"/>
  <c r="AG68" i="10"/>
  <c r="AT68" i="10"/>
  <c r="BG68" i="10"/>
  <c r="T69" i="10"/>
  <c r="AG69" i="10"/>
  <c r="AT69" i="10"/>
  <c r="BG69" i="10"/>
  <c r="T70" i="10"/>
  <c r="AG70" i="10"/>
  <c r="AT70" i="10"/>
  <c r="BG70" i="10"/>
  <c r="T71" i="10"/>
  <c r="AG71" i="10"/>
  <c r="AT71" i="10"/>
  <c r="BG71" i="10"/>
  <c r="T72" i="10"/>
  <c r="T73" i="10"/>
  <c r="T74" i="10"/>
  <c r="T75" i="10"/>
  <c r="T76" i="10"/>
  <c r="AG76" i="10"/>
  <c r="AT76" i="10"/>
  <c r="AZ76" i="10"/>
  <c r="AZ65" i="10" s="1"/>
  <c r="BA76" i="10"/>
  <c r="BA65" i="10" s="1"/>
  <c r="BB76" i="10"/>
  <c r="BB65" i="10" s="1"/>
  <c r="BC76" i="10"/>
  <c r="BC65" i="10" s="1"/>
  <c r="BD76" i="10"/>
  <c r="BD65" i="10" s="1"/>
  <c r="BE76" i="10"/>
  <c r="BE65" i="10" s="1"/>
  <c r="BF76" i="10"/>
  <c r="BF65" i="10" s="1"/>
  <c r="T77" i="10"/>
  <c r="AG77" i="10"/>
  <c r="AT77" i="10"/>
  <c r="BG77" i="10"/>
  <c r="T78" i="10"/>
  <c r="AG78" i="10"/>
  <c r="AT78" i="10"/>
  <c r="BG78" i="10"/>
  <c r="T79" i="10"/>
  <c r="AG79" i="10"/>
  <c r="AT79" i="10"/>
  <c r="BG79" i="10"/>
  <c r="T80" i="10"/>
  <c r="AT80" i="10"/>
  <c r="BG80" i="10"/>
  <c r="C81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 s="1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 s="1"/>
  <c r="AH81" i="10"/>
  <c r="AI81" i="10"/>
  <c r="AJ81" i="10"/>
  <c r="AK81" i="10"/>
  <c r="AL81" i="10"/>
  <c r="AM81" i="10"/>
  <c r="AO81" i="10"/>
  <c r="AP81" i="10"/>
  <c r="AQ81" i="10"/>
  <c r="AR81" i="10"/>
  <c r="AS81" i="10"/>
  <c r="AT81" i="10" s="1"/>
  <c r="AU81" i="10"/>
  <c r="AV81" i="10"/>
  <c r="AW81" i="10"/>
  <c r="AX81" i="10"/>
  <c r="AY81" i="10"/>
  <c r="AZ81" i="10"/>
  <c r="BA81" i="10"/>
  <c r="BB81" i="10"/>
  <c r="BC81" i="10"/>
  <c r="BD81" i="10"/>
  <c r="BE81" i="10"/>
  <c r="BF81" i="10"/>
  <c r="T82" i="10"/>
  <c r="AG82" i="10"/>
  <c r="AT82" i="10"/>
  <c r="BG82" i="10"/>
  <c r="T83" i="10"/>
  <c r="AG83" i="10"/>
  <c r="AT83" i="10"/>
  <c r="BG83" i="10"/>
  <c r="T84" i="10"/>
  <c r="AG84" i="10"/>
  <c r="AT84" i="10"/>
  <c r="BG84" i="10"/>
  <c r="C85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 s="1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 s="1"/>
  <c r="T86" i="10"/>
  <c r="AG86" i="10"/>
  <c r="AT86" i="10"/>
  <c r="BG86" i="10"/>
  <c r="T87" i="10"/>
  <c r="AG87" i="10"/>
  <c r="AT87" i="10"/>
  <c r="BG87" i="10"/>
  <c r="T89" i="10"/>
  <c r="AG89" i="10"/>
  <c r="AT89" i="10"/>
  <c r="T91" i="10"/>
  <c r="AG91" i="10"/>
  <c r="AT91" i="10"/>
  <c r="T92" i="10"/>
  <c r="AG92" i="10"/>
  <c r="AT92" i="10"/>
  <c r="T93" i="10"/>
  <c r="AG93" i="10"/>
  <c r="AT93" i="10"/>
  <c r="BG93" i="10"/>
  <c r="T94" i="10"/>
  <c r="AG94" i="10"/>
  <c r="AT94" i="10"/>
  <c r="BG94" i="10"/>
  <c r="T95" i="10"/>
  <c r="AG95" i="10"/>
  <c r="AT95" i="10"/>
  <c r="BG95" i="10"/>
  <c r="T96" i="10"/>
  <c r="AG96" i="10"/>
  <c r="AT96" i="10"/>
  <c r="BG96" i="10"/>
  <c r="T97" i="10"/>
  <c r="AG97" i="10"/>
  <c r="AT97" i="10"/>
  <c r="BG97" i="10"/>
  <c r="C98" i="10"/>
  <c r="D98" i="10"/>
  <c r="E98" i="10"/>
  <c r="F98" i="10"/>
  <c r="G98" i="10"/>
  <c r="H98" i="10"/>
  <c r="I98" i="10"/>
  <c r="J98" i="10"/>
  <c r="J102" i="10" s="1"/>
  <c r="J104" i="10" s="1"/>
  <c r="K98" i="10"/>
  <c r="K102" i="10" s="1"/>
  <c r="K104" i="10" s="1"/>
  <c r="L98" i="10"/>
  <c r="L102" i="10" s="1"/>
  <c r="M98" i="10"/>
  <c r="M102" i="10" s="1"/>
  <c r="M104" i="10" s="1"/>
  <c r="N98" i="10"/>
  <c r="N102" i="10" s="1"/>
  <c r="N104" i="10" s="1"/>
  <c r="O98" i="10"/>
  <c r="O102" i="10" s="1"/>
  <c r="O104" i="10" s="1"/>
  <c r="P98" i="10"/>
  <c r="P102" i="10" s="1"/>
  <c r="P104" i="10" s="1"/>
  <c r="Q98" i="10"/>
  <c r="Q102" i="10" s="1"/>
  <c r="Q104" i="10" s="1"/>
  <c r="R98" i="10"/>
  <c r="R102" i="10" s="1"/>
  <c r="R104" i="10" s="1"/>
  <c r="S98" i="10"/>
  <c r="S102" i="10" s="1"/>
  <c r="S104" i="10" s="1"/>
  <c r="U98" i="10"/>
  <c r="U102" i="10" s="1"/>
  <c r="V98" i="10"/>
  <c r="V102" i="10" s="1"/>
  <c r="V104" i="10" s="1"/>
  <c r="W98" i="10"/>
  <c r="W102" i="10" s="1"/>
  <c r="W104" i="10" s="1"/>
  <c r="X98" i="10"/>
  <c r="X102" i="10" s="1"/>
  <c r="X104" i="10" s="1"/>
  <c r="Y98" i="10"/>
  <c r="Y102" i="10" s="1"/>
  <c r="Y104" i="10" s="1"/>
  <c r="Z98" i="10"/>
  <c r="Z102" i="10" s="1"/>
  <c r="Z104" i="10" s="1"/>
  <c r="AA98" i="10"/>
  <c r="AA102" i="10" s="1"/>
  <c r="AA104" i="10" s="1"/>
  <c r="AB98" i="10"/>
  <c r="AB102" i="10" s="1"/>
  <c r="AB104" i="10" s="1"/>
  <c r="AC98" i="10"/>
  <c r="AC102" i="10" s="1"/>
  <c r="AC104" i="10" s="1"/>
  <c r="AD98" i="10"/>
  <c r="AD102" i="10" s="1"/>
  <c r="AD104" i="10" s="1"/>
  <c r="AE98" i="10"/>
  <c r="AE102" i="10" s="1"/>
  <c r="AE104" i="10" s="1"/>
  <c r="AF98" i="10"/>
  <c r="AF102" i="10" s="1"/>
  <c r="AF104" i="10" s="1"/>
  <c r="AH98" i="10"/>
  <c r="AH102" i="10" s="1"/>
  <c r="AH104" i="10" s="1"/>
  <c r="AI98" i="10"/>
  <c r="AI102" i="10" s="1"/>
  <c r="AI104" i="10" s="1"/>
  <c r="AJ98" i="10"/>
  <c r="AJ102" i="10" s="1"/>
  <c r="AK98" i="10"/>
  <c r="AL98" i="10"/>
  <c r="AL102" i="10" s="1"/>
  <c r="AL104" i="10" s="1"/>
  <c r="AM98" i="10"/>
  <c r="AM102" i="10" s="1"/>
  <c r="AM104" i="10" s="1"/>
  <c r="AN98" i="10"/>
  <c r="AN102" i="10" s="1"/>
  <c r="AN104" i="10" s="1"/>
  <c r="AO98" i="10"/>
  <c r="AO102" i="10" s="1"/>
  <c r="AO104" i="10" s="1"/>
  <c r="AP98" i="10"/>
  <c r="AP102" i="10" s="1"/>
  <c r="AP104" i="10" s="1"/>
  <c r="AQ98" i="10"/>
  <c r="AQ102" i="10" s="1"/>
  <c r="AQ104" i="10" s="1"/>
  <c r="AR98" i="10"/>
  <c r="AR102" i="10" s="1"/>
  <c r="AR104" i="10" s="1"/>
  <c r="AS98" i="10"/>
  <c r="AS102" i="10" s="1"/>
  <c r="AS104" i="10" s="1"/>
  <c r="AU98" i="10"/>
  <c r="AU102" i="10" s="1"/>
  <c r="AU104" i="10" s="1"/>
  <c r="AV98" i="10"/>
  <c r="AV102" i="10" s="1"/>
  <c r="AV104" i="10" s="1"/>
  <c r="AW98" i="10"/>
  <c r="AW102" i="10" s="1"/>
  <c r="AW104" i="10" s="1"/>
  <c r="AX98" i="10"/>
  <c r="AX102" i="10" s="1"/>
  <c r="AX104" i="10" s="1"/>
  <c r="AY98" i="10"/>
  <c r="AY102" i="10" s="1"/>
  <c r="AY104" i="10" s="1"/>
  <c r="AZ98" i="10"/>
  <c r="AZ102" i="10" s="1"/>
  <c r="AZ104" i="10" s="1"/>
  <c r="BA98" i="10"/>
  <c r="BA102" i="10" s="1"/>
  <c r="BA104" i="10" s="1"/>
  <c r="BB98" i="10"/>
  <c r="BB102" i="10" s="1"/>
  <c r="BB104" i="10" s="1"/>
  <c r="BC98" i="10"/>
  <c r="BC102" i="10" s="1"/>
  <c r="BC104" i="10" s="1"/>
  <c r="BD98" i="10"/>
  <c r="BD102" i="10" s="1"/>
  <c r="BD104" i="10" s="1"/>
  <c r="BE98" i="10"/>
  <c r="BE102" i="10" s="1"/>
  <c r="BE104" i="10" s="1"/>
  <c r="BF98" i="10"/>
  <c r="T99" i="10"/>
  <c r="AG99" i="10"/>
  <c r="AT99" i="10"/>
  <c r="BG99" i="10"/>
  <c r="T100" i="10"/>
  <c r="AG100" i="10"/>
  <c r="AT100" i="10"/>
  <c r="BG100" i="10"/>
  <c r="H101" i="10"/>
  <c r="I101" i="10"/>
  <c r="J101" i="10"/>
  <c r="K101" i="10"/>
  <c r="L101" i="10"/>
  <c r="M101" i="10"/>
  <c r="N101" i="10"/>
  <c r="O101" i="10"/>
  <c r="P101" i="10"/>
  <c r="Q101" i="10"/>
  <c r="R101" i="10"/>
  <c r="U101" i="10"/>
  <c r="V101" i="10"/>
  <c r="W101" i="10"/>
  <c r="X101" i="10"/>
  <c r="Y101" i="10"/>
  <c r="AA101" i="10"/>
  <c r="AB101" i="10"/>
  <c r="AC101" i="10"/>
  <c r="AD101" i="10"/>
  <c r="AE101" i="10"/>
  <c r="AF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BG101" i="10"/>
  <c r="T103" i="10"/>
  <c r="AG103" i="10"/>
  <c r="AT103" i="10"/>
  <c r="BG103" i="10"/>
  <c r="AK104" i="10"/>
  <c r="T105" i="10"/>
  <c r="AG105" i="10"/>
  <c r="AT105" i="10"/>
  <c r="BG105" i="10"/>
  <c r="T106" i="10"/>
  <c r="AG106" i="10"/>
  <c r="AL106" i="10"/>
  <c r="BG106" i="10"/>
  <c r="T107" i="10"/>
  <c r="AG107" i="10"/>
  <c r="AT107" i="10"/>
  <c r="BG107" i="10"/>
  <c r="T108" i="10"/>
  <c r="AG108" i="10"/>
  <c r="AT108" i="10"/>
  <c r="BG108" i="10"/>
  <c r="C110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H110" i="10"/>
  <c r="AI110" i="10"/>
  <c r="AJ110" i="10"/>
  <c r="AK110" i="10"/>
  <c r="AM110" i="10"/>
  <c r="AN110" i="10"/>
  <c r="AO110" i="10"/>
  <c r="AP110" i="10"/>
  <c r="AQ110" i="10"/>
  <c r="AR110" i="10"/>
  <c r="AS110" i="10"/>
  <c r="AU110" i="10"/>
  <c r="AV110" i="10"/>
  <c r="AW110" i="10"/>
  <c r="AX110" i="10"/>
  <c r="AY110" i="10"/>
  <c r="AZ110" i="10"/>
  <c r="BA110" i="10"/>
  <c r="BB110" i="10"/>
  <c r="BC110" i="10"/>
  <c r="BD110" i="10"/>
  <c r="BE110" i="10"/>
  <c r="T112" i="10"/>
  <c r="AG112" i="10"/>
  <c r="AT112" i="10"/>
  <c r="BG112" i="10"/>
  <c r="T113" i="10"/>
  <c r="AG113" i="10"/>
  <c r="AT113" i="10"/>
  <c r="BG113" i="10"/>
  <c r="T114" i="10"/>
  <c r="AG114" i="10"/>
  <c r="AT114" i="10"/>
  <c r="BG114" i="10"/>
  <c r="T115" i="10"/>
  <c r="AG115" i="10"/>
  <c r="AT115" i="10"/>
  <c r="BG115" i="10"/>
  <c r="C116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P116" i="10"/>
  <c r="Q116" i="10"/>
  <c r="R116" i="10"/>
  <c r="S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U116" i="10"/>
  <c r="AV116" i="10"/>
  <c r="AW116" i="10"/>
  <c r="AX116" i="10"/>
  <c r="AY116" i="10"/>
  <c r="AZ116" i="10"/>
  <c r="BA116" i="10"/>
  <c r="BB116" i="10"/>
  <c r="BC116" i="10"/>
  <c r="BD116" i="10"/>
  <c r="BE116" i="10"/>
  <c r="T117" i="10"/>
  <c r="AG117" i="10"/>
  <c r="AT117" i="10"/>
  <c r="BG117" i="10"/>
  <c r="T119" i="10"/>
  <c r="AG119" i="10"/>
  <c r="AT119" i="10"/>
  <c r="BG119" i="10"/>
  <c r="T121" i="10"/>
  <c r="AG121" i="10"/>
  <c r="AT121" i="10"/>
  <c r="AZ121" i="10"/>
  <c r="BA121" i="10"/>
  <c r="T122" i="10"/>
  <c r="AG122" i="10"/>
  <c r="AT122" i="10"/>
  <c r="AZ122" i="10"/>
  <c r="BA122" i="10"/>
  <c r="BF125" i="10"/>
  <c r="T126" i="10"/>
  <c r="AG126" i="10"/>
  <c r="AT126" i="10"/>
  <c r="BG126" i="10"/>
  <c r="T127" i="10"/>
  <c r="AG127" i="10"/>
  <c r="AT127" i="10"/>
  <c r="BG127" i="10"/>
  <c r="T128" i="10"/>
  <c r="AG128" i="10"/>
  <c r="AT128" i="10"/>
  <c r="BG128" i="10"/>
  <c r="T129" i="10"/>
  <c r="AG129" i="10"/>
  <c r="AT129" i="10"/>
  <c r="BG129" i="10"/>
  <c r="T130" i="10"/>
  <c r="AG130" i="10"/>
  <c r="AT130" i="10"/>
  <c r="BG130" i="10"/>
  <c r="T131" i="10"/>
  <c r="AG131" i="10"/>
  <c r="AT131" i="10"/>
  <c r="BG131" i="10"/>
  <c r="T132" i="10"/>
  <c r="AG132" i="10"/>
  <c r="AT132" i="10"/>
  <c r="BG132" i="10"/>
  <c r="T133" i="10"/>
  <c r="AG133" i="10"/>
  <c r="AT133" i="10"/>
  <c r="BG133" i="10"/>
  <c r="T134" i="10"/>
  <c r="AG134" i="10"/>
  <c r="AT134" i="10"/>
  <c r="BG134" i="10"/>
  <c r="T135" i="10"/>
  <c r="AG135" i="10"/>
  <c r="AT135" i="10"/>
  <c r="BG135" i="10"/>
  <c r="T136" i="10"/>
  <c r="AG136" i="10"/>
  <c r="AT136" i="10"/>
  <c r="BG136" i="10"/>
  <c r="T137" i="10"/>
  <c r="AG137" i="10"/>
  <c r="AT137" i="10"/>
  <c r="BG137" i="10"/>
  <c r="T138" i="10"/>
  <c r="AG138" i="10"/>
  <c r="AT138" i="10"/>
  <c r="BG138" i="10"/>
  <c r="T139" i="10"/>
  <c r="AG139" i="10"/>
  <c r="AT139" i="10"/>
  <c r="BG139" i="10"/>
  <c r="T140" i="10"/>
  <c r="AG140" i="10"/>
  <c r="AT140" i="10"/>
  <c r="BG140" i="10"/>
  <c r="T141" i="10"/>
  <c r="AG141" i="10"/>
  <c r="AT141" i="10"/>
  <c r="BG141" i="10"/>
  <c r="T142" i="10"/>
  <c r="AG142" i="10"/>
  <c r="AT142" i="10"/>
  <c r="BG142" i="10"/>
  <c r="T143" i="10"/>
  <c r="AG143" i="10"/>
  <c r="AT143" i="10"/>
  <c r="BG143" i="10"/>
  <c r="T144" i="10"/>
  <c r="AG144" i="10"/>
  <c r="AT144" i="10"/>
  <c r="BG144" i="10"/>
  <c r="T145" i="10"/>
  <c r="AG145" i="10"/>
  <c r="AT145" i="10"/>
  <c r="BG145" i="10"/>
  <c r="T146" i="10"/>
  <c r="AG146" i="10"/>
  <c r="AT146" i="10"/>
  <c r="T147" i="10"/>
  <c r="AG147" i="10"/>
  <c r="AT147" i="10"/>
  <c r="BG147" i="10"/>
  <c r="T148" i="10"/>
  <c r="AG148" i="10"/>
  <c r="AT148" i="10"/>
  <c r="BG148" i="10"/>
  <c r="T149" i="10"/>
  <c r="AG149" i="10"/>
  <c r="AT149" i="10"/>
  <c r="BG149" i="10"/>
  <c r="T150" i="10"/>
  <c r="AG150" i="10"/>
  <c r="AT150" i="10"/>
  <c r="BG150" i="10"/>
  <c r="T151" i="10"/>
  <c r="AG151" i="10"/>
  <c r="AT151" i="10"/>
  <c r="BG151" i="10"/>
  <c r="T152" i="10"/>
  <c r="AG152" i="10"/>
  <c r="AT152" i="10"/>
  <c r="BG152" i="10"/>
  <c r="T153" i="10"/>
  <c r="AG153" i="10"/>
  <c r="AT153" i="10"/>
  <c r="BG153" i="10"/>
  <c r="T154" i="10"/>
  <c r="AG154" i="10"/>
  <c r="AT154" i="10"/>
  <c r="BG154" i="10"/>
  <c r="T155" i="10"/>
  <c r="AG155" i="10"/>
  <c r="AT155" i="10"/>
  <c r="BG155" i="10"/>
  <c r="T156" i="10"/>
  <c r="AG156" i="10"/>
  <c r="AT156" i="10"/>
  <c r="BG156" i="10"/>
  <c r="T157" i="10"/>
  <c r="AG157" i="10"/>
  <c r="AT157" i="10"/>
  <c r="BG157" i="10"/>
  <c r="T158" i="10"/>
  <c r="AG158" i="10"/>
  <c r="AT158" i="10"/>
  <c r="BG158" i="10"/>
  <c r="T159" i="10"/>
  <c r="AG159" i="10"/>
  <c r="AT159" i="10"/>
  <c r="BG159" i="10"/>
  <c r="T160" i="10"/>
  <c r="AG160" i="10"/>
  <c r="AT160" i="10"/>
  <c r="BG160" i="10"/>
  <c r="T161" i="10"/>
  <c r="AG161" i="10"/>
  <c r="AT161" i="10"/>
  <c r="BG161" i="10"/>
  <c r="T162" i="10"/>
  <c r="AG162" i="10"/>
  <c r="AT162" i="10"/>
  <c r="BG162" i="10"/>
  <c r="T163" i="10"/>
  <c r="AG163" i="10"/>
  <c r="AT163" i="10"/>
  <c r="BG163" i="10"/>
  <c r="T164" i="10"/>
  <c r="AG164" i="10"/>
  <c r="AT164" i="10"/>
  <c r="BG164" i="10"/>
  <c r="T165" i="10"/>
  <c r="AG165" i="10"/>
  <c r="AT165" i="10"/>
  <c r="BG165" i="10"/>
  <c r="T166" i="10"/>
  <c r="AG166" i="10"/>
  <c r="AT166" i="10"/>
  <c r="BG166" i="10"/>
  <c r="T167" i="10"/>
  <c r="AG167" i="10"/>
  <c r="AT167" i="10"/>
  <c r="BG167" i="10"/>
  <c r="T168" i="10"/>
  <c r="AG168" i="10"/>
  <c r="AT168" i="10"/>
  <c r="BG168" i="10"/>
  <c r="T169" i="10"/>
  <c r="AG169" i="10"/>
  <c r="AT169" i="10"/>
  <c r="BG169" i="10"/>
  <c r="T170" i="10"/>
  <c r="AG170" i="10"/>
  <c r="AT170" i="10"/>
  <c r="BG170" i="10"/>
  <c r="T171" i="10"/>
  <c r="AG171" i="10"/>
  <c r="AT171" i="10"/>
  <c r="BG171" i="10"/>
  <c r="T172" i="10"/>
  <c r="AG172" i="10"/>
  <c r="AT172" i="10"/>
  <c r="BG172" i="10"/>
  <c r="T173" i="10"/>
  <c r="AG173" i="10"/>
  <c r="AT173" i="10"/>
  <c r="BG173" i="10"/>
  <c r="T174" i="10"/>
  <c r="AG174" i="10"/>
  <c r="AT174" i="10"/>
  <c r="BG174" i="10"/>
  <c r="T175" i="10"/>
  <c r="AG175" i="10"/>
  <c r="AT175" i="10"/>
  <c r="BG175" i="10"/>
  <c r="T176" i="10"/>
  <c r="AG176" i="10"/>
  <c r="AT176" i="10"/>
  <c r="BG176" i="10"/>
  <c r="T177" i="10"/>
  <c r="AG177" i="10"/>
  <c r="AT177" i="10"/>
  <c r="BG177" i="10"/>
  <c r="T178" i="10"/>
  <c r="AG178" i="10"/>
  <c r="AT178" i="10"/>
  <c r="BG178" i="10"/>
  <c r="T179" i="10"/>
  <c r="AG179" i="10"/>
  <c r="AT179" i="10"/>
  <c r="BG179" i="10"/>
  <c r="T180" i="10"/>
  <c r="AG180" i="10"/>
  <c r="AT180" i="10"/>
  <c r="BG180" i="10"/>
  <c r="T181" i="10"/>
  <c r="AG181" i="10"/>
  <c r="AT181" i="10"/>
  <c r="BG181" i="10"/>
  <c r="T182" i="10"/>
  <c r="AG182" i="10"/>
  <c r="AT182" i="10"/>
  <c r="BG182" i="10"/>
  <c r="T183" i="10"/>
  <c r="AG183" i="10"/>
  <c r="AT183" i="10"/>
  <c r="BG183" i="10"/>
  <c r="T184" i="10"/>
  <c r="AG184" i="10"/>
  <c r="AT184" i="10"/>
  <c r="BG184" i="10"/>
  <c r="T185" i="10"/>
  <c r="AG185" i="10"/>
  <c r="AT185" i="10"/>
  <c r="BG185" i="10"/>
  <c r="T186" i="10"/>
  <c r="AG186" i="10"/>
  <c r="AT186" i="10"/>
  <c r="BG186" i="10"/>
  <c r="T187" i="10"/>
  <c r="AG187" i="10"/>
  <c r="AT187" i="10"/>
  <c r="BG187" i="10"/>
  <c r="T188" i="10"/>
  <c r="AG188" i="10"/>
  <c r="AT188" i="10"/>
  <c r="BG188" i="10"/>
  <c r="T189" i="10"/>
  <c r="AG189" i="10"/>
  <c r="AT189" i="10"/>
  <c r="BG189" i="10"/>
  <c r="T190" i="10"/>
  <c r="AG190" i="10"/>
  <c r="AT190" i="10"/>
  <c r="BG190" i="10"/>
  <c r="T191" i="10"/>
  <c r="AG191" i="10"/>
  <c r="AT191" i="10"/>
  <c r="BG191" i="10"/>
  <c r="T192" i="10"/>
  <c r="AG192" i="10"/>
  <c r="AT192" i="10"/>
  <c r="BG192" i="10"/>
  <c r="T193" i="10"/>
  <c r="AG193" i="10"/>
  <c r="AT193" i="10"/>
  <c r="BG193" i="10"/>
  <c r="T194" i="10"/>
  <c r="AG194" i="10"/>
  <c r="AT194" i="10"/>
  <c r="BG194" i="10"/>
  <c r="T195" i="10"/>
  <c r="AG195" i="10"/>
  <c r="AT195" i="10"/>
  <c r="BG195" i="10"/>
  <c r="T196" i="10"/>
  <c r="AG196" i="10"/>
  <c r="AT196" i="10"/>
  <c r="BG196" i="10"/>
  <c r="T197" i="10"/>
  <c r="AG197" i="10"/>
  <c r="AT197" i="10"/>
  <c r="BG197" i="10"/>
  <c r="T198" i="10"/>
  <c r="AG198" i="10"/>
  <c r="AT198" i="10"/>
  <c r="BG198" i="10"/>
  <c r="T199" i="10"/>
  <c r="AG199" i="10"/>
  <c r="AT199" i="10"/>
  <c r="BG199" i="10"/>
  <c r="T200" i="10"/>
  <c r="AG200" i="10"/>
  <c r="AT200" i="10"/>
  <c r="BG200" i="10"/>
  <c r="T201" i="10"/>
  <c r="AG201" i="10"/>
  <c r="AT201" i="10"/>
  <c r="BG201" i="10"/>
  <c r="T202" i="10"/>
  <c r="AG202" i="10"/>
  <c r="AT202" i="10"/>
  <c r="BG202" i="10"/>
  <c r="T203" i="10"/>
  <c r="AG203" i="10"/>
  <c r="AT203" i="10"/>
  <c r="BG203" i="10"/>
  <c r="T204" i="10"/>
  <c r="AG204" i="10"/>
  <c r="AT204" i="10"/>
  <c r="BG204" i="10"/>
  <c r="T205" i="10"/>
  <c r="AG205" i="10"/>
  <c r="AT205" i="10"/>
  <c r="BG205" i="10"/>
  <c r="T206" i="10"/>
  <c r="AG206" i="10"/>
  <c r="AT206" i="10"/>
  <c r="BG206" i="10"/>
  <c r="T207" i="10"/>
  <c r="AG207" i="10"/>
  <c r="AT207" i="10"/>
  <c r="BG207" i="10"/>
  <c r="T208" i="10"/>
  <c r="AG208" i="10"/>
  <c r="AT208" i="10"/>
  <c r="BG208" i="10"/>
  <c r="T209" i="10"/>
  <c r="AG209" i="10"/>
  <c r="AT209" i="10"/>
  <c r="BG209" i="10"/>
  <c r="T210" i="10"/>
  <c r="AG210" i="10"/>
  <c r="AT210" i="10"/>
  <c r="BG210" i="10"/>
  <c r="T211" i="10"/>
  <c r="AG211" i="10"/>
  <c r="AT211" i="10"/>
  <c r="BG211" i="10"/>
  <c r="T212" i="10"/>
  <c r="AG212" i="10"/>
  <c r="AT212" i="10"/>
  <c r="BG212" i="10"/>
  <c r="T213" i="10"/>
  <c r="AG213" i="10"/>
  <c r="AT213" i="10"/>
  <c r="BG213" i="10"/>
  <c r="BG214" i="10"/>
  <c r="BG215" i="10"/>
  <c r="T216" i="10"/>
  <c r="AG216" i="10"/>
  <c r="AT216" i="10"/>
  <c r="BG216" i="10"/>
  <c r="T217" i="10"/>
  <c r="AG217" i="10"/>
  <c r="AT217" i="10"/>
  <c r="BG217" i="10"/>
  <c r="T219" i="10"/>
  <c r="AG219" i="10"/>
  <c r="AT219" i="10"/>
  <c r="BG219" i="10"/>
  <c r="T220" i="10"/>
  <c r="AG220" i="10"/>
  <c r="AT220" i="10"/>
  <c r="BG220" i="10"/>
  <c r="T221" i="10"/>
  <c r="AG221" i="10"/>
  <c r="AT221" i="10"/>
  <c r="BG221" i="10"/>
  <c r="T222" i="10"/>
  <c r="AG222" i="10"/>
  <c r="AT222" i="10"/>
  <c r="BG222" i="10"/>
  <c r="T223" i="10"/>
  <c r="AG223" i="10"/>
  <c r="AT223" i="10"/>
  <c r="BG223" i="10"/>
  <c r="T224" i="10"/>
  <c r="AG224" i="10"/>
  <c r="AT224" i="10"/>
  <c r="BG224" i="10"/>
  <c r="T225" i="10"/>
  <c r="AG225" i="10"/>
  <c r="AT225" i="10"/>
  <c r="BG225" i="10"/>
  <c r="T226" i="10"/>
  <c r="AG226" i="10"/>
  <c r="AT226" i="10"/>
  <c r="BG226" i="10"/>
  <c r="T227" i="10"/>
  <c r="AG227" i="10"/>
  <c r="AT227" i="10"/>
  <c r="BG227" i="10"/>
  <c r="T228" i="10"/>
  <c r="AG228" i="10"/>
  <c r="AT228" i="10"/>
  <c r="BG228" i="10"/>
  <c r="T229" i="10"/>
  <c r="AG229" i="10"/>
  <c r="AT229" i="10"/>
  <c r="BG229" i="10"/>
  <c r="T230" i="10"/>
  <c r="AG230" i="10"/>
  <c r="AT230" i="10"/>
  <c r="BG230" i="10"/>
  <c r="T231" i="10"/>
  <c r="AG231" i="10"/>
  <c r="AT231" i="10"/>
  <c r="BG231" i="10"/>
  <c r="T232" i="10"/>
  <c r="AG232" i="10"/>
  <c r="AT232" i="10"/>
  <c r="BG232" i="10"/>
  <c r="T233" i="10"/>
  <c r="AG233" i="10"/>
  <c r="AT233" i="10"/>
  <c r="BG233" i="10"/>
  <c r="T234" i="10"/>
  <c r="AG234" i="10"/>
  <c r="AT234" i="10"/>
  <c r="BG234" i="10"/>
  <c r="T235" i="10"/>
  <c r="AG235" i="10"/>
  <c r="AT235" i="10"/>
  <c r="BG235" i="10"/>
  <c r="T236" i="10"/>
  <c r="AG236" i="10"/>
  <c r="AT236" i="10"/>
  <c r="BG236" i="10"/>
  <c r="T237" i="10"/>
  <c r="AG237" i="10"/>
  <c r="AT237" i="10"/>
  <c r="BG237" i="10"/>
  <c r="T238" i="10"/>
  <c r="AG238" i="10"/>
  <c r="AT238" i="10"/>
  <c r="BG238" i="10"/>
  <c r="T239" i="10"/>
  <c r="AG239" i="10"/>
  <c r="AT239" i="10"/>
  <c r="BG239" i="10"/>
  <c r="T240" i="10"/>
  <c r="AG240" i="10"/>
  <c r="AT240" i="10"/>
  <c r="BG240" i="10"/>
  <c r="T241" i="10"/>
  <c r="AG241" i="10"/>
  <c r="AT241" i="10"/>
  <c r="BG241" i="10"/>
  <c r="T242" i="10"/>
  <c r="AG242" i="10"/>
  <c r="AT242" i="10"/>
  <c r="BG242" i="10"/>
  <c r="T243" i="10"/>
  <c r="AG243" i="10"/>
  <c r="AT243" i="10"/>
  <c r="BG243" i="10"/>
  <c r="T244" i="10"/>
  <c r="AG244" i="10"/>
  <c r="AT244" i="10"/>
  <c r="BG244" i="10"/>
  <c r="T245" i="10"/>
  <c r="AG245" i="10"/>
  <c r="AT245" i="10"/>
  <c r="BG245" i="10"/>
  <c r="T246" i="10"/>
  <c r="AG246" i="10"/>
  <c r="AT246" i="10"/>
  <c r="BG246" i="10"/>
  <c r="T247" i="10"/>
  <c r="AG247" i="10"/>
  <c r="AT247" i="10"/>
  <c r="BG247" i="10"/>
  <c r="T248" i="10"/>
  <c r="AG248" i="10"/>
  <c r="AT248" i="10"/>
  <c r="BG248" i="10"/>
  <c r="T249" i="10"/>
  <c r="AG249" i="10"/>
  <c r="AT249" i="10"/>
  <c r="BG249" i="10"/>
  <c r="T250" i="10"/>
  <c r="AG250" i="10"/>
  <c r="AT250" i="10"/>
  <c r="BG250" i="10"/>
  <c r="T251" i="10"/>
  <c r="AG251" i="10"/>
  <c r="AT251" i="10"/>
  <c r="BG251" i="10"/>
  <c r="T252" i="10"/>
  <c r="AG252" i="10"/>
  <c r="AT252" i="10"/>
  <c r="BG252" i="10"/>
  <c r="T253" i="10"/>
  <c r="AG253" i="10"/>
  <c r="AT253" i="10"/>
  <c r="BG253" i="10"/>
  <c r="T254" i="10"/>
  <c r="AG254" i="10"/>
  <c r="AT254" i="10"/>
  <c r="BG254" i="10"/>
  <c r="T255" i="10"/>
  <c r="AG255" i="10"/>
  <c r="AT255" i="10"/>
  <c r="BG255" i="10"/>
  <c r="T256" i="10"/>
  <c r="AG256" i="10"/>
  <c r="AT256" i="10"/>
  <c r="BG256" i="10"/>
  <c r="T257" i="10"/>
  <c r="AG257" i="10"/>
  <c r="AT257" i="10"/>
  <c r="BG257" i="10"/>
  <c r="T258" i="10"/>
  <c r="AG258" i="10"/>
  <c r="AT258" i="10"/>
  <c r="BG258" i="10"/>
  <c r="T259" i="10"/>
  <c r="AG259" i="10"/>
  <c r="AT259" i="10"/>
  <c r="BG259" i="10"/>
  <c r="T260" i="10"/>
  <c r="AG260" i="10"/>
  <c r="AT260" i="10"/>
  <c r="BG260" i="10"/>
  <c r="T261" i="10"/>
  <c r="AG261" i="10"/>
  <c r="AT261" i="10"/>
  <c r="BG261" i="10"/>
  <c r="T262" i="10"/>
  <c r="AG262" i="10"/>
  <c r="AT262" i="10"/>
  <c r="BG262" i="10"/>
  <c r="T263" i="10"/>
  <c r="AG263" i="10"/>
  <c r="AT263" i="10"/>
  <c r="BG263" i="10"/>
  <c r="T264" i="10"/>
  <c r="AG264" i="10"/>
  <c r="AT264" i="10"/>
  <c r="BG264" i="10"/>
  <c r="T265" i="10"/>
  <c r="AG265" i="10"/>
  <c r="AT265" i="10"/>
  <c r="BG265" i="10"/>
  <c r="T266" i="10"/>
  <c r="AG266" i="10"/>
  <c r="AT266" i="10"/>
  <c r="BG266" i="10"/>
  <c r="T267" i="10"/>
  <c r="AG267" i="10"/>
  <c r="AT267" i="10"/>
  <c r="BG267" i="10"/>
  <c r="T268" i="10"/>
  <c r="AG268" i="10"/>
  <c r="AT268" i="10"/>
  <c r="BG268" i="10"/>
  <c r="T269" i="10"/>
  <c r="AG269" i="10"/>
  <c r="AT269" i="10"/>
  <c r="BG269" i="10"/>
  <c r="T270" i="10"/>
  <c r="AG270" i="10"/>
  <c r="AT270" i="10"/>
  <c r="BG270" i="10"/>
  <c r="T271" i="10"/>
  <c r="AG271" i="10"/>
  <c r="AT271" i="10"/>
  <c r="BG271" i="10"/>
  <c r="T272" i="10"/>
  <c r="AG272" i="10"/>
  <c r="AT272" i="10"/>
  <c r="BG272" i="10"/>
  <c r="T273" i="10"/>
  <c r="AG273" i="10"/>
  <c r="AT273" i="10"/>
  <c r="BG273" i="10"/>
  <c r="T274" i="10"/>
  <c r="AG274" i="10"/>
  <c r="AT274" i="10"/>
  <c r="BG274" i="10"/>
  <c r="T275" i="10"/>
  <c r="AG275" i="10"/>
  <c r="AT275" i="10"/>
  <c r="BG275" i="10"/>
  <c r="T276" i="10"/>
  <c r="AG276" i="10"/>
  <c r="AT276" i="10"/>
  <c r="BG276" i="10"/>
  <c r="T277" i="10"/>
  <c r="AG277" i="10"/>
  <c r="AT277" i="10"/>
  <c r="BG277" i="10"/>
  <c r="T278" i="10"/>
  <c r="AG278" i="10"/>
  <c r="AT278" i="10"/>
  <c r="BG278" i="10"/>
  <c r="T279" i="10"/>
  <c r="AG279" i="10"/>
  <c r="AT279" i="10"/>
  <c r="BG279" i="10"/>
  <c r="T280" i="10"/>
  <c r="AG280" i="10"/>
  <c r="AT280" i="10"/>
  <c r="BG280" i="10"/>
  <c r="T281" i="10"/>
  <c r="AG281" i="10"/>
  <c r="AT281" i="10"/>
  <c r="BG281" i="10"/>
  <c r="T283" i="10"/>
  <c r="AG283" i="10"/>
  <c r="AT283" i="10"/>
  <c r="BG283" i="10"/>
  <c r="T284" i="10"/>
  <c r="AG284" i="10"/>
  <c r="AT284" i="10"/>
  <c r="BG284" i="10"/>
  <c r="T285" i="10"/>
  <c r="AG285" i="10"/>
  <c r="AT285" i="10"/>
  <c r="BG285" i="10"/>
  <c r="T286" i="10"/>
  <c r="AG286" i="10"/>
  <c r="AT286" i="10"/>
  <c r="BG286" i="10"/>
  <c r="T287" i="10"/>
  <c r="AG287" i="10"/>
  <c r="AT287" i="10"/>
  <c r="BG287" i="10"/>
  <c r="T288" i="10"/>
  <c r="AG288" i="10"/>
  <c r="AT288" i="10"/>
  <c r="BG288" i="10"/>
  <c r="T289" i="10"/>
  <c r="AG289" i="10"/>
  <c r="AT289" i="10"/>
  <c r="BG289" i="10"/>
  <c r="T292" i="10"/>
  <c r="AG292" i="10"/>
  <c r="AT292" i="10"/>
  <c r="BG292" i="10"/>
  <c r="T293" i="10"/>
  <c r="AG293" i="10"/>
  <c r="AT293" i="10"/>
  <c r="BG293" i="10"/>
  <c r="T294" i="10"/>
  <c r="AG294" i="10"/>
  <c r="AT294" i="10"/>
  <c r="BG294" i="10"/>
  <c r="T295" i="10"/>
  <c r="AG295" i="10"/>
  <c r="AT295" i="10"/>
  <c r="BG295" i="10"/>
  <c r="T296" i="10"/>
  <c r="AG296" i="10"/>
  <c r="AT296" i="10"/>
  <c r="BG296" i="10"/>
  <c r="T297" i="10"/>
  <c r="AG297" i="10"/>
  <c r="AT297" i="10"/>
  <c r="BG297" i="10"/>
  <c r="T298" i="10"/>
  <c r="AG298" i="10"/>
  <c r="AT298" i="10"/>
  <c r="BG298" i="10"/>
  <c r="T299" i="10"/>
  <c r="AG299" i="10"/>
  <c r="AT299" i="10"/>
  <c r="BG299" i="10"/>
  <c r="T300" i="10"/>
  <c r="AG300" i="10"/>
  <c r="AT300" i="10"/>
  <c r="BG300" i="10"/>
  <c r="T301" i="10"/>
  <c r="AG301" i="10"/>
  <c r="AT301" i="10"/>
  <c r="BG301" i="10"/>
  <c r="T302" i="10"/>
  <c r="AG302" i="10"/>
  <c r="AT302" i="10"/>
  <c r="BG302" i="10"/>
  <c r="T303" i="10"/>
  <c r="AG303" i="10"/>
  <c r="AT303" i="10"/>
  <c r="BG303" i="10"/>
  <c r="T304" i="10"/>
  <c r="AG304" i="10"/>
  <c r="AT304" i="10"/>
  <c r="BG304" i="10"/>
  <c r="AG305" i="10"/>
  <c r="AT305" i="10"/>
  <c r="BG305" i="10"/>
  <c r="T306" i="10"/>
  <c r="AG306" i="10"/>
  <c r="AT306" i="10"/>
  <c r="BG306" i="10"/>
  <c r="T307" i="10"/>
  <c r="AG307" i="10"/>
  <c r="AT307" i="10"/>
  <c r="BG307" i="10"/>
  <c r="T308" i="10"/>
  <c r="AG308" i="10"/>
  <c r="AT308" i="10"/>
  <c r="BG308" i="10"/>
  <c r="T309" i="10"/>
  <c r="AG309" i="10"/>
  <c r="AT309" i="10"/>
  <c r="BG309" i="10"/>
  <c r="T310" i="10"/>
  <c r="AG310" i="10"/>
  <c r="AT310" i="10"/>
  <c r="BG310" i="10"/>
  <c r="T311" i="10"/>
  <c r="AG311" i="10"/>
  <c r="AT311" i="10"/>
  <c r="BG311" i="10"/>
  <c r="T312" i="10"/>
  <c r="AG312" i="10"/>
  <c r="AT312" i="10"/>
  <c r="BG312" i="10"/>
  <c r="T313" i="10"/>
  <c r="AG313" i="10"/>
  <c r="AT313" i="10"/>
  <c r="BG313" i="10"/>
  <c r="T314" i="10"/>
  <c r="AG314" i="10"/>
  <c r="AT314" i="10"/>
  <c r="BG314" i="10"/>
  <c r="E1441" i="11" l="1"/>
  <c r="E3131" i="11"/>
  <c r="E3157" i="11" a="1"/>
  <c r="E3157" i="11" s="1"/>
  <c r="E1559" i="11"/>
  <c r="E3183" i="11" a="1"/>
  <c r="E3183" i="11" s="1"/>
  <c r="G3131" i="11"/>
  <c r="G3130" i="11"/>
  <c r="E3130" i="11"/>
  <c r="E1558" i="11"/>
  <c r="E3155" i="11" a="1"/>
  <c r="E3155" i="11" s="1"/>
  <c r="E3154" i="11" a="1"/>
  <c r="E3154" i="11" s="1"/>
  <c r="E3153" i="11" a="1"/>
  <c r="E3153" i="11" s="1"/>
  <c r="E3181" i="11" a="1"/>
  <c r="E3181" i="11" s="1"/>
  <c r="E3180" i="11" a="1"/>
  <c r="E3180" i="11" s="1"/>
  <c r="E3179" i="11" a="1"/>
  <c r="E3179" i="11" s="1"/>
  <c r="E3156" i="11" a="1"/>
  <c r="E3156" i="11" s="1"/>
  <c r="E3182" i="11" a="1"/>
  <c r="E3182" i="11" s="1"/>
  <c r="B85" i="36" a="1"/>
  <c r="B85" i="36" s="1"/>
  <c r="B82" i="36" a="1"/>
  <c r="B82" i="36" s="1"/>
  <c r="C81" i="36" a="1"/>
  <c r="C81" i="36" s="1"/>
  <c r="B83" i="36" a="1"/>
  <c r="B83" i="36" s="1"/>
  <c r="C83" i="36" a="1"/>
  <c r="C83" i="36" s="1"/>
  <c r="C82" i="36" a="1"/>
  <c r="C82" i="36" s="1"/>
  <c r="B84" i="36" a="1"/>
  <c r="B84" i="36" s="1"/>
  <c r="C85" i="36" a="1"/>
  <c r="C85" i="36" s="1"/>
  <c r="B81" i="36" a="1"/>
  <c r="B81" i="36" s="1"/>
  <c r="C84" i="36" a="1"/>
  <c r="C84" i="36" s="1"/>
  <c r="E3178" i="11" a="1"/>
  <c r="E3178" i="11" s="1"/>
  <c r="E3152" i="11" a="1"/>
  <c r="E3152" i="11" s="1"/>
  <c r="F138" i="39"/>
  <c r="F276" i="39"/>
  <c r="F207" i="39"/>
  <c r="G69" i="39"/>
  <c r="F69" i="39"/>
  <c r="G138" i="39"/>
  <c r="G207" i="39"/>
  <c r="G276" i="39"/>
  <c r="G10" i="39"/>
  <c r="G22" i="39"/>
  <c r="G34" i="39"/>
  <c r="G46" i="39"/>
  <c r="G58" i="39"/>
  <c r="G72" i="39"/>
  <c r="G84" i="39"/>
  <c r="G96" i="39"/>
  <c r="G108" i="39"/>
  <c r="G120" i="39"/>
  <c r="G132" i="39"/>
  <c r="G146" i="39"/>
  <c r="G158" i="39"/>
  <c r="G170" i="39"/>
  <c r="G182" i="39"/>
  <c r="G194" i="39"/>
  <c r="G206" i="39"/>
  <c r="G220" i="39"/>
  <c r="G232" i="39"/>
  <c r="G244" i="39"/>
  <c r="G256" i="39"/>
  <c r="G268" i="39"/>
  <c r="F214" i="39"/>
  <c r="F226" i="39"/>
  <c r="F238" i="39"/>
  <c r="F250" i="39"/>
  <c r="F262" i="39"/>
  <c r="F274" i="39"/>
  <c r="G11" i="39"/>
  <c r="G12" i="39"/>
  <c r="G24" i="39"/>
  <c r="G36" i="39"/>
  <c r="G48" i="39"/>
  <c r="G60" i="39"/>
  <c r="G74" i="39"/>
  <c r="G86" i="39"/>
  <c r="G98" i="39"/>
  <c r="G110" i="39"/>
  <c r="G122" i="39"/>
  <c r="G134" i="39"/>
  <c r="G148" i="39"/>
  <c r="G160" i="39"/>
  <c r="G172" i="39"/>
  <c r="G184" i="39"/>
  <c r="G196" i="39"/>
  <c r="G210" i="39"/>
  <c r="G222" i="39"/>
  <c r="G234" i="39"/>
  <c r="G246" i="39"/>
  <c r="G258" i="39"/>
  <c r="G270" i="39"/>
  <c r="F216" i="39"/>
  <c r="F228" i="39"/>
  <c r="F240" i="39"/>
  <c r="F252" i="39"/>
  <c r="F264" i="39"/>
  <c r="F209" i="39"/>
  <c r="G13" i="39"/>
  <c r="G25" i="39"/>
  <c r="G37" i="39"/>
  <c r="G49" i="39"/>
  <c r="G61" i="39"/>
  <c r="G75" i="39"/>
  <c r="G87" i="39"/>
  <c r="G99" i="39"/>
  <c r="G111" i="39"/>
  <c r="G123" i="39"/>
  <c r="G135" i="39"/>
  <c r="G149" i="39"/>
  <c r="G161" i="39"/>
  <c r="G173" i="39"/>
  <c r="G185" i="39"/>
  <c r="G197" i="39"/>
  <c r="G211" i="39"/>
  <c r="G223" i="39"/>
  <c r="G235" i="39"/>
  <c r="G247" i="39"/>
  <c r="G259" i="39"/>
  <c r="G271" i="39"/>
  <c r="F217" i="39"/>
  <c r="F229" i="39"/>
  <c r="F241" i="39"/>
  <c r="F253" i="39"/>
  <c r="F265" i="39"/>
  <c r="G2" i="39"/>
  <c r="G4" i="39"/>
  <c r="G16" i="39"/>
  <c r="G28" i="39"/>
  <c r="G40" i="39"/>
  <c r="G52" i="39"/>
  <c r="G64" i="39"/>
  <c r="G78" i="39"/>
  <c r="G90" i="39"/>
  <c r="G102" i="39"/>
  <c r="G114" i="39"/>
  <c r="G126" i="39"/>
  <c r="G140" i="39"/>
  <c r="G152" i="39"/>
  <c r="G164" i="39"/>
  <c r="G176" i="39"/>
  <c r="G188" i="39"/>
  <c r="G200" i="39"/>
  <c r="G214" i="39"/>
  <c r="G226" i="39"/>
  <c r="G238" i="39"/>
  <c r="G250" i="39"/>
  <c r="G262" i="39"/>
  <c r="G274" i="39"/>
  <c r="F220" i="39"/>
  <c r="F232" i="39"/>
  <c r="F244" i="39"/>
  <c r="F256" i="39"/>
  <c r="F268" i="39"/>
  <c r="F71" i="39"/>
  <c r="F10" i="39"/>
  <c r="F22" i="39"/>
  <c r="F34" i="39"/>
  <c r="F46" i="39"/>
  <c r="F58" i="39"/>
  <c r="G9" i="39"/>
  <c r="G30" i="39"/>
  <c r="G47" i="39"/>
  <c r="G66" i="39"/>
  <c r="G85" i="39"/>
  <c r="G104" i="39"/>
  <c r="G121" i="39"/>
  <c r="G142" i="39"/>
  <c r="G159" i="39"/>
  <c r="G178" i="39"/>
  <c r="G195" i="39"/>
  <c r="G216" i="39"/>
  <c r="G233" i="39"/>
  <c r="G252" i="39"/>
  <c r="G269" i="39"/>
  <c r="F222" i="39"/>
  <c r="F239" i="39"/>
  <c r="F258" i="39"/>
  <c r="F275" i="39"/>
  <c r="F6" i="39"/>
  <c r="F19" i="39"/>
  <c r="F32" i="39"/>
  <c r="F45" i="39"/>
  <c r="F59" i="39"/>
  <c r="G17" i="39"/>
  <c r="G33" i="39"/>
  <c r="G53" i="39"/>
  <c r="G71" i="39"/>
  <c r="G91" i="39"/>
  <c r="G107" i="39"/>
  <c r="G127" i="39"/>
  <c r="G145" i="39"/>
  <c r="G165" i="39"/>
  <c r="G181" i="39"/>
  <c r="G201" i="39"/>
  <c r="G219" i="39"/>
  <c r="G239" i="39"/>
  <c r="G255" i="39"/>
  <c r="G275" i="39"/>
  <c r="F225" i="39"/>
  <c r="F245" i="39"/>
  <c r="F261" i="39"/>
  <c r="F140" i="39"/>
  <c r="F9" i="39"/>
  <c r="F23" i="39"/>
  <c r="F36" i="39"/>
  <c r="F49" i="39"/>
  <c r="F62" i="39"/>
  <c r="G18" i="39"/>
  <c r="G35" i="39"/>
  <c r="G54" i="39"/>
  <c r="G73" i="39"/>
  <c r="G92" i="39"/>
  <c r="G109" i="39"/>
  <c r="G128" i="39"/>
  <c r="G147" i="39"/>
  <c r="G166" i="39"/>
  <c r="G183" i="39"/>
  <c r="G202" i="39"/>
  <c r="G221" i="39"/>
  <c r="G240" i="39"/>
  <c r="G257" i="39"/>
  <c r="F210" i="39"/>
  <c r="F227" i="39"/>
  <c r="F246" i="39"/>
  <c r="F263" i="39"/>
  <c r="F11" i="39"/>
  <c r="F24" i="39"/>
  <c r="G26" i="39"/>
  <c r="G50" i="39"/>
  <c r="G77" i="39"/>
  <c r="G100" i="39"/>
  <c r="G124" i="39"/>
  <c r="G151" i="39"/>
  <c r="G174" i="39"/>
  <c r="G198" i="39"/>
  <c r="G225" i="39"/>
  <c r="G248" i="39"/>
  <c r="G272" i="39"/>
  <c r="F231" i="39"/>
  <c r="F254" i="39"/>
  <c r="F3" i="39"/>
  <c r="F20" i="39"/>
  <c r="F38" i="39"/>
  <c r="F53" i="39"/>
  <c r="F25" i="39"/>
  <c r="G38" i="39"/>
  <c r="G83" i="39"/>
  <c r="G133" i="39"/>
  <c r="G186" i="39"/>
  <c r="G231" i="39"/>
  <c r="F215" i="39"/>
  <c r="F266" i="39"/>
  <c r="F12" i="39"/>
  <c r="F43" i="39"/>
  <c r="G3" i="39"/>
  <c r="G27" i="39"/>
  <c r="G51" i="39"/>
  <c r="G79" i="39"/>
  <c r="G101" i="39"/>
  <c r="G125" i="39"/>
  <c r="G153" i="39"/>
  <c r="G175" i="39"/>
  <c r="G199" i="39"/>
  <c r="G227" i="39"/>
  <c r="G249" i="39"/>
  <c r="G273" i="39"/>
  <c r="F233" i="39"/>
  <c r="F255" i="39"/>
  <c r="F4" i="39"/>
  <c r="F21" i="39"/>
  <c r="F39" i="39"/>
  <c r="F54" i="39"/>
  <c r="F2" i="39"/>
  <c r="G5" i="39"/>
  <c r="G29" i="39"/>
  <c r="G55" i="39"/>
  <c r="G80" i="39"/>
  <c r="G103" i="39"/>
  <c r="G129" i="39"/>
  <c r="G154" i="39"/>
  <c r="G177" i="39"/>
  <c r="G203" i="39"/>
  <c r="G228" i="39"/>
  <c r="G251" i="39"/>
  <c r="F211" i="39"/>
  <c r="F234" i="39"/>
  <c r="F257" i="39"/>
  <c r="F5" i="39"/>
  <c r="F40" i="39"/>
  <c r="F55" i="39"/>
  <c r="G8" i="39"/>
  <c r="G59" i="39"/>
  <c r="G112" i="39"/>
  <c r="G157" i="39"/>
  <c r="G209" i="39"/>
  <c r="G260" i="39"/>
  <c r="F237" i="39"/>
  <c r="F28" i="39"/>
  <c r="F60" i="39"/>
  <c r="G6" i="39"/>
  <c r="G31" i="39"/>
  <c r="G56" i="39"/>
  <c r="G81" i="39"/>
  <c r="G105" i="39"/>
  <c r="G130" i="39"/>
  <c r="G155" i="39"/>
  <c r="G179" i="39"/>
  <c r="G204" i="39"/>
  <c r="G229" i="39"/>
  <c r="G253" i="39"/>
  <c r="F212" i="39"/>
  <c r="F235" i="39"/>
  <c r="F259" i="39"/>
  <c r="F7" i="39"/>
  <c r="F26" i="39"/>
  <c r="F41" i="39"/>
  <c r="F56" i="39"/>
  <c r="G7" i="39"/>
  <c r="G32" i="39"/>
  <c r="G57" i="39"/>
  <c r="G82" i="39"/>
  <c r="G106" i="39"/>
  <c r="G131" i="39"/>
  <c r="G156" i="39"/>
  <c r="G180" i="39"/>
  <c r="G205" i="39"/>
  <c r="G230" i="39"/>
  <c r="G254" i="39"/>
  <c r="F213" i="39"/>
  <c r="F236" i="39"/>
  <c r="F260" i="39"/>
  <c r="F8" i="39"/>
  <c r="F27" i="39"/>
  <c r="F42" i="39"/>
  <c r="F57" i="39"/>
  <c r="G21" i="39"/>
  <c r="G44" i="39"/>
  <c r="G68" i="39"/>
  <c r="G95" i="39"/>
  <c r="G118" i="39"/>
  <c r="G144" i="39"/>
  <c r="G169" i="39"/>
  <c r="G192" i="39"/>
  <c r="G218" i="39"/>
  <c r="G243" i="39"/>
  <c r="G266" i="39"/>
  <c r="F224" i="39"/>
  <c r="F249" i="39"/>
  <c r="F272" i="39"/>
  <c r="F17" i="39"/>
  <c r="G23" i="39"/>
  <c r="G45" i="39"/>
  <c r="G76" i="39"/>
  <c r="G97" i="39"/>
  <c r="G119" i="39"/>
  <c r="G150" i="39"/>
  <c r="G171" i="39"/>
  <c r="G193" i="39"/>
  <c r="G224" i="39"/>
  <c r="G245" i="39"/>
  <c r="G267" i="39"/>
  <c r="F230" i="39"/>
  <c r="F251" i="39"/>
  <c r="F273" i="39"/>
  <c r="G65" i="39"/>
  <c r="G141" i="39"/>
  <c r="G215" i="39"/>
  <c r="F221" i="39"/>
  <c r="F31" i="39"/>
  <c r="F64" i="39"/>
  <c r="F271" i="39"/>
  <c r="F29" i="39"/>
  <c r="G137" i="39"/>
  <c r="G67" i="39"/>
  <c r="G143" i="39"/>
  <c r="G217" i="39"/>
  <c r="F223" i="39"/>
  <c r="F33" i="39"/>
  <c r="F65" i="39"/>
  <c r="F218" i="39"/>
  <c r="G63" i="39"/>
  <c r="G14" i="39"/>
  <c r="G88" i="39"/>
  <c r="G162" i="39"/>
  <c r="G236" i="39"/>
  <c r="F242" i="39"/>
  <c r="F35" i="39"/>
  <c r="F66" i="39"/>
  <c r="G237" i="39"/>
  <c r="F37" i="39"/>
  <c r="G190" i="39"/>
  <c r="G191" i="39"/>
  <c r="G212" i="39"/>
  <c r="G15" i="39"/>
  <c r="G89" i="39"/>
  <c r="G163" i="39"/>
  <c r="F243" i="39"/>
  <c r="F67" i="39"/>
  <c r="G264" i="39"/>
  <c r="G265" i="39"/>
  <c r="G213" i="39"/>
  <c r="G19" i="39"/>
  <c r="G93" i="39"/>
  <c r="G167" i="39"/>
  <c r="G241" i="39"/>
  <c r="F247" i="39"/>
  <c r="F44" i="39"/>
  <c r="G20" i="39"/>
  <c r="G94" i="39"/>
  <c r="G168" i="39"/>
  <c r="G242" i="39"/>
  <c r="F248" i="39"/>
  <c r="F13" i="39"/>
  <c r="F47" i="39"/>
  <c r="G263" i="39"/>
  <c r="F15" i="39"/>
  <c r="G42" i="39"/>
  <c r="F51" i="39"/>
  <c r="G117" i="39"/>
  <c r="F18" i="39"/>
  <c r="G136" i="39"/>
  <c r="F61" i="39"/>
  <c r="H61" i="39" s="1"/>
  <c r="F30" i="39"/>
  <c r="F270" i="39"/>
  <c r="G39" i="39"/>
  <c r="G113" i="39"/>
  <c r="G187" i="39"/>
  <c r="G261" i="39"/>
  <c r="F267" i="39"/>
  <c r="F14" i="39"/>
  <c r="F48" i="39"/>
  <c r="G41" i="39"/>
  <c r="G115" i="39"/>
  <c r="G189" i="39"/>
  <c r="F269" i="39"/>
  <c r="F50" i="39"/>
  <c r="G116" i="39"/>
  <c r="F16" i="39"/>
  <c r="G43" i="39"/>
  <c r="F52" i="39"/>
  <c r="G62" i="39"/>
  <c r="F219" i="39"/>
  <c r="F63" i="39"/>
  <c r="F68" i="39"/>
  <c r="F141" i="39"/>
  <c r="F72" i="39"/>
  <c r="H72" i="39" s="1"/>
  <c r="F142" i="39"/>
  <c r="H142" i="39" s="1"/>
  <c r="F144" i="39"/>
  <c r="F143" i="39"/>
  <c r="F73" i="39"/>
  <c r="F145" i="39"/>
  <c r="F74" i="39"/>
  <c r="F146" i="39"/>
  <c r="F75" i="39"/>
  <c r="F147" i="39"/>
  <c r="H147" i="39" s="1"/>
  <c r="F76" i="39"/>
  <c r="F77" i="39"/>
  <c r="F148" i="39"/>
  <c r="F149" i="39"/>
  <c r="F78" i="39"/>
  <c r="F79" i="39"/>
  <c r="F150" i="39"/>
  <c r="F151" i="39"/>
  <c r="F80" i="39"/>
  <c r="F152" i="39"/>
  <c r="F81" i="39"/>
  <c r="F153" i="39"/>
  <c r="F82" i="39"/>
  <c r="F83" i="39"/>
  <c r="F154" i="39"/>
  <c r="F155" i="39"/>
  <c r="F84" i="39"/>
  <c r="F156" i="39"/>
  <c r="F85" i="39"/>
  <c r="F157" i="39"/>
  <c r="F86" i="39"/>
  <c r="F158" i="39"/>
  <c r="H158" i="39" s="1"/>
  <c r="F87" i="39"/>
  <c r="F88" i="39"/>
  <c r="H88" i="39" s="1"/>
  <c r="F159" i="39"/>
  <c r="H159" i="39" s="1"/>
  <c r="F89" i="39"/>
  <c r="F160" i="39"/>
  <c r="H160" i="39" s="1"/>
  <c r="F161" i="39"/>
  <c r="F90" i="39"/>
  <c r="F162" i="39"/>
  <c r="F91" i="39"/>
  <c r="F163" i="39"/>
  <c r="F92" i="39"/>
  <c r="F93" i="39"/>
  <c r="F164" i="39"/>
  <c r="F94" i="39"/>
  <c r="F165" i="39"/>
  <c r="F166" i="39"/>
  <c r="F95" i="39"/>
  <c r="F167" i="39"/>
  <c r="F96" i="39"/>
  <c r="H96" i="39" s="1"/>
  <c r="F168" i="39"/>
  <c r="F97" i="39"/>
  <c r="H97" i="39" s="1"/>
  <c r="F169" i="39"/>
  <c r="F98" i="39"/>
  <c r="F170" i="39"/>
  <c r="F99" i="39"/>
  <c r="F171" i="39"/>
  <c r="F100" i="39"/>
  <c r="F101" i="39"/>
  <c r="F172" i="39"/>
  <c r="F102" i="39"/>
  <c r="F173" i="39"/>
  <c r="F174" i="39"/>
  <c r="F103" i="39"/>
  <c r="F175" i="39"/>
  <c r="F104" i="39"/>
  <c r="F176" i="39"/>
  <c r="F105" i="39"/>
  <c r="F177" i="39"/>
  <c r="F106" i="39"/>
  <c r="F178" i="39"/>
  <c r="F107" i="39"/>
  <c r="F179" i="39"/>
  <c r="F108" i="39"/>
  <c r="F180" i="39"/>
  <c r="F109" i="39"/>
  <c r="F181" i="39"/>
  <c r="F110" i="39"/>
  <c r="F182" i="39"/>
  <c r="F111" i="39"/>
  <c r="F183" i="39"/>
  <c r="F112" i="39"/>
  <c r="F113" i="39"/>
  <c r="F184" i="39"/>
  <c r="F114" i="39"/>
  <c r="F185" i="39"/>
  <c r="F186" i="39"/>
  <c r="F115" i="39"/>
  <c r="F116" i="39"/>
  <c r="F187" i="39"/>
  <c r="F188" i="39"/>
  <c r="F117" i="39"/>
  <c r="F189" i="39"/>
  <c r="F118" i="39"/>
  <c r="F119" i="39"/>
  <c r="F190" i="39"/>
  <c r="F191" i="39"/>
  <c r="F120" i="39"/>
  <c r="F192" i="39"/>
  <c r="F121" i="39"/>
  <c r="F193" i="39"/>
  <c r="F122" i="39"/>
  <c r="F194" i="39"/>
  <c r="F123" i="39"/>
  <c r="F195" i="39"/>
  <c r="F124" i="39"/>
  <c r="F196" i="39"/>
  <c r="F125" i="39"/>
  <c r="F197" i="39"/>
  <c r="F126" i="39"/>
  <c r="F198" i="39"/>
  <c r="F127" i="39"/>
  <c r="F199" i="39"/>
  <c r="F128" i="39"/>
  <c r="F200" i="39"/>
  <c r="F129" i="39"/>
  <c r="F201" i="39"/>
  <c r="F130" i="39"/>
  <c r="F202" i="39"/>
  <c r="F131" i="39"/>
  <c r="F203" i="39"/>
  <c r="F132" i="39"/>
  <c r="F204" i="39"/>
  <c r="F133" i="39"/>
  <c r="F205" i="39"/>
  <c r="F134" i="39"/>
  <c r="F206" i="39"/>
  <c r="F135" i="39"/>
  <c r="F136" i="39"/>
  <c r="F137" i="39"/>
  <c r="B69" i="38" a="1"/>
  <c r="B69" i="38" s="1"/>
  <c r="F69" i="38" s="1" a="1"/>
  <c r="F69" i="38" s="1"/>
  <c r="B61" i="38" a="1"/>
  <c r="B61" i="38" s="1"/>
  <c r="C61" i="38" s="1" a="1"/>
  <c r="C61" i="38" s="1"/>
  <c r="B67" i="38" a="1"/>
  <c r="B67" i="38" s="1"/>
  <c r="F67" i="38" s="1" a="1"/>
  <c r="F67" i="38" s="1"/>
  <c r="B63" i="38" a="1"/>
  <c r="B63" i="38" s="1"/>
  <c r="F63" i="38" s="1" a="1"/>
  <c r="F63" i="38" s="1"/>
  <c r="B64" i="38" a="1"/>
  <c r="B64" i="38" s="1"/>
  <c r="F64" i="38" s="1" a="1"/>
  <c r="F64" i="38" s="1"/>
  <c r="B59" i="38" a="1"/>
  <c r="B59" i="38" s="1"/>
  <c r="F59" i="38" s="1" a="1"/>
  <c r="F59" i="38" s="1"/>
  <c r="B60" i="38" a="1"/>
  <c r="B60" i="38" s="1"/>
  <c r="C60" i="38" s="1" a="1"/>
  <c r="C60" i="38" s="1"/>
  <c r="E3151" i="11" a="1"/>
  <c r="E3151" i="11" s="1"/>
  <c r="B62" i="38" a="1"/>
  <c r="B62" i="38" s="1"/>
  <c r="E62" i="38" s="1" a="1"/>
  <c r="E62" i="38" s="1"/>
  <c r="B68" i="38" a="1"/>
  <c r="B68" i="38" s="1"/>
  <c r="E68" i="38" s="1" a="1"/>
  <c r="E68" i="38" s="1"/>
  <c r="B65" i="38" a="1"/>
  <c r="B65" i="38" s="1"/>
  <c r="F65" i="38" s="1" a="1"/>
  <c r="F65" i="38" s="1"/>
  <c r="B66" i="38" a="1"/>
  <c r="B66" i="38" s="1"/>
  <c r="C66" i="38" s="1" a="1"/>
  <c r="C66" i="38" s="1"/>
  <c r="E3177" i="11" a="1"/>
  <c r="E3177" i="11" s="1"/>
  <c r="C80" i="36" a="1"/>
  <c r="C80" i="36" s="1"/>
  <c r="B80" i="36" a="1"/>
  <c r="B80" i="36" s="1"/>
  <c r="B76" i="36" a="1"/>
  <c r="B76" i="36" s="1"/>
  <c r="B77" i="36" a="1"/>
  <c r="B77" i="36" s="1"/>
  <c r="B78" i="36" a="1"/>
  <c r="B78" i="36" s="1"/>
  <c r="B79" i="36" a="1"/>
  <c r="B79" i="36" s="1"/>
  <c r="C76" i="36" a="1"/>
  <c r="C76" i="36" s="1"/>
  <c r="C77" i="36" a="1"/>
  <c r="C77" i="36" s="1"/>
  <c r="C78" i="36" a="1"/>
  <c r="C78" i="36" s="1"/>
  <c r="C79" i="36" a="1"/>
  <c r="C79" i="36" s="1"/>
  <c r="E3150" i="11" a="1"/>
  <c r="E3150" i="11" s="1"/>
  <c r="E3149" i="11" a="1"/>
  <c r="E3149" i="11" s="1"/>
  <c r="E3148" i="11" a="1"/>
  <c r="E3148" i="11" s="1"/>
  <c r="E3176" i="11" a="1"/>
  <c r="E3176" i="11" s="1"/>
  <c r="E3175" i="11" a="1"/>
  <c r="E3175" i="11" s="1"/>
  <c r="E3174" i="11" a="1"/>
  <c r="E3174" i="11" s="1"/>
  <c r="E3173" i="11" a="1"/>
  <c r="E3173" i="11" s="1"/>
  <c r="E3147" i="11" a="1"/>
  <c r="E3147" i="11" s="1"/>
  <c r="E3172" i="11" a="1"/>
  <c r="E3172" i="11" s="1"/>
  <c r="E3146" i="11" a="1"/>
  <c r="E3146" i="11" s="1"/>
  <c r="B75" i="36" a="1"/>
  <c r="B75" i="36" s="1"/>
  <c r="C75" i="36" a="1"/>
  <c r="C75" i="36" s="1"/>
  <c r="E3145" i="11" a="1"/>
  <c r="E3145" i="11" s="1"/>
  <c r="E3171" i="11" a="1"/>
  <c r="E3171" i="11" s="1"/>
  <c r="E1440" i="11"/>
  <c r="C72" i="36" a="1"/>
  <c r="C72" i="36" s="1"/>
  <c r="B73" i="36" a="1"/>
  <c r="B73" i="36" s="1"/>
  <c r="C73" i="36" a="1"/>
  <c r="C73" i="36" s="1"/>
  <c r="C74" i="36" a="1"/>
  <c r="C74" i="36" s="1"/>
  <c r="C70" i="36" a="1"/>
  <c r="C70" i="36" s="1"/>
  <c r="C71" i="36" a="1"/>
  <c r="C71" i="36" s="1"/>
  <c r="B70" i="36" a="1"/>
  <c r="B70" i="36" s="1"/>
  <c r="B71" i="36" a="1"/>
  <c r="B71" i="36" s="1"/>
  <c r="B74" i="36" a="1"/>
  <c r="B74" i="36" s="1"/>
  <c r="B72" i="36" a="1"/>
  <c r="B72" i="36" s="1"/>
  <c r="E1439" i="11"/>
  <c r="E3168" i="11" a="1"/>
  <c r="E3168" i="11" s="1"/>
  <c r="E1557" i="11"/>
  <c r="G3129" i="11"/>
  <c r="E3169" i="11" a="1"/>
  <c r="E3169" i="11" s="1"/>
  <c r="E3170" i="11" a="1"/>
  <c r="E3170" i="11" s="1"/>
  <c r="E3129" i="11"/>
  <c r="E3142" i="11" a="1"/>
  <c r="E3142" i="11" s="1"/>
  <c r="E3143" i="11" a="1"/>
  <c r="E3143" i="11" s="1"/>
  <c r="E3144" i="11" a="1"/>
  <c r="E3144" i="11" s="1"/>
  <c r="E3167" i="11" a="1"/>
  <c r="E3167" i="11" s="1"/>
  <c r="E3141" i="11" a="1"/>
  <c r="E3141" i="11" s="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T85" i="10"/>
  <c r="E2136" i="11"/>
  <c r="E877" i="11"/>
  <c r="E2135" i="11"/>
  <c r="E876" i="11"/>
  <c r="B878" i="11"/>
  <c r="E878" i="11" s="1"/>
  <c r="C877" i="11"/>
  <c r="D877" i="11"/>
  <c r="B58" i="38" a="1"/>
  <c r="B58" i="38" s="1"/>
  <c r="F58" i="38" s="1" a="1"/>
  <c r="F58" i="38" s="1"/>
  <c r="B57" i="38" a="1"/>
  <c r="B57" i="38" s="1"/>
  <c r="E57" i="38" s="1" a="1"/>
  <c r="E57" i="38" s="1"/>
  <c r="B56" i="38" a="1"/>
  <c r="B56" i="38" s="1"/>
  <c r="E56" i="38" s="1" a="1"/>
  <c r="E56" i="38" s="1"/>
  <c r="E3140" i="11" a="1"/>
  <c r="E3140" i="11" s="1"/>
  <c r="B55" i="38" a="1"/>
  <c r="B55" i="38" s="1"/>
  <c r="E55" i="38" s="1" a="1"/>
  <c r="E55" i="38" s="1"/>
  <c r="C69" i="36" a="1"/>
  <c r="C69" i="36" s="1"/>
  <c r="B69" i="36" a="1"/>
  <c r="B69" i="36" s="1"/>
  <c r="E3165" i="11" a="1"/>
  <c r="E3165" i="11" s="1"/>
  <c r="E3139" i="11" a="1"/>
  <c r="E3139" i="11" s="1"/>
  <c r="B68" i="36" a="1"/>
  <c r="B68" i="36" s="1"/>
  <c r="C68" i="36" a="1"/>
  <c r="C68" i="36" s="1"/>
  <c r="E3164" i="11" a="1"/>
  <c r="E3164" i="11" s="1"/>
  <c r="E3138" i="11" a="1"/>
  <c r="E3138" i="11" s="1"/>
  <c r="B67" i="36" a="1"/>
  <c r="B67" i="36" s="1"/>
  <c r="C67" i="36" a="1"/>
  <c r="C67" i="36" s="1"/>
  <c r="E3137" i="11" a="1"/>
  <c r="E3137" i="11" s="1"/>
  <c r="E3163" i="11" a="1"/>
  <c r="E3163" i="11" s="1"/>
  <c r="B66" i="36" a="1"/>
  <c r="B66" i="36" s="1"/>
  <c r="C66" i="36" a="1"/>
  <c r="C66" i="36" s="1"/>
  <c r="E3162" i="11" a="1"/>
  <c r="E3162" i="11" s="1"/>
  <c r="E3136" i="11" a="1"/>
  <c r="E3136" i="11" s="1"/>
  <c r="B54" i="38" a="1"/>
  <c r="B54" i="38" s="1"/>
  <c r="E54" i="38" s="1" a="1"/>
  <c r="E54" i="38" s="1"/>
  <c r="B65" i="36" a="1"/>
  <c r="B65" i="36" s="1"/>
  <c r="C65" i="36" a="1"/>
  <c r="C65" i="36" s="1"/>
  <c r="I79" i="31"/>
  <c r="B53" i="38" a="1"/>
  <c r="B53" i="38" s="1"/>
  <c r="C53" i="38" s="1" a="1"/>
  <c r="C53" i="38" s="1"/>
  <c r="H31" i="31"/>
  <c r="I31" i="31"/>
  <c r="I18" i="31" a="1"/>
  <c r="I18" i="31" s="1"/>
  <c r="M4" i="31" a="1"/>
  <c r="M4" i="31" s="1"/>
  <c r="I8" i="31" a="1"/>
  <c r="I8" i="31" s="1"/>
  <c r="K10" i="31" a="1"/>
  <c r="K10" i="31" s="1"/>
  <c r="M11" i="31" a="1"/>
  <c r="M11" i="31" s="1"/>
  <c r="M15" i="31" s="1" a="1"/>
  <c r="M15" i="31" s="1"/>
  <c r="N18" i="31" a="1"/>
  <c r="N18" i="31" s="1"/>
  <c r="N4" i="31" a="1"/>
  <c r="N4" i="31" s="1"/>
  <c r="J8" i="31" a="1"/>
  <c r="J8" i="31" s="1"/>
  <c r="L10" i="31" a="1"/>
  <c r="L10" i="31" s="1"/>
  <c r="N11" i="31" a="1"/>
  <c r="N11" i="31" s="1"/>
  <c r="N15" i="31" s="1" a="1"/>
  <c r="N15" i="31" s="1"/>
  <c r="M18" i="31" a="1"/>
  <c r="M18" i="31" s="1"/>
  <c r="K8" i="31" a="1"/>
  <c r="K8" i="31" s="1"/>
  <c r="M10" i="31" a="1"/>
  <c r="M10" i="31" s="1"/>
  <c r="I13" i="31" a="1"/>
  <c r="I13" i="31" s="1"/>
  <c r="I4" i="31" a="1"/>
  <c r="I4" i="31" s="1"/>
  <c r="J6" i="31" a="1"/>
  <c r="J6" i="31" s="1"/>
  <c r="L8" i="31" a="1"/>
  <c r="L8" i="31" s="1"/>
  <c r="N10" i="31" a="1"/>
  <c r="N10" i="31" s="1"/>
  <c r="J13" i="31" a="1"/>
  <c r="J13" i="31" s="1"/>
  <c r="L18" i="31" a="1"/>
  <c r="L18" i="31" s="1"/>
  <c r="I6" i="31" a="1"/>
  <c r="I6" i="31" s="1"/>
  <c r="K6" i="31" a="1"/>
  <c r="K6" i="31" s="1"/>
  <c r="M8" i="31" a="1"/>
  <c r="M8" i="31" s="1"/>
  <c r="I11" i="31" a="1"/>
  <c r="I11" i="31" s="1"/>
  <c r="I15" i="31" s="1" a="1"/>
  <c r="I15" i="31" s="1"/>
  <c r="K13" i="31" a="1"/>
  <c r="K13" i="31" s="1"/>
  <c r="J18" i="31" a="1"/>
  <c r="J18" i="31" s="1"/>
  <c r="K4" i="31" a="1"/>
  <c r="K4" i="31" s="1"/>
  <c r="M6" i="31" a="1"/>
  <c r="M6" i="31" s="1"/>
  <c r="I10" i="31" a="1"/>
  <c r="I10" i="31" s="1"/>
  <c r="K11" i="31" a="1"/>
  <c r="K11" i="31" s="1"/>
  <c r="K15" i="31" s="1" a="1"/>
  <c r="K15" i="31" s="1"/>
  <c r="M13" i="31" a="1"/>
  <c r="M13" i="31" s="1"/>
  <c r="M16" i="31" s="1" a="1"/>
  <c r="M16" i="31" s="1"/>
  <c r="K18" i="31" a="1"/>
  <c r="K18" i="31" s="1"/>
  <c r="J4" i="31" a="1"/>
  <c r="J4" i="31" s="1"/>
  <c r="L6" i="31" a="1"/>
  <c r="L6" i="31" s="1"/>
  <c r="N8" i="31" a="1"/>
  <c r="N8" i="31" s="1"/>
  <c r="J11" i="31" a="1"/>
  <c r="J11" i="31" s="1"/>
  <c r="J15" i="31" s="1" a="1"/>
  <c r="J15" i="31" s="1"/>
  <c r="L13" i="31" a="1"/>
  <c r="L13" i="31" s="1"/>
  <c r="L4" i="31" a="1"/>
  <c r="L4" i="31" s="1"/>
  <c r="N6" i="31" a="1"/>
  <c r="N6" i="31" s="1"/>
  <c r="J10" i="31" a="1"/>
  <c r="J10" i="31" s="1"/>
  <c r="L11" i="31" a="1"/>
  <c r="L11" i="31" s="1"/>
  <c r="N13" i="31" a="1"/>
  <c r="N13" i="31" s="1"/>
  <c r="E3161" i="11" a="1"/>
  <c r="E3161" i="11" s="1"/>
  <c r="E3135" i="11" a="1"/>
  <c r="E3135" i="11" s="1"/>
  <c r="B64" i="36" a="1"/>
  <c r="B64" i="36" s="1"/>
  <c r="C64" i="36" a="1"/>
  <c r="C64" i="36" s="1"/>
  <c r="B60" i="36" a="1"/>
  <c r="B60" i="36" s="1"/>
  <c r="B61" i="36" a="1"/>
  <c r="B61" i="36" s="1"/>
  <c r="B62" i="36" a="1"/>
  <c r="B62" i="36" s="1"/>
  <c r="B63" i="36" a="1"/>
  <c r="B63" i="36" s="1"/>
  <c r="C60" i="36" a="1"/>
  <c r="C60" i="36" s="1"/>
  <c r="C61" i="36" a="1"/>
  <c r="C61" i="36" s="1"/>
  <c r="C63" i="36" a="1"/>
  <c r="C63" i="36" s="1"/>
  <c r="C62" i="36" a="1"/>
  <c r="C62" i="36" s="1"/>
  <c r="B9" i="38" a="1"/>
  <c r="B9" i="38" s="1"/>
  <c r="F9" i="38" s="1" a="1"/>
  <c r="F9" i="38" s="1"/>
  <c r="B17" i="38" a="1"/>
  <c r="B17" i="38" s="1"/>
  <c r="C17" i="38" s="1" a="1"/>
  <c r="C17" i="38" s="1"/>
  <c r="B25" i="38" a="1"/>
  <c r="B25" i="38" s="1"/>
  <c r="C25" i="38" s="1" a="1"/>
  <c r="C25" i="38" s="1"/>
  <c r="B33" i="38" a="1"/>
  <c r="B33" i="38" s="1"/>
  <c r="F33" i="38" s="1" a="1"/>
  <c r="F33" i="38" s="1"/>
  <c r="B41" i="38" a="1"/>
  <c r="B41" i="38" s="1"/>
  <c r="F41" i="38" s="1" a="1"/>
  <c r="F41" i="38" s="1"/>
  <c r="B49" i="38" a="1"/>
  <c r="B49" i="38" s="1"/>
  <c r="C49" i="38" s="1" a="1"/>
  <c r="C49" i="38" s="1"/>
  <c r="B39" i="38" a="1"/>
  <c r="B39" i="38" s="1"/>
  <c r="F39" i="38" s="1" a="1"/>
  <c r="F39" i="38" s="1"/>
  <c r="B24" i="38" a="1"/>
  <c r="B24" i="38" s="1"/>
  <c r="C24" i="38" s="1" a="1"/>
  <c r="C24" i="38" s="1"/>
  <c r="B10" i="38" a="1"/>
  <c r="B10" i="38" s="1"/>
  <c r="C10" i="38" s="1" a="1"/>
  <c r="C10" i="38" s="1"/>
  <c r="B18" i="38" a="1"/>
  <c r="B18" i="38" s="1"/>
  <c r="C18" i="38" s="1" a="1"/>
  <c r="C18" i="38" s="1"/>
  <c r="B26" i="38" a="1"/>
  <c r="B26" i="38" s="1"/>
  <c r="C26" i="38" s="1" a="1"/>
  <c r="C26" i="38" s="1"/>
  <c r="B34" i="38" a="1"/>
  <c r="B34" i="38" s="1"/>
  <c r="F34" i="38" s="1" a="1"/>
  <c r="F34" i="38" s="1"/>
  <c r="B42" i="38" a="1"/>
  <c r="B42" i="38" s="1"/>
  <c r="C42" i="38" s="1" a="1"/>
  <c r="C42" i="38" s="1"/>
  <c r="B50" i="38" a="1"/>
  <c r="B50" i="38" s="1"/>
  <c r="C50" i="38" s="1" a="1"/>
  <c r="C50" i="38" s="1"/>
  <c r="B16" i="38" a="1"/>
  <c r="B16" i="38" s="1"/>
  <c r="C16" i="38" s="1" a="1"/>
  <c r="C16" i="38" s="1"/>
  <c r="B48" i="38" a="1"/>
  <c r="B48" i="38" s="1"/>
  <c r="C48" i="38" s="1" a="1"/>
  <c r="C48" i="38" s="1"/>
  <c r="B3" i="38" a="1"/>
  <c r="B3" i="38" s="1"/>
  <c r="C3" i="38" s="1" a="1"/>
  <c r="C3" i="38" s="1"/>
  <c r="B11" i="38" a="1"/>
  <c r="B11" i="38" s="1"/>
  <c r="D11" i="38" s="1" a="1"/>
  <c r="D11" i="38" s="1"/>
  <c r="B19" i="38" a="1"/>
  <c r="B19" i="38" s="1"/>
  <c r="D19" i="38" s="1" a="1"/>
  <c r="D19" i="38" s="1"/>
  <c r="B27" i="38" a="1"/>
  <c r="B27" i="38" s="1"/>
  <c r="D27" i="38" s="1" a="1"/>
  <c r="D27" i="38" s="1"/>
  <c r="B35" i="38" a="1"/>
  <c r="B35" i="38" s="1"/>
  <c r="C35" i="38" s="1" a="1"/>
  <c r="C35" i="38" s="1"/>
  <c r="B43" i="38" a="1"/>
  <c r="B43" i="38" s="1"/>
  <c r="D43" i="38" s="1" a="1"/>
  <c r="D43" i="38" s="1"/>
  <c r="B51" i="38" a="1"/>
  <c r="B51" i="38" s="1"/>
  <c r="D51" i="38" s="1" a="1"/>
  <c r="D51" i="38" s="1"/>
  <c r="B7" i="38" a="1"/>
  <c r="B7" i="38" s="1"/>
  <c r="F7" i="38" s="1" a="1"/>
  <c r="F7" i="38" s="1"/>
  <c r="B40" i="38" a="1"/>
  <c r="B40" i="38" s="1"/>
  <c r="F40" i="38" s="1" a="1"/>
  <c r="F40" i="38" s="1"/>
  <c r="B4" i="38" a="1"/>
  <c r="B4" i="38" s="1"/>
  <c r="E4" i="38" s="1" a="1"/>
  <c r="E4" i="38" s="1"/>
  <c r="B12" i="38" a="1"/>
  <c r="B12" i="38" s="1"/>
  <c r="E12" i="38" s="1" a="1"/>
  <c r="E12" i="38" s="1"/>
  <c r="B20" i="38" a="1"/>
  <c r="B20" i="38" s="1"/>
  <c r="E20" i="38" s="1" a="1"/>
  <c r="E20" i="38" s="1"/>
  <c r="B28" i="38" a="1"/>
  <c r="B28" i="38" s="1"/>
  <c r="E28" i="38" s="1" a="1"/>
  <c r="E28" i="38" s="1"/>
  <c r="B36" i="38" a="1"/>
  <c r="B36" i="38" s="1"/>
  <c r="E36" i="38" s="1" a="1"/>
  <c r="E36" i="38" s="1"/>
  <c r="B44" i="38" a="1"/>
  <c r="B44" i="38" s="1"/>
  <c r="E44" i="38" s="1" a="1"/>
  <c r="E44" i="38" s="1"/>
  <c r="B52" i="38" a="1"/>
  <c r="B52" i="38" s="1"/>
  <c r="E52" i="38" s="1" a="1"/>
  <c r="E52" i="38" s="1"/>
  <c r="B15" i="38" a="1"/>
  <c r="B15" i="38" s="1"/>
  <c r="F15" i="38" s="1" a="1"/>
  <c r="F15" i="38" s="1"/>
  <c r="B47" i="38" a="1"/>
  <c r="B47" i="38" s="1"/>
  <c r="F47" i="38" s="1" a="1"/>
  <c r="F47" i="38" s="1"/>
  <c r="B32" i="38" a="1"/>
  <c r="B32" i="38" s="1"/>
  <c r="F32" i="38" s="1" a="1"/>
  <c r="F32" i="38" s="1"/>
  <c r="B5" i="38" a="1"/>
  <c r="B5" i="38" s="1"/>
  <c r="E5" i="38" s="1" a="1"/>
  <c r="E5" i="38" s="1"/>
  <c r="B13" i="38" a="1"/>
  <c r="B13" i="38" s="1"/>
  <c r="E13" i="38" s="1" a="1"/>
  <c r="E13" i="38" s="1"/>
  <c r="B21" i="38" a="1"/>
  <c r="B21" i="38" s="1"/>
  <c r="E21" i="38" s="1" a="1"/>
  <c r="E21" i="38" s="1"/>
  <c r="B29" i="38" a="1"/>
  <c r="B29" i="38" s="1"/>
  <c r="C29" i="38" s="1" a="1"/>
  <c r="C29" i="38" s="1"/>
  <c r="B37" i="38" a="1"/>
  <c r="B37" i="38" s="1"/>
  <c r="E37" i="38" s="1" a="1"/>
  <c r="E37" i="38" s="1"/>
  <c r="B45" i="38" a="1"/>
  <c r="B45" i="38" s="1"/>
  <c r="E45" i="38" s="1" a="1"/>
  <c r="E45" i="38" s="1"/>
  <c r="B23" i="38" a="1"/>
  <c r="B23" i="38" s="1"/>
  <c r="C23" i="38" s="1" a="1"/>
  <c r="C23" i="38" s="1"/>
  <c r="B6" i="38" a="1"/>
  <c r="B6" i="38" s="1"/>
  <c r="F6" i="38" s="1" a="1"/>
  <c r="F6" i="38" s="1"/>
  <c r="B14" i="38" a="1"/>
  <c r="B14" i="38" s="1"/>
  <c r="F14" i="38" s="1" a="1"/>
  <c r="F14" i="38" s="1"/>
  <c r="B22" i="38" a="1"/>
  <c r="B22" i="38" s="1"/>
  <c r="F22" i="38" s="1" a="1"/>
  <c r="F22" i="38" s="1"/>
  <c r="B30" i="38" a="1"/>
  <c r="B30" i="38" s="1"/>
  <c r="F30" i="38" s="1" a="1"/>
  <c r="F30" i="38" s="1"/>
  <c r="B38" i="38" a="1"/>
  <c r="B38" i="38" s="1"/>
  <c r="F38" i="38" s="1" a="1"/>
  <c r="F38" i="38" s="1"/>
  <c r="B46" i="38" a="1"/>
  <c r="B46" i="38" s="1"/>
  <c r="F46" i="38" s="1" a="1"/>
  <c r="F46" i="38" s="1"/>
  <c r="B31" i="38" a="1"/>
  <c r="B31" i="38" s="1"/>
  <c r="F31" i="38" s="1" a="1"/>
  <c r="F31" i="38" s="1"/>
  <c r="B8" i="38" a="1"/>
  <c r="B8" i="38" s="1"/>
  <c r="F8" i="38" s="1" a="1"/>
  <c r="F8" i="38" s="1"/>
  <c r="G3128" i="11"/>
  <c r="E3128" i="11"/>
  <c r="E1556" i="11"/>
  <c r="E3134" i="11" a="1"/>
  <c r="E3134" i="11" s="1"/>
  <c r="E3133" i="11" a="1"/>
  <c r="E3133" i="11" s="1"/>
  <c r="B59" i="36" a="1"/>
  <c r="B59" i="36" s="1"/>
  <c r="C59" i="36" a="1"/>
  <c r="C59" i="36" s="1"/>
  <c r="C58" i="36" a="1"/>
  <c r="C58" i="36" s="1"/>
  <c r="B58" i="36" a="1"/>
  <c r="B58" i="36" s="1"/>
  <c r="B6" i="36" a="1"/>
  <c r="B6" i="36" s="1"/>
  <c r="C48" i="36" a="1"/>
  <c r="C48" i="36" s="1"/>
  <c r="B34" i="36" a="1"/>
  <c r="B34" i="36" s="1"/>
  <c r="B10" i="36" a="1"/>
  <c r="B10" i="36" s="1"/>
  <c r="B39" i="36" a="1"/>
  <c r="B39" i="36" s="1"/>
  <c r="B38" i="36" a="1"/>
  <c r="B38" i="36" s="1"/>
  <c r="C39" i="36" a="1"/>
  <c r="C39" i="36" s="1"/>
  <c r="C47" i="36" a="1"/>
  <c r="C47" i="36" s="1"/>
  <c r="C2" i="36" a="1"/>
  <c r="C2" i="36" s="1"/>
  <c r="B26" i="36" a="1"/>
  <c r="B26" i="36" s="1"/>
  <c r="C25" i="36" a="1"/>
  <c r="C25" i="36" s="1"/>
  <c r="C50" i="36" a="1"/>
  <c r="C50" i="36" s="1"/>
  <c r="B37" i="36" a="1"/>
  <c r="B37" i="36" s="1"/>
  <c r="B25" i="36" a="1"/>
  <c r="B25" i="36" s="1"/>
  <c r="C4" i="36" a="1"/>
  <c r="C4" i="36" s="1"/>
  <c r="C42" i="36" a="1"/>
  <c r="C42" i="36" s="1"/>
  <c r="B11" i="36" a="1"/>
  <c r="B11" i="36" s="1"/>
  <c r="B4" i="36" a="1"/>
  <c r="B4" i="36" s="1"/>
  <c r="B23" i="36" a="1"/>
  <c r="B23" i="36" s="1"/>
  <c r="B33" i="36" a="1"/>
  <c r="B33" i="36" s="1"/>
  <c r="C33" i="36" a="1"/>
  <c r="C33" i="36" s="1"/>
  <c r="C15" i="36" a="1"/>
  <c r="C15" i="36" s="1"/>
  <c r="C51" i="36" a="1"/>
  <c r="C51" i="36" s="1"/>
  <c r="C12" i="36" a="1"/>
  <c r="C12" i="36" s="1"/>
  <c r="C6" i="36" a="1"/>
  <c r="C6" i="36" s="1"/>
  <c r="C43" i="36" a="1"/>
  <c r="C43" i="36" s="1"/>
  <c r="B20" i="36" a="1"/>
  <c r="B20" i="36" s="1"/>
  <c r="B13" i="36" a="1"/>
  <c r="B13" i="36" s="1"/>
  <c r="B52" i="36" a="1"/>
  <c r="B52" i="36" s="1"/>
  <c r="C35" i="36" a="1"/>
  <c r="C35" i="36" s="1"/>
  <c r="C41" i="36" a="1"/>
  <c r="C41" i="36" s="1"/>
  <c r="C53" i="36" a="1"/>
  <c r="C53" i="36" s="1"/>
  <c r="C54" i="36" a="1"/>
  <c r="C54" i="36" s="1"/>
  <c r="B27" i="36" a="1"/>
  <c r="B27" i="36" s="1"/>
  <c r="C20" i="36" a="1"/>
  <c r="C20" i="36" s="1"/>
  <c r="B56" i="36" a="1"/>
  <c r="B56" i="36" s="1"/>
  <c r="C45" i="36" a="1"/>
  <c r="C45" i="36" s="1"/>
  <c r="B42" i="36" a="1"/>
  <c r="B42" i="36" s="1"/>
  <c r="B54" i="36" a="1"/>
  <c r="B54" i="36" s="1"/>
  <c r="C37" i="36" a="1"/>
  <c r="C37" i="36" s="1"/>
  <c r="C57" i="36" a="1"/>
  <c r="C57" i="36" s="1"/>
  <c r="C55" i="36" a="1"/>
  <c r="C55" i="36" s="1"/>
  <c r="B46" i="36" a="1"/>
  <c r="B46" i="36" s="1"/>
  <c r="C29" i="36" a="1"/>
  <c r="C29" i="36" s="1"/>
  <c r="C22" i="36" a="1"/>
  <c r="C22" i="36" s="1"/>
  <c r="C40" i="36" a="1"/>
  <c r="C40" i="36" s="1"/>
  <c r="C28" i="36" a="1"/>
  <c r="C28" i="36" s="1"/>
  <c r="B22" i="36" a="1"/>
  <c r="B22" i="36" s="1"/>
  <c r="C14" i="36" a="1"/>
  <c r="C14" i="36" s="1"/>
  <c r="B49" i="36" a="1"/>
  <c r="B49" i="36" s="1"/>
  <c r="C32" i="36" a="1"/>
  <c r="C32" i="36" s="1"/>
  <c r="B31" i="36" a="1"/>
  <c r="B31" i="36" s="1"/>
  <c r="B47" i="36" a="1"/>
  <c r="B47" i="36" s="1"/>
  <c r="C24" i="36" a="1"/>
  <c r="C24" i="36" s="1"/>
  <c r="C31" i="36" a="1"/>
  <c r="C31" i="36" s="1"/>
  <c r="C49" i="36" a="1"/>
  <c r="C49" i="36" s="1"/>
  <c r="B40" i="36" a="1"/>
  <c r="B40" i="36" s="1"/>
  <c r="C16" i="36" a="1"/>
  <c r="C16" i="36" s="1"/>
  <c r="B2" i="36" a="1"/>
  <c r="B2" i="36" s="1"/>
  <c r="C34" i="36" a="1"/>
  <c r="C34" i="36" s="1"/>
  <c r="C9" i="36" a="1"/>
  <c r="C9" i="36" s="1"/>
  <c r="B16" i="36" a="1"/>
  <c r="B16" i="36" s="1"/>
  <c r="C7" i="36" a="1"/>
  <c r="C7" i="36" s="1"/>
  <c r="B32" i="36" a="1"/>
  <c r="B32" i="36" s="1"/>
  <c r="C26" i="36" a="1"/>
  <c r="C26" i="36" s="1"/>
  <c r="B14" i="36" a="1"/>
  <c r="B14" i="36" s="1"/>
  <c r="B36" i="36" a="1"/>
  <c r="B36" i="36" s="1"/>
  <c r="C18" i="36" a="1"/>
  <c r="C18" i="36" s="1"/>
  <c r="B53" i="36" a="1"/>
  <c r="B53" i="36" s="1"/>
  <c r="C36" i="36" a="1"/>
  <c r="C36" i="36" s="1"/>
  <c r="B18" i="36" a="1"/>
  <c r="B18" i="36" s="1"/>
  <c r="C3" i="36" a="1"/>
  <c r="C3" i="36" s="1"/>
  <c r="B28" i="36" a="1"/>
  <c r="B28" i="36" s="1"/>
  <c r="C21" i="36" a="1"/>
  <c r="C21" i="36" s="1"/>
  <c r="B50" i="36" a="1"/>
  <c r="B50" i="36" s="1"/>
  <c r="C52" i="36" a="1"/>
  <c r="C52" i="36" s="1"/>
  <c r="B29" i="36" a="1"/>
  <c r="B29" i="36" s="1"/>
  <c r="B15" i="36" a="1"/>
  <c r="B15" i="36" s="1"/>
  <c r="C13" i="36" a="1"/>
  <c r="C13" i="36" s="1"/>
  <c r="C44" i="36" a="1"/>
  <c r="C44" i="36" s="1"/>
  <c r="B7" i="36" a="1"/>
  <c r="B7" i="36" s="1"/>
  <c r="C5" i="36" a="1"/>
  <c r="C5" i="36" s="1"/>
  <c r="B35" i="36" a="1"/>
  <c r="B35" i="36" s="1"/>
  <c r="C23" i="36" a="1"/>
  <c r="C23" i="36" s="1"/>
  <c r="B24" i="36" a="1"/>
  <c r="B24" i="36" s="1"/>
  <c r="C10" i="36" a="1"/>
  <c r="C10" i="36" s="1"/>
  <c r="B44" i="36" a="1"/>
  <c r="B44" i="36" s="1"/>
  <c r="C27" i="36" a="1"/>
  <c r="C27" i="36" s="1"/>
  <c r="B57" i="36" a="1"/>
  <c r="B57" i="36" s="1"/>
  <c r="B3" i="36" a="1"/>
  <c r="B3" i="36" s="1"/>
  <c r="B45" i="36" a="1"/>
  <c r="B45" i="36" s="1"/>
  <c r="B21" i="36" a="1"/>
  <c r="B21" i="36" s="1"/>
  <c r="C19" i="36" a="1"/>
  <c r="C19" i="36" s="1"/>
  <c r="B8" i="36" a="1"/>
  <c r="B8" i="36" s="1"/>
  <c r="B19" i="36" a="1"/>
  <c r="B19" i="36" s="1"/>
  <c r="C11" i="36" a="1"/>
  <c r="C11" i="36" s="1"/>
  <c r="B41" i="36" a="1"/>
  <c r="B41" i="36" s="1"/>
  <c r="C30" i="36" a="1"/>
  <c r="C30" i="36" s="1"/>
  <c r="B12" i="36" a="1"/>
  <c r="B12" i="36" s="1"/>
  <c r="B51" i="36" a="1"/>
  <c r="B51" i="36" s="1"/>
  <c r="B17" i="36" a="1"/>
  <c r="B17" i="36" s="1"/>
  <c r="C8" i="36" a="1"/>
  <c r="C8" i="36" s="1"/>
  <c r="B43" i="36" a="1"/>
  <c r="B43" i="36" s="1"/>
  <c r="C46" i="36" a="1"/>
  <c r="C46" i="36" s="1"/>
  <c r="B5" i="36" a="1"/>
  <c r="B5" i="36" s="1"/>
  <c r="B9" i="36" a="1"/>
  <c r="B9" i="36" s="1"/>
  <c r="B48" i="36" a="1"/>
  <c r="B48" i="36" s="1"/>
  <c r="C38" i="36" a="1"/>
  <c r="C38" i="36" s="1"/>
  <c r="C56" i="36" a="1"/>
  <c r="C56" i="36" s="1"/>
  <c r="B55" i="36" a="1"/>
  <c r="B55" i="36" s="1"/>
  <c r="B30" i="36" a="1"/>
  <c r="B30" i="36" s="1"/>
  <c r="C17" i="36" a="1"/>
  <c r="C17" i="36" s="1"/>
  <c r="E2770" i="11"/>
  <c r="E2867" i="11"/>
  <c r="E2764" i="11"/>
  <c r="E2868" i="11"/>
  <c r="E2765" i="11"/>
  <c r="E2869" i="11"/>
  <c r="E2766" i="11"/>
  <c r="E2870" i="11"/>
  <c r="E2767" i="11"/>
  <c r="E2871" i="11"/>
  <c r="E2768" i="11"/>
  <c r="E2872" i="11"/>
  <c r="E2769" i="11"/>
  <c r="E2873" i="11"/>
  <c r="E2874" i="11"/>
  <c r="C2874" i="11"/>
  <c r="B2875" i="11"/>
  <c r="D2874" i="11"/>
  <c r="E2771" i="11"/>
  <c r="B2772" i="11"/>
  <c r="C2771" i="11"/>
  <c r="D2771" i="11"/>
  <c r="E3159" i="11" a="1"/>
  <c r="E3159" i="11" s="1"/>
  <c r="E3160" i="11" a="1"/>
  <c r="E3160" i="11" s="1"/>
  <c r="G3127" i="11"/>
  <c r="E3127" i="11"/>
  <c r="E1555" i="11"/>
  <c r="B613" i="11"/>
  <c r="B614" i="11" s="1"/>
  <c r="D2961" i="11"/>
  <c r="E1023" i="11"/>
  <c r="E11" i="11"/>
  <c r="E509" i="11"/>
  <c r="E921" i="11"/>
  <c r="I102" i="10"/>
  <c r="E1774" i="11"/>
  <c r="E1981" i="11" s="1"/>
  <c r="E503" i="11"/>
  <c r="E2130" i="11"/>
  <c r="E7" i="11"/>
  <c r="E916" i="11"/>
  <c r="E1019" i="11"/>
  <c r="E1122" i="11"/>
  <c r="E1775" i="11"/>
  <c r="E1982" i="11" s="1"/>
  <c r="E1123" i="11"/>
  <c r="E8" i="11"/>
  <c r="E917" i="11"/>
  <c r="E1020" i="11"/>
  <c r="H102" i="10"/>
  <c r="E1773" i="11"/>
  <c r="E1980" i="11" s="1"/>
  <c r="E502" i="11"/>
  <c r="E2129" i="11"/>
  <c r="E1018" i="11"/>
  <c r="E1121" i="11"/>
  <c r="E6" i="11"/>
  <c r="E915" i="11"/>
  <c r="E2131" i="11"/>
  <c r="E504" i="11"/>
  <c r="G102" i="10"/>
  <c r="E1772" i="11"/>
  <c r="E1979" i="11" s="1"/>
  <c r="E2128" i="11"/>
  <c r="E501" i="11"/>
  <c r="E1120" i="11"/>
  <c r="E5" i="11"/>
  <c r="E914" i="11"/>
  <c r="E1017" i="11"/>
  <c r="E1127" i="11"/>
  <c r="F102" i="10"/>
  <c r="E1771" i="11"/>
  <c r="E1978" i="11" s="1"/>
  <c r="E102" i="10"/>
  <c r="E1770" i="11"/>
  <c r="E2134" i="11"/>
  <c r="E507" i="11"/>
  <c r="E1126" i="11"/>
  <c r="E920" i="11"/>
  <c r="C2961" i="11"/>
  <c r="E508" i="11"/>
  <c r="E1016" i="11"/>
  <c r="E1119" i="11"/>
  <c r="E4" i="11"/>
  <c r="E913" i="11"/>
  <c r="D102" i="10"/>
  <c r="E1769" i="11"/>
  <c r="E506" i="11"/>
  <c r="E2133" i="11"/>
  <c r="E1022" i="11"/>
  <c r="E919" i="11"/>
  <c r="E10" i="11"/>
  <c r="E1125" i="11"/>
  <c r="B2962" i="11"/>
  <c r="B2963" i="11" s="1"/>
  <c r="C102" i="10"/>
  <c r="E1768" i="11"/>
  <c r="E505" i="11"/>
  <c r="E2132" i="11"/>
  <c r="E1021" i="11"/>
  <c r="E1124" i="11"/>
  <c r="E9" i="11"/>
  <c r="E918" i="11"/>
  <c r="B2653" i="11"/>
  <c r="D2653" i="11" s="1"/>
  <c r="D612" i="11"/>
  <c r="C1333" i="11"/>
  <c r="B1880" i="11"/>
  <c r="C1880" i="11" s="1"/>
  <c r="D1879" i="11"/>
  <c r="C2652" i="11"/>
  <c r="E1879" i="11"/>
  <c r="E2652" i="11"/>
  <c r="D308" i="11"/>
  <c r="D1230" i="11"/>
  <c r="B2447" i="11"/>
  <c r="C2447" i="11" s="1"/>
  <c r="B309" i="11"/>
  <c r="D309" i="11" s="1"/>
  <c r="E2446" i="11"/>
  <c r="C1230" i="11"/>
  <c r="D2446" i="11"/>
  <c r="B111" i="11"/>
  <c r="C111" i="11" s="1"/>
  <c r="C110" i="11"/>
  <c r="D1333" i="11"/>
  <c r="C1776" i="11"/>
  <c r="B1777" i="11"/>
  <c r="B1778" i="11" s="1"/>
  <c r="E1776" i="11"/>
  <c r="D2549" i="11"/>
  <c r="E2549" i="11"/>
  <c r="B2550" i="11"/>
  <c r="C2549" i="11"/>
  <c r="C1673" i="11"/>
  <c r="E1673" i="11"/>
  <c r="D1673" i="11"/>
  <c r="B1674" i="11"/>
  <c r="C1983" i="11"/>
  <c r="D1983" i="11"/>
  <c r="B1984" i="11"/>
  <c r="D2137" i="11"/>
  <c r="E2137" i="11"/>
  <c r="C2137" i="11"/>
  <c r="B2138" i="11"/>
  <c r="B408" i="11"/>
  <c r="C407" i="11"/>
  <c r="D407" i="11"/>
  <c r="C1024" i="11"/>
  <c r="E1024" i="11"/>
  <c r="D1024" i="11"/>
  <c r="B1025" i="11"/>
  <c r="D716" i="11"/>
  <c r="B717" i="11"/>
  <c r="C716" i="11"/>
  <c r="C1451" i="11"/>
  <c r="D1451" i="11"/>
  <c r="B1452" i="11"/>
  <c r="C510" i="11"/>
  <c r="B511" i="11"/>
  <c r="D510" i="11"/>
  <c r="E510" i="11"/>
  <c r="B1572" i="11"/>
  <c r="C1571" i="11"/>
  <c r="D1571" i="11"/>
  <c r="C922" i="11"/>
  <c r="E922" i="11"/>
  <c r="D922" i="11"/>
  <c r="B923" i="11"/>
  <c r="C2343" i="11"/>
  <c r="D2343" i="11"/>
  <c r="E2343" i="11"/>
  <c r="B2344" i="11"/>
  <c r="E2240" i="11"/>
  <c r="B2241" i="11"/>
  <c r="D2240" i="11"/>
  <c r="C2240" i="11"/>
  <c r="C1231" i="11"/>
  <c r="D1231" i="11"/>
  <c r="B1232" i="11"/>
  <c r="C12" i="11"/>
  <c r="D12" i="11"/>
  <c r="E12" i="11"/>
  <c r="B13" i="11"/>
  <c r="C209" i="11"/>
  <c r="D209" i="11"/>
  <c r="B210" i="11"/>
  <c r="D1334" i="11"/>
  <c r="C1334" i="11"/>
  <c r="B1335" i="11"/>
  <c r="C1128" i="11"/>
  <c r="D1128" i="11"/>
  <c r="E1128" i="11"/>
  <c r="B1129" i="11"/>
  <c r="G55" i="31"/>
  <c r="L3188" i="11"/>
  <c r="Q3190" i="11" s="1" a="1"/>
  <c r="Q3190" i="11" s="1"/>
  <c r="Q3188" i="11"/>
  <c r="AW111" i="10"/>
  <c r="AW118" i="10" s="1"/>
  <c r="AW120" i="10" s="1"/>
  <c r="AW123" i="10" s="1"/>
  <c r="AW125" i="10" s="1"/>
  <c r="AS111" i="10"/>
  <c r="AS118" i="10" s="1"/>
  <c r="AS120" i="10" s="1"/>
  <c r="AS123" i="10" s="1"/>
  <c r="AS125" i="10" s="1"/>
  <c r="H10" i="31" a="1"/>
  <c r="H10" i="31" s="1"/>
  <c r="H6" i="31" a="1"/>
  <c r="H6" i="31" s="1"/>
  <c r="H11" i="31" a="1"/>
  <c r="H11" i="31" s="1"/>
  <c r="BB111" i="10"/>
  <c r="BB118" i="10" s="1"/>
  <c r="BB120" i="10" s="1"/>
  <c r="BB123" i="10" s="1"/>
  <c r="BB125" i="10" s="1"/>
  <c r="AX111" i="10"/>
  <c r="AX118" i="10" s="1"/>
  <c r="AX120" i="10" s="1"/>
  <c r="AX123" i="10" s="1"/>
  <c r="AX125" i="10" s="1"/>
  <c r="P111" i="10"/>
  <c r="P118" i="10" s="1"/>
  <c r="P120" i="10" s="1"/>
  <c r="P123" i="10" s="1"/>
  <c r="P125" i="10" s="1"/>
  <c r="BE111" i="10"/>
  <c r="BE118" i="10" s="1"/>
  <c r="BE120" i="10" s="1"/>
  <c r="BE123" i="10" s="1"/>
  <c r="BE125" i="10" s="1"/>
  <c r="AN111" i="10"/>
  <c r="AN118" i="10" s="1"/>
  <c r="AN120" i="10" s="1"/>
  <c r="AN123" i="10" s="1"/>
  <c r="AN125" i="10" s="1"/>
  <c r="N111" i="10"/>
  <c r="N118" i="10" s="1"/>
  <c r="N120" i="10" s="1"/>
  <c r="N123" i="10" s="1"/>
  <c r="N125" i="10" s="1"/>
  <c r="AD111" i="10"/>
  <c r="AD118" i="10" s="1"/>
  <c r="AD120" i="10" s="1"/>
  <c r="AD123" i="10" s="1"/>
  <c r="AD125" i="10" s="1"/>
  <c r="V111" i="10"/>
  <c r="V118" i="10" s="1"/>
  <c r="V120" i="10" s="1"/>
  <c r="V123" i="10" s="1"/>
  <c r="V125" i="10" s="1"/>
  <c r="BG76" i="10"/>
  <c r="BG65" i="10" s="1"/>
  <c r="Y111" i="10"/>
  <c r="Y118" i="10" s="1"/>
  <c r="Y120" i="10" s="1"/>
  <c r="Y123" i="10" s="1"/>
  <c r="Y125" i="10" s="1"/>
  <c r="Z111" i="10"/>
  <c r="Z118" i="10" s="1"/>
  <c r="Z120" i="10" s="1"/>
  <c r="Z123" i="10" s="1"/>
  <c r="Z125" i="10" s="1"/>
  <c r="Q111" i="10"/>
  <c r="Q118" i="10" s="1"/>
  <c r="Q120" i="10" s="1"/>
  <c r="Q123" i="10" s="1"/>
  <c r="Q125" i="10" s="1"/>
  <c r="BD111" i="10"/>
  <c r="BD118" i="10" s="1"/>
  <c r="BD120" i="10" s="1"/>
  <c r="BD123" i="10" s="1"/>
  <c r="BD125" i="10" s="1"/>
  <c r="K111" i="10"/>
  <c r="J111" i="10"/>
  <c r="BG81" i="10"/>
  <c r="K34" i="10"/>
  <c r="K5" i="10" s="1"/>
  <c r="E1230" i="11" s="1"/>
  <c r="AZ111" i="10"/>
  <c r="AZ118" i="10" s="1"/>
  <c r="AZ120" i="10" s="1"/>
  <c r="AZ123" i="10" s="1"/>
  <c r="AZ125" i="10" s="1"/>
  <c r="BG85" i="10"/>
  <c r="AY34" i="10"/>
  <c r="AY5" i="10" s="1"/>
  <c r="AQ34" i="10"/>
  <c r="AQ5" i="10" s="1"/>
  <c r="AI34" i="10"/>
  <c r="AI5" i="10" s="1"/>
  <c r="AA34" i="10"/>
  <c r="AA5" i="10" s="1"/>
  <c r="S34" i="10"/>
  <c r="T34" i="10" s="1"/>
  <c r="C34" i="10"/>
  <c r="C5" i="10" s="1"/>
  <c r="E604" i="11" s="1"/>
  <c r="BE34" i="10"/>
  <c r="BE5" i="10" s="1"/>
  <c r="AW34" i="10"/>
  <c r="AW5" i="10" s="1"/>
  <c r="AO34" i="10"/>
  <c r="AO5" i="10" s="1"/>
  <c r="Y34" i="10"/>
  <c r="Y5" i="10" s="1"/>
  <c r="Q34" i="10"/>
  <c r="Q5" i="10" s="1"/>
  <c r="I34" i="10"/>
  <c r="I5" i="10" s="1"/>
  <c r="E610" i="11" s="1"/>
  <c r="AK111" i="10"/>
  <c r="AK118" i="10" s="1"/>
  <c r="AK120" i="10" s="1"/>
  <c r="AK123" i="10" s="1"/>
  <c r="AK125" i="10" s="1"/>
  <c r="BC34" i="10"/>
  <c r="BC5" i="10" s="1"/>
  <c r="O34" i="10"/>
  <c r="O5" i="10" s="1"/>
  <c r="G34" i="10"/>
  <c r="G5" i="10" s="1"/>
  <c r="E608" i="11" s="1"/>
  <c r="AV111" i="10"/>
  <c r="AV118" i="10" s="1"/>
  <c r="AV120" i="10" s="1"/>
  <c r="AV123" i="10" s="1"/>
  <c r="AV125" i="10" s="1"/>
  <c r="AM111" i="10"/>
  <c r="AM118" i="10" s="1"/>
  <c r="AM120" i="10" s="1"/>
  <c r="AM123" i="10" s="1"/>
  <c r="AM125" i="10" s="1"/>
  <c r="I64" i="10"/>
  <c r="E713" i="11" s="1"/>
  <c r="AU34" i="10"/>
  <c r="AU5" i="10" s="1"/>
  <c r="AM34" i="10"/>
  <c r="AM5" i="10" s="1"/>
  <c r="AE34" i="10"/>
  <c r="AE5" i="10" s="1"/>
  <c r="W34" i="10"/>
  <c r="W5" i="10" s="1"/>
  <c r="M111" i="10"/>
  <c r="M118" i="10" s="1"/>
  <c r="M120" i="10" s="1"/>
  <c r="M123" i="10" s="1"/>
  <c r="M125" i="10" s="1"/>
  <c r="AQ111" i="10"/>
  <c r="AQ118" i="10" s="1"/>
  <c r="AQ120" i="10" s="1"/>
  <c r="AQ123" i="10" s="1"/>
  <c r="AQ125" i="10" s="1"/>
  <c r="AG101" i="10"/>
  <c r="S111" i="10"/>
  <c r="AO64" i="10"/>
  <c r="E846" i="11" s="1"/>
  <c r="X64" i="10"/>
  <c r="E830" i="11" s="1"/>
  <c r="AP64" i="10"/>
  <c r="E847" i="11" s="1"/>
  <c r="R111" i="10"/>
  <c r="R118" i="10" s="1"/>
  <c r="R120" i="10" s="1"/>
  <c r="R123" i="10" s="1"/>
  <c r="R125" i="10" s="1"/>
  <c r="AA111" i="10"/>
  <c r="AA118" i="10" s="1"/>
  <c r="AA120" i="10" s="1"/>
  <c r="AA123" i="10" s="1"/>
  <c r="AA125" i="10" s="1"/>
  <c r="BC111" i="10"/>
  <c r="BC118" i="10" s="1"/>
  <c r="BC120" i="10" s="1"/>
  <c r="BC123" i="10" s="1"/>
  <c r="BC125" i="10" s="1"/>
  <c r="AU111" i="10"/>
  <c r="AU118" i="10" s="1"/>
  <c r="AU120" i="10" s="1"/>
  <c r="AU123" i="10" s="1"/>
  <c r="AU125" i="10" s="1"/>
  <c r="AC111" i="10"/>
  <c r="AC118" i="10" s="1"/>
  <c r="AC120" i="10" s="1"/>
  <c r="AC123" i="10" s="1"/>
  <c r="AC125" i="10" s="1"/>
  <c r="AC34" i="10"/>
  <c r="AC5" i="10" s="1"/>
  <c r="U34" i="10"/>
  <c r="U5" i="10" s="1"/>
  <c r="M34" i="10"/>
  <c r="M5" i="10" s="1"/>
  <c r="E34" i="10"/>
  <c r="E5" i="10" s="1"/>
  <c r="E606" i="11" s="1"/>
  <c r="BF34" i="10"/>
  <c r="BF5" i="10" s="1"/>
  <c r="AX34" i="10"/>
  <c r="AX5" i="10" s="1"/>
  <c r="AP34" i="10"/>
  <c r="AP5" i="10" s="1"/>
  <c r="AH34" i="10"/>
  <c r="Z34" i="10"/>
  <c r="Z5" i="10" s="1"/>
  <c r="R34" i="10"/>
  <c r="R5" i="10" s="1"/>
  <c r="J34" i="10"/>
  <c r="J5" i="10" s="1"/>
  <c r="E611" i="11" s="1"/>
  <c r="BA111" i="10"/>
  <c r="BA118" i="10" s="1"/>
  <c r="BA120" i="10" s="1"/>
  <c r="BA123" i="10" s="1"/>
  <c r="BA125" i="10" s="1"/>
  <c r="AO111" i="10"/>
  <c r="AO118" i="10" s="1"/>
  <c r="AO120" i="10" s="1"/>
  <c r="AO123" i="10" s="1"/>
  <c r="AO125" i="10" s="1"/>
  <c r="AB111" i="10"/>
  <c r="AB118" i="10" s="1"/>
  <c r="AB120" i="10" s="1"/>
  <c r="AB123" i="10" s="1"/>
  <c r="AB125" i="10" s="1"/>
  <c r="T98" i="10"/>
  <c r="AN64" i="10"/>
  <c r="E845" i="11" s="1"/>
  <c r="BG42" i="10"/>
  <c r="AS34" i="10"/>
  <c r="AT34" i="10" s="1"/>
  <c r="AK34" i="10"/>
  <c r="AK5" i="10" s="1"/>
  <c r="AT116" i="10"/>
  <c r="T101" i="10"/>
  <c r="AR111" i="10"/>
  <c r="AR118" i="10" s="1"/>
  <c r="AR120" i="10" s="1"/>
  <c r="AR123" i="10" s="1"/>
  <c r="AR125" i="10" s="1"/>
  <c r="BG35" i="10"/>
  <c r="BD34" i="10"/>
  <c r="BD5" i="10" s="1"/>
  <c r="AV34" i="10"/>
  <c r="AV5" i="10" s="1"/>
  <c r="AN34" i="10"/>
  <c r="AN5" i="10" s="1"/>
  <c r="BG121" i="10"/>
  <c r="AY111" i="10"/>
  <c r="AY118" i="10" s="1"/>
  <c r="AY120" i="10" s="1"/>
  <c r="AY123" i="10" s="1"/>
  <c r="AY125" i="10" s="1"/>
  <c r="AP111" i="10"/>
  <c r="AP118" i="10" s="1"/>
  <c r="AP120" i="10" s="1"/>
  <c r="AP123" i="10" s="1"/>
  <c r="AP125" i="10" s="1"/>
  <c r="Y64" i="10"/>
  <c r="E831" i="11" s="1"/>
  <c r="Q64" i="10"/>
  <c r="E824" i="11" s="1"/>
  <c r="AF111" i="10"/>
  <c r="BG110" i="10"/>
  <c r="AI64" i="10"/>
  <c r="E840" i="11" s="1"/>
  <c r="AA64" i="10"/>
  <c r="E833" i="11" s="1"/>
  <c r="S64" i="10"/>
  <c r="T64" i="10" s="1"/>
  <c r="K64" i="10"/>
  <c r="E715" i="11" s="1"/>
  <c r="C64" i="10"/>
  <c r="E707" i="11" s="1"/>
  <c r="BG58" i="10"/>
  <c r="BA34" i="10"/>
  <c r="H4" i="31" a="1"/>
  <c r="H4" i="31" s="1"/>
  <c r="AG116" i="10"/>
  <c r="AG110" i="10"/>
  <c r="X111" i="10"/>
  <c r="X118" i="10" s="1"/>
  <c r="X120" i="10" s="1"/>
  <c r="X123" i="10" s="1"/>
  <c r="X125" i="10" s="1"/>
  <c r="AE111" i="10"/>
  <c r="AE118" i="10" s="1"/>
  <c r="AE120" i="10" s="1"/>
  <c r="AE123" i="10" s="1"/>
  <c r="AE125" i="10" s="1"/>
  <c r="W111" i="10"/>
  <c r="W118" i="10" s="1"/>
  <c r="W120" i="10" s="1"/>
  <c r="W123" i="10" s="1"/>
  <c r="W125" i="10" s="1"/>
  <c r="O111" i="10"/>
  <c r="O118" i="10" s="1"/>
  <c r="O120" i="10" s="1"/>
  <c r="O123" i="10" s="1"/>
  <c r="O125" i="10" s="1"/>
  <c r="AQ64" i="10"/>
  <c r="E848" i="11" s="1"/>
  <c r="P64" i="10"/>
  <c r="E823" i="11" s="1"/>
  <c r="H64" i="10"/>
  <c r="E712" i="11" s="1"/>
  <c r="AZ34" i="10"/>
  <c r="AR34" i="10"/>
  <c r="AR5" i="10" s="1"/>
  <c r="AJ34" i="10"/>
  <c r="AJ5" i="10" s="1"/>
  <c r="AB34" i="10"/>
  <c r="AB5" i="10" s="1"/>
  <c r="T35" i="10"/>
  <c r="L34" i="10"/>
  <c r="L5" i="10" s="1"/>
  <c r="D34" i="10"/>
  <c r="D5" i="10" s="1"/>
  <c r="E605" i="11" s="1"/>
  <c r="AG102" i="10"/>
  <c r="U104" i="10"/>
  <c r="L104" i="10"/>
  <c r="L111" i="10" s="1"/>
  <c r="L118" i="10" s="1"/>
  <c r="L120" i="10" s="1"/>
  <c r="L123" i="10" s="1"/>
  <c r="L125" i="10" s="1"/>
  <c r="AJ104" i="10"/>
  <c r="AJ111" i="10" s="1"/>
  <c r="AJ118" i="10" s="1"/>
  <c r="AJ120" i="10" s="1"/>
  <c r="AJ123" i="10" s="1"/>
  <c r="AJ125" i="10" s="1"/>
  <c r="AT102" i="10"/>
  <c r="AI111" i="10"/>
  <c r="AI118" i="10" s="1"/>
  <c r="AI120" i="10" s="1"/>
  <c r="AI123" i="10" s="1"/>
  <c r="AI125" i="10" s="1"/>
  <c r="AM64" i="10"/>
  <c r="E844" i="11" s="1"/>
  <c r="W64" i="10"/>
  <c r="E829" i="11" s="1"/>
  <c r="O64" i="10"/>
  <c r="E822" i="11" s="1"/>
  <c r="G64" i="10"/>
  <c r="E711" i="11" s="1"/>
  <c r="N64" i="10"/>
  <c r="E821" i="11" s="1"/>
  <c r="F64" i="10"/>
  <c r="E710" i="11" s="1"/>
  <c r="T110" i="10"/>
  <c r="AT98" i="10"/>
  <c r="BG98" i="10"/>
  <c r="BG102" i="10" s="1"/>
  <c r="BG104" i="10" s="1"/>
  <c r="AD64" i="10"/>
  <c r="E836" i="11" s="1"/>
  <c r="V64" i="10"/>
  <c r="E828" i="11" s="1"/>
  <c r="M64" i="10"/>
  <c r="E820" i="11" s="1"/>
  <c r="E64" i="10"/>
  <c r="E709" i="11" s="1"/>
  <c r="BG6" i="10"/>
  <c r="AT101" i="10"/>
  <c r="AC64" i="10"/>
  <c r="E835" i="11" s="1"/>
  <c r="U64" i="10"/>
  <c r="E827" i="11" s="1"/>
  <c r="L64" i="10"/>
  <c r="E716" i="11" s="1"/>
  <c r="D64" i="10"/>
  <c r="E708" i="11" s="1"/>
  <c r="AF34" i="10"/>
  <c r="AG34" i="10" s="1"/>
  <c r="X34" i="10"/>
  <c r="X5" i="10" s="1"/>
  <c r="P34" i="10"/>
  <c r="P5" i="10" s="1"/>
  <c r="H34" i="10"/>
  <c r="H5" i="10" s="1"/>
  <c r="E609" i="11" s="1"/>
  <c r="AL64" i="10"/>
  <c r="E843" i="11" s="1"/>
  <c r="AB64" i="10"/>
  <c r="E834" i="11" s="1"/>
  <c r="AH111" i="10"/>
  <c r="T65" i="10"/>
  <c r="AS64" i="10"/>
  <c r="AT64" i="10" s="1"/>
  <c r="AK64" i="10"/>
  <c r="E842" i="11" s="1"/>
  <c r="R64" i="10"/>
  <c r="E825" i="11" s="1"/>
  <c r="J64" i="10"/>
  <c r="E714" i="11" s="1"/>
  <c r="BB34" i="10"/>
  <c r="BB5" i="10" s="1"/>
  <c r="AL34" i="10"/>
  <c r="AL5" i="10" s="1"/>
  <c r="AD34" i="10"/>
  <c r="AD5" i="10" s="1"/>
  <c r="V34" i="10"/>
  <c r="V5" i="10" s="1"/>
  <c r="N34" i="10"/>
  <c r="N5" i="10" s="1"/>
  <c r="F34" i="10"/>
  <c r="F5" i="10" s="1"/>
  <c r="E607" i="11" s="1"/>
  <c r="T116" i="10"/>
  <c r="AL110" i="10"/>
  <c r="AT110" i="10" s="1"/>
  <c r="AT106" i="10"/>
  <c r="AR64" i="10"/>
  <c r="E849" i="11" s="1"/>
  <c r="AJ64" i="10"/>
  <c r="E841" i="11" s="1"/>
  <c r="Z64" i="10"/>
  <c r="E832" i="11" s="1"/>
  <c r="BG122" i="10"/>
  <c r="AG98" i="10"/>
  <c r="BG116" i="10"/>
  <c r="AH64" i="10"/>
  <c r="E839" i="11" s="1"/>
  <c r="AF64" i="10"/>
  <c r="AG64" i="10" s="1"/>
  <c r="AT6" i="10"/>
  <c r="AG6" i="10"/>
  <c r="H40" i="39" l="1"/>
  <c r="H235" i="39"/>
  <c r="H67" i="39"/>
  <c r="H78" i="39"/>
  <c r="H165" i="39"/>
  <c r="H2" i="39"/>
  <c r="H271" i="39"/>
  <c r="H24" i="39"/>
  <c r="H14" i="39"/>
  <c r="H178" i="39"/>
  <c r="H243" i="39"/>
  <c r="H47" i="39"/>
  <c r="H179" i="39"/>
  <c r="H111" i="39"/>
  <c r="H114" i="39"/>
  <c r="H185" i="39"/>
  <c r="H186" i="39"/>
  <c r="H188" i="39"/>
  <c r="H196" i="39"/>
  <c r="H126" i="39"/>
  <c r="H134" i="39"/>
  <c r="H206" i="39"/>
  <c r="D81" i="36"/>
  <c r="D83" i="36"/>
  <c r="D84" i="36"/>
  <c r="D82" i="36"/>
  <c r="D85" i="36"/>
  <c r="H92" i="39"/>
  <c r="H69" i="39"/>
  <c r="H276" i="39"/>
  <c r="H138" i="39"/>
  <c r="H207" i="39"/>
  <c r="H108" i="39"/>
  <c r="H11" i="39"/>
  <c r="H218" i="39"/>
  <c r="H120" i="39"/>
  <c r="H110" i="39"/>
  <c r="H203" i="39"/>
  <c r="H102" i="39"/>
  <c r="H161" i="39"/>
  <c r="H269" i="39"/>
  <c r="H174" i="39"/>
  <c r="H170" i="39"/>
  <c r="H152" i="39"/>
  <c r="H79" i="39"/>
  <c r="H272" i="39"/>
  <c r="H259" i="39"/>
  <c r="H211" i="39"/>
  <c r="H4" i="39"/>
  <c r="H12" i="39"/>
  <c r="H22" i="39"/>
  <c r="H258" i="39"/>
  <c r="H132" i="39"/>
  <c r="H122" i="39"/>
  <c r="H173" i="39"/>
  <c r="H84" i="39"/>
  <c r="H270" i="39"/>
  <c r="H273" i="39"/>
  <c r="H172" i="39"/>
  <c r="H164" i="39"/>
  <c r="H75" i="39"/>
  <c r="H16" i="39"/>
  <c r="H182" i="39"/>
  <c r="H223" i="39"/>
  <c r="H130" i="39"/>
  <c r="H112" i="39"/>
  <c r="H104" i="39"/>
  <c r="H98" i="39"/>
  <c r="H90" i="39"/>
  <c r="H82" i="39"/>
  <c r="H50" i="39"/>
  <c r="H248" i="39"/>
  <c r="H255" i="39"/>
  <c r="H246" i="39"/>
  <c r="H197" i="39"/>
  <c r="H177" i="39"/>
  <c r="H171" i="39"/>
  <c r="H153" i="39"/>
  <c r="H151" i="39"/>
  <c r="H149" i="39"/>
  <c r="H30" i="39"/>
  <c r="H35" i="39"/>
  <c r="H257" i="39"/>
  <c r="H58" i="39"/>
  <c r="H10" i="39"/>
  <c r="H109" i="39"/>
  <c r="H107" i="39"/>
  <c r="H99" i="39"/>
  <c r="H148" i="39"/>
  <c r="H51" i="39"/>
  <c r="H247" i="39"/>
  <c r="H33" i="39"/>
  <c r="H49" i="39"/>
  <c r="H116" i="39"/>
  <c r="H66" i="39"/>
  <c r="H73" i="39"/>
  <c r="H106" i="39"/>
  <c r="H169" i="39"/>
  <c r="H157" i="39"/>
  <c r="H155" i="39"/>
  <c r="H140" i="39"/>
  <c r="H131" i="39"/>
  <c r="H198" i="39"/>
  <c r="H101" i="39"/>
  <c r="H83" i="39"/>
  <c r="H34" i="39"/>
  <c r="H54" i="39"/>
  <c r="H53" i="39"/>
  <c r="H63" i="39"/>
  <c r="H190" i="39"/>
  <c r="H192" i="39"/>
  <c r="H119" i="39"/>
  <c r="H141" i="39"/>
  <c r="H191" i="39"/>
  <c r="H167" i="39"/>
  <c r="H251" i="39"/>
  <c r="H260" i="39"/>
  <c r="H26" i="39"/>
  <c r="H133" i="39"/>
  <c r="H125" i="39"/>
  <c r="H184" i="39"/>
  <c r="H91" i="39"/>
  <c r="H87" i="39"/>
  <c r="H85" i="39"/>
  <c r="H150" i="39"/>
  <c r="H28" i="39"/>
  <c r="H46" i="39"/>
  <c r="H204" i="39"/>
  <c r="H194" i="39"/>
  <c r="H176" i="39"/>
  <c r="H166" i="39"/>
  <c r="H36" i="39"/>
  <c r="H65" i="39"/>
  <c r="H38" i="39"/>
  <c r="H231" i="39"/>
  <c r="H76" i="39"/>
  <c r="H144" i="39"/>
  <c r="H29" i="39"/>
  <c r="H187" i="39"/>
  <c r="H5" i="39"/>
  <c r="D80" i="36"/>
  <c r="H57" i="39"/>
  <c r="E59" i="38" a="1"/>
  <c r="E59" i="38" s="1"/>
  <c r="E69" i="38" a="1"/>
  <c r="E69" i="38" s="1"/>
  <c r="H41" i="39"/>
  <c r="H266" i="39"/>
  <c r="H19" i="39"/>
  <c r="H226" i="39"/>
  <c r="H224" i="39"/>
  <c r="H212" i="39"/>
  <c r="H215" i="39"/>
  <c r="H62" i="39"/>
  <c r="H253" i="39"/>
  <c r="H252" i="39"/>
  <c r="H214" i="39"/>
  <c r="H42" i="39"/>
  <c r="H7" i="39"/>
  <c r="H55" i="39"/>
  <c r="H43" i="39"/>
  <c r="H20" i="39"/>
  <c r="H275" i="39"/>
  <c r="H71" i="39"/>
  <c r="H241" i="39"/>
  <c r="D69" i="38" a="1"/>
  <c r="D69" i="38" s="1"/>
  <c r="H113" i="39"/>
  <c r="H89" i="39"/>
  <c r="H32" i="39"/>
  <c r="H229" i="39"/>
  <c r="H209" i="39"/>
  <c r="H233" i="39"/>
  <c r="H59" i="39"/>
  <c r="H242" i="39"/>
  <c r="H17" i="39"/>
  <c r="H77" i="39"/>
  <c r="H3" i="39"/>
  <c r="H137" i="39"/>
  <c r="H124" i="39"/>
  <c r="H100" i="39"/>
  <c r="H254" i="39"/>
  <c r="H217" i="39"/>
  <c r="H201" i="39"/>
  <c r="H195" i="39"/>
  <c r="H94" i="39"/>
  <c r="H44" i="39"/>
  <c r="H60" i="39"/>
  <c r="H135" i="39"/>
  <c r="H129" i="39"/>
  <c r="H123" i="39"/>
  <c r="H117" i="39"/>
  <c r="H105" i="39"/>
  <c r="H81" i="39"/>
  <c r="H219" i="39"/>
  <c r="H64" i="39"/>
  <c r="H234" i="39"/>
  <c r="H240" i="39"/>
  <c r="C63" i="38" a="1"/>
  <c r="C63" i="38" s="1"/>
  <c r="H200" i="39"/>
  <c r="H93" i="39"/>
  <c r="H146" i="39"/>
  <c r="H267" i="39"/>
  <c r="H31" i="39"/>
  <c r="H27" i="39"/>
  <c r="H237" i="39"/>
  <c r="H263" i="39"/>
  <c r="H261" i="39"/>
  <c r="H268" i="39"/>
  <c r="H228" i="39"/>
  <c r="H95" i="39"/>
  <c r="H230" i="39"/>
  <c r="H45" i="39"/>
  <c r="H202" i="39"/>
  <c r="H18" i="39"/>
  <c r="H264" i="39"/>
  <c r="H9" i="39"/>
  <c r="H128" i="39"/>
  <c r="H86" i="39"/>
  <c r="H80" i="39"/>
  <c r="H74" i="39"/>
  <c r="H52" i="39"/>
  <c r="H15" i="39"/>
  <c r="H221" i="39"/>
  <c r="H8" i="39"/>
  <c r="H245" i="39"/>
  <c r="H239" i="39"/>
  <c r="H256" i="39"/>
  <c r="H216" i="39"/>
  <c r="H274" i="39"/>
  <c r="H68" i="39"/>
  <c r="H189" i="39"/>
  <c r="H205" i="39"/>
  <c r="H199" i="39"/>
  <c r="H193" i="39"/>
  <c r="H181" i="39"/>
  <c r="H175" i="39"/>
  <c r="H163" i="39"/>
  <c r="H145" i="39"/>
  <c r="H39" i="39"/>
  <c r="H227" i="39"/>
  <c r="H225" i="39"/>
  <c r="H222" i="39"/>
  <c r="H244" i="39"/>
  <c r="H262" i="39"/>
  <c r="C65" i="38" a="1"/>
  <c r="C65" i="38" s="1"/>
  <c r="H118" i="39"/>
  <c r="H249" i="39"/>
  <c r="H136" i="39"/>
  <c r="H183" i="39"/>
  <c r="D3" i="38" a="1"/>
  <c r="D3" i="38" s="1"/>
  <c r="H127" i="39"/>
  <c r="H121" i="39"/>
  <c r="H115" i="39"/>
  <c r="H103" i="39"/>
  <c r="H37" i="39"/>
  <c r="H236" i="39"/>
  <c r="H21" i="39"/>
  <c r="H210" i="39"/>
  <c r="H232" i="39"/>
  <c r="H250" i="39"/>
  <c r="H265" i="39"/>
  <c r="H154" i="39"/>
  <c r="H23" i="39"/>
  <c r="H48" i="39"/>
  <c r="H6" i="39"/>
  <c r="H180" i="39"/>
  <c r="H168" i="39"/>
  <c r="H162" i="39"/>
  <c r="H156" i="39"/>
  <c r="H143" i="39"/>
  <c r="H13" i="39"/>
  <c r="H213" i="39"/>
  <c r="H56" i="39"/>
  <c r="H25" i="39"/>
  <c r="H220" i="39"/>
  <c r="H238" i="39"/>
  <c r="D67" i="38" a="1"/>
  <c r="D67" i="38" s="1"/>
  <c r="E67" i="38" a="1"/>
  <c r="E67" i="38" s="1"/>
  <c r="D59" i="38" a="1"/>
  <c r="D59" i="38" s="1"/>
  <c r="E66" i="38" a="1"/>
  <c r="E66" i="38" s="1"/>
  <c r="C62" i="38" a="1"/>
  <c r="C62" i="38" s="1"/>
  <c r="E61" i="38" a="1"/>
  <c r="E61" i="38" s="1"/>
  <c r="D61" i="38" a="1"/>
  <c r="D61" i="38" s="1"/>
  <c r="D13" i="38" a="1"/>
  <c r="D13" i="38" s="1"/>
  <c r="E60" i="38" a="1"/>
  <c r="E60" i="38" s="1"/>
  <c r="F60" i="38" a="1"/>
  <c r="F60" i="38" s="1"/>
  <c r="C59" i="38" a="1"/>
  <c r="C59" i="38" s="1"/>
  <c r="F68" i="38" a="1"/>
  <c r="F68" i="38" s="1"/>
  <c r="D34" i="38" a="1"/>
  <c r="D34" i="38" s="1"/>
  <c r="D40" i="38" a="1"/>
  <c r="D40" i="38" s="1"/>
  <c r="D31" i="38" a="1"/>
  <c r="D31" i="38" s="1"/>
  <c r="D8" i="38" a="1"/>
  <c r="D8" i="38" s="1"/>
  <c r="D35" i="38" a="1"/>
  <c r="D35" i="38" s="1"/>
  <c r="D5" i="38" a="1"/>
  <c r="D5" i="38" s="1"/>
  <c r="D41" i="38" a="1"/>
  <c r="D41" i="38" s="1"/>
  <c r="D24" i="38" a="1"/>
  <c r="D24" i="38" s="1"/>
  <c r="D56" i="38" a="1"/>
  <c r="D56" i="38" s="1"/>
  <c r="C64" i="38" a="1"/>
  <c r="C64" i="38" s="1"/>
  <c r="D7" i="38" a="1"/>
  <c r="D7" i="38" s="1"/>
  <c r="F62" i="38" a="1"/>
  <c r="F62" i="38" s="1"/>
  <c r="D37" i="38" a="1"/>
  <c r="D37" i="38" s="1"/>
  <c r="D26" i="38" a="1"/>
  <c r="D26" i="38" s="1"/>
  <c r="D16" i="38" a="1"/>
  <c r="D16" i="38" s="1"/>
  <c r="D33" i="38" a="1"/>
  <c r="D33" i="38" s="1"/>
  <c r="D20" i="38" a="1"/>
  <c r="D20" i="38" s="1"/>
  <c r="D15" i="38" a="1"/>
  <c r="D15" i="38" s="1"/>
  <c r="D12" i="38" a="1"/>
  <c r="D12" i="38" s="1"/>
  <c r="D9" i="38" a="1"/>
  <c r="D9" i="38" s="1"/>
  <c r="D64" i="38" a="1"/>
  <c r="D64" i="38" s="1"/>
  <c r="D6" i="38" a="1"/>
  <c r="D6" i="38" s="1"/>
  <c r="D21" i="38" a="1"/>
  <c r="D21" i="38" s="1"/>
  <c r="D57" i="38" a="1"/>
  <c r="D57" i="38" s="1"/>
  <c r="D39" i="38" a="1"/>
  <c r="D39" i="38" s="1"/>
  <c r="D30" i="38" a="1"/>
  <c r="D30" i="38" s="1"/>
  <c r="D54" i="38" a="1"/>
  <c r="D54" i="38" s="1"/>
  <c r="D50" i="38" a="1"/>
  <c r="D50" i="38" s="1"/>
  <c r="D65" i="38" a="1"/>
  <c r="D65" i="38" s="1"/>
  <c r="F61" i="38" a="1"/>
  <c r="F61" i="38" s="1"/>
  <c r="D29" i="38" a="1"/>
  <c r="D29" i="38" s="1"/>
  <c r="D17" i="38" a="1"/>
  <c r="D17" i="38" s="1"/>
  <c r="F66" i="38" a="1"/>
  <c r="F66" i="38" s="1"/>
  <c r="D22" i="38" a="1"/>
  <c r="D22" i="38" s="1"/>
  <c r="D47" i="38" a="1"/>
  <c r="D47" i="38" s="1"/>
  <c r="D46" i="38" a="1"/>
  <c r="D46" i="38" s="1"/>
  <c r="C67" i="38" a="1"/>
  <c r="C67" i="38" s="1"/>
  <c r="D62" i="38" a="1"/>
  <c r="D62" i="38" s="1"/>
  <c r="C68" i="38" a="1"/>
  <c r="C68" i="38" s="1"/>
  <c r="D36" i="38" a="1"/>
  <c r="D36" i="38" s="1"/>
  <c r="D4" i="38" a="1"/>
  <c r="D4" i="38" s="1"/>
  <c r="D32" i="38" a="1"/>
  <c r="D32" i="38" s="1"/>
  <c r="D28" i="38" a="1"/>
  <c r="D28" i="38" s="1"/>
  <c r="D14" i="38" a="1"/>
  <c r="D14" i="38" s="1"/>
  <c r="D52" i="38" a="1"/>
  <c r="D52" i="38" s="1"/>
  <c r="E64" i="38" a="1"/>
  <c r="E64" i="38" s="1"/>
  <c r="D66" i="38" a="1"/>
  <c r="D66" i="38" s="1"/>
  <c r="D25" i="38" a="1"/>
  <c r="D25" i="38" s="1"/>
  <c r="E65" i="38" a="1"/>
  <c r="E65" i="38" s="1"/>
  <c r="D58" i="38" a="1"/>
  <c r="D58" i="38" s="1"/>
  <c r="D45" i="38" a="1"/>
  <c r="D45" i="38" s="1"/>
  <c r="D44" i="38" a="1"/>
  <c r="D44" i="38" s="1"/>
  <c r="D55" i="38" a="1"/>
  <c r="D55" i="38" s="1"/>
  <c r="D18" i="38" a="1"/>
  <c r="D18" i="38" s="1"/>
  <c r="D49" i="38" a="1"/>
  <c r="D49" i="38" s="1"/>
  <c r="D63" i="38" a="1"/>
  <c r="D63" i="38" s="1"/>
  <c r="D68" i="38" a="1"/>
  <c r="D68" i="38" s="1"/>
  <c r="D38" i="38" a="1"/>
  <c r="D38" i="38" s="1"/>
  <c r="C69" i="38" a="1"/>
  <c r="C69" i="38" s="1"/>
  <c r="D60" i="38" a="1"/>
  <c r="D60" i="38" s="1"/>
  <c r="D42" i="38" a="1"/>
  <c r="D42" i="38" s="1"/>
  <c r="D48" i="38" a="1"/>
  <c r="D48" i="38" s="1"/>
  <c r="D10" i="38" a="1"/>
  <c r="D10" i="38" s="1"/>
  <c r="E63" i="38" a="1"/>
  <c r="E63" i="38" s="1"/>
  <c r="D53" i="38" a="1"/>
  <c r="D53" i="38" s="1"/>
  <c r="D23" i="38" a="1"/>
  <c r="D23" i="38" s="1"/>
  <c r="D79" i="36"/>
  <c r="D78" i="36"/>
  <c r="D77" i="36"/>
  <c r="D76" i="36"/>
  <c r="D75" i="36"/>
  <c r="D72" i="36"/>
  <c r="D73" i="36"/>
  <c r="D74" i="36"/>
  <c r="D71" i="36"/>
  <c r="D70" i="36"/>
  <c r="F57" i="38" a="1"/>
  <c r="F57" i="38" s="1"/>
  <c r="E813" i="11"/>
  <c r="E817" i="11"/>
  <c r="E814" i="11"/>
  <c r="E811" i="11"/>
  <c r="E819" i="11"/>
  <c r="E812" i="11"/>
  <c r="E850" i="11"/>
  <c r="E810" i="11"/>
  <c r="E818" i="11"/>
  <c r="E815" i="11"/>
  <c r="E826" i="11"/>
  <c r="E838" i="11"/>
  <c r="E816" i="11"/>
  <c r="C878" i="11"/>
  <c r="D878" i="11"/>
  <c r="B879" i="11"/>
  <c r="E879" i="11" s="1"/>
  <c r="C57" i="38" a="1"/>
  <c r="C57" i="38" s="1"/>
  <c r="E58" i="38" a="1"/>
  <c r="E58" i="38" s="1"/>
  <c r="C58" i="38" a="1"/>
  <c r="C58" i="38" s="1"/>
  <c r="C55" i="38" a="1"/>
  <c r="C55" i="38" s="1"/>
  <c r="F55" i="38" a="1"/>
  <c r="F55" i="38" s="1"/>
  <c r="C56" i="38" a="1"/>
  <c r="C56" i="38" s="1"/>
  <c r="F56" i="38" a="1"/>
  <c r="F56" i="38" s="1"/>
  <c r="D69" i="36"/>
  <c r="D57" i="36"/>
  <c r="D68" i="36"/>
  <c r="D67" i="36"/>
  <c r="D66" i="36"/>
  <c r="I5" i="31"/>
  <c r="F54" i="38" a="1"/>
  <c r="F54" i="38" s="1"/>
  <c r="C54" i="38" a="1"/>
  <c r="C54" i="38" s="1"/>
  <c r="I12" i="31"/>
  <c r="D65" i="36"/>
  <c r="E53" i="38" a="1"/>
  <c r="E53" i="38" s="1"/>
  <c r="F53" i="38" a="1"/>
  <c r="F53" i="38" s="1"/>
  <c r="L9" i="31"/>
  <c r="M17" i="31"/>
  <c r="L5" i="31"/>
  <c r="L7" i="31"/>
  <c r="N7" i="31"/>
  <c r="I7" i="31"/>
  <c r="M9" i="31"/>
  <c r="J21" i="31"/>
  <c r="J12" i="31"/>
  <c r="M7" i="31"/>
  <c r="L23" i="31"/>
  <c r="L21" i="31"/>
  <c r="L22" i="31"/>
  <c r="K22" i="31"/>
  <c r="K9" i="31"/>
  <c r="D64" i="36"/>
  <c r="N22" i="31"/>
  <c r="N9" i="31"/>
  <c r="K5" i="31"/>
  <c r="J16" i="31" a="1"/>
  <c r="J16" i="31" s="1"/>
  <c r="J17" i="31" s="1"/>
  <c r="J14" i="31"/>
  <c r="J20" i="31"/>
  <c r="M23" i="31"/>
  <c r="M21" i="31"/>
  <c r="M19" i="31"/>
  <c r="M22" i="31"/>
  <c r="M12" i="31"/>
  <c r="N16" i="31" a="1"/>
  <c r="N16" i="31" s="1"/>
  <c r="N17" i="31" s="1"/>
  <c r="N14" i="31"/>
  <c r="N20" i="31"/>
  <c r="J23" i="31"/>
  <c r="J19" i="31"/>
  <c r="L19" i="31"/>
  <c r="L12" i="31"/>
  <c r="J5" i="31"/>
  <c r="K16" i="31" a="1"/>
  <c r="K16" i="31" s="1"/>
  <c r="K17" i="31" s="1"/>
  <c r="K20" i="31"/>
  <c r="K14" i="31"/>
  <c r="N21" i="31"/>
  <c r="N12" i="31"/>
  <c r="K23" i="31"/>
  <c r="K21" i="31"/>
  <c r="J7" i="31"/>
  <c r="M5" i="31"/>
  <c r="I22" i="31"/>
  <c r="I19" i="31"/>
  <c r="I21" i="31"/>
  <c r="M20" i="31"/>
  <c r="M14" i="31"/>
  <c r="I23" i="31"/>
  <c r="J22" i="31"/>
  <c r="J9" i="31"/>
  <c r="L15" i="31" a="1"/>
  <c r="L15" i="31" s="1"/>
  <c r="K19" i="31"/>
  <c r="K12" i="31"/>
  <c r="K7" i="31"/>
  <c r="I16" i="31" a="1"/>
  <c r="I16" i="31" s="1"/>
  <c r="I17" i="31" s="1"/>
  <c r="I20" i="31"/>
  <c r="I14" i="31"/>
  <c r="N5" i="31"/>
  <c r="L16" i="31" a="1"/>
  <c r="L16" i="31" s="1"/>
  <c r="L17" i="31" s="1"/>
  <c r="L14" i="31"/>
  <c r="L20" i="31"/>
  <c r="N23" i="31"/>
  <c r="N19" i="31"/>
  <c r="D6" i="36"/>
  <c r="F20" i="38" a="1"/>
  <c r="F20" i="38" s="1"/>
  <c r="C9" i="38" a="1"/>
  <c r="C9" i="38" s="1"/>
  <c r="E9" i="38" a="1"/>
  <c r="E9" i="38" s="1"/>
  <c r="C31" i="38" a="1"/>
  <c r="C31" i="38" s="1"/>
  <c r="C33" i="38" a="1"/>
  <c r="C33" i="38" s="1"/>
  <c r="E33" i="38" a="1"/>
  <c r="E33" i="38" s="1"/>
  <c r="D63" i="36"/>
  <c r="D62" i="36"/>
  <c r="D60" i="36"/>
  <c r="C28" i="38" a="1"/>
  <c r="C28" i="38" s="1"/>
  <c r="D61" i="36"/>
  <c r="E17" i="38" a="1"/>
  <c r="E17" i="38" s="1"/>
  <c r="F18" i="38" a="1"/>
  <c r="F18" i="38" s="1"/>
  <c r="F4" i="38" a="1"/>
  <c r="F4" i="38" s="1"/>
  <c r="F17" i="38" a="1"/>
  <c r="F17" i="38" s="1"/>
  <c r="F25" i="38" a="1"/>
  <c r="F25" i="38" s="1"/>
  <c r="F11" i="38" a="1"/>
  <c r="F11" i="38" s="1"/>
  <c r="E25" i="38" a="1"/>
  <c r="E25" i="38" s="1"/>
  <c r="E11" i="38" a="1"/>
  <c r="E11" i="38" s="1"/>
  <c r="D15" i="36"/>
  <c r="C20" i="38" a="1"/>
  <c r="C20" i="38" s="1"/>
  <c r="E15" i="38" a="1"/>
  <c r="E15" i="38" s="1"/>
  <c r="C34" i="38" a="1"/>
  <c r="C34" i="38" s="1"/>
  <c r="E47" i="38" a="1"/>
  <c r="E47" i="38" s="1"/>
  <c r="E18" i="38" a="1"/>
  <c r="E18" i="38" s="1"/>
  <c r="F26" i="38" a="1"/>
  <c r="F26" i="38" s="1"/>
  <c r="E26" i="38" a="1"/>
  <c r="E26" i="38" s="1"/>
  <c r="C11" i="38" a="1"/>
  <c r="C11" i="38" s="1"/>
  <c r="F5" i="38" a="1"/>
  <c r="F5" i="38" s="1"/>
  <c r="E50" i="38" a="1"/>
  <c r="E50" i="38" s="1"/>
  <c r="E43" i="38" a="1"/>
  <c r="E43" i="38" s="1"/>
  <c r="F49" i="38" a="1"/>
  <c r="F49" i="38" s="1"/>
  <c r="C43" i="38" a="1"/>
  <c r="C43" i="38" s="1"/>
  <c r="F43" i="38" a="1"/>
  <c r="F43" i="38" s="1"/>
  <c r="C41" i="38" a="1"/>
  <c r="C41" i="38" s="1"/>
  <c r="E41" i="38" a="1"/>
  <c r="E41" i="38" s="1"/>
  <c r="F28" i="38" a="1"/>
  <c r="F28" i="38" s="1"/>
  <c r="F35" i="38" a="1"/>
  <c r="F35" i="38" s="1"/>
  <c r="C15" i="38" a="1"/>
  <c r="C15" i="38" s="1"/>
  <c r="E3" i="38" a="1"/>
  <c r="E3" i="38" s="1"/>
  <c r="F3" i="38" a="1"/>
  <c r="F3" i="38" s="1"/>
  <c r="C38" i="38" a="1"/>
  <c r="C38" i="38" s="1"/>
  <c r="C37" i="38" a="1"/>
  <c r="C37" i="38" s="1"/>
  <c r="F21" i="38" a="1"/>
  <c r="F21" i="38" s="1"/>
  <c r="E27" i="38" a="1"/>
  <c r="E27" i="38" s="1"/>
  <c r="E31" i="38" a="1"/>
  <c r="E31" i="38" s="1"/>
  <c r="E34" i="38" a="1"/>
  <c r="E34" i="38" s="1"/>
  <c r="C5" i="38" a="1"/>
  <c r="C5" i="38" s="1"/>
  <c r="E35" i="38" a="1"/>
  <c r="E35" i="38" s="1"/>
  <c r="E8" i="38" a="1"/>
  <c r="E8" i="38" s="1"/>
  <c r="F37" i="38" a="1"/>
  <c r="F37" i="38" s="1"/>
  <c r="E30" i="38" a="1"/>
  <c r="E30" i="38" s="1"/>
  <c r="E40" i="38" a="1"/>
  <c r="E40" i="38" s="1"/>
  <c r="C52" i="38" a="1"/>
  <c r="C52" i="38" s="1"/>
  <c r="F10" i="38" a="1"/>
  <c r="F10" i="38" s="1"/>
  <c r="F52" i="38" a="1"/>
  <c r="F52" i="38" s="1"/>
  <c r="C40" i="38" a="1"/>
  <c r="C40" i="38" s="1"/>
  <c r="E10" i="38" a="1"/>
  <c r="E10" i="38" s="1"/>
  <c r="C8" i="38" a="1"/>
  <c r="C8" i="38" s="1"/>
  <c r="C30" i="38" a="1"/>
  <c r="C30" i="38" s="1"/>
  <c r="F29" i="38" a="1"/>
  <c r="F29" i="38" s="1"/>
  <c r="E48" i="38" a="1"/>
  <c r="E48" i="38" s="1"/>
  <c r="F24" i="38" a="1"/>
  <c r="F24" i="38" s="1"/>
  <c r="C51" i="38" a="1"/>
  <c r="C51" i="38" s="1"/>
  <c r="E7" i="38" a="1"/>
  <c r="E7" i="38" s="1"/>
  <c r="C7" i="38" a="1"/>
  <c r="C7" i="38" s="1"/>
  <c r="E14" i="38" a="1"/>
  <c r="E14" i="38" s="1"/>
  <c r="F48" i="38" a="1"/>
  <c r="F48" i="38" s="1"/>
  <c r="C14" i="38" a="1"/>
  <c r="C14" i="38" s="1"/>
  <c r="F44" i="38" a="1"/>
  <c r="F44" i="38" s="1"/>
  <c r="C21" i="38" a="1"/>
  <c r="C21" i="38" s="1"/>
  <c r="C44" i="38" a="1"/>
  <c r="C44" i="38" s="1"/>
  <c r="E24" i="38" a="1"/>
  <c r="E24" i="38" s="1"/>
  <c r="C13" i="38" a="1"/>
  <c r="C13" i="38" s="1"/>
  <c r="E16" i="38" a="1"/>
  <c r="E16" i="38" s="1"/>
  <c r="E29" i="38" a="1"/>
  <c r="E29" i="38" s="1"/>
  <c r="C22" i="38" a="1"/>
  <c r="C22" i="38" s="1"/>
  <c r="F51" i="38" a="1"/>
  <c r="F51" i="38" s="1"/>
  <c r="F36" i="38" a="1"/>
  <c r="F36" i="38" s="1"/>
  <c r="E51" i="38" a="1"/>
  <c r="E51" i="38" s="1"/>
  <c r="F16" i="38" a="1"/>
  <c r="F16" i="38" s="1"/>
  <c r="E6" i="38" a="1"/>
  <c r="E6" i="38" s="1"/>
  <c r="C36" i="38" a="1"/>
  <c r="C36" i="38" s="1"/>
  <c r="C6" i="38" a="1"/>
  <c r="C6" i="38" s="1"/>
  <c r="F13" i="38" a="1"/>
  <c r="F13" i="38" s="1"/>
  <c r="E23" i="38" a="1"/>
  <c r="E23" i="38" s="1"/>
  <c r="C27" i="38" a="1"/>
  <c r="C27" i="38" s="1"/>
  <c r="C4" i="38" a="1"/>
  <c r="C4" i="38" s="1"/>
  <c r="C19" i="38" a="1"/>
  <c r="C19" i="38" s="1"/>
  <c r="E22" i="38" a="1"/>
  <c r="E22" i="38" s="1"/>
  <c r="E38" i="38" a="1"/>
  <c r="E38" i="38" s="1"/>
  <c r="C46" i="38" a="1"/>
  <c r="C46" i="38" s="1"/>
  <c r="F27" i="38" a="1"/>
  <c r="F27" i="38" s="1"/>
  <c r="F50" i="38" a="1"/>
  <c r="F50" i="38" s="1"/>
  <c r="C45" i="38" a="1"/>
  <c r="C45" i="38" s="1"/>
  <c r="C39" i="38" a="1"/>
  <c r="C39" i="38" s="1"/>
  <c r="F23" i="38" a="1"/>
  <c r="F23" i="38" s="1"/>
  <c r="E19" i="38" a="1"/>
  <c r="E19" i="38" s="1"/>
  <c r="E32" i="38" a="1"/>
  <c r="E32" i="38" s="1"/>
  <c r="C12" i="38" a="1"/>
  <c r="C12" i="38" s="1"/>
  <c r="E42" i="38" a="1"/>
  <c r="E42" i="38" s="1"/>
  <c r="F42" i="38" a="1"/>
  <c r="F42" i="38" s="1"/>
  <c r="F45" i="38" a="1"/>
  <c r="F45" i="38" s="1"/>
  <c r="E39" i="38" a="1"/>
  <c r="E39" i="38" s="1"/>
  <c r="F12" i="38" a="1"/>
  <c r="F12" i="38" s="1"/>
  <c r="F19" i="38" a="1"/>
  <c r="F19" i="38" s="1"/>
  <c r="E46" i="38" a="1"/>
  <c r="E46" i="38" s="1"/>
  <c r="C32" i="38" a="1"/>
  <c r="C32" i="38" s="1"/>
  <c r="C47" i="38" a="1"/>
  <c r="C47" i="38" s="1"/>
  <c r="E49" i="38" a="1"/>
  <c r="E49" i="38" s="1"/>
  <c r="D59" i="36"/>
  <c r="E1977" i="11"/>
  <c r="D58" i="36"/>
  <c r="D55" i="36"/>
  <c r="D45" i="36"/>
  <c r="D9" i="36"/>
  <c r="D30" i="36"/>
  <c r="D22" i="36"/>
  <c r="D43" i="36"/>
  <c r="D21" i="36"/>
  <c r="D48" i="36"/>
  <c r="D5" i="36"/>
  <c r="D32" i="36"/>
  <c r="D54" i="36"/>
  <c r="D24" i="36"/>
  <c r="D35" i="36"/>
  <c r="D40" i="36"/>
  <c r="D29" i="36"/>
  <c r="D50" i="36"/>
  <c r="D2" i="36"/>
  <c r="D14" i="36"/>
  <c r="D39" i="36"/>
  <c r="D51" i="36"/>
  <c r="D31" i="36"/>
  <c r="D33" i="36"/>
  <c r="D12" i="36"/>
  <c r="D36" i="36"/>
  <c r="D23" i="36"/>
  <c r="D34" i="36"/>
  <c r="D4" i="36"/>
  <c r="D41" i="36"/>
  <c r="D7" i="36"/>
  <c r="D28" i="36"/>
  <c r="D19" i="36"/>
  <c r="D44" i="36"/>
  <c r="D18" i="36"/>
  <c r="D8" i="36"/>
  <c r="D16" i="36"/>
  <c r="D42" i="36"/>
  <c r="D25" i="36"/>
  <c r="D38" i="36"/>
  <c r="D17" i="36"/>
  <c r="D53" i="36"/>
  <c r="D47" i="36"/>
  <c r="D52" i="36"/>
  <c r="D37" i="36"/>
  <c r="D56" i="36"/>
  <c r="D13" i="36"/>
  <c r="D10" i="36"/>
  <c r="D46" i="36"/>
  <c r="D20" i="36"/>
  <c r="D3" i="36"/>
  <c r="D49" i="36"/>
  <c r="D27" i="36"/>
  <c r="D26" i="36"/>
  <c r="D11" i="36"/>
  <c r="E613" i="11"/>
  <c r="E2875" i="11"/>
  <c r="C2875" i="11"/>
  <c r="D2875" i="11"/>
  <c r="B2876" i="11"/>
  <c r="E2772" i="11"/>
  <c r="D2772" i="11"/>
  <c r="C2772" i="11"/>
  <c r="B2773" i="11"/>
  <c r="D613" i="11"/>
  <c r="E1976" i="11"/>
  <c r="E1975" i="11"/>
  <c r="C613" i="11"/>
  <c r="E1983" i="11"/>
  <c r="C309" i="11"/>
  <c r="B2654" i="11"/>
  <c r="B2655" i="11" s="1"/>
  <c r="E2653" i="11"/>
  <c r="C2653" i="11"/>
  <c r="T102" i="10"/>
  <c r="E2447" i="11"/>
  <c r="E2962" i="11"/>
  <c r="D2962" i="11"/>
  <c r="C2962" i="11"/>
  <c r="H13" i="31" a="1"/>
  <c r="H13" i="31" s="1"/>
  <c r="H20" i="31" s="1"/>
  <c r="E1571" i="11"/>
  <c r="J118" i="10"/>
  <c r="J120" i="10" s="1"/>
  <c r="J123" i="10" s="1"/>
  <c r="E1568" i="11"/>
  <c r="E1231" i="11"/>
  <c r="K118" i="10"/>
  <c r="K120" i="10" s="1"/>
  <c r="K123" i="10" s="1"/>
  <c r="E1570" i="11"/>
  <c r="E1569" i="11"/>
  <c r="H104" i="10"/>
  <c r="H111" i="10" s="1"/>
  <c r="E1227" i="11"/>
  <c r="E612" i="11"/>
  <c r="C104" i="10"/>
  <c r="C111" i="10" s="1"/>
  <c r="C118" i="10" s="1"/>
  <c r="C120" i="10" s="1"/>
  <c r="C123" i="10" s="1"/>
  <c r="E1222" i="11"/>
  <c r="E1229" i="11"/>
  <c r="E104" i="10"/>
  <c r="E111" i="10" s="1"/>
  <c r="E118" i="10" s="1"/>
  <c r="E120" i="10" s="1"/>
  <c r="E123" i="10" s="1"/>
  <c r="E1224" i="11"/>
  <c r="G104" i="10"/>
  <c r="G111" i="10" s="1"/>
  <c r="G118" i="10" s="1"/>
  <c r="G120" i="10" s="1"/>
  <c r="G123" i="10" s="1"/>
  <c r="E1226" i="11"/>
  <c r="E1334" i="11"/>
  <c r="D104" i="10"/>
  <c r="D111" i="10" s="1"/>
  <c r="D118" i="10" s="1"/>
  <c r="D120" i="10" s="1"/>
  <c r="D123" i="10" s="1"/>
  <c r="E1223" i="11"/>
  <c r="F104" i="10"/>
  <c r="F111" i="10" s="1"/>
  <c r="E1225" i="11"/>
  <c r="I104" i="10"/>
  <c r="I111" i="10" s="1"/>
  <c r="E1228" i="11"/>
  <c r="B2448" i="11"/>
  <c r="C2448" i="11" s="1"/>
  <c r="B310" i="11"/>
  <c r="D310" i="11" s="1"/>
  <c r="E1880" i="11"/>
  <c r="B1881" i="11"/>
  <c r="C1881" i="11" s="1"/>
  <c r="D1880" i="11"/>
  <c r="D2447" i="11"/>
  <c r="B112" i="11"/>
  <c r="B113" i="11" s="1"/>
  <c r="D111" i="11"/>
  <c r="D1777" i="11"/>
  <c r="E1777" i="11"/>
  <c r="C1777" i="11"/>
  <c r="D1984" i="11"/>
  <c r="C1984" i="11"/>
  <c r="B1985" i="11"/>
  <c r="B2551" i="11"/>
  <c r="C2550" i="11"/>
  <c r="E2550" i="11"/>
  <c r="D2550" i="11"/>
  <c r="B1675" i="11"/>
  <c r="C1674" i="11"/>
  <c r="D1674" i="11"/>
  <c r="E1674" i="11"/>
  <c r="D1452" i="11"/>
  <c r="E1452" i="11"/>
  <c r="B1453" i="11"/>
  <c r="C1452" i="11"/>
  <c r="E1025" i="11"/>
  <c r="C1025" i="11"/>
  <c r="D1025" i="11"/>
  <c r="B1026" i="11"/>
  <c r="C2344" i="11"/>
  <c r="D2344" i="11"/>
  <c r="E2344" i="11"/>
  <c r="B2345" i="11"/>
  <c r="D614" i="11"/>
  <c r="B615" i="11"/>
  <c r="C614" i="11"/>
  <c r="E614" i="11"/>
  <c r="D1778" i="11"/>
  <c r="E1778" i="11"/>
  <c r="C1778" i="11"/>
  <c r="B1779" i="11"/>
  <c r="B1336" i="11"/>
  <c r="C1335" i="11"/>
  <c r="D1335" i="11"/>
  <c r="E1335" i="11"/>
  <c r="C2138" i="11"/>
  <c r="D2138" i="11"/>
  <c r="E2138" i="11"/>
  <c r="B2139" i="11"/>
  <c r="D2963" i="11"/>
  <c r="E2963" i="11"/>
  <c r="B2964" i="11"/>
  <c r="C2963" i="11"/>
  <c r="D1232" i="11"/>
  <c r="E1232" i="11"/>
  <c r="B1233" i="11"/>
  <c r="C1232" i="11"/>
  <c r="C923" i="11"/>
  <c r="D923" i="11"/>
  <c r="E923" i="11"/>
  <c r="B924" i="11"/>
  <c r="D210" i="11"/>
  <c r="C210" i="11"/>
  <c r="B211" i="11"/>
  <c r="D13" i="11"/>
  <c r="E13" i="11"/>
  <c r="B14" i="11"/>
  <c r="C13" i="11"/>
  <c r="B1573" i="11"/>
  <c r="E1572" i="11"/>
  <c r="C1572" i="11"/>
  <c r="D1572" i="11"/>
  <c r="B1130" i="11"/>
  <c r="C1129" i="11"/>
  <c r="D1129" i="11"/>
  <c r="E1129" i="11"/>
  <c r="B2242" i="11"/>
  <c r="C2241" i="11"/>
  <c r="D2241" i="11"/>
  <c r="E2241" i="11"/>
  <c r="D511" i="11"/>
  <c r="C511" i="11"/>
  <c r="E511" i="11"/>
  <c r="B512" i="11"/>
  <c r="D717" i="11"/>
  <c r="E717" i="11"/>
  <c r="B718" i="11"/>
  <c r="C717" i="11"/>
  <c r="C408" i="11"/>
  <c r="D408" i="11"/>
  <c r="B409" i="11"/>
  <c r="AF118" i="10"/>
  <c r="AF120" i="10" s="1"/>
  <c r="AF123" i="10" s="1"/>
  <c r="S118" i="10"/>
  <c r="S120" i="10" s="1"/>
  <c r="S123" i="10" s="1"/>
  <c r="S125" i="10" s="1"/>
  <c r="Q3189" i="11" a="1"/>
  <c r="Q3189" i="11" s="1"/>
  <c r="S5" i="10"/>
  <c r="T5" i="10" s="1"/>
  <c r="Q3192" i="11" a="1"/>
  <c r="Q3192" i="11" s="1"/>
  <c r="J3203" i="11" a="1"/>
  <c r="J3203" i="11" s="1"/>
  <c r="L3190" i="11" a="1"/>
  <c r="L3190" i="11" s="1"/>
  <c r="J3206" i="11" a="1"/>
  <c r="J3206" i="11" s="1"/>
  <c r="L3189" i="11" a="1"/>
  <c r="L3189" i="11" s="1"/>
  <c r="Q3191" i="11" a="1"/>
  <c r="Q3191" i="11" s="1"/>
  <c r="BG34" i="10"/>
  <c r="BG5" i="10" s="1"/>
  <c r="H15" i="31" a="1"/>
  <c r="H15" i="31" s="1"/>
  <c r="AS5" i="10"/>
  <c r="AT5" i="10" s="1"/>
  <c r="BG64" i="10"/>
  <c r="AU91" i="10"/>
  <c r="AU85" i="10" s="1"/>
  <c r="BG125" i="10"/>
  <c r="AW91" i="10"/>
  <c r="AW85" i="10" s="1"/>
  <c r="AV91" i="10"/>
  <c r="AV85" i="10" s="1"/>
  <c r="AX91" i="10"/>
  <c r="AX85" i="10" s="1"/>
  <c r="BE91" i="10"/>
  <c r="BE85" i="10" s="1"/>
  <c r="AY91" i="10"/>
  <c r="AY85" i="10" s="1"/>
  <c r="BC91" i="10"/>
  <c r="BC85" i="10" s="1"/>
  <c r="BD91" i="10"/>
  <c r="BD85" i="10" s="1"/>
  <c r="BG111" i="10"/>
  <c r="AZ91" i="10"/>
  <c r="AZ85" i="10" s="1"/>
  <c r="BB91" i="10"/>
  <c r="BB85" i="10" s="1"/>
  <c r="BA91" i="10"/>
  <c r="BA85" i="10" s="1"/>
  <c r="BF91" i="10"/>
  <c r="BF85" i="10" s="1"/>
  <c r="AH118" i="10"/>
  <c r="AT104" i="10"/>
  <c r="AF5" i="10"/>
  <c r="AG5" i="10" s="1"/>
  <c r="AL111" i="10"/>
  <c r="AL118" i="10" s="1"/>
  <c r="AL120" i="10" s="1"/>
  <c r="AL123" i="10" s="1"/>
  <c r="AL125" i="10" s="1"/>
  <c r="U111" i="10"/>
  <c r="AG104" i="10"/>
  <c r="E82" i="36" l="1"/>
  <c r="E84" i="36"/>
  <c r="E81" i="36"/>
  <c r="E83" i="36"/>
  <c r="E85" i="36"/>
  <c r="G69" i="38"/>
  <c r="G59" i="38"/>
  <c r="G66" i="38"/>
  <c r="G65" i="38"/>
  <c r="G62" i="38"/>
  <c r="G63" i="38"/>
  <c r="G60" i="38"/>
  <c r="G67" i="38"/>
  <c r="G61" i="38"/>
  <c r="G68" i="38"/>
  <c r="E80" i="36"/>
  <c r="G64" i="38"/>
  <c r="E77" i="36"/>
  <c r="E79" i="36"/>
  <c r="E78" i="36"/>
  <c r="E76" i="36"/>
  <c r="E75" i="36"/>
  <c r="E72" i="36"/>
  <c r="E74" i="36"/>
  <c r="E71" i="36"/>
  <c r="E70" i="36"/>
  <c r="E73" i="36"/>
  <c r="BC64" i="10"/>
  <c r="E859" i="11" s="1"/>
  <c r="AY64" i="10"/>
  <c r="E855" i="11" s="1"/>
  <c r="BD64" i="10"/>
  <c r="E860" i="11" s="1"/>
  <c r="BE64" i="10"/>
  <c r="E861" i="11" s="1"/>
  <c r="BA64" i="10"/>
  <c r="E857" i="11" s="1"/>
  <c r="AX64" i="10"/>
  <c r="E854" i="11" s="1"/>
  <c r="AU64" i="10"/>
  <c r="E851" i="11" s="1"/>
  <c r="BB64" i="10"/>
  <c r="E858" i="11" s="1"/>
  <c r="AV64" i="10"/>
  <c r="E852" i="11" s="1"/>
  <c r="AZ64" i="10"/>
  <c r="E856" i="11" s="1"/>
  <c r="AW64" i="10"/>
  <c r="E853" i="11" s="1"/>
  <c r="C879" i="11"/>
  <c r="D879" i="11"/>
  <c r="B880" i="11"/>
  <c r="E880" i="11" s="1"/>
  <c r="G57" i="38"/>
  <c r="G55" i="38"/>
  <c r="G58" i="38"/>
  <c r="E69" i="36"/>
  <c r="G56" i="38"/>
  <c r="E68" i="36"/>
  <c r="E67" i="36"/>
  <c r="E66" i="36"/>
  <c r="E65" i="36"/>
  <c r="G54" i="38"/>
  <c r="G53" i="38"/>
  <c r="E64" i="36"/>
  <c r="G20" i="38"/>
  <c r="G9" i="38"/>
  <c r="G33" i="38"/>
  <c r="G17" i="38"/>
  <c r="G18" i="38"/>
  <c r="G37" i="38"/>
  <c r="G25" i="38"/>
  <c r="E62" i="36"/>
  <c r="G11" i="38"/>
  <c r="E60" i="36"/>
  <c r="E63" i="36"/>
  <c r="E61" i="36"/>
  <c r="G43" i="38"/>
  <c r="G34" i="38"/>
  <c r="G15" i="38"/>
  <c r="G26" i="38"/>
  <c r="G3" i="38"/>
  <c r="G31" i="38"/>
  <c r="G28" i="38"/>
  <c r="G41" i="38"/>
  <c r="G35" i="38"/>
  <c r="G30" i="38"/>
  <c r="G22" i="38"/>
  <c r="G8" i="38"/>
  <c r="G5" i="38"/>
  <c r="G52" i="38"/>
  <c r="G10" i="38"/>
  <c r="G48" i="38"/>
  <c r="G40" i="38"/>
  <c r="G21" i="38"/>
  <c r="G13" i="38"/>
  <c r="G51" i="38"/>
  <c r="G6" i="38"/>
  <c r="G38" i="38"/>
  <c r="G16" i="38"/>
  <c r="G24" i="38"/>
  <c r="G7" i="38"/>
  <c r="G44" i="38"/>
  <c r="G14" i="38"/>
  <c r="G23" i="38"/>
  <c r="G36" i="38"/>
  <c r="G32" i="38"/>
  <c r="G29" i="38"/>
  <c r="G49" i="38"/>
  <c r="G47" i="38"/>
  <c r="G42" i="38"/>
  <c r="G50" i="38"/>
  <c r="G12" i="38"/>
  <c r="G19" i="38"/>
  <c r="G4" i="38"/>
  <c r="G39" i="38"/>
  <c r="G46" i="38"/>
  <c r="G27" i="38"/>
  <c r="G45" i="38"/>
  <c r="E59" i="36"/>
  <c r="E58" i="36"/>
  <c r="J4" i="36"/>
  <c r="E43" i="36"/>
  <c r="J3" i="36"/>
  <c r="E46" i="36"/>
  <c r="E31" i="36"/>
  <c r="E38" i="36"/>
  <c r="E40" i="36"/>
  <c r="E26" i="36"/>
  <c r="E3056" i="11" s="1"/>
  <c r="E52" i="36"/>
  <c r="J5" i="36"/>
  <c r="E57" i="36"/>
  <c r="E42" i="36"/>
  <c r="E33" i="36"/>
  <c r="E37" i="36"/>
  <c r="E47" i="36"/>
  <c r="E32" i="36"/>
  <c r="E35" i="36"/>
  <c r="E29" i="36"/>
  <c r="J2" i="36"/>
  <c r="E28" i="36"/>
  <c r="E55" i="36"/>
  <c r="J7" i="36"/>
  <c r="E56" i="36"/>
  <c r="E50" i="36"/>
  <c r="E49" i="36"/>
  <c r="E30" i="36"/>
  <c r="E48" i="36"/>
  <c r="E36" i="36"/>
  <c r="J6" i="36"/>
  <c r="E51" i="36"/>
  <c r="E45" i="36"/>
  <c r="E44" i="36"/>
  <c r="E53" i="36"/>
  <c r="E54" i="36"/>
  <c r="E39" i="36"/>
  <c r="E34" i="36"/>
  <c r="E27" i="36"/>
  <c r="E41" i="36"/>
  <c r="E2876" i="11"/>
  <c r="C2876" i="11"/>
  <c r="D2876" i="11"/>
  <c r="B2877" i="11"/>
  <c r="E2773" i="11"/>
  <c r="C2773" i="11"/>
  <c r="B2774" i="11"/>
  <c r="D2773" i="11"/>
  <c r="E1984" i="11"/>
  <c r="BF64" i="10"/>
  <c r="E862" i="11" s="1"/>
  <c r="E2654" i="11"/>
  <c r="D2654" i="11"/>
  <c r="C2654" i="11"/>
  <c r="T111" i="10"/>
  <c r="E3123" i="11" s="1"/>
  <c r="E2448" i="11"/>
  <c r="E1881" i="11"/>
  <c r="H16" i="31" a="1"/>
  <c r="H16" i="31" s="1"/>
  <c r="H17" i="31" s="1"/>
  <c r="H14" i="31"/>
  <c r="E1564" i="11"/>
  <c r="E3121" i="11"/>
  <c r="G3121" i="11"/>
  <c r="E1566" i="11"/>
  <c r="H118" i="10"/>
  <c r="H120" i="10" s="1"/>
  <c r="H123" i="10" s="1"/>
  <c r="H125" i="10" s="1"/>
  <c r="T104" i="10"/>
  <c r="E125" i="10"/>
  <c r="E1327" i="11"/>
  <c r="E1445" i="11"/>
  <c r="E1430" i="11"/>
  <c r="E1548" i="11"/>
  <c r="E3120" i="11"/>
  <c r="G3120" i="11"/>
  <c r="E1563" i="11"/>
  <c r="D125" i="10"/>
  <c r="E1429" i="11"/>
  <c r="E1547" i="11"/>
  <c r="E1326" i="11"/>
  <c r="E1444" i="11"/>
  <c r="G125" i="10"/>
  <c r="E1447" i="11"/>
  <c r="E1432" i="11"/>
  <c r="E1550" i="11"/>
  <c r="E1329" i="11"/>
  <c r="K125" i="10"/>
  <c r="E1333" i="11"/>
  <c r="E1451" i="11"/>
  <c r="E1325" i="11"/>
  <c r="E1443" i="11"/>
  <c r="E1428" i="11"/>
  <c r="E1546" i="11"/>
  <c r="E3118" i="11"/>
  <c r="G3118" i="11"/>
  <c r="E1561" i="11"/>
  <c r="E1562" i="11"/>
  <c r="E3119" i="11"/>
  <c r="G3119" i="11"/>
  <c r="E3122" i="11"/>
  <c r="E1565" i="11"/>
  <c r="G3122" i="11"/>
  <c r="G3126" i="11"/>
  <c r="E3126" i="11"/>
  <c r="F118" i="10"/>
  <c r="F120" i="10" s="1"/>
  <c r="F123" i="10" s="1"/>
  <c r="I118" i="10"/>
  <c r="I120" i="10" s="1"/>
  <c r="I123" i="10" s="1"/>
  <c r="E1567" i="11"/>
  <c r="J125" i="10"/>
  <c r="E1450" i="11"/>
  <c r="E1332" i="11"/>
  <c r="B2449" i="11"/>
  <c r="C2449" i="11" s="1"/>
  <c r="D2448" i="11"/>
  <c r="C310" i="11"/>
  <c r="B311" i="11"/>
  <c r="B312" i="11" s="1"/>
  <c r="C112" i="11"/>
  <c r="D1881" i="11"/>
  <c r="B1882" i="11"/>
  <c r="C1882" i="11" s="1"/>
  <c r="D112" i="11"/>
  <c r="D2551" i="11"/>
  <c r="B2552" i="11"/>
  <c r="E2551" i="11"/>
  <c r="C2551" i="11"/>
  <c r="B1676" i="11"/>
  <c r="C1675" i="11"/>
  <c r="D1675" i="11"/>
  <c r="E1675" i="11"/>
  <c r="C1985" i="11"/>
  <c r="B1986" i="11"/>
  <c r="D1985" i="11"/>
  <c r="D718" i="11"/>
  <c r="B719" i="11"/>
  <c r="C718" i="11"/>
  <c r="E718" i="11"/>
  <c r="C2345" i="11"/>
  <c r="D2345" i="11"/>
  <c r="E2345" i="11"/>
  <c r="B2346" i="11"/>
  <c r="C1130" i="11"/>
  <c r="D1130" i="11"/>
  <c r="E1130" i="11"/>
  <c r="B1131" i="11"/>
  <c r="C2964" i="11"/>
  <c r="D2964" i="11"/>
  <c r="E2964" i="11"/>
  <c r="B2965" i="11"/>
  <c r="C1453" i="11"/>
  <c r="D1453" i="11"/>
  <c r="E1453" i="11"/>
  <c r="B1454" i="11"/>
  <c r="C924" i="11"/>
  <c r="E924" i="11"/>
  <c r="D924" i="11"/>
  <c r="B925" i="11"/>
  <c r="E2242" i="11"/>
  <c r="B2243" i="11"/>
  <c r="C2242" i="11"/>
  <c r="D2242" i="11"/>
  <c r="D1336" i="11"/>
  <c r="C1336" i="11"/>
  <c r="E1336" i="11"/>
  <c r="B1337" i="11"/>
  <c r="C409" i="11"/>
  <c r="D409" i="11"/>
  <c r="B410" i="11"/>
  <c r="C211" i="11"/>
  <c r="D211" i="11"/>
  <c r="B212" i="11"/>
  <c r="C512" i="11"/>
  <c r="D512" i="11"/>
  <c r="E512" i="11"/>
  <c r="B513" i="11"/>
  <c r="D1779" i="11"/>
  <c r="B1780" i="11"/>
  <c r="C1779" i="11"/>
  <c r="E1779" i="11"/>
  <c r="D2139" i="11"/>
  <c r="E2139" i="11"/>
  <c r="C2139" i="11"/>
  <c r="B2140" i="11"/>
  <c r="C1026" i="11"/>
  <c r="E1026" i="11"/>
  <c r="D1026" i="11"/>
  <c r="B1027" i="11"/>
  <c r="B1574" i="11"/>
  <c r="C1573" i="11"/>
  <c r="D1573" i="11"/>
  <c r="E1573" i="11"/>
  <c r="C1233" i="11"/>
  <c r="D1233" i="11"/>
  <c r="E1233" i="11"/>
  <c r="B1234" i="11"/>
  <c r="D615" i="11"/>
  <c r="E615" i="11"/>
  <c r="B616" i="11"/>
  <c r="C615" i="11"/>
  <c r="C113" i="11"/>
  <c r="B114" i="11"/>
  <c r="D113" i="11"/>
  <c r="C14" i="11"/>
  <c r="D14" i="11"/>
  <c r="E14" i="11"/>
  <c r="B15" i="11"/>
  <c r="C2655" i="11"/>
  <c r="D2655" i="11"/>
  <c r="E2655" i="11"/>
  <c r="B2656" i="11"/>
  <c r="C125" i="10"/>
  <c r="AF125" i="10"/>
  <c r="BG118" i="10"/>
  <c r="BG120" i="10" s="1"/>
  <c r="BG123" i="10" s="1"/>
  <c r="R3189" i="11"/>
  <c r="S3189" i="11" s="1"/>
  <c r="AT111" i="10"/>
  <c r="AT118" i="10"/>
  <c r="AH120" i="10"/>
  <c r="AG111" i="10"/>
  <c r="U118" i="10"/>
  <c r="B881" i="11" l="1"/>
  <c r="E881" i="11" s="1"/>
  <c r="C880" i="11"/>
  <c r="D880" i="11"/>
  <c r="C3056" i="11"/>
  <c r="D3056" i="11"/>
  <c r="B3057" i="11"/>
  <c r="E3057" i="11" s="1"/>
  <c r="E2877" i="11"/>
  <c r="C2877" i="11"/>
  <c r="D2877" i="11"/>
  <c r="B2878" i="11"/>
  <c r="E2774" i="11"/>
  <c r="B2775" i="11"/>
  <c r="C2774" i="11"/>
  <c r="D2774" i="11"/>
  <c r="E1985" i="11"/>
  <c r="E1882" i="11"/>
  <c r="T120" i="10"/>
  <c r="T123" i="10"/>
  <c r="E1433" i="11" s="1"/>
  <c r="G3123" i="11"/>
  <c r="B2450" i="11"/>
  <c r="D2450" i="11" s="1"/>
  <c r="T118" i="10"/>
  <c r="I125" i="10"/>
  <c r="T125" i="10" s="1"/>
  <c r="E1449" i="11"/>
  <c r="E1331" i="11"/>
  <c r="E3125" i="11"/>
  <c r="G3125" i="11"/>
  <c r="E1436" i="11"/>
  <c r="E1554" i="11"/>
  <c r="F125" i="10"/>
  <c r="E1549" i="11"/>
  <c r="E1328" i="11"/>
  <c r="E1446" i="11"/>
  <c r="E1431" i="11"/>
  <c r="E1330" i="11"/>
  <c r="E1448" i="11"/>
  <c r="E3124" i="11"/>
  <c r="G3124" i="11"/>
  <c r="D311" i="11"/>
  <c r="C311" i="11"/>
  <c r="E2449" i="11"/>
  <c r="D2449" i="11"/>
  <c r="B1883" i="11"/>
  <c r="D1883" i="11" s="1"/>
  <c r="D1882" i="11"/>
  <c r="C1676" i="11"/>
  <c r="E1676" i="11"/>
  <c r="D1676" i="11"/>
  <c r="B1677" i="11"/>
  <c r="D1986" i="11"/>
  <c r="B1987" i="11"/>
  <c r="C1986" i="11"/>
  <c r="B2553" i="11"/>
  <c r="D2552" i="11"/>
  <c r="E2552" i="11"/>
  <c r="C2552" i="11"/>
  <c r="C2346" i="11"/>
  <c r="D2346" i="11"/>
  <c r="E2346" i="11"/>
  <c r="B2347" i="11"/>
  <c r="D212" i="11"/>
  <c r="B213" i="11"/>
  <c r="C212" i="11"/>
  <c r="B1575" i="11"/>
  <c r="C1574" i="11"/>
  <c r="D1574" i="11"/>
  <c r="E1574" i="11"/>
  <c r="D1234" i="11"/>
  <c r="E1234" i="11"/>
  <c r="B1235" i="11"/>
  <c r="C1234" i="11"/>
  <c r="D1780" i="11"/>
  <c r="E1780" i="11"/>
  <c r="B1781" i="11"/>
  <c r="C1780" i="11"/>
  <c r="D1454" i="11"/>
  <c r="E1454" i="11"/>
  <c r="B1455" i="11"/>
  <c r="C1454" i="11"/>
  <c r="B1132" i="11"/>
  <c r="C1131" i="11"/>
  <c r="D1131" i="11"/>
  <c r="E1131" i="11"/>
  <c r="D513" i="11"/>
  <c r="E513" i="11"/>
  <c r="B514" i="11"/>
  <c r="C513" i="11"/>
  <c r="B2244" i="11"/>
  <c r="E2243" i="11"/>
  <c r="C2243" i="11"/>
  <c r="D2243" i="11"/>
  <c r="B2657" i="11"/>
  <c r="C2656" i="11"/>
  <c r="D2656" i="11"/>
  <c r="E2656" i="11"/>
  <c r="C114" i="11"/>
  <c r="D114" i="11"/>
  <c r="B115" i="11"/>
  <c r="D410" i="11"/>
  <c r="B411" i="11"/>
  <c r="C410" i="11"/>
  <c r="C2140" i="11"/>
  <c r="D2140" i="11"/>
  <c r="E2140" i="11"/>
  <c r="B2141" i="11"/>
  <c r="D719" i="11"/>
  <c r="C719" i="11"/>
  <c r="E719" i="11"/>
  <c r="B720" i="11"/>
  <c r="D312" i="11"/>
  <c r="B313" i="11"/>
  <c r="C312" i="11"/>
  <c r="E1027" i="11"/>
  <c r="C1027" i="11"/>
  <c r="B1028" i="11"/>
  <c r="D1027" i="11"/>
  <c r="D15" i="11"/>
  <c r="E15" i="11"/>
  <c r="B16" i="11"/>
  <c r="C15" i="11"/>
  <c r="D616" i="11"/>
  <c r="B617" i="11"/>
  <c r="E616" i="11"/>
  <c r="C616" i="11"/>
  <c r="C1337" i="11"/>
  <c r="D1337" i="11"/>
  <c r="E1337" i="11"/>
  <c r="B1338" i="11"/>
  <c r="C925" i="11"/>
  <c r="D925" i="11"/>
  <c r="E925" i="11"/>
  <c r="B926" i="11"/>
  <c r="D2965" i="11"/>
  <c r="E2965" i="11"/>
  <c r="B2966" i="11"/>
  <c r="C2965" i="11"/>
  <c r="U120" i="10"/>
  <c r="AG118" i="10"/>
  <c r="AT120" i="10"/>
  <c r="AH123" i="10"/>
  <c r="C881" i="11" l="1"/>
  <c r="D881" i="11"/>
  <c r="B882" i="11"/>
  <c r="E882" i="11" s="1"/>
  <c r="C3057" i="11"/>
  <c r="D3057" i="11"/>
  <c r="B3058" i="11"/>
  <c r="E3058" i="11" s="1"/>
  <c r="E2878" i="11"/>
  <c r="B2879" i="11"/>
  <c r="D2878" i="11"/>
  <c r="C2878" i="11"/>
  <c r="E2775" i="11"/>
  <c r="B2776" i="11"/>
  <c r="C2775" i="11"/>
  <c r="D2775" i="11"/>
  <c r="E1986" i="11"/>
  <c r="E1551" i="11"/>
  <c r="E2450" i="11"/>
  <c r="B2451" i="11"/>
  <c r="E2451" i="11" s="1"/>
  <c r="C2450" i="11"/>
  <c r="B1884" i="11"/>
  <c r="C1884" i="11" s="1"/>
  <c r="E1883" i="11"/>
  <c r="C1883" i="11"/>
  <c r="C1677" i="11"/>
  <c r="E1677" i="11"/>
  <c r="D1677" i="11"/>
  <c r="B1678" i="11"/>
  <c r="C1987" i="11"/>
  <c r="B1988" i="11"/>
  <c r="D1987" i="11"/>
  <c r="D2553" i="11"/>
  <c r="C2553" i="11"/>
  <c r="E2553" i="11"/>
  <c r="B2554" i="11"/>
  <c r="D720" i="11"/>
  <c r="B721" i="11"/>
  <c r="E720" i="11"/>
  <c r="C720" i="11"/>
  <c r="C1455" i="11"/>
  <c r="D1455" i="11"/>
  <c r="E1455" i="11"/>
  <c r="B1456" i="11"/>
  <c r="D617" i="11"/>
  <c r="E617" i="11"/>
  <c r="B618" i="11"/>
  <c r="C617" i="11"/>
  <c r="D2141" i="11"/>
  <c r="E2141" i="11"/>
  <c r="B2142" i="11"/>
  <c r="C2141" i="11"/>
  <c r="D1781" i="11"/>
  <c r="B1782" i="11"/>
  <c r="C1781" i="11"/>
  <c r="E1781" i="11"/>
  <c r="B116" i="11"/>
  <c r="C115" i="11"/>
  <c r="D115" i="11"/>
  <c r="E2244" i="11"/>
  <c r="B2245" i="11"/>
  <c r="C2244" i="11"/>
  <c r="D2244" i="11"/>
  <c r="D1338" i="11"/>
  <c r="C1338" i="11"/>
  <c r="E1338" i="11"/>
  <c r="B1339" i="11"/>
  <c r="C1132" i="11"/>
  <c r="D1132" i="11"/>
  <c r="E1132" i="11"/>
  <c r="B1133" i="11"/>
  <c r="B1576" i="11"/>
  <c r="D1575" i="11"/>
  <c r="E1575" i="11"/>
  <c r="C1575" i="11"/>
  <c r="C2347" i="11"/>
  <c r="D2347" i="11"/>
  <c r="E2347" i="11"/>
  <c r="B2348" i="11"/>
  <c r="C926" i="11"/>
  <c r="E926" i="11"/>
  <c r="D926" i="11"/>
  <c r="B927" i="11"/>
  <c r="C313" i="11"/>
  <c r="D313" i="11"/>
  <c r="B314" i="11"/>
  <c r="C2966" i="11"/>
  <c r="D2966" i="11"/>
  <c r="E2966" i="11"/>
  <c r="B2967" i="11"/>
  <c r="C16" i="11"/>
  <c r="D16" i="11"/>
  <c r="E16" i="11"/>
  <c r="B17" i="11"/>
  <c r="C1028" i="11"/>
  <c r="E1028" i="11"/>
  <c r="D1028" i="11"/>
  <c r="B1029" i="11"/>
  <c r="C514" i="11"/>
  <c r="D514" i="11"/>
  <c r="E514" i="11"/>
  <c r="B515" i="11"/>
  <c r="C1235" i="11"/>
  <c r="D1235" i="11"/>
  <c r="E1235" i="11"/>
  <c r="B1236" i="11"/>
  <c r="C213" i="11"/>
  <c r="B214" i="11"/>
  <c r="D213" i="11"/>
  <c r="C411" i="11"/>
  <c r="D411" i="11"/>
  <c r="B412" i="11"/>
  <c r="C2657" i="11"/>
  <c r="D2657" i="11"/>
  <c r="E2657" i="11"/>
  <c r="B2658" i="11"/>
  <c r="H18" i="31" a="1"/>
  <c r="H18" i="31" s="1"/>
  <c r="H21" i="31" s="1"/>
  <c r="J3204" i="11" a="1"/>
  <c r="J3204" i="11" s="1"/>
  <c r="AH125" i="10"/>
  <c r="AT125" i="10" s="1"/>
  <c r="AT123" i="10"/>
  <c r="U123" i="10"/>
  <c r="AG120" i="10"/>
  <c r="B883" i="11" l="1"/>
  <c r="E883" i="11" s="1"/>
  <c r="C882" i="11"/>
  <c r="D882" i="11"/>
  <c r="B3059" i="11"/>
  <c r="E3059" i="11" s="1"/>
  <c r="C3058" i="11"/>
  <c r="D3058" i="11"/>
  <c r="E2879" i="11"/>
  <c r="C2879" i="11"/>
  <c r="D2879" i="11"/>
  <c r="B2880" i="11"/>
  <c r="E2776" i="11"/>
  <c r="C2776" i="11"/>
  <c r="D2776" i="11"/>
  <c r="B2777" i="11"/>
  <c r="E1987" i="11"/>
  <c r="C2451" i="11"/>
  <c r="B2452" i="11"/>
  <c r="C2452" i="11" s="1"/>
  <c r="D2451" i="11"/>
  <c r="B1885" i="11"/>
  <c r="C1885" i="11" s="1"/>
  <c r="E1884" i="11"/>
  <c r="D1884" i="11"/>
  <c r="E1435" i="11"/>
  <c r="E1553" i="11"/>
  <c r="B1989" i="11"/>
  <c r="C1988" i="11"/>
  <c r="D1988" i="11"/>
  <c r="E2554" i="11"/>
  <c r="B2555" i="11"/>
  <c r="C2554" i="11"/>
  <c r="D2554" i="11"/>
  <c r="C1678" i="11"/>
  <c r="D1678" i="11"/>
  <c r="E1678" i="11"/>
  <c r="B1679" i="11"/>
  <c r="C1339" i="11"/>
  <c r="D1339" i="11"/>
  <c r="E1339" i="11"/>
  <c r="B1340" i="11"/>
  <c r="D618" i="11"/>
  <c r="B619" i="11"/>
  <c r="C618" i="11"/>
  <c r="E618" i="11"/>
  <c r="D1456" i="11"/>
  <c r="E1456" i="11"/>
  <c r="B1457" i="11"/>
  <c r="C1456" i="11"/>
  <c r="D17" i="11"/>
  <c r="E17" i="11"/>
  <c r="B18" i="11"/>
  <c r="C17" i="11"/>
  <c r="E2348" i="11"/>
  <c r="B2349" i="11"/>
  <c r="C2348" i="11"/>
  <c r="D2348" i="11"/>
  <c r="D314" i="11"/>
  <c r="C314" i="11"/>
  <c r="B315" i="11"/>
  <c r="D1782" i="11"/>
  <c r="E1782" i="11"/>
  <c r="C1782" i="11"/>
  <c r="B1783" i="11"/>
  <c r="C412" i="11"/>
  <c r="D412" i="11"/>
  <c r="B413" i="11"/>
  <c r="B2659" i="11"/>
  <c r="C2658" i="11"/>
  <c r="D2658" i="11"/>
  <c r="E2658" i="11"/>
  <c r="C214" i="11"/>
  <c r="D214" i="11"/>
  <c r="B215" i="11"/>
  <c r="C927" i="11"/>
  <c r="D927" i="11"/>
  <c r="E927" i="11"/>
  <c r="B928" i="11"/>
  <c r="B1134" i="11"/>
  <c r="C1133" i="11"/>
  <c r="D1133" i="11"/>
  <c r="E1133" i="11"/>
  <c r="C2142" i="11"/>
  <c r="D2142" i="11"/>
  <c r="E2142" i="11"/>
  <c r="B2143" i="11"/>
  <c r="E1029" i="11"/>
  <c r="C1029" i="11"/>
  <c r="D1029" i="11"/>
  <c r="B1030" i="11"/>
  <c r="D2967" i="11"/>
  <c r="E2967" i="11"/>
  <c r="B2968" i="11"/>
  <c r="C2967" i="11"/>
  <c r="D1236" i="11"/>
  <c r="E1236" i="11"/>
  <c r="B1237" i="11"/>
  <c r="C1236" i="11"/>
  <c r="D515" i="11"/>
  <c r="C515" i="11"/>
  <c r="E515" i="11"/>
  <c r="B516" i="11"/>
  <c r="B2246" i="11"/>
  <c r="C2245" i="11"/>
  <c r="D2245" i="11"/>
  <c r="E2245" i="11"/>
  <c r="D116" i="11"/>
  <c r="B117" i="11"/>
  <c r="C116" i="11"/>
  <c r="D721" i="11"/>
  <c r="C721" i="11"/>
  <c r="E721" i="11"/>
  <c r="B722" i="11"/>
  <c r="B1577" i="11"/>
  <c r="C1576" i="11"/>
  <c r="D1576" i="11"/>
  <c r="E1576" i="11"/>
  <c r="H19" i="31"/>
  <c r="K3202" i="11"/>
  <c r="H23" i="31"/>
  <c r="AG123" i="10"/>
  <c r="U125" i="10"/>
  <c r="AG125" i="10" s="1"/>
  <c r="D883" i="11" l="1"/>
  <c r="B884" i="11"/>
  <c r="E884" i="11" s="1"/>
  <c r="C883" i="11"/>
  <c r="C3059" i="11"/>
  <c r="D3059" i="11"/>
  <c r="B3060" i="11"/>
  <c r="E3060" i="11" s="1"/>
  <c r="E2880" i="11"/>
  <c r="B2881" i="11"/>
  <c r="C2880" i="11"/>
  <c r="D2880" i="11"/>
  <c r="E2777" i="11"/>
  <c r="C2777" i="11"/>
  <c r="B2778" i="11"/>
  <c r="D2777" i="11"/>
  <c r="D2452" i="11"/>
  <c r="E2452" i="11"/>
  <c r="E1988" i="11"/>
  <c r="B2453" i="11"/>
  <c r="C2453" i="11" s="1"/>
  <c r="B1886" i="11"/>
  <c r="D1886" i="11" s="1"/>
  <c r="E1885" i="11"/>
  <c r="D1885" i="11"/>
  <c r="E1434" i="11"/>
  <c r="E1552" i="11"/>
  <c r="B2556" i="11"/>
  <c r="C2555" i="11"/>
  <c r="D2555" i="11"/>
  <c r="E2555" i="11"/>
  <c r="D1679" i="11"/>
  <c r="B1680" i="11"/>
  <c r="E1679" i="11"/>
  <c r="C1679" i="11"/>
  <c r="B1990" i="11"/>
  <c r="C1989" i="11"/>
  <c r="D1989" i="11"/>
  <c r="C413" i="11"/>
  <c r="D413" i="11"/>
  <c r="B414" i="11"/>
  <c r="B1578" i="11"/>
  <c r="C1577" i="11"/>
  <c r="D1577" i="11"/>
  <c r="E1577" i="11"/>
  <c r="C1030" i="11"/>
  <c r="E1030" i="11"/>
  <c r="D1030" i="11"/>
  <c r="B1031" i="11"/>
  <c r="B216" i="11"/>
  <c r="C215" i="11"/>
  <c r="D215" i="11"/>
  <c r="D722" i="11"/>
  <c r="B723" i="11"/>
  <c r="C722" i="11"/>
  <c r="E722" i="11"/>
  <c r="C1237" i="11"/>
  <c r="D1237" i="11"/>
  <c r="E1237" i="11"/>
  <c r="B1238" i="11"/>
  <c r="D1783" i="11"/>
  <c r="B1784" i="11"/>
  <c r="C1783" i="11"/>
  <c r="E1783" i="11"/>
  <c r="D315" i="11"/>
  <c r="B316" i="11"/>
  <c r="C315" i="11"/>
  <c r="C18" i="11"/>
  <c r="D18" i="11"/>
  <c r="E18" i="11"/>
  <c r="B19" i="11"/>
  <c r="D619" i="11"/>
  <c r="B620" i="11"/>
  <c r="C619" i="11"/>
  <c r="E619" i="11"/>
  <c r="E2246" i="11"/>
  <c r="B2247" i="11"/>
  <c r="C2246" i="11"/>
  <c r="D2246" i="11"/>
  <c r="C1134" i="11"/>
  <c r="D1134" i="11"/>
  <c r="E1134" i="11"/>
  <c r="B1135" i="11"/>
  <c r="C516" i="11"/>
  <c r="D516" i="11"/>
  <c r="E516" i="11"/>
  <c r="B517" i="11"/>
  <c r="D2143" i="11"/>
  <c r="E2143" i="11"/>
  <c r="C2143" i="11"/>
  <c r="B2144" i="11"/>
  <c r="C928" i="11"/>
  <c r="E928" i="11"/>
  <c r="D928" i="11"/>
  <c r="B929" i="11"/>
  <c r="C1457" i="11"/>
  <c r="D1457" i="11"/>
  <c r="E1457" i="11"/>
  <c r="B1458" i="11"/>
  <c r="D1340" i="11"/>
  <c r="E1340" i="11"/>
  <c r="B1341" i="11"/>
  <c r="C1340" i="11"/>
  <c r="C2968" i="11"/>
  <c r="D2968" i="11"/>
  <c r="E2968" i="11"/>
  <c r="B2969" i="11"/>
  <c r="C2659" i="11"/>
  <c r="D2659" i="11"/>
  <c r="E2659" i="11"/>
  <c r="B2660" i="11"/>
  <c r="C2349" i="11"/>
  <c r="D2349" i="11"/>
  <c r="E2349" i="11"/>
  <c r="B2350" i="11"/>
  <c r="C117" i="11"/>
  <c r="B118" i="11"/>
  <c r="D117" i="11"/>
  <c r="H8" i="31" a="1"/>
  <c r="H8" i="31" s="1"/>
  <c r="L3191" i="11" a="1"/>
  <c r="L3191" i="11" s="1"/>
  <c r="K3158" i="11" s="1"/>
  <c r="DP40" i="10"/>
  <c r="B885" i="11" l="1"/>
  <c r="E885" i="11" s="1"/>
  <c r="C884" i="11"/>
  <c r="D884" i="11"/>
  <c r="H22" i="31"/>
  <c r="I9" i="31"/>
  <c r="E1886" i="11"/>
  <c r="B3061" i="11"/>
  <c r="E3061" i="11" s="1"/>
  <c r="C3060" i="11"/>
  <c r="D3060" i="11"/>
  <c r="E2881" i="11"/>
  <c r="C2881" i="11"/>
  <c r="D2881" i="11"/>
  <c r="B2882" i="11"/>
  <c r="E2778" i="11"/>
  <c r="B2779" i="11"/>
  <c r="C2778" i="11"/>
  <c r="D2778" i="11"/>
  <c r="B2454" i="11"/>
  <c r="C2454" i="11" s="1"/>
  <c r="B1887" i="11"/>
  <c r="E1887" i="11" s="1"/>
  <c r="C1886" i="11"/>
  <c r="D2453" i="11"/>
  <c r="E2453" i="11"/>
  <c r="E1989" i="11"/>
  <c r="B1681" i="11"/>
  <c r="C1680" i="11"/>
  <c r="D1680" i="11"/>
  <c r="E1680" i="11"/>
  <c r="C1990" i="11"/>
  <c r="D1990" i="11"/>
  <c r="B1991" i="11"/>
  <c r="C2556" i="11"/>
  <c r="D2556" i="11"/>
  <c r="E2556" i="11"/>
  <c r="B2557" i="11"/>
  <c r="C316" i="11"/>
  <c r="D316" i="11"/>
  <c r="B317" i="11"/>
  <c r="D723" i="11"/>
  <c r="B724" i="11"/>
  <c r="C723" i="11"/>
  <c r="E723" i="11"/>
  <c r="D1458" i="11"/>
  <c r="E1458" i="11"/>
  <c r="B1459" i="11"/>
  <c r="C1458" i="11"/>
  <c r="D517" i="11"/>
  <c r="C517" i="11"/>
  <c r="E517" i="11"/>
  <c r="B518" i="11"/>
  <c r="D118" i="11"/>
  <c r="C118" i="11"/>
  <c r="B119" i="11"/>
  <c r="D620" i="11"/>
  <c r="B621" i="11"/>
  <c r="C620" i="11"/>
  <c r="E620" i="11"/>
  <c r="D1238" i="11"/>
  <c r="E1238" i="11"/>
  <c r="B1239" i="11"/>
  <c r="C1238" i="11"/>
  <c r="C2350" i="11"/>
  <c r="D2350" i="11"/>
  <c r="E2350" i="11"/>
  <c r="B2351" i="11"/>
  <c r="B2661" i="11"/>
  <c r="C2660" i="11"/>
  <c r="D2660" i="11"/>
  <c r="E2660" i="11"/>
  <c r="C2144" i="11"/>
  <c r="D2144" i="11"/>
  <c r="E2144" i="11"/>
  <c r="B2145" i="11"/>
  <c r="B1136" i="11"/>
  <c r="C1135" i="11"/>
  <c r="D1135" i="11"/>
  <c r="E1135" i="11"/>
  <c r="D19" i="11"/>
  <c r="E19" i="11"/>
  <c r="B20" i="11"/>
  <c r="C19" i="11"/>
  <c r="D1784" i="11"/>
  <c r="E1784" i="11"/>
  <c r="B1785" i="11"/>
  <c r="C1784" i="11"/>
  <c r="D216" i="11"/>
  <c r="B217" i="11"/>
  <c r="C216" i="11"/>
  <c r="B1579" i="11"/>
  <c r="C1578" i="11"/>
  <c r="D1578" i="11"/>
  <c r="E1578" i="11"/>
  <c r="B2248" i="11"/>
  <c r="C2247" i="11"/>
  <c r="D2247" i="11"/>
  <c r="E2247" i="11"/>
  <c r="E1031" i="11"/>
  <c r="C1031" i="11"/>
  <c r="B1032" i="11"/>
  <c r="D1031" i="11"/>
  <c r="C414" i="11"/>
  <c r="D414" i="11"/>
  <c r="B415" i="11"/>
  <c r="D2969" i="11"/>
  <c r="E2969" i="11"/>
  <c r="B2970" i="11"/>
  <c r="C2969" i="11"/>
  <c r="C929" i="11"/>
  <c r="D929" i="11"/>
  <c r="E929" i="11"/>
  <c r="B930" i="11"/>
  <c r="C1341" i="11"/>
  <c r="D1341" i="11"/>
  <c r="E1341" i="11"/>
  <c r="B1342" i="11"/>
  <c r="M3195" i="11"/>
  <c r="M3189" i="11"/>
  <c r="N3189" i="11" s="1"/>
  <c r="M3196" i="11" a="1"/>
  <c r="M3196" i="11" s="1"/>
  <c r="DP75" i="10"/>
  <c r="DP74" i="10"/>
  <c r="DP73" i="10"/>
  <c r="DP72" i="10"/>
  <c r="DP67" i="10"/>
  <c r="DP21" i="10"/>
  <c r="DP20" i="10"/>
  <c r="DP14" i="10"/>
  <c r="DP13" i="10"/>
  <c r="B886" i="11" l="1"/>
  <c r="E886" i="11" s="1"/>
  <c r="C885" i="11"/>
  <c r="D885" i="11"/>
  <c r="E1990" i="11"/>
  <c r="B3062" i="11"/>
  <c r="E3062" i="11" s="1"/>
  <c r="C3061" i="11"/>
  <c r="D3061" i="11"/>
  <c r="E2882" i="11"/>
  <c r="C2882" i="11"/>
  <c r="B2883" i="11"/>
  <c r="B2884" i="11" s="1"/>
  <c r="E2884" i="11" s="1"/>
  <c r="D2882" i="11"/>
  <c r="E2779" i="11"/>
  <c r="C2779" i="11"/>
  <c r="B2780" i="11"/>
  <c r="D2779" i="11"/>
  <c r="D1887" i="11"/>
  <c r="C1887" i="11"/>
  <c r="B1888" i="11"/>
  <c r="B1889" i="11" s="1"/>
  <c r="E2454" i="11"/>
  <c r="D2454" i="11"/>
  <c r="B2455" i="11"/>
  <c r="D2455" i="11" s="1"/>
  <c r="B1992" i="11"/>
  <c r="C1991" i="11"/>
  <c r="D1991" i="11"/>
  <c r="B2558" i="11"/>
  <c r="C2557" i="11"/>
  <c r="E2557" i="11"/>
  <c r="D2557" i="11"/>
  <c r="C1681" i="11"/>
  <c r="E1681" i="11"/>
  <c r="E1991" i="11" s="1"/>
  <c r="D1681" i="11"/>
  <c r="B1682" i="11"/>
  <c r="D621" i="11"/>
  <c r="B622" i="11"/>
  <c r="C621" i="11"/>
  <c r="E621" i="11"/>
  <c r="B416" i="11"/>
  <c r="C415" i="11"/>
  <c r="D415" i="11"/>
  <c r="C930" i="11"/>
  <c r="E930" i="11"/>
  <c r="D930" i="11"/>
  <c r="B931" i="11"/>
  <c r="C119" i="11"/>
  <c r="D119" i="11"/>
  <c r="B120" i="11"/>
  <c r="C1459" i="11"/>
  <c r="D1459" i="11"/>
  <c r="E1459" i="11"/>
  <c r="B1460" i="11"/>
  <c r="D1342" i="11"/>
  <c r="B1343" i="11"/>
  <c r="C1342" i="11"/>
  <c r="E1342" i="11"/>
  <c r="C1239" i="11"/>
  <c r="D1239" i="11"/>
  <c r="B1240" i="11"/>
  <c r="E1239" i="11"/>
  <c r="B725" i="11"/>
  <c r="C724" i="11"/>
  <c r="D724" i="11"/>
  <c r="E724" i="11"/>
  <c r="C1032" i="11"/>
  <c r="E1032" i="11"/>
  <c r="D1032" i="11"/>
  <c r="B1033" i="11"/>
  <c r="E2248" i="11"/>
  <c r="B2249" i="11"/>
  <c r="C2248" i="11"/>
  <c r="D2248" i="11"/>
  <c r="D1785" i="11"/>
  <c r="B1786" i="11"/>
  <c r="C1785" i="11"/>
  <c r="E1785" i="11"/>
  <c r="C2970" i="11"/>
  <c r="D2970" i="11"/>
  <c r="E2970" i="11"/>
  <c r="B2971" i="11"/>
  <c r="B1580" i="11"/>
  <c r="C1579" i="11"/>
  <c r="D1579" i="11"/>
  <c r="E1579" i="11"/>
  <c r="C1136" i="11"/>
  <c r="D1136" i="11"/>
  <c r="E1136" i="11"/>
  <c r="B1137" i="11"/>
  <c r="C2661" i="11"/>
  <c r="D2661" i="11"/>
  <c r="E2661" i="11"/>
  <c r="B2662" i="11"/>
  <c r="C518" i="11"/>
  <c r="B519" i="11"/>
  <c r="D518" i="11"/>
  <c r="E518" i="11"/>
  <c r="C317" i="11"/>
  <c r="D317" i="11"/>
  <c r="B318" i="11"/>
  <c r="D2145" i="11"/>
  <c r="E2145" i="11"/>
  <c r="C2145" i="11"/>
  <c r="B2146" i="11"/>
  <c r="C2351" i="11"/>
  <c r="D2351" i="11"/>
  <c r="E2351" i="11"/>
  <c r="B2352" i="11"/>
  <c r="C217" i="11"/>
  <c r="B218" i="11"/>
  <c r="D217" i="11"/>
  <c r="C20" i="11"/>
  <c r="D20" i="11"/>
  <c r="E20" i="11"/>
  <c r="B21" i="11"/>
  <c r="M3197" i="11"/>
  <c r="J3208" i="11" s="1"/>
  <c r="K3162" i="11" s="1"/>
  <c r="H7" i="33"/>
  <c r="U3" i="33"/>
  <c r="E8" i="32"/>
  <c r="C886" i="11" l="1"/>
  <c r="D886" i="11"/>
  <c r="B887" i="11"/>
  <c r="E887" i="11" s="1"/>
  <c r="B3063" i="11"/>
  <c r="E3063" i="11" s="1"/>
  <c r="C3062" i="11"/>
  <c r="D3062" i="11"/>
  <c r="E1888" i="11"/>
  <c r="D2884" i="11"/>
  <c r="B2885" i="11"/>
  <c r="E2885" i="11" s="1"/>
  <c r="C2884" i="11"/>
  <c r="E2883" i="11"/>
  <c r="C2883" i="11"/>
  <c r="D2883" i="11"/>
  <c r="E2780" i="11"/>
  <c r="C2780" i="11"/>
  <c r="D2780" i="11"/>
  <c r="B2781" i="11"/>
  <c r="G85" i="33"/>
  <c r="G73" i="33"/>
  <c r="G71" i="33"/>
  <c r="G72" i="33"/>
  <c r="D1888" i="11"/>
  <c r="C1888" i="11"/>
  <c r="E2455" i="11"/>
  <c r="B2456" i="11"/>
  <c r="B2457" i="11" s="1"/>
  <c r="C2455" i="11"/>
  <c r="B2559" i="11"/>
  <c r="C2558" i="11"/>
  <c r="D2558" i="11"/>
  <c r="E2558" i="11"/>
  <c r="B1683" i="11"/>
  <c r="C1682" i="11"/>
  <c r="D1682" i="11"/>
  <c r="E1682" i="11"/>
  <c r="B1993" i="11"/>
  <c r="C1992" i="11"/>
  <c r="D1992" i="11"/>
  <c r="D519" i="11"/>
  <c r="C519" i="11"/>
  <c r="E519" i="11"/>
  <c r="B520" i="11"/>
  <c r="D318" i="11"/>
  <c r="B319" i="11"/>
  <c r="C318" i="11"/>
  <c r="D21" i="11"/>
  <c r="E21" i="11"/>
  <c r="B22" i="11"/>
  <c r="C21" i="11"/>
  <c r="D1786" i="11"/>
  <c r="C1786" i="11"/>
  <c r="E1786" i="11"/>
  <c r="B1787" i="11"/>
  <c r="C2146" i="11"/>
  <c r="D2146" i="11"/>
  <c r="E2146" i="11"/>
  <c r="B2147" i="11"/>
  <c r="B1581" i="11"/>
  <c r="E1580" i="11"/>
  <c r="C1580" i="11"/>
  <c r="D1580" i="11"/>
  <c r="C1343" i="11"/>
  <c r="D1343" i="11"/>
  <c r="E1343" i="11"/>
  <c r="B1344" i="11"/>
  <c r="B1138" i="11"/>
  <c r="C1137" i="11"/>
  <c r="D1137" i="11"/>
  <c r="E1137" i="11"/>
  <c r="D2971" i="11"/>
  <c r="E2971" i="11"/>
  <c r="B2972" i="11"/>
  <c r="C2971" i="11"/>
  <c r="E1033" i="11"/>
  <c r="C1033" i="11"/>
  <c r="D1033" i="11"/>
  <c r="B1034" i="11"/>
  <c r="D725" i="11"/>
  <c r="C725" i="11"/>
  <c r="E725" i="11"/>
  <c r="B726" i="11"/>
  <c r="C931" i="11"/>
  <c r="D931" i="11"/>
  <c r="E931" i="11"/>
  <c r="B932" i="11"/>
  <c r="C2352" i="11"/>
  <c r="D2352" i="11"/>
  <c r="E2352" i="11"/>
  <c r="B2353" i="11"/>
  <c r="D1460" i="11"/>
  <c r="E1460" i="11"/>
  <c r="B1461" i="11"/>
  <c r="C1460" i="11"/>
  <c r="C416" i="11"/>
  <c r="D416" i="11"/>
  <c r="B417" i="11"/>
  <c r="D1240" i="11"/>
  <c r="E1240" i="11"/>
  <c r="B1241" i="11"/>
  <c r="C1240" i="11"/>
  <c r="D218" i="11"/>
  <c r="C218" i="11"/>
  <c r="B219" i="11"/>
  <c r="B2250" i="11"/>
  <c r="C2249" i="11"/>
  <c r="D2249" i="11"/>
  <c r="E2249" i="11"/>
  <c r="B2663" i="11"/>
  <c r="C2662" i="11"/>
  <c r="D2662" i="11"/>
  <c r="E2662" i="11"/>
  <c r="D622" i="11"/>
  <c r="B623" i="11"/>
  <c r="C622" i="11"/>
  <c r="E622" i="11"/>
  <c r="E1889" i="11"/>
  <c r="B1890" i="11"/>
  <c r="C1889" i="11"/>
  <c r="D1889" i="11"/>
  <c r="D120" i="11"/>
  <c r="C120" i="11"/>
  <c r="B121" i="11"/>
  <c r="L3202" i="11"/>
  <c r="L3203" i="11"/>
  <c r="G86" i="33"/>
  <c r="G12" i="33"/>
  <c r="G14" i="33"/>
  <c r="G15" i="33"/>
  <c r="G28" i="33"/>
  <c r="G31" i="33"/>
  <c r="G78" i="33"/>
  <c r="G39" i="33"/>
  <c r="G41" i="33"/>
  <c r="G49" i="33"/>
  <c r="G51" i="33"/>
  <c r="G64" i="33"/>
  <c r="G32" i="33"/>
  <c r="G42" i="33"/>
  <c r="G52" i="33"/>
  <c r="G65" i="33"/>
  <c r="G79" i="33"/>
  <c r="G87" i="33"/>
  <c r="G21" i="33"/>
  <c r="G35" i="33"/>
  <c r="G43" i="33"/>
  <c r="G53" i="33"/>
  <c r="G66" i="33"/>
  <c r="G80" i="33"/>
  <c r="G89" i="33"/>
  <c r="G16" i="33"/>
  <c r="G22" i="33"/>
  <c r="G36" i="33"/>
  <c r="G44" i="33"/>
  <c r="G54" i="33"/>
  <c r="G67" i="33"/>
  <c r="G81" i="33"/>
  <c r="G91" i="33"/>
  <c r="G37" i="33"/>
  <c r="G45" i="33"/>
  <c r="G55" i="33"/>
  <c r="G68" i="33"/>
  <c r="G82" i="33"/>
  <c r="G26" i="33"/>
  <c r="G38" i="33"/>
  <c r="G46" i="33"/>
  <c r="G56" i="33"/>
  <c r="G69" i="33"/>
  <c r="G83" i="33"/>
  <c r="G57" i="33"/>
  <c r="G70" i="33"/>
  <c r="G84" i="33"/>
  <c r="G13" i="33"/>
  <c r="G30" i="33"/>
  <c r="G40" i="33"/>
  <c r="G50" i="33"/>
  <c r="G48" i="33"/>
  <c r="G77" i="33"/>
  <c r="G9" i="33"/>
  <c r="J7" i="33"/>
  <c r="C11" i="32"/>
  <c r="C12" i="32" s="1"/>
  <c r="E10" i="32"/>
  <c r="D10" i="32"/>
  <c r="E9" i="32"/>
  <c r="D9" i="32"/>
  <c r="F9" i="32"/>
  <c r="A2" i="32"/>
  <c r="C887" i="11" l="1"/>
  <c r="D887" i="11"/>
  <c r="B888" i="11"/>
  <c r="C3063" i="11"/>
  <c r="B3064" i="11"/>
  <c r="E3064" i="11" s="1"/>
  <c r="D3063" i="11"/>
  <c r="E1992" i="11"/>
  <c r="B2886" i="11"/>
  <c r="E2886" i="11" s="1"/>
  <c r="D2885" i="11"/>
  <c r="C2885" i="11"/>
  <c r="E2781" i="11"/>
  <c r="C2781" i="11"/>
  <c r="D2781" i="11"/>
  <c r="B2782" i="11"/>
  <c r="G63" i="33"/>
  <c r="I73" i="33"/>
  <c r="I71" i="33"/>
  <c r="I72" i="33"/>
  <c r="P72" i="33" s="1"/>
  <c r="E2456" i="11"/>
  <c r="B2458" i="11"/>
  <c r="C2458" i="11" s="1"/>
  <c r="C2457" i="11"/>
  <c r="D2457" i="11"/>
  <c r="E2457" i="11"/>
  <c r="C2456" i="11"/>
  <c r="D2456" i="11"/>
  <c r="B1684" i="11"/>
  <c r="C1683" i="11"/>
  <c r="D1683" i="11"/>
  <c r="E1683" i="11"/>
  <c r="E1993" i="11" s="1"/>
  <c r="C1993" i="11"/>
  <c r="D1993" i="11"/>
  <c r="B1994" i="11"/>
  <c r="D2559" i="11"/>
  <c r="C2559" i="11"/>
  <c r="B2560" i="11"/>
  <c r="E2559" i="11"/>
  <c r="C1034" i="11"/>
  <c r="E1034" i="11"/>
  <c r="D1034" i="11"/>
  <c r="B1035" i="11"/>
  <c r="D1787" i="11"/>
  <c r="B1788" i="11"/>
  <c r="C1787" i="11"/>
  <c r="E1787" i="11"/>
  <c r="D623" i="11"/>
  <c r="B624" i="11"/>
  <c r="C623" i="11"/>
  <c r="E623" i="11"/>
  <c r="E2250" i="11"/>
  <c r="B2251" i="11"/>
  <c r="C2250" i="11"/>
  <c r="D2250" i="11"/>
  <c r="C1461" i="11"/>
  <c r="D1461" i="11"/>
  <c r="E1461" i="11"/>
  <c r="B1462" i="11"/>
  <c r="B320" i="11"/>
  <c r="C319" i="11"/>
  <c r="D319" i="11"/>
  <c r="C1241" i="11"/>
  <c r="D1241" i="11"/>
  <c r="B1242" i="11"/>
  <c r="E1241" i="11"/>
  <c r="C1138" i="11"/>
  <c r="D1138" i="11"/>
  <c r="E1138" i="11"/>
  <c r="B1139" i="11"/>
  <c r="B1582" i="11"/>
  <c r="C1581" i="11"/>
  <c r="D1581" i="11"/>
  <c r="E1581" i="11"/>
  <c r="C520" i="11"/>
  <c r="D520" i="11"/>
  <c r="E520" i="11"/>
  <c r="B521" i="11"/>
  <c r="C932" i="11"/>
  <c r="E932" i="11"/>
  <c r="D932" i="11"/>
  <c r="B933" i="11"/>
  <c r="C121" i="11"/>
  <c r="B122" i="11"/>
  <c r="D121" i="11"/>
  <c r="C2353" i="11"/>
  <c r="D2353" i="11"/>
  <c r="E2353" i="11"/>
  <c r="B2354" i="11"/>
  <c r="B727" i="11"/>
  <c r="D726" i="11"/>
  <c r="E726" i="11"/>
  <c r="C726" i="11"/>
  <c r="D1344" i="11"/>
  <c r="C1344" i="11"/>
  <c r="E1344" i="11"/>
  <c r="B1345" i="11"/>
  <c r="D2147" i="11"/>
  <c r="E2147" i="11"/>
  <c r="C2147" i="11"/>
  <c r="B2148" i="11"/>
  <c r="C1890" i="11"/>
  <c r="D1890" i="11"/>
  <c r="E1890" i="11"/>
  <c r="B1891" i="11"/>
  <c r="C2663" i="11"/>
  <c r="D2663" i="11"/>
  <c r="E2663" i="11"/>
  <c r="B2664" i="11"/>
  <c r="C417" i="11"/>
  <c r="D417" i="11"/>
  <c r="B418" i="11"/>
  <c r="C2972" i="11"/>
  <c r="D2972" i="11"/>
  <c r="E2972" i="11"/>
  <c r="B2973" i="11"/>
  <c r="C22" i="11"/>
  <c r="D22" i="11"/>
  <c r="E22" i="11"/>
  <c r="B23" i="11"/>
  <c r="C219" i="11"/>
  <c r="D219" i="11"/>
  <c r="B220" i="11"/>
  <c r="K3196" i="11"/>
  <c r="J3207" i="11" s="1"/>
  <c r="I83" i="33"/>
  <c r="I69" i="33"/>
  <c r="P69" i="33" s="1"/>
  <c r="I55" i="33"/>
  <c r="I46" i="33"/>
  <c r="I38" i="33"/>
  <c r="P38" i="33" s="1"/>
  <c r="I26" i="33"/>
  <c r="P26" i="33" s="1"/>
  <c r="I14" i="33"/>
  <c r="P14" i="33" s="1"/>
  <c r="I48" i="33"/>
  <c r="I82" i="33"/>
  <c r="I68" i="33"/>
  <c r="I54" i="33"/>
  <c r="I45" i="33"/>
  <c r="I37" i="33"/>
  <c r="P37" i="33" s="1"/>
  <c r="I13" i="33"/>
  <c r="P13" i="33" s="1"/>
  <c r="I56" i="33"/>
  <c r="P56" i="33" s="1"/>
  <c r="I91" i="33"/>
  <c r="I81" i="33"/>
  <c r="P81" i="33" s="1"/>
  <c r="I67" i="33"/>
  <c r="I53" i="33"/>
  <c r="I44" i="33"/>
  <c r="P44" i="33" s="1"/>
  <c r="I36" i="33"/>
  <c r="P36" i="33" s="1"/>
  <c r="I22" i="33"/>
  <c r="I12" i="33"/>
  <c r="I15" i="33"/>
  <c r="I89" i="33"/>
  <c r="I80" i="33"/>
  <c r="I66" i="33"/>
  <c r="I52" i="33"/>
  <c r="I43" i="33"/>
  <c r="P43" i="33" s="1"/>
  <c r="I35" i="33"/>
  <c r="P35" i="33" s="1"/>
  <c r="I21" i="33"/>
  <c r="I39" i="33"/>
  <c r="I87" i="33"/>
  <c r="I79" i="33"/>
  <c r="I65" i="33"/>
  <c r="I51" i="33"/>
  <c r="P51" i="33" s="1"/>
  <c r="I42" i="33"/>
  <c r="P42" i="33" s="1"/>
  <c r="I32" i="33"/>
  <c r="P32" i="33" s="1"/>
  <c r="I70" i="33"/>
  <c r="I86" i="33"/>
  <c r="I78" i="33"/>
  <c r="P78" i="33" s="1"/>
  <c r="I64" i="33"/>
  <c r="I50" i="33"/>
  <c r="I41" i="33"/>
  <c r="P41" i="33" s="1"/>
  <c r="I31" i="33"/>
  <c r="P31" i="33" s="1"/>
  <c r="I84" i="33"/>
  <c r="P84" i="33" s="1"/>
  <c r="I85" i="33"/>
  <c r="I77" i="33"/>
  <c r="I57" i="33"/>
  <c r="P57" i="33" s="1"/>
  <c r="I49" i="33"/>
  <c r="I40" i="33"/>
  <c r="P40" i="33" s="1"/>
  <c r="I30" i="33"/>
  <c r="P30" i="33" s="1"/>
  <c r="I16" i="33"/>
  <c r="I28" i="33"/>
  <c r="G88" i="33"/>
  <c r="I9" i="33"/>
  <c r="I112" i="33"/>
  <c r="G118" i="33"/>
  <c r="G110" i="33"/>
  <c r="G102" i="33"/>
  <c r="I128" i="33"/>
  <c r="I119" i="33"/>
  <c r="I103" i="33"/>
  <c r="G126" i="33"/>
  <c r="G117" i="33"/>
  <c r="G101" i="33"/>
  <c r="I118" i="33"/>
  <c r="I110" i="33"/>
  <c r="I102" i="33"/>
  <c r="G125" i="33"/>
  <c r="G116" i="33"/>
  <c r="G108" i="33"/>
  <c r="G100" i="33"/>
  <c r="I126" i="33"/>
  <c r="I117" i="33"/>
  <c r="I101" i="33"/>
  <c r="G99" i="33"/>
  <c r="I125" i="33"/>
  <c r="I116" i="33"/>
  <c r="I108" i="33"/>
  <c r="I100" i="33"/>
  <c r="G123" i="33"/>
  <c r="G106" i="33"/>
  <c r="I121" i="33"/>
  <c r="I113" i="33"/>
  <c r="I105" i="33"/>
  <c r="G128" i="33"/>
  <c r="G119" i="33"/>
  <c r="G111" i="33"/>
  <c r="I99" i="33"/>
  <c r="G121" i="33"/>
  <c r="G113" i="33"/>
  <c r="G105" i="33"/>
  <c r="I123" i="33"/>
  <c r="I106" i="33"/>
  <c r="G112" i="33"/>
  <c r="G103" i="33"/>
  <c r="P9" i="33"/>
  <c r="G20" i="33"/>
  <c r="L7" i="33"/>
  <c r="G95" i="33"/>
  <c r="G58" i="33"/>
  <c r="G34" i="33"/>
  <c r="E11" i="32"/>
  <c r="D12" i="32"/>
  <c r="H8" i="32"/>
  <c r="C13" i="32"/>
  <c r="F12" i="32"/>
  <c r="E12" i="32"/>
  <c r="D11" i="32"/>
  <c r="D888" i="11" l="1"/>
  <c r="B889" i="11"/>
  <c r="E889" i="11" s="1"/>
  <c r="C888" i="11"/>
  <c r="K3205" i="11"/>
  <c r="K3161" i="11"/>
  <c r="D3064" i="11"/>
  <c r="C3064" i="11"/>
  <c r="B3065" i="11"/>
  <c r="E3065" i="11" s="1"/>
  <c r="B2887" i="11"/>
  <c r="E2887" i="11" s="1"/>
  <c r="C2886" i="11"/>
  <c r="D2886" i="11"/>
  <c r="E2782" i="11"/>
  <c r="B2783" i="11"/>
  <c r="C2782" i="11"/>
  <c r="D2782" i="11"/>
  <c r="I63" i="33"/>
  <c r="P63" i="33" s="1"/>
  <c r="P73" i="33"/>
  <c r="K118" i="33"/>
  <c r="Q118" i="33" s="1"/>
  <c r="K72" i="33"/>
  <c r="K73" i="33"/>
  <c r="K71" i="33"/>
  <c r="Q71" i="33" s="1"/>
  <c r="P71" i="33"/>
  <c r="B2459" i="11"/>
  <c r="B2460" i="11" s="1"/>
  <c r="E2458" i="11"/>
  <c r="D2458" i="11"/>
  <c r="H9" i="32"/>
  <c r="D2560" i="11"/>
  <c r="E2560" i="11"/>
  <c r="C2560" i="11"/>
  <c r="B2561" i="11"/>
  <c r="C1994" i="11"/>
  <c r="D1994" i="11"/>
  <c r="B1995" i="11"/>
  <c r="E1684" i="11"/>
  <c r="E1994" i="11" s="1"/>
  <c r="D1684" i="11"/>
  <c r="B1685" i="11"/>
  <c r="C1684" i="11"/>
  <c r="D1462" i="11"/>
  <c r="E1462" i="11"/>
  <c r="B1463" i="11"/>
  <c r="C1462" i="11"/>
  <c r="C1345" i="11"/>
  <c r="D1345" i="11"/>
  <c r="E1345" i="11"/>
  <c r="B1346" i="11"/>
  <c r="C2354" i="11"/>
  <c r="D2354" i="11"/>
  <c r="E2354" i="11"/>
  <c r="B2355" i="11"/>
  <c r="D1242" i="11"/>
  <c r="E1242" i="11"/>
  <c r="B1243" i="11"/>
  <c r="C1242" i="11"/>
  <c r="D1788" i="11"/>
  <c r="C1788" i="11"/>
  <c r="E1788" i="11"/>
  <c r="B1789" i="11"/>
  <c r="D2973" i="11"/>
  <c r="E2973" i="11"/>
  <c r="B2974" i="11"/>
  <c r="C2973" i="11"/>
  <c r="B1583" i="11"/>
  <c r="C1582" i="11"/>
  <c r="D1582" i="11"/>
  <c r="E1582" i="11"/>
  <c r="C220" i="11"/>
  <c r="D220" i="11"/>
  <c r="B221" i="11"/>
  <c r="D521" i="11"/>
  <c r="E521" i="11"/>
  <c r="B522" i="11"/>
  <c r="C521" i="11"/>
  <c r="B1140" i="11"/>
  <c r="C1139" i="11"/>
  <c r="D1139" i="11"/>
  <c r="E1139" i="11"/>
  <c r="E1035" i="11"/>
  <c r="C1035" i="11"/>
  <c r="B1036" i="11"/>
  <c r="D1035" i="11"/>
  <c r="D727" i="11"/>
  <c r="C727" i="11"/>
  <c r="E727" i="11"/>
  <c r="B728" i="11"/>
  <c r="E1891" i="11"/>
  <c r="B1892" i="11"/>
  <c r="C1891" i="11"/>
  <c r="D1891" i="11"/>
  <c r="C2148" i="11"/>
  <c r="D2148" i="11"/>
  <c r="E2148" i="11"/>
  <c r="B2149" i="11"/>
  <c r="C122" i="11"/>
  <c r="D122" i="11"/>
  <c r="B123" i="11"/>
  <c r="B2252" i="11"/>
  <c r="C2251" i="11"/>
  <c r="D2251" i="11"/>
  <c r="E2251" i="11"/>
  <c r="D624" i="11"/>
  <c r="B625" i="11"/>
  <c r="C624" i="11"/>
  <c r="E624" i="11"/>
  <c r="C933" i="11"/>
  <c r="D933" i="11"/>
  <c r="E933" i="11"/>
  <c r="B934" i="11"/>
  <c r="B2665" i="11"/>
  <c r="C2664" i="11"/>
  <c r="D2664" i="11"/>
  <c r="E2664" i="11"/>
  <c r="D23" i="11"/>
  <c r="E23" i="11"/>
  <c r="B24" i="11"/>
  <c r="C23" i="11"/>
  <c r="D418" i="11"/>
  <c r="B419" i="11"/>
  <c r="C418" i="11"/>
  <c r="C320" i="11"/>
  <c r="D320" i="11"/>
  <c r="B321" i="11"/>
  <c r="K3197" i="11"/>
  <c r="P121" i="33"/>
  <c r="P110" i="33"/>
  <c r="P101" i="33"/>
  <c r="P103" i="33"/>
  <c r="P100" i="33"/>
  <c r="P112" i="33"/>
  <c r="P108" i="33"/>
  <c r="P102" i="33"/>
  <c r="P45" i="33"/>
  <c r="P66" i="33"/>
  <c r="P46" i="33"/>
  <c r="P67" i="33"/>
  <c r="P50" i="33"/>
  <c r="P53" i="33"/>
  <c r="P85" i="33"/>
  <c r="P86" i="33"/>
  <c r="P54" i="33"/>
  <c r="P116" i="33"/>
  <c r="P117" i="33"/>
  <c r="P118" i="33"/>
  <c r="I20" i="33"/>
  <c r="P20" i="33" s="1"/>
  <c r="P15" i="33"/>
  <c r="P28" i="33"/>
  <c r="P82" i="33"/>
  <c r="P12" i="33"/>
  <c r="P49" i="33"/>
  <c r="P123" i="33"/>
  <c r="P125" i="33"/>
  <c r="P126" i="33"/>
  <c r="P64" i="33"/>
  <c r="P55" i="33"/>
  <c r="P70" i="33"/>
  <c r="P79" i="33"/>
  <c r="P99" i="33"/>
  <c r="P106" i="33"/>
  <c r="P105" i="33"/>
  <c r="P119" i="33"/>
  <c r="P87" i="33"/>
  <c r="P21" i="33"/>
  <c r="P83" i="33"/>
  <c r="P68" i="33"/>
  <c r="P39" i="33"/>
  <c r="P65" i="33"/>
  <c r="P89" i="33"/>
  <c r="G59" i="33"/>
  <c r="P113" i="33"/>
  <c r="P128" i="33"/>
  <c r="P16" i="33"/>
  <c r="P22" i="33"/>
  <c r="P48" i="33"/>
  <c r="P77" i="33"/>
  <c r="P52" i="33"/>
  <c r="P80" i="33"/>
  <c r="P91" i="33"/>
  <c r="I58" i="33"/>
  <c r="K128" i="33"/>
  <c r="K105" i="33"/>
  <c r="I95" i="33"/>
  <c r="P95" i="33" s="1"/>
  <c r="K113" i="33"/>
  <c r="I88" i="33"/>
  <c r="K112" i="33"/>
  <c r="Q112" i="33" s="1"/>
  <c r="K121" i="33"/>
  <c r="Q121" i="33" s="1"/>
  <c r="K99" i="33"/>
  <c r="Q99" i="33" s="1"/>
  <c r="K100" i="33"/>
  <c r="Q100" i="33" s="1"/>
  <c r="K101" i="33"/>
  <c r="Q101" i="33" s="1"/>
  <c r="K106" i="33"/>
  <c r="K102" i="33"/>
  <c r="Q102" i="33" s="1"/>
  <c r="K108" i="33"/>
  <c r="Q108" i="33" s="1"/>
  <c r="K103" i="33"/>
  <c r="K9" i="33"/>
  <c r="K82" i="33"/>
  <c r="K68" i="33"/>
  <c r="K54" i="33"/>
  <c r="K45" i="33"/>
  <c r="Q45" i="33" s="1"/>
  <c r="K37" i="33"/>
  <c r="Q37" i="33" s="1"/>
  <c r="K13" i="33"/>
  <c r="K46" i="33"/>
  <c r="Q46" i="33" s="1"/>
  <c r="K91" i="33"/>
  <c r="Q91" i="33" s="1"/>
  <c r="K81" i="33"/>
  <c r="K67" i="33"/>
  <c r="K53" i="33"/>
  <c r="Q53" i="33" s="1"/>
  <c r="K44" i="33"/>
  <c r="K36" i="33"/>
  <c r="Q36" i="33" s="1"/>
  <c r="K22" i="33"/>
  <c r="Q22" i="33" s="1"/>
  <c r="K12" i="33"/>
  <c r="Q12" i="33" s="1"/>
  <c r="K69" i="33"/>
  <c r="K89" i="33"/>
  <c r="K80" i="33"/>
  <c r="K66" i="33"/>
  <c r="Q66" i="33" s="1"/>
  <c r="K52" i="33"/>
  <c r="K43" i="33"/>
  <c r="Q43" i="33" s="1"/>
  <c r="K35" i="33"/>
  <c r="Q35" i="33" s="1"/>
  <c r="K21" i="33"/>
  <c r="K26" i="33"/>
  <c r="Q26" i="33" s="1"/>
  <c r="K87" i="33"/>
  <c r="K79" i="33"/>
  <c r="K65" i="33"/>
  <c r="Q65" i="33" s="1"/>
  <c r="K51" i="33"/>
  <c r="Q51" i="33" s="1"/>
  <c r="K42" i="33"/>
  <c r="Q42" i="33" s="1"/>
  <c r="K32" i="33"/>
  <c r="Q32" i="33" s="1"/>
  <c r="K38" i="33"/>
  <c r="K86" i="33"/>
  <c r="K78" i="33"/>
  <c r="Q78" i="33" s="1"/>
  <c r="K64" i="33"/>
  <c r="K50" i="33"/>
  <c r="K41" i="33"/>
  <c r="Q41" i="33" s="1"/>
  <c r="K31" i="33"/>
  <c r="K14" i="33"/>
  <c r="K85" i="33"/>
  <c r="K77" i="33"/>
  <c r="Q77" i="33" s="1"/>
  <c r="K57" i="33"/>
  <c r="K49" i="33"/>
  <c r="Q49" i="33" s="1"/>
  <c r="K40" i="33"/>
  <c r="Q40" i="33" s="1"/>
  <c r="K30" i="33"/>
  <c r="K16" i="33"/>
  <c r="Q16" i="33" s="1"/>
  <c r="K55" i="33"/>
  <c r="K84" i="33"/>
  <c r="K70" i="33"/>
  <c r="K56" i="33"/>
  <c r="K48" i="33"/>
  <c r="Q48" i="33" s="1"/>
  <c r="K39" i="33"/>
  <c r="Q39" i="33" s="1"/>
  <c r="K28" i="33"/>
  <c r="K15" i="33"/>
  <c r="Q15" i="33" s="1"/>
  <c r="K83" i="33"/>
  <c r="K116" i="33"/>
  <c r="K117" i="33"/>
  <c r="Q117" i="33" s="1"/>
  <c r="K111" i="33"/>
  <c r="K123" i="33"/>
  <c r="Q123" i="33" s="1"/>
  <c r="I34" i="33"/>
  <c r="P34" i="33" s="1"/>
  <c r="K110" i="33"/>
  <c r="K119" i="33"/>
  <c r="Q119" i="33" s="1"/>
  <c r="G76" i="33"/>
  <c r="N7" i="33"/>
  <c r="Q9" i="33"/>
  <c r="H10" i="32"/>
  <c r="I10" i="32" s="1"/>
  <c r="J8" i="32"/>
  <c r="L9" i="32"/>
  <c r="H11" i="32"/>
  <c r="H12" i="32"/>
  <c r="C14" i="32"/>
  <c r="F13" i="32"/>
  <c r="D13" i="32"/>
  <c r="E13" i="32"/>
  <c r="H13" i="32"/>
  <c r="C889" i="11" l="1"/>
  <c r="D889" i="11"/>
  <c r="B890" i="11"/>
  <c r="E890" i="11" s="1"/>
  <c r="C3065" i="11"/>
  <c r="D3065" i="11"/>
  <c r="B3066" i="11"/>
  <c r="E3066" i="11" s="1"/>
  <c r="D2887" i="11"/>
  <c r="B2888" i="11"/>
  <c r="E2888" i="11" s="1"/>
  <c r="C2887" i="11"/>
  <c r="E2783" i="11"/>
  <c r="D2783" i="11"/>
  <c r="B2784" i="11"/>
  <c r="C2783" i="11"/>
  <c r="K63" i="33"/>
  <c r="Q63" i="33" s="1"/>
  <c r="Q72" i="33"/>
  <c r="M73" i="33"/>
  <c r="M71" i="33"/>
  <c r="M72" i="33"/>
  <c r="Q73" i="33"/>
  <c r="L12" i="32"/>
  <c r="I12" i="32"/>
  <c r="I11" i="32"/>
  <c r="I13" i="32"/>
  <c r="E2459" i="11"/>
  <c r="C2459" i="11"/>
  <c r="D2459" i="11"/>
  <c r="J9" i="32"/>
  <c r="D1995" i="11"/>
  <c r="B1996" i="11"/>
  <c r="C1995" i="11"/>
  <c r="D2561" i="11"/>
  <c r="C2561" i="11"/>
  <c r="B2562" i="11"/>
  <c r="E2561" i="11"/>
  <c r="E1685" i="11"/>
  <c r="E1995" i="11" s="1"/>
  <c r="B1686" i="11"/>
  <c r="C1685" i="11"/>
  <c r="D1685" i="11"/>
  <c r="C2974" i="11"/>
  <c r="D2974" i="11"/>
  <c r="E2974" i="11"/>
  <c r="B2975" i="11"/>
  <c r="D2355" i="11"/>
  <c r="C2355" i="11"/>
  <c r="E2355" i="11"/>
  <c r="B2356" i="11"/>
  <c r="C2665" i="11"/>
  <c r="D2665" i="11"/>
  <c r="E2665" i="11"/>
  <c r="B2666" i="11"/>
  <c r="B729" i="11"/>
  <c r="C728" i="11"/>
  <c r="D728" i="11"/>
  <c r="E728" i="11"/>
  <c r="C221" i="11"/>
  <c r="B222" i="11"/>
  <c r="D221" i="11"/>
  <c r="D2149" i="11"/>
  <c r="E2149" i="11"/>
  <c r="C2149" i="11"/>
  <c r="B2150" i="11"/>
  <c r="C934" i="11"/>
  <c r="E934" i="11"/>
  <c r="B935" i="11"/>
  <c r="D934" i="11"/>
  <c r="C24" i="11"/>
  <c r="D24" i="11"/>
  <c r="E24" i="11"/>
  <c r="B25" i="11"/>
  <c r="C2460" i="11"/>
  <c r="D2460" i="11"/>
  <c r="E2460" i="11"/>
  <c r="B2461" i="11"/>
  <c r="D1346" i="11"/>
  <c r="C1346" i="11"/>
  <c r="E1346" i="11"/>
  <c r="B1347" i="11"/>
  <c r="C419" i="11"/>
  <c r="D419" i="11"/>
  <c r="B420" i="11"/>
  <c r="D321" i="11"/>
  <c r="B322" i="11"/>
  <c r="C321" i="11"/>
  <c r="C1140" i="11"/>
  <c r="D1140" i="11"/>
  <c r="E1140" i="11"/>
  <c r="B1141" i="11"/>
  <c r="E2252" i="11"/>
  <c r="B2253" i="11"/>
  <c r="C2252" i="11"/>
  <c r="D2252" i="11"/>
  <c r="C1243" i="11"/>
  <c r="D1243" i="11"/>
  <c r="B1244" i="11"/>
  <c r="E1243" i="11"/>
  <c r="C1463" i="11"/>
  <c r="D1463" i="11"/>
  <c r="E1463" i="11"/>
  <c r="B1464" i="11"/>
  <c r="D625" i="11"/>
  <c r="B626" i="11"/>
  <c r="C625" i="11"/>
  <c r="E625" i="11"/>
  <c r="B124" i="11"/>
  <c r="C123" i="11"/>
  <c r="D123" i="11"/>
  <c r="C1036" i="11"/>
  <c r="E1036" i="11"/>
  <c r="D1036" i="11"/>
  <c r="B1037" i="11"/>
  <c r="C522" i="11"/>
  <c r="D522" i="11"/>
  <c r="E522" i="11"/>
  <c r="B523" i="11"/>
  <c r="C1892" i="11"/>
  <c r="D1892" i="11"/>
  <c r="E1892" i="11"/>
  <c r="B1893" i="11"/>
  <c r="B1584" i="11"/>
  <c r="D1583" i="11"/>
  <c r="E1583" i="11"/>
  <c r="C1583" i="11"/>
  <c r="D1789" i="11"/>
  <c r="B1790" i="11"/>
  <c r="C1789" i="11"/>
  <c r="E1789" i="11"/>
  <c r="I59" i="33"/>
  <c r="P59" i="33" s="1"/>
  <c r="Q80" i="33"/>
  <c r="I76" i="33"/>
  <c r="Q56" i="33"/>
  <c r="Q79" i="33"/>
  <c r="Q113" i="33"/>
  <c r="Q64" i="33"/>
  <c r="K20" i="33"/>
  <c r="Q21" i="33"/>
  <c r="Q106" i="33"/>
  <c r="Q69" i="33"/>
  <c r="Q57" i="33"/>
  <c r="Q38" i="33"/>
  <c r="Q110" i="33"/>
  <c r="Q86" i="33"/>
  <c r="Q68" i="33"/>
  <c r="Q128" i="33"/>
  <c r="Q116" i="33"/>
  <c r="Q31" i="33"/>
  <c r="Q70" i="33"/>
  <c r="Q81" i="33"/>
  <c r="Q55" i="33"/>
  <c r="Q105" i="33"/>
  <c r="Q44" i="33"/>
  <c r="Q30" i="33"/>
  <c r="Q14" i="33"/>
  <c r="Q84" i="33"/>
  <c r="Q83" i="33"/>
  <c r="Q85" i="33"/>
  <c r="Q89" i="33"/>
  <c r="Q54" i="33"/>
  <c r="Q52" i="33"/>
  <c r="Q103" i="33"/>
  <c r="Q13" i="33"/>
  <c r="Q28" i="33"/>
  <c r="Q82" i="33"/>
  <c r="P88" i="33"/>
  <c r="Q87" i="33"/>
  <c r="Q67" i="33"/>
  <c r="P58" i="33"/>
  <c r="Q50" i="33"/>
  <c r="K95" i="33"/>
  <c r="M9" i="33"/>
  <c r="M91" i="33"/>
  <c r="R91" i="33" s="1"/>
  <c r="M81" i="33"/>
  <c r="R81" i="33" s="1"/>
  <c r="M67" i="33"/>
  <c r="R67" i="33" s="1"/>
  <c r="M53" i="33"/>
  <c r="R53" i="33" s="1"/>
  <c r="M44" i="33"/>
  <c r="R44" i="33" s="1"/>
  <c r="M36" i="33"/>
  <c r="R36" i="33" s="1"/>
  <c r="M22" i="33"/>
  <c r="R22" i="33" s="1"/>
  <c r="M12" i="33"/>
  <c r="R12" i="33" s="1"/>
  <c r="M13" i="33"/>
  <c r="R13" i="33" s="1"/>
  <c r="M89" i="33"/>
  <c r="R89" i="33" s="1"/>
  <c r="M80" i="33"/>
  <c r="R80" i="33" s="1"/>
  <c r="M66" i="33"/>
  <c r="R66" i="33" s="1"/>
  <c r="M52" i="33"/>
  <c r="R52" i="33" s="1"/>
  <c r="M43" i="33"/>
  <c r="R43" i="33" s="1"/>
  <c r="M35" i="33"/>
  <c r="R35" i="33" s="1"/>
  <c r="M21" i="33"/>
  <c r="M87" i="33"/>
  <c r="R87" i="33" s="1"/>
  <c r="M79" i="33"/>
  <c r="R79" i="33" s="1"/>
  <c r="M65" i="33"/>
  <c r="R65" i="33" s="1"/>
  <c r="M51" i="33"/>
  <c r="R51" i="33" s="1"/>
  <c r="M42" i="33"/>
  <c r="R42" i="33" s="1"/>
  <c r="M32" i="33"/>
  <c r="R32" i="33" s="1"/>
  <c r="M86" i="33"/>
  <c r="R86" i="33" s="1"/>
  <c r="M78" i="33"/>
  <c r="R78" i="33" s="1"/>
  <c r="M64" i="33"/>
  <c r="M50" i="33"/>
  <c r="R50" i="33" s="1"/>
  <c r="M41" i="33"/>
  <c r="R41" i="33" s="1"/>
  <c r="M31" i="33"/>
  <c r="R31" i="33" s="1"/>
  <c r="M45" i="33"/>
  <c r="R45" i="33" s="1"/>
  <c r="M85" i="33"/>
  <c r="R85" i="33" s="1"/>
  <c r="M77" i="33"/>
  <c r="R77" i="33" s="1"/>
  <c r="M57" i="33"/>
  <c r="R57" i="33" s="1"/>
  <c r="M49" i="33"/>
  <c r="R49" i="33" s="1"/>
  <c r="M40" i="33"/>
  <c r="R40" i="33" s="1"/>
  <c r="M30" i="33"/>
  <c r="R30" i="33" s="1"/>
  <c r="M16" i="33"/>
  <c r="R16" i="33" s="1"/>
  <c r="M82" i="33"/>
  <c r="R82" i="33" s="1"/>
  <c r="M37" i="33"/>
  <c r="R37" i="33" s="1"/>
  <c r="M84" i="33"/>
  <c r="R84" i="33" s="1"/>
  <c r="M70" i="33"/>
  <c r="R70" i="33" s="1"/>
  <c r="M56" i="33"/>
  <c r="R56" i="33" s="1"/>
  <c r="M48" i="33"/>
  <c r="R48" i="33" s="1"/>
  <c r="M39" i="33"/>
  <c r="R39" i="33" s="1"/>
  <c r="M28" i="33"/>
  <c r="R28" i="33" s="1"/>
  <c r="M15" i="33"/>
  <c r="R15" i="33" s="1"/>
  <c r="M68" i="33"/>
  <c r="R68" i="33" s="1"/>
  <c r="M83" i="33"/>
  <c r="R83" i="33" s="1"/>
  <c r="M69" i="33"/>
  <c r="R69" i="33" s="1"/>
  <c r="M55" i="33"/>
  <c r="R55" i="33" s="1"/>
  <c r="M46" i="33"/>
  <c r="R46" i="33" s="1"/>
  <c r="M38" i="33"/>
  <c r="R38" i="33" s="1"/>
  <c r="M26" i="33"/>
  <c r="R26" i="33" s="1"/>
  <c r="M14" i="33"/>
  <c r="R14" i="33" s="1"/>
  <c r="M54" i="33"/>
  <c r="R54" i="33" s="1"/>
  <c r="M121" i="33"/>
  <c r="R121" i="33" s="1"/>
  <c r="M119" i="33"/>
  <c r="R119" i="33" s="1"/>
  <c r="M102" i="33"/>
  <c r="R102" i="33" s="1"/>
  <c r="M101" i="33"/>
  <c r="R101" i="33" s="1"/>
  <c r="M100" i="33"/>
  <c r="R100" i="33" s="1"/>
  <c r="M113" i="33"/>
  <c r="R113" i="33" s="1"/>
  <c r="M103" i="33"/>
  <c r="R103" i="33" s="1"/>
  <c r="M105" i="33"/>
  <c r="R105" i="33" s="1"/>
  <c r="M106" i="33"/>
  <c r="R106" i="33" s="1"/>
  <c r="M125" i="33"/>
  <c r="M128" i="33"/>
  <c r="R128" i="33" s="1"/>
  <c r="M126" i="33"/>
  <c r="M99" i="33"/>
  <c r="R99" i="33" s="1"/>
  <c r="M112" i="33"/>
  <c r="R112" i="33" s="1"/>
  <c r="M118" i="33"/>
  <c r="R118" i="33" s="1"/>
  <c r="M117" i="33"/>
  <c r="R117" i="33" s="1"/>
  <c r="M116" i="33"/>
  <c r="R116" i="33" s="1"/>
  <c r="M123" i="33"/>
  <c r="R123" i="33" s="1"/>
  <c r="M110" i="33"/>
  <c r="R110" i="33" s="1"/>
  <c r="M108" i="33"/>
  <c r="R108" i="33" s="1"/>
  <c r="K58" i="33"/>
  <c r="K88" i="33"/>
  <c r="K34" i="33"/>
  <c r="R9" i="33"/>
  <c r="J13" i="32"/>
  <c r="L13" i="32"/>
  <c r="J12" i="32"/>
  <c r="H14" i="32"/>
  <c r="E14" i="32"/>
  <c r="D14" i="32"/>
  <c r="C15" i="32"/>
  <c r="J14" i="32"/>
  <c r="F14" i="32"/>
  <c r="M9" i="32"/>
  <c r="J11" i="32"/>
  <c r="B891" i="11" l="1"/>
  <c r="E891" i="11" s="1"/>
  <c r="C890" i="11"/>
  <c r="D890" i="11"/>
  <c r="B3067" i="11"/>
  <c r="E3067" i="11" s="1"/>
  <c r="C3066" i="11"/>
  <c r="D3066" i="11"/>
  <c r="C2888" i="11"/>
  <c r="D2888" i="11"/>
  <c r="B2889" i="11"/>
  <c r="E2889" i="11" s="1"/>
  <c r="E2784" i="11"/>
  <c r="C2784" i="11"/>
  <c r="D2784" i="11"/>
  <c r="B2785" i="11"/>
  <c r="R64" i="33"/>
  <c r="M63" i="33"/>
  <c r="R63" i="33" s="1"/>
  <c r="R73" i="33"/>
  <c r="R71" i="33"/>
  <c r="R72" i="33"/>
  <c r="I14" i="32"/>
  <c r="M13" i="32"/>
  <c r="B2563" i="11"/>
  <c r="C2562" i="11"/>
  <c r="E2562" i="11"/>
  <c r="D2562" i="11"/>
  <c r="C1686" i="11"/>
  <c r="E1686" i="11"/>
  <c r="E1996" i="11" s="1"/>
  <c r="D1686" i="11"/>
  <c r="B1687" i="11"/>
  <c r="B1997" i="11"/>
  <c r="C1996" i="11"/>
  <c r="D1996" i="11"/>
  <c r="D2356" i="11"/>
  <c r="E2356" i="11"/>
  <c r="B2357" i="11"/>
  <c r="C2356" i="11"/>
  <c r="D626" i="11"/>
  <c r="B627" i="11"/>
  <c r="C626" i="11"/>
  <c r="E626" i="11"/>
  <c r="D1347" i="11"/>
  <c r="E1347" i="11"/>
  <c r="B1348" i="11"/>
  <c r="C1347" i="11"/>
  <c r="C2461" i="11"/>
  <c r="D2461" i="11"/>
  <c r="B2462" i="11"/>
  <c r="E2461" i="11"/>
  <c r="C2150" i="11"/>
  <c r="D2150" i="11"/>
  <c r="E2150" i="11"/>
  <c r="B2151" i="11"/>
  <c r="E1037" i="11"/>
  <c r="C1037" i="11"/>
  <c r="D1037" i="11"/>
  <c r="B1038" i="11"/>
  <c r="D1244" i="11"/>
  <c r="B1245" i="11"/>
  <c r="C1244" i="11"/>
  <c r="E1244" i="11"/>
  <c r="B1585" i="11"/>
  <c r="C1584" i="11"/>
  <c r="D1584" i="11"/>
  <c r="E1584" i="11"/>
  <c r="D1464" i="11"/>
  <c r="E1464" i="11"/>
  <c r="B1465" i="11"/>
  <c r="C1464" i="11"/>
  <c r="D729" i="11"/>
  <c r="C729" i="11"/>
  <c r="E729" i="11"/>
  <c r="B730" i="11"/>
  <c r="E1893" i="11"/>
  <c r="B1894" i="11"/>
  <c r="C1893" i="11"/>
  <c r="D1893" i="11"/>
  <c r="D523" i="11"/>
  <c r="C523" i="11"/>
  <c r="E523" i="11"/>
  <c r="B524" i="11"/>
  <c r="D322" i="11"/>
  <c r="C322" i="11"/>
  <c r="B323" i="11"/>
  <c r="B2667" i="11"/>
  <c r="C2666" i="11"/>
  <c r="D2666" i="11"/>
  <c r="E2666" i="11"/>
  <c r="D2975" i="11"/>
  <c r="E2975" i="11"/>
  <c r="B2976" i="11"/>
  <c r="C2975" i="11"/>
  <c r="B2254" i="11"/>
  <c r="D2253" i="11"/>
  <c r="E2253" i="11"/>
  <c r="C2253" i="11"/>
  <c r="D1790" i="11"/>
  <c r="C1790" i="11"/>
  <c r="E1790" i="11"/>
  <c r="B1791" i="11"/>
  <c r="D124" i="11"/>
  <c r="B125" i="11"/>
  <c r="C124" i="11"/>
  <c r="C420" i="11"/>
  <c r="D420" i="11"/>
  <c r="B421" i="11"/>
  <c r="D25" i="11"/>
  <c r="E25" i="11"/>
  <c r="B26" i="11"/>
  <c r="C25" i="11"/>
  <c r="C935" i="11"/>
  <c r="D935" i="11"/>
  <c r="E935" i="11"/>
  <c r="B936" i="11"/>
  <c r="C222" i="11"/>
  <c r="D222" i="11"/>
  <c r="B223" i="11"/>
  <c r="B1142" i="11"/>
  <c r="C1141" i="11"/>
  <c r="D1141" i="11"/>
  <c r="E1141" i="11"/>
  <c r="M12" i="32"/>
  <c r="M20" i="33"/>
  <c r="R20" i="33" s="1"/>
  <c r="M111" i="33"/>
  <c r="R111" i="33" s="1"/>
  <c r="R21" i="33"/>
  <c r="P76" i="33"/>
  <c r="K59" i="33"/>
  <c r="Q58" i="33"/>
  <c r="Q34" i="33"/>
  <c r="Q95" i="33"/>
  <c r="Q20" i="33"/>
  <c r="Q88" i="33"/>
  <c r="M58" i="33"/>
  <c r="R58" i="33" s="1"/>
  <c r="M95" i="33"/>
  <c r="M88" i="33"/>
  <c r="M76" i="33" s="1"/>
  <c r="M34" i="33"/>
  <c r="K76" i="33"/>
  <c r="L14" i="32"/>
  <c r="H15" i="32"/>
  <c r="E15" i="32"/>
  <c r="D15" i="32"/>
  <c r="F15" i="32"/>
  <c r="J15" i="32"/>
  <c r="C16" i="32"/>
  <c r="M14" i="32"/>
  <c r="M11" i="32"/>
  <c r="D891" i="11" l="1"/>
  <c r="B892" i="11"/>
  <c r="E892" i="11" s="1"/>
  <c r="C891" i="11"/>
  <c r="C3067" i="11"/>
  <c r="D3067" i="11"/>
  <c r="B3068" i="11"/>
  <c r="E3068" i="11" s="1"/>
  <c r="B2890" i="11"/>
  <c r="E2890" i="11" s="1"/>
  <c r="C2889" i="11"/>
  <c r="D2889" i="11"/>
  <c r="E2785" i="11"/>
  <c r="B2786" i="11"/>
  <c r="C2785" i="11"/>
  <c r="D2785" i="11"/>
  <c r="I15" i="32"/>
  <c r="B1998" i="11"/>
  <c r="D1997" i="11"/>
  <c r="C1997" i="11"/>
  <c r="D1687" i="11"/>
  <c r="B1688" i="11"/>
  <c r="E1687" i="11"/>
  <c r="E1997" i="11" s="1"/>
  <c r="C1687" i="11"/>
  <c r="E2563" i="11"/>
  <c r="D2563" i="11"/>
  <c r="B2564" i="11"/>
  <c r="C2563" i="11"/>
  <c r="C1245" i="11"/>
  <c r="D1245" i="11"/>
  <c r="B1246" i="11"/>
  <c r="E1245" i="11"/>
  <c r="D1348" i="11"/>
  <c r="C1348" i="11"/>
  <c r="E1348" i="11"/>
  <c r="B1349" i="11"/>
  <c r="C1465" i="11"/>
  <c r="D1465" i="11"/>
  <c r="E1465" i="11"/>
  <c r="B1466" i="11"/>
  <c r="C1142" i="11"/>
  <c r="D1142" i="11"/>
  <c r="E1142" i="11"/>
  <c r="B1143" i="11"/>
  <c r="C125" i="11"/>
  <c r="B126" i="11"/>
  <c r="D125" i="11"/>
  <c r="C1038" i="11"/>
  <c r="E1038" i="11"/>
  <c r="D1038" i="11"/>
  <c r="B1039" i="11"/>
  <c r="B224" i="11"/>
  <c r="C223" i="11"/>
  <c r="D223" i="11"/>
  <c r="C26" i="11"/>
  <c r="D26" i="11"/>
  <c r="E26" i="11"/>
  <c r="B27" i="11"/>
  <c r="E2254" i="11"/>
  <c r="B2255" i="11"/>
  <c r="C2254" i="11"/>
  <c r="D2254" i="11"/>
  <c r="C2667" i="11"/>
  <c r="D2667" i="11"/>
  <c r="E2667" i="11"/>
  <c r="B2668" i="11"/>
  <c r="B731" i="11"/>
  <c r="C730" i="11"/>
  <c r="D730" i="11"/>
  <c r="E730" i="11"/>
  <c r="D1791" i="11"/>
  <c r="B1792" i="11"/>
  <c r="C1791" i="11"/>
  <c r="E1791" i="11"/>
  <c r="C323" i="11"/>
  <c r="D323" i="11"/>
  <c r="B324" i="11"/>
  <c r="C2462" i="11"/>
  <c r="D2462" i="11"/>
  <c r="E2462" i="11"/>
  <c r="B2463" i="11"/>
  <c r="D2357" i="11"/>
  <c r="C2357" i="11"/>
  <c r="E2357" i="11"/>
  <c r="B2358" i="11"/>
  <c r="C936" i="11"/>
  <c r="E936" i="11"/>
  <c r="D936" i="11"/>
  <c r="B937" i="11"/>
  <c r="C421" i="11"/>
  <c r="D421" i="11"/>
  <c r="B422" i="11"/>
  <c r="C524" i="11"/>
  <c r="D524" i="11"/>
  <c r="E524" i="11"/>
  <c r="B525" i="11"/>
  <c r="D2151" i="11"/>
  <c r="E2151" i="11"/>
  <c r="C2151" i="11"/>
  <c r="B2152" i="11"/>
  <c r="C2976" i="11"/>
  <c r="D2976" i="11"/>
  <c r="E2976" i="11"/>
  <c r="B2977" i="11"/>
  <c r="C1894" i="11"/>
  <c r="D1894" i="11"/>
  <c r="E1894" i="11"/>
  <c r="B1895" i="11"/>
  <c r="B1586" i="11"/>
  <c r="C1585" i="11"/>
  <c r="D1585" i="11"/>
  <c r="E1585" i="11"/>
  <c r="D627" i="11"/>
  <c r="B628" i="11"/>
  <c r="C627" i="11"/>
  <c r="E627" i="11"/>
  <c r="J10" i="32"/>
  <c r="R88" i="33"/>
  <c r="R76" i="33"/>
  <c r="R95" i="33"/>
  <c r="Q76" i="33"/>
  <c r="R34" i="33"/>
  <c r="Q59" i="33"/>
  <c r="M59" i="33"/>
  <c r="R59" i="33" s="1"/>
  <c r="E16" i="32"/>
  <c r="J16" i="32"/>
  <c r="F16" i="32"/>
  <c r="H16" i="32"/>
  <c r="D16" i="32"/>
  <c r="C17" i="32"/>
  <c r="L15" i="32"/>
  <c r="M15" i="32"/>
  <c r="B893" i="11" l="1"/>
  <c r="E893" i="11" s="1"/>
  <c r="C892" i="11"/>
  <c r="D892" i="11"/>
  <c r="B3069" i="11"/>
  <c r="E3069" i="11" s="1"/>
  <c r="C3068" i="11"/>
  <c r="D3068" i="11"/>
  <c r="D2890" i="11"/>
  <c r="B2891" i="11"/>
  <c r="E2891" i="11" s="1"/>
  <c r="C2890" i="11"/>
  <c r="E2786" i="11"/>
  <c r="D2786" i="11"/>
  <c r="B2787" i="11"/>
  <c r="C2786" i="11"/>
  <c r="K16" i="32"/>
  <c r="I16" i="32"/>
  <c r="K10" i="32"/>
  <c r="K11" i="32"/>
  <c r="K12" i="32"/>
  <c r="K14" i="32"/>
  <c r="K13" i="32"/>
  <c r="K15" i="32"/>
  <c r="B1689" i="11"/>
  <c r="C1688" i="11"/>
  <c r="D1688" i="11"/>
  <c r="E1688" i="11"/>
  <c r="E1998" i="11" s="1"/>
  <c r="B2565" i="11"/>
  <c r="C2564" i="11"/>
  <c r="D2564" i="11"/>
  <c r="E2564" i="11"/>
  <c r="B1999" i="11"/>
  <c r="D1998" i="11"/>
  <c r="C1998" i="11"/>
  <c r="D731" i="11"/>
  <c r="B732" i="11"/>
  <c r="C731" i="11"/>
  <c r="E731" i="11"/>
  <c r="E1039" i="11"/>
  <c r="C1039" i="11"/>
  <c r="B1040" i="11"/>
  <c r="D1039" i="11"/>
  <c r="B2669" i="11"/>
  <c r="C2668" i="11"/>
  <c r="D2668" i="11"/>
  <c r="E2668" i="11"/>
  <c r="D27" i="11"/>
  <c r="E27" i="11"/>
  <c r="B28" i="11"/>
  <c r="C27" i="11"/>
  <c r="C937" i="11"/>
  <c r="D937" i="11"/>
  <c r="E937" i="11"/>
  <c r="B938" i="11"/>
  <c r="C2463" i="11"/>
  <c r="D2463" i="11"/>
  <c r="B2464" i="11"/>
  <c r="E2463" i="11"/>
  <c r="D2977" i="11"/>
  <c r="E2977" i="11"/>
  <c r="B2978" i="11"/>
  <c r="C2977" i="11"/>
  <c r="D1792" i="11"/>
  <c r="C1792" i="11"/>
  <c r="E1792" i="11"/>
  <c r="B1793" i="11"/>
  <c r="D1466" i="11"/>
  <c r="E1466" i="11"/>
  <c r="B1467" i="11"/>
  <c r="C1466" i="11"/>
  <c r="D1246" i="11"/>
  <c r="B1247" i="11"/>
  <c r="C1246" i="11"/>
  <c r="E1246" i="11"/>
  <c r="B1587" i="11"/>
  <c r="C1586" i="11"/>
  <c r="D1586" i="11"/>
  <c r="E1586" i="11"/>
  <c r="D525" i="11"/>
  <c r="C525" i="11"/>
  <c r="E525" i="11"/>
  <c r="B526" i="11"/>
  <c r="D126" i="11"/>
  <c r="C126" i="11"/>
  <c r="B127" i="11"/>
  <c r="D628" i="11"/>
  <c r="B629" i="11"/>
  <c r="C628" i="11"/>
  <c r="E628" i="11"/>
  <c r="E2358" i="11"/>
  <c r="B2359" i="11"/>
  <c r="C2358" i="11"/>
  <c r="D2358" i="11"/>
  <c r="D324" i="11"/>
  <c r="B325" i="11"/>
  <c r="C324" i="11"/>
  <c r="E1895" i="11"/>
  <c r="B1896" i="11"/>
  <c r="C1895" i="11"/>
  <c r="D1895" i="11"/>
  <c r="C2152" i="11"/>
  <c r="D2152" i="11"/>
  <c r="E2152" i="11"/>
  <c r="B2153" i="11"/>
  <c r="C422" i="11"/>
  <c r="D422" i="11"/>
  <c r="B423" i="11"/>
  <c r="B2256" i="11"/>
  <c r="C2255" i="11"/>
  <c r="D2255" i="11"/>
  <c r="E2255" i="11"/>
  <c r="D224" i="11"/>
  <c r="B225" i="11"/>
  <c r="C224" i="11"/>
  <c r="B1144" i="11"/>
  <c r="C1143" i="11"/>
  <c r="D1143" i="11"/>
  <c r="E1143" i="11"/>
  <c r="E1349" i="11"/>
  <c r="B1350" i="11"/>
  <c r="C1349" i="11"/>
  <c r="D1349" i="11"/>
  <c r="M10" i="32"/>
  <c r="M16" i="32"/>
  <c r="L16" i="32"/>
  <c r="J17" i="32"/>
  <c r="F17" i="32"/>
  <c r="H17" i="32"/>
  <c r="E17" i="32"/>
  <c r="D17" i="32"/>
  <c r="B894" i="11" l="1"/>
  <c r="C893" i="11"/>
  <c r="D893" i="11"/>
  <c r="B3070" i="11"/>
  <c r="E3070" i="11" s="1"/>
  <c r="C3069" i="11"/>
  <c r="D3069" i="11"/>
  <c r="D2891" i="11"/>
  <c r="B2892" i="11"/>
  <c r="E2892" i="11" s="1"/>
  <c r="C2891" i="11"/>
  <c r="E2787" i="11"/>
  <c r="D2787" i="11"/>
  <c r="B2788" i="11"/>
  <c r="C2787" i="11"/>
  <c r="K17" i="32"/>
  <c r="I17" i="32"/>
  <c r="D2565" i="11"/>
  <c r="B2566" i="11"/>
  <c r="C2565" i="11"/>
  <c r="E2565" i="11"/>
  <c r="C1999" i="11"/>
  <c r="B2000" i="11"/>
  <c r="D1999" i="11"/>
  <c r="C1689" i="11"/>
  <c r="D1689" i="11"/>
  <c r="B1690" i="11"/>
  <c r="E1689" i="11"/>
  <c r="E1999" i="11" s="1"/>
  <c r="C938" i="11"/>
  <c r="E938" i="11"/>
  <c r="D938" i="11"/>
  <c r="B939" i="11"/>
  <c r="C2978" i="11"/>
  <c r="D2978" i="11"/>
  <c r="E2978" i="11"/>
  <c r="B2979" i="11"/>
  <c r="C1896" i="11"/>
  <c r="D1896" i="11"/>
  <c r="E1896" i="11"/>
  <c r="B1897" i="11"/>
  <c r="C127" i="11"/>
  <c r="D127" i="11"/>
  <c r="B128" i="11"/>
  <c r="C1467" i="11"/>
  <c r="D1467" i="11"/>
  <c r="E1467" i="11"/>
  <c r="B1468" i="11"/>
  <c r="E2256" i="11"/>
  <c r="B2257" i="11"/>
  <c r="D2256" i="11"/>
  <c r="C2256" i="11"/>
  <c r="B1588" i="11"/>
  <c r="C1587" i="11"/>
  <c r="D1587" i="11"/>
  <c r="E1587" i="11"/>
  <c r="C1144" i="11"/>
  <c r="D1144" i="11"/>
  <c r="E1144" i="11"/>
  <c r="B1145" i="11"/>
  <c r="B424" i="11"/>
  <c r="C423" i="11"/>
  <c r="D423" i="11"/>
  <c r="D2359" i="11"/>
  <c r="C2359" i="11"/>
  <c r="E2359" i="11"/>
  <c r="B2360" i="11"/>
  <c r="C526" i="11"/>
  <c r="B527" i="11"/>
  <c r="D526" i="11"/>
  <c r="E526" i="11"/>
  <c r="C2669" i="11"/>
  <c r="D2669" i="11"/>
  <c r="E2669" i="11"/>
  <c r="B2670" i="11"/>
  <c r="D1793" i="11"/>
  <c r="B1794" i="11"/>
  <c r="C1793" i="11"/>
  <c r="E1793" i="11"/>
  <c r="C225" i="11"/>
  <c r="D225" i="11"/>
  <c r="B226" i="11"/>
  <c r="C1247" i="11"/>
  <c r="D1247" i="11"/>
  <c r="B1248" i="11"/>
  <c r="E1247" i="11"/>
  <c r="C2464" i="11"/>
  <c r="D2464" i="11"/>
  <c r="B2465" i="11"/>
  <c r="E2464" i="11"/>
  <c r="C28" i="11"/>
  <c r="D28" i="11"/>
  <c r="E28" i="11"/>
  <c r="B29" i="11"/>
  <c r="C1040" i="11"/>
  <c r="E1040" i="11"/>
  <c r="D1040" i="11"/>
  <c r="B1041" i="11"/>
  <c r="C1350" i="11"/>
  <c r="D1350" i="11"/>
  <c r="E1350" i="11"/>
  <c r="B1351" i="11"/>
  <c r="D2153" i="11"/>
  <c r="E2153" i="11"/>
  <c r="C2153" i="11"/>
  <c r="B2154" i="11"/>
  <c r="B733" i="11"/>
  <c r="C732" i="11"/>
  <c r="D732" i="11"/>
  <c r="E732" i="11"/>
  <c r="C325" i="11"/>
  <c r="D325" i="11"/>
  <c r="B326" i="11"/>
  <c r="D629" i="11"/>
  <c r="B630" i="11"/>
  <c r="C629" i="11"/>
  <c r="E629" i="11"/>
  <c r="L17" i="32"/>
  <c r="J18" i="32"/>
  <c r="C19" i="32"/>
  <c r="F18" i="32"/>
  <c r="H18" i="32"/>
  <c r="D18" i="32"/>
  <c r="E18" i="32"/>
  <c r="M17" i="32"/>
  <c r="V29" i="8"/>
  <c r="V28" i="8"/>
  <c r="V27" i="8"/>
  <c r="V26" i="8"/>
  <c r="V25" i="8"/>
  <c r="B895" i="11" l="1"/>
  <c r="B896" i="11" s="1"/>
  <c r="B897" i="11" s="1"/>
  <c r="B898" i="11" s="1"/>
  <c r="B899" i="11" s="1"/>
  <c r="B900" i="11" s="1"/>
  <c r="B901" i="11" s="1"/>
  <c r="B902" i="11" s="1"/>
  <c r="B903" i="11" s="1"/>
  <c r="B904" i="11" s="1"/>
  <c r="B905" i="11" s="1"/>
  <c r="B906" i="11" s="1"/>
  <c r="B907" i="11" s="1"/>
  <c r="B908" i="11" s="1"/>
  <c r="B909" i="11" s="1"/>
  <c r="B910" i="11" s="1"/>
  <c r="B911" i="11" s="1"/>
  <c r="C894" i="11"/>
  <c r="D894" i="11"/>
  <c r="B3071" i="11"/>
  <c r="E3071" i="11" s="1"/>
  <c r="C3070" i="11"/>
  <c r="D3070" i="11"/>
  <c r="B2893" i="11"/>
  <c r="E2893" i="11" s="1"/>
  <c r="C2892" i="11"/>
  <c r="D2892" i="11"/>
  <c r="E2788" i="11"/>
  <c r="C2788" i="11"/>
  <c r="B2789" i="11"/>
  <c r="D2788" i="11"/>
  <c r="K18" i="32"/>
  <c r="I18" i="32"/>
  <c r="B2001" i="11"/>
  <c r="C2000" i="11"/>
  <c r="D2000" i="11"/>
  <c r="E1690" i="11"/>
  <c r="E2000" i="11" s="1"/>
  <c r="B1691" i="11"/>
  <c r="C1690" i="11"/>
  <c r="D1690" i="11"/>
  <c r="C2566" i="11"/>
  <c r="D2566" i="11"/>
  <c r="B2567" i="11"/>
  <c r="E2566" i="11"/>
  <c r="D1248" i="11"/>
  <c r="B1249" i="11"/>
  <c r="C1248" i="11"/>
  <c r="E1248" i="11"/>
  <c r="D2979" i="11"/>
  <c r="E2979" i="11"/>
  <c r="B2980" i="11"/>
  <c r="C2979" i="11"/>
  <c r="E1041" i="11"/>
  <c r="C1041" i="11"/>
  <c r="D1041" i="11"/>
  <c r="B1042" i="11"/>
  <c r="E1351" i="11"/>
  <c r="B1352" i="11"/>
  <c r="C1351" i="11"/>
  <c r="D1351" i="11"/>
  <c r="D527" i="11"/>
  <c r="C527" i="11"/>
  <c r="E527" i="11"/>
  <c r="B528" i="11"/>
  <c r="C424" i="11"/>
  <c r="D424" i="11"/>
  <c r="B425" i="11"/>
  <c r="B1589" i="11"/>
  <c r="E1588" i="11"/>
  <c r="C1588" i="11"/>
  <c r="D1588" i="11"/>
  <c r="D1468" i="11"/>
  <c r="E1468" i="11"/>
  <c r="B1469" i="11"/>
  <c r="C1468" i="11"/>
  <c r="D29" i="11"/>
  <c r="E29" i="11"/>
  <c r="B30" i="11"/>
  <c r="C29" i="11"/>
  <c r="D1794" i="11"/>
  <c r="E1794" i="11"/>
  <c r="B1795" i="11"/>
  <c r="C1794" i="11"/>
  <c r="D630" i="11"/>
  <c r="B631" i="11"/>
  <c r="C630" i="11"/>
  <c r="E630" i="11"/>
  <c r="D733" i="11"/>
  <c r="C733" i="11"/>
  <c r="E733" i="11"/>
  <c r="B734" i="11"/>
  <c r="B1146" i="11"/>
  <c r="C1145" i="11"/>
  <c r="D1145" i="11"/>
  <c r="E1145" i="11"/>
  <c r="C2154" i="11"/>
  <c r="D2154" i="11"/>
  <c r="E2154" i="11"/>
  <c r="B2155" i="11"/>
  <c r="D226" i="11"/>
  <c r="C226" i="11"/>
  <c r="B227" i="11"/>
  <c r="B2671" i="11"/>
  <c r="C2670" i="11"/>
  <c r="D2670" i="11"/>
  <c r="E2670" i="11"/>
  <c r="B2361" i="11"/>
  <c r="C2360" i="11"/>
  <c r="D2360" i="11"/>
  <c r="E2360" i="11"/>
  <c r="C326" i="11"/>
  <c r="D326" i="11"/>
  <c r="B327" i="11"/>
  <c r="C2465" i="11"/>
  <c r="D2465" i="11"/>
  <c r="B2466" i="11"/>
  <c r="E2465" i="11"/>
  <c r="E1897" i="11"/>
  <c r="B1898" i="11"/>
  <c r="C1897" i="11"/>
  <c r="D1897" i="11"/>
  <c r="C939" i="11"/>
  <c r="D939" i="11"/>
  <c r="E939" i="11"/>
  <c r="B940" i="11"/>
  <c r="D128" i="11"/>
  <c r="B129" i="11"/>
  <c r="C128" i="11"/>
  <c r="B2258" i="11"/>
  <c r="C2257" i="11"/>
  <c r="D2257" i="11"/>
  <c r="E2257" i="11"/>
  <c r="L18" i="32"/>
  <c r="H19" i="32"/>
  <c r="C20" i="32"/>
  <c r="D19" i="32"/>
  <c r="E19" i="32"/>
  <c r="J19" i="32"/>
  <c r="F19" i="32"/>
  <c r="M18" i="32"/>
  <c r="F87" i="31"/>
  <c r="G87" i="31"/>
  <c r="G82" i="31"/>
  <c r="G81" i="31"/>
  <c r="G78" i="31"/>
  <c r="F82" i="31"/>
  <c r="F78" i="31"/>
  <c r="E88" i="31"/>
  <c r="E90" i="31"/>
  <c r="E94" i="31" s="1"/>
  <c r="E85" i="31"/>
  <c r="E83" i="31"/>
  <c r="E87" i="31" s="1"/>
  <c r="E82" i="31"/>
  <c r="E78" i="31"/>
  <c r="E79" i="31" s="1"/>
  <c r="D87" i="31"/>
  <c r="D82" i="31"/>
  <c r="C87" i="31"/>
  <c r="C82" i="31"/>
  <c r="C78" i="31"/>
  <c r="D79" i="31" s="1"/>
  <c r="B87" i="31"/>
  <c r="B82" i="31"/>
  <c r="B78" i="31"/>
  <c r="B79" i="31" s="1"/>
  <c r="F63" i="31"/>
  <c r="D63" i="31"/>
  <c r="C63" i="31"/>
  <c r="B63" i="31"/>
  <c r="G95" i="31"/>
  <c r="F95" i="31"/>
  <c r="D95" i="31"/>
  <c r="C95" i="31"/>
  <c r="B95" i="31"/>
  <c r="G94" i="31"/>
  <c r="F94" i="31"/>
  <c r="D94" i="31"/>
  <c r="C94" i="31"/>
  <c r="B94" i="31"/>
  <c r="G93" i="31"/>
  <c r="F93" i="31"/>
  <c r="D93" i="31"/>
  <c r="C93" i="31"/>
  <c r="B93" i="31"/>
  <c r="G92" i="31"/>
  <c r="F92" i="31"/>
  <c r="D92" i="31"/>
  <c r="C92" i="31"/>
  <c r="B92" i="31"/>
  <c r="G91" i="31"/>
  <c r="F91" i="31"/>
  <c r="D91" i="31"/>
  <c r="C91" i="31"/>
  <c r="B91" i="31"/>
  <c r="G89" i="31"/>
  <c r="F89" i="31"/>
  <c r="D89" i="31"/>
  <c r="C89" i="31"/>
  <c r="B89" i="31"/>
  <c r="G86" i="31"/>
  <c r="F86" i="31"/>
  <c r="D86" i="31"/>
  <c r="C86" i="31"/>
  <c r="B86" i="31"/>
  <c r="D84" i="31"/>
  <c r="C84" i="31"/>
  <c r="B84" i="31"/>
  <c r="F81" i="31"/>
  <c r="E81" i="31"/>
  <c r="D81" i="31"/>
  <c r="C81" i="31"/>
  <c r="B81" i="31"/>
  <c r="E77" i="31"/>
  <c r="D77" i="31"/>
  <c r="C77" i="31"/>
  <c r="B77" i="31"/>
  <c r="F75" i="31"/>
  <c r="E75" i="31"/>
  <c r="D75" i="31"/>
  <c r="C75" i="31"/>
  <c r="B75" i="31"/>
  <c r="F111" i="31"/>
  <c r="E111" i="31"/>
  <c r="E114" i="31"/>
  <c r="E119" i="31" s="1"/>
  <c r="E112" i="31"/>
  <c r="F106" i="31"/>
  <c r="F102" i="31"/>
  <c r="G103" i="31" s="1"/>
  <c r="E106" i="31"/>
  <c r="E104" i="31"/>
  <c r="F105" i="31" s="1"/>
  <c r="E102" i="31"/>
  <c r="D111" i="31"/>
  <c r="D106" i="31"/>
  <c r="D104" i="31"/>
  <c r="D118" i="31" s="1"/>
  <c r="D102" i="31"/>
  <c r="C111" i="31"/>
  <c r="C102" i="31"/>
  <c r="C103" i="31" s="1"/>
  <c r="C106" i="31"/>
  <c r="B111" i="31"/>
  <c r="B106" i="31"/>
  <c r="F34" i="31"/>
  <c r="E34" i="31"/>
  <c r="D34" i="31"/>
  <c r="C34" i="31"/>
  <c r="B34" i="31"/>
  <c r="F58" i="31"/>
  <c r="E58" i="31"/>
  <c r="D58" i="31"/>
  <c r="C58" i="31"/>
  <c r="B58" i="31"/>
  <c r="F39" i="31"/>
  <c r="G119" i="31"/>
  <c r="F119" i="31"/>
  <c r="D119" i="31"/>
  <c r="C119" i="31"/>
  <c r="B119" i="31"/>
  <c r="G118" i="31"/>
  <c r="F118" i="31"/>
  <c r="C118" i="31"/>
  <c r="B118" i="31"/>
  <c r="G117" i="31"/>
  <c r="F117" i="31"/>
  <c r="D117" i="31"/>
  <c r="C117" i="31"/>
  <c r="B117" i="31"/>
  <c r="G116" i="31"/>
  <c r="F116" i="31"/>
  <c r="D116" i="31"/>
  <c r="C116" i="31"/>
  <c r="B116" i="31"/>
  <c r="G115" i="31"/>
  <c r="F115" i="31"/>
  <c r="D115" i="31"/>
  <c r="C115" i="31"/>
  <c r="B115" i="31"/>
  <c r="G113" i="31"/>
  <c r="F113" i="31"/>
  <c r="D113" i="31"/>
  <c r="C113" i="31"/>
  <c r="B113" i="31"/>
  <c r="G110" i="31"/>
  <c r="F110" i="31"/>
  <c r="D110" i="31"/>
  <c r="C110" i="31"/>
  <c r="B110" i="31"/>
  <c r="D108" i="31"/>
  <c r="C108" i="31"/>
  <c r="B108" i="31"/>
  <c r="F108" i="31"/>
  <c r="C105" i="31"/>
  <c r="B105" i="31"/>
  <c r="B103" i="31"/>
  <c r="F101" i="31"/>
  <c r="E101" i="31"/>
  <c r="D101" i="31"/>
  <c r="C101" i="31"/>
  <c r="B101" i="31"/>
  <c r="G99" i="31"/>
  <c r="F99" i="31"/>
  <c r="E99" i="31"/>
  <c r="D99" i="31"/>
  <c r="C99" i="31"/>
  <c r="B99" i="31"/>
  <c r="G67" i="31"/>
  <c r="F67" i="31"/>
  <c r="D67" i="31"/>
  <c r="C67" i="31"/>
  <c r="B67" i="31"/>
  <c r="F62" i="31"/>
  <c r="D62" i="31"/>
  <c r="C62" i="31"/>
  <c r="B62" i="31"/>
  <c r="G43" i="31"/>
  <c r="F43" i="31"/>
  <c r="D43" i="31"/>
  <c r="C43" i="31"/>
  <c r="B43" i="31"/>
  <c r="G38" i="31"/>
  <c r="F38" i="31"/>
  <c r="D38" i="31"/>
  <c r="C38" i="31"/>
  <c r="B38" i="31"/>
  <c r="F65" i="31"/>
  <c r="D65" i="31"/>
  <c r="C65" i="31"/>
  <c r="G41" i="31"/>
  <c r="F41" i="31"/>
  <c r="D41" i="31"/>
  <c r="C41" i="31"/>
  <c r="B41" i="31"/>
  <c r="D911" i="11" l="1"/>
  <c r="E911" i="11"/>
  <c r="C911" i="11"/>
  <c r="D910" i="11"/>
  <c r="E910" i="11"/>
  <c r="C910" i="11"/>
  <c r="D909" i="11"/>
  <c r="E909" i="11"/>
  <c r="C909" i="11"/>
  <c r="E908" i="11"/>
  <c r="C908" i="11"/>
  <c r="D908" i="11"/>
  <c r="D907" i="11"/>
  <c r="E907" i="11"/>
  <c r="C907" i="11"/>
  <c r="E906" i="11"/>
  <c r="D906" i="11"/>
  <c r="C906" i="11"/>
  <c r="D905" i="11"/>
  <c r="E905" i="11"/>
  <c r="C905" i="11"/>
  <c r="D904" i="11"/>
  <c r="E904" i="11"/>
  <c r="C904" i="11"/>
  <c r="C903" i="11"/>
  <c r="E903" i="11"/>
  <c r="D903" i="11"/>
  <c r="D902" i="11"/>
  <c r="E902" i="11"/>
  <c r="C902" i="11"/>
  <c r="D901" i="11"/>
  <c r="E901" i="11"/>
  <c r="C901" i="11"/>
  <c r="D900" i="11"/>
  <c r="E900" i="11"/>
  <c r="C900" i="11"/>
  <c r="D899" i="11"/>
  <c r="E899" i="11"/>
  <c r="C899" i="11"/>
  <c r="D898" i="11"/>
  <c r="E898" i="11"/>
  <c r="C898" i="11"/>
  <c r="D897" i="11"/>
  <c r="E897" i="11"/>
  <c r="C897" i="11"/>
  <c r="D896" i="11"/>
  <c r="E896" i="11"/>
  <c r="C896" i="11"/>
  <c r="D895" i="11"/>
  <c r="E895" i="11"/>
  <c r="C895" i="11"/>
  <c r="G79" i="31"/>
  <c r="H79" i="31"/>
  <c r="B3072" i="11"/>
  <c r="E3072" i="11" s="1"/>
  <c r="C3071" i="11"/>
  <c r="D3071" i="11"/>
  <c r="B2894" i="11"/>
  <c r="E2894" i="11" s="1"/>
  <c r="C2893" i="11"/>
  <c r="D2893" i="11"/>
  <c r="E2789" i="11"/>
  <c r="C2789" i="11"/>
  <c r="D2789" i="11"/>
  <c r="B2790" i="11"/>
  <c r="I19" i="32"/>
  <c r="K19" i="32"/>
  <c r="D1691" i="11"/>
  <c r="B1692" i="11"/>
  <c r="C1691" i="11"/>
  <c r="E1691" i="11"/>
  <c r="E2001" i="11" s="1"/>
  <c r="C2567" i="11"/>
  <c r="E2567" i="11"/>
  <c r="B2568" i="11"/>
  <c r="D2567" i="11"/>
  <c r="B2002" i="11"/>
  <c r="D2001" i="11"/>
  <c r="C2001" i="11"/>
  <c r="C2466" i="11"/>
  <c r="D2466" i="11"/>
  <c r="B2467" i="11"/>
  <c r="E2466" i="11"/>
  <c r="C2671" i="11"/>
  <c r="D2671" i="11"/>
  <c r="E2671" i="11"/>
  <c r="B2672" i="11"/>
  <c r="E2258" i="11"/>
  <c r="B2259" i="11"/>
  <c r="C2258" i="11"/>
  <c r="D2258" i="11"/>
  <c r="D631" i="11"/>
  <c r="B632" i="11"/>
  <c r="C631" i="11"/>
  <c r="C1146" i="11"/>
  <c r="D1146" i="11"/>
  <c r="B1147" i="11"/>
  <c r="B1590" i="11"/>
  <c r="C1589" i="11"/>
  <c r="D1589" i="11"/>
  <c r="E1589" i="11"/>
  <c r="C1042" i="11"/>
  <c r="E1042" i="11"/>
  <c r="D1042" i="11"/>
  <c r="B1043" i="11"/>
  <c r="C528" i="11"/>
  <c r="D528" i="11"/>
  <c r="E528" i="11"/>
  <c r="B529" i="11"/>
  <c r="C129" i="11"/>
  <c r="B130" i="11"/>
  <c r="D129" i="11"/>
  <c r="C1898" i="11"/>
  <c r="D1898" i="11"/>
  <c r="E1898" i="11"/>
  <c r="B1899" i="11"/>
  <c r="D2361" i="11"/>
  <c r="C2361" i="11"/>
  <c r="E2361" i="11"/>
  <c r="B2362" i="11"/>
  <c r="D2155" i="11"/>
  <c r="E2155" i="11"/>
  <c r="C2155" i="11"/>
  <c r="B2156" i="11"/>
  <c r="B735" i="11"/>
  <c r="D734" i="11"/>
  <c r="C734" i="11"/>
  <c r="C425" i="11"/>
  <c r="D425" i="11"/>
  <c r="B426" i="11"/>
  <c r="D1795" i="11"/>
  <c r="B1796" i="11"/>
  <c r="C1795" i="11"/>
  <c r="E1795" i="11"/>
  <c r="C1469" i="11"/>
  <c r="D1469" i="11"/>
  <c r="E1469" i="11"/>
  <c r="B1470" i="11"/>
  <c r="C1352" i="11"/>
  <c r="D1352" i="11"/>
  <c r="E1352" i="11"/>
  <c r="B1353" i="11"/>
  <c r="C940" i="11"/>
  <c r="D940" i="11"/>
  <c r="B941" i="11"/>
  <c r="C2980" i="11"/>
  <c r="D2980" i="11"/>
  <c r="E2980" i="11"/>
  <c r="B2981" i="11"/>
  <c r="C227" i="11"/>
  <c r="D227" i="11"/>
  <c r="B228" i="11"/>
  <c r="C30" i="11"/>
  <c r="D30" i="11"/>
  <c r="E30" i="11"/>
  <c r="B31" i="11"/>
  <c r="C1249" i="11"/>
  <c r="D1249" i="11"/>
  <c r="B1250" i="11"/>
  <c r="E1249" i="11"/>
  <c r="B328" i="11"/>
  <c r="D327" i="11"/>
  <c r="C327" i="11"/>
  <c r="C79" i="31"/>
  <c r="F79" i="31"/>
  <c r="L19" i="32"/>
  <c r="D20" i="32"/>
  <c r="H20" i="32"/>
  <c r="C21" i="32"/>
  <c r="J20" i="32"/>
  <c r="F20" i="32"/>
  <c r="E20" i="32"/>
  <c r="M19" i="32"/>
  <c r="E89" i="31"/>
  <c r="E86" i="31"/>
  <c r="E84" i="31"/>
  <c r="E93" i="31"/>
  <c r="F84" i="31"/>
  <c r="E92" i="31"/>
  <c r="E91" i="31"/>
  <c r="E95" i="31"/>
  <c r="D105" i="31"/>
  <c r="E105" i="31"/>
  <c r="E103" i="31"/>
  <c r="D103" i="31"/>
  <c r="F103" i="31"/>
  <c r="E116" i="31"/>
  <c r="E118" i="31"/>
  <c r="E113" i="31"/>
  <c r="E110" i="31"/>
  <c r="E108" i="31"/>
  <c r="E117" i="31"/>
  <c r="E115" i="31"/>
  <c r="D3072" i="11" l="1"/>
  <c r="B3073" i="11"/>
  <c r="E3073" i="11" s="1"/>
  <c r="C3072" i="11"/>
  <c r="C2894" i="11"/>
  <c r="D2894" i="11"/>
  <c r="B2895" i="11"/>
  <c r="E2895" i="11" s="1"/>
  <c r="E2790" i="11"/>
  <c r="B2791" i="11"/>
  <c r="C2790" i="11"/>
  <c r="D2790" i="11"/>
  <c r="I20" i="32"/>
  <c r="K20" i="32"/>
  <c r="C2568" i="11"/>
  <c r="D2568" i="11"/>
  <c r="B2569" i="11"/>
  <c r="E2568" i="11"/>
  <c r="B1693" i="11"/>
  <c r="C1692" i="11"/>
  <c r="E1692" i="11"/>
  <c r="E2002" i="11" s="1"/>
  <c r="D1692" i="11"/>
  <c r="D2002" i="11"/>
  <c r="C2002" i="11"/>
  <c r="B2003" i="11"/>
  <c r="D529" i="11"/>
  <c r="E529" i="11"/>
  <c r="B530" i="11"/>
  <c r="C529" i="11"/>
  <c r="B2673" i="11"/>
  <c r="C2672" i="11"/>
  <c r="D2672" i="11"/>
  <c r="E2672" i="11"/>
  <c r="D1796" i="11"/>
  <c r="C1796" i="11"/>
  <c r="E1796" i="11"/>
  <c r="B1797" i="11"/>
  <c r="C328" i="11"/>
  <c r="D328" i="11"/>
  <c r="B329" i="11"/>
  <c r="C2362" i="11"/>
  <c r="D2362" i="11"/>
  <c r="E2362" i="11"/>
  <c r="B2363" i="11"/>
  <c r="D632" i="11"/>
  <c r="B633" i="11"/>
  <c r="C632" i="11"/>
  <c r="E632" i="11"/>
  <c r="D31" i="11"/>
  <c r="B32" i="11"/>
  <c r="C31" i="11"/>
  <c r="D426" i="11"/>
  <c r="B427" i="11"/>
  <c r="C426" i="11"/>
  <c r="D228" i="11"/>
  <c r="B229" i="11"/>
  <c r="C228" i="11"/>
  <c r="C941" i="11"/>
  <c r="D941" i="11"/>
  <c r="E941" i="11"/>
  <c r="B942" i="11"/>
  <c r="D1470" i="11"/>
  <c r="E1470" i="11"/>
  <c r="B1471" i="11"/>
  <c r="C1470" i="11"/>
  <c r="C130" i="11"/>
  <c r="D130" i="11"/>
  <c r="B131" i="11"/>
  <c r="B1591" i="11"/>
  <c r="C1590" i="11"/>
  <c r="D1590" i="11"/>
  <c r="E1590" i="11"/>
  <c r="E1353" i="11"/>
  <c r="B1354" i="11"/>
  <c r="C1353" i="11"/>
  <c r="D1353" i="11"/>
  <c r="C1043" i="11"/>
  <c r="B1044" i="11"/>
  <c r="D1043" i="11"/>
  <c r="B1148" i="11"/>
  <c r="C1147" i="11"/>
  <c r="D1147" i="11"/>
  <c r="E1147" i="11"/>
  <c r="D1250" i="11"/>
  <c r="B1251" i="11"/>
  <c r="C1250" i="11"/>
  <c r="E1250" i="11"/>
  <c r="D735" i="11"/>
  <c r="C735" i="11"/>
  <c r="E735" i="11"/>
  <c r="B736" i="11"/>
  <c r="C2467" i="11"/>
  <c r="D2467" i="11"/>
  <c r="B2468" i="11"/>
  <c r="E2467" i="11"/>
  <c r="D2981" i="11"/>
  <c r="E2981" i="11"/>
  <c r="B2982" i="11"/>
  <c r="C2981" i="11"/>
  <c r="C2156" i="11"/>
  <c r="D2156" i="11"/>
  <c r="E2156" i="11"/>
  <c r="B2157" i="11"/>
  <c r="E1899" i="11"/>
  <c r="B1900" i="11"/>
  <c r="C1899" i="11"/>
  <c r="D1899" i="11"/>
  <c r="B2260" i="11"/>
  <c r="E2259" i="11"/>
  <c r="C2259" i="11"/>
  <c r="D2259" i="11"/>
  <c r="L20" i="32"/>
  <c r="H21" i="32"/>
  <c r="E21" i="32"/>
  <c r="J21" i="32"/>
  <c r="D21" i="32"/>
  <c r="C22" i="32"/>
  <c r="F21" i="32"/>
  <c r="M20" i="32"/>
  <c r="G71" i="31"/>
  <c r="F71" i="31"/>
  <c r="D71" i="31"/>
  <c r="C71" i="31"/>
  <c r="G70" i="31"/>
  <c r="F70" i="31"/>
  <c r="D70" i="31"/>
  <c r="C70" i="31"/>
  <c r="G69" i="31"/>
  <c r="F69" i="31"/>
  <c r="D69" i="31"/>
  <c r="C69" i="31"/>
  <c r="G68" i="31"/>
  <c r="F68" i="31"/>
  <c r="D68" i="31"/>
  <c r="C68" i="31"/>
  <c r="B71" i="31"/>
  <c r="B70" i="31"/>
  <c r="B69" i="31"/>
  <c r="B68" i="31"/>
  <c r="D60" i="31"/>
  <c r="C60" i="31"/>
  <c r="B60" i="31"/>
  <c r="F57" i="31"/>
  <c r="E57" i="31"/>
  <c r="D57" i="31"/>
  <c r="C57" i="31"/>
  <c r="B57" i="31"/>
  <c r="B55" i="31"/>
  <c r="F53" i="31"/>
  <c r="E53" i="31"/>
  <c r="D53" i="31"/>
  <c r="C53" i="31"/>
  <c r="B53" i="31"/>
  <c r="E66" i="31"/>
  <c r="E59" i="31"/>
  <c r="E63" i="31" s="1"/>
  <c r="E61" i="31"/>
  <c r="E54" i="31"/>
  <c r="D54" i="31"/>
  <c r="C54" i="31"/>
  <c r="C55" i="31" s="1"/>
  <c r="B64" i="31"/>
  <c r="B65" i="31" s="1"/>
  <c r="G36" i="31"/>
  <c r="D36" i="31"/>
  <c r="C36" i="31"/>
  <c r="B36" i="31"/>
  <c r="G33" i="31"/>
  <c r="F33" i="31"/>
  <c r="E33" i="31"/>
  <c r="D33" i="31"/>
  <c r="C33" i="31"/>
  <c r="B33" i="31"/>
  <c r="G31" i="31"/>
  <c r="F31" i="31"/>
  <c r="E31" i="31"/>
  <c r="D31" i="31"/>
  <c r="C31" i="31"/>
  <c r="B31" i="31"/>
  <c r="G29" i="31"/>
  <c r="F29" i="31"/>
  <c r="E29" i="31"/>
  <c r="D29" i="31"/>
  <c r="C29" i="31"/>
  <c r="B29" i="31"/>
  <c r="D39" i="31"/>
  <c r="C39" i="31"/>
  <c r="B39" i="31"/>
  <c r="E42" i="31"/>
  <c r="E40" i="31"/>
  <c r="E37" i="31"/>
  <c r="E35" i="31"/>
  <c r="E39" i="31" s="1"/>
  <c r="G47" i="31"/>
  <c r="F47" i="31"/>
  <c r="D47" i="31"/>
  <c r="C47" i="31"/>
  <c r="B47" i="31"/>
  <c r="G46" i="31"/>
  <c r="F46" i="31"/>
  <c r="D46" i="31"/>
  <c r="C46" i="31"/>
  <c r="B46" i="31"/>
  <c r="G45" i="31"/>
  <c r="F45" i="31"/>
  <c r="D45" i="31"/>
  <c r="C45" i="31"/>
  <c r="B45" i="31"/>
  <c r="G44" i="31"/>
  <c r="F44" i="31"/>
  <c r="D44" i="31"/>
  <c r="C44" i="31"/>
  <c r="B44" i="31"/>
  <c r="G51" i="31"/>
  <c r="F51" i="31"/>
  <c r="E51" i="31"/>
  <c r="D51" i="31"/>
  <c r="C51" i="31"/>
  <c r="B51" i="31"/>
  <c r="G27" i="31"/>
  <c r="F27" i="31"/>
  <c r="E27" i="31"/>
  <c r="D27" i="31"/>
  <c r="C27" i="31"/>
  <c r="B27" i="31"/>
  <c r="G3" i="31"/>
  <c r="F3" i="31"/>
  <c r="E3" i="31"/>
  <c r="D3" i="31"/>
  <c r="C3" i="31"/>
  <c r="B3" i="31"/>
  <c r="C3073" i="11" l="1"/>
  <c r="D3073" i="11"/>
  <c r="B3074" i="11"/>
  <c r="E3074" i="11" s="1"/>
  <c r="C2895" i="11"/>
  <c r="B2896" i="11"/>
  <c r="E2896" i="11" s="1"/>
  <c r="D2895" i="11"/>
  <c r="E2791" i="11"/>
  <c r="B2792" i="11"/>
  <c r="C2791" i="11"/>
  <c r="D2791" i="11"/>
  <c r="K21" i="32"/>
  <c r="I21" i="32"/>
  <c r="C1693" i="11"/>
  <c r="B1694" i="11"/>
  <c r="E1693" i="11"/>
  <c r="E2003" i="11" s="1"/>
  <c r="D1693" i="11"/>
  <c r="C2003" i="11"/>
  <c r="B2004" i="11"/>
  <c r="D2003" i="11"/>
  <c r="D2569" i="11"/>
  <c r="C2569" i="11"/>
  <c r="E2569" i="11"/>
  <c r="B2570" i="11"/>
  <c r="B132" i="11"/>
  <c r="C131" i="11"/>
  <c r="D131" i="11"/>
  <c r="C1471" i="11"/>
  <c r="D1471" i="11"/>
  <c r="E1471" i="11"/>
  <c r="B1472" i="11"/>
  <c r="C229" i="11"/>
  <c r="B230" i="11"/>
  <c r="D229" i="11"/>
  <c r="C329" i="11"/>
  <c r="D329" i="11"/>
  <c r="B330" i="11"/>
  <c r="C1354" i="11"/>
  <c r="D1354" i="11"/>
  <c r="E1354" i="11"/>
  <c r="B1355" i="11"/>
  <c r="C1148" i="11"/>
  <c r="D1148" i="11"/>
  <c r="E1148" i="11"/>
  <c r="B1149" i="11"/>
  <c r="C942" i="11"/>
  <c r="E942" i="11"/>
  <c r="D942" i="11"/>
  <c r="B943" i="11"/>
  <c r="C427" i="11"/>
  <c r="D427" i="11"/>
  <c r="B428" i="11"/>
  <c r="D633" i="11"/>
  <c r="B634" i="11"/>
  <c r="C633" i="11"/>
  <c r="E633" i="11"/>
  <c r="C2673" i="11"/>
  <c r="D2673" i="11"/>
  <c r="E2673" i="11"/>
  <c r="B2674" i="11"/>
  <c r="E2260" i="11"/>
  <c r="B2261" i="11"/>
  <c r="C2260" i="11"/>
  <c r="D2260" i="11"/>
  <c r="C2982" i="11"/>
  <c r="D2982" i="11"/>
  <c r="E2982" i="11"/>
  <c r="B2983" i="11"/>
  <c r="C2468" i="11"/>
  <c r="D2468" i="11"/>
  <c r="B2469" i="11"/>
  <c r="E2468" i="11"/>
  <c r="D1797" i="11"/>
  <c r="B1798" i="11"/>
  <c r="E1797" i="11"/>
  <c r="C1797" i="11"/>
  <c r="D2157" i="11"/>
  <c r="E2157" i="11"/>
  <c r="B2158" i="11"/>
  <c r="C2157" i="11"/>
  <c r="C1900" i="11"/>
  <c r="D1900" i="11"/>
  <c r="E1900" i="11"/>
  <c r="B1901" i="11"/>
  <c r="C1251" i="11"/>
  <c r="D1251" i="11"/>
  <c r="B1252" i="11"/>
  <c r="E1251" i="11"/>
  <c r="C1044" i="11"/>
  <c r="E1044" i="11"/>
  <c r="D1044" i="11"/>
  <c r="B1045" i="11"/>
  <c r="D2363" i="11"/>
  <c r="C2363" i="11"/>
  <c r="E2363" i="11"/>
  <c r="B2364" i="11"/>
  <c r="C530" i="11"/>
  <c r="D530" i="11"/>
  <c r="E530" i="11"/>
  <c r="B531" i="11"/>
  <c r="C32" i="11"/>
  <c r="D32" i="11"/>
  <c r="E32" i="11"/>
  <c r="B33" i="11"/>
  <c r="B737" i="11"/>
  <c r="C736" i="11"/>
  <c r="D736" i="11"/>
  <c r="E736" i="11"/>
  <c r="B1592" i="11"/>
  <c r="D1591" i="11"/>
  <c r="E1591" i="11"/>
  <c r="C1591" i="11"/>
  <c r="L21" i="32"/>
  <c r="M21" i="32"/>
  <c r="C23" i="32"/>
  <c r="F22" i="32"/>
  <c r="E22" i="32"/>
  <c r="J22" i="32"/>
  <c r="D22" i="32"/>
  <c r="H22" i="32"/>
  <c r="E38" i="31"/>
  <c r="E41" i="31"/>
  <c r="E62" i="31"/>
  <c r="E71" i="31"/>
  <c r="E67" i="31"/>
  <c r="E46" i="31"/>
  <c r="E43" i="31"/>
  <c r="E60" i="31"/>
  <c r="E65" i="31"/>
  <c r="E70" i="31"/>
  <c r="E68" i="31"/>
  <c r="E69" i="31"/>
  <c r="F60" i="31"/>
  <c r="E55" i="31"/>
  <c r="D55" i="31"/>
  <c r="F55" i="31"/>
  <c r="E36" i="31"/>
  <c r="F36" i="31"/>
  <c r="E47" i="31"/>
  <c r="E44" i="31"/>
  <c r="E45" i="31"/>
  <c r="B3075" i="11" l="1"/>
  <c r="E3075" i="11" s="1"/>
  <c r="C3074" i="11"/>
  <c r="D3074" i="11"/>
  <c r="C2896" i="11"/>
  <c r="D2896" i="11"/>
  <c r="B2897" i="11"/>
  <c r="E2897" i="11" s="1"/>
  <c r="E2792" i="11"/>
  <c r="C2792" i="11"/>
  <c r="D2792" i="11"/>
  <c r="B2793" i="11"/>
  <c r="I22" i="32"/>
  <c r="K22" i="32"/>
  <c r="B2005" i="11"/>
  <c r="D2004" i="11"/>
  <c r="C2004" i="11"/>
  <c r="D2570" i="11"/>
  <c r="E2570" i="11"/>
  <c r="B2571" i="11"/>
  <c r="C2570" i="11"/>
  <c r="B1695" i="11"/>
  <c r="D1694" i="11"/>
  <c r="C1694" i="11"/>
  <c r="E1694" i="11"/>
  <c r="E2004" i="11" s="1"/>
  <c r="C943" i="11"/>
  <c r="D943" i="11"/>
  <c r="E943" i="11"/>
  <c r="B944" i="11"/>
  <c r="E1355" i="11"/>
  <c r="B1356" i="11"/>
  <c r="C1355" i="11"/>
  <c r="D1355" i="11"/>
  <c r="D1472" i="11"/>
  <c r="E1472" i="11"/>
  <c r="B1473" i="11"/>
  <c r="C1472" i="11"/>
  <c r="D1252" i="11"/>
  <c r="B1253" i="11"/>
  <c r="C1252" i="11"/>
  <c r="E1252" i="11"/>
  <c r="C2469" i="11"/>
  <c r="D2469" i="11"/>
  <c r="B2470" i="11"/>
  <c r="E2469" i="11"/>
  <c r="C2158" i="11"/>
  <c r="D2158" i="11"/>
  <c r="E2158" i="11"/>
  <c r="B2159" i="11"/>
  <c r="D737" i="11"/>
  <c r="C737" i="11"/>
  <c r="E737" i="11"/>
  <c r="B738" i="11"/>
  <c r="B2262" i="11"/>
  <c r="C2261" i="11"/>
  <c r="D2261" i="11"/>
  <c r="E2261" i="11"/>
  <c r="D634" i="11"/>
  <c r="B635" i="11"/>
  <c r="C634" i="11"/>
  <c r="E634" i="11"/>
  <c r="D330" i="11"/>
  <c r="B331" i="11"/>
  <c r="C330" i="11"/>
  <c r="B1150" i="11"/>
  <c r="C1149" i="11"/>
  <c r="D1149" i="11"/>
  <c r="E1149" i="11"/>
  <c r="D33" i="11"/>
  <c r="E33" i="11"/>
  <c r="B34" i="11"/>
  <c r="C33" i="11"/>
  <c r="C2364" i="11"/>
  <c r="D2364" i="11"/>
  <c r="E2364" i="11"/>
  <c r="B2365" i="11"/>
  <c r="E1045" i="11"/>
  <c r="C1045" i="11"/>
  <c r="D1045" i="11"/>
  <c r="B1046" i="11"/>
  <c r="E1901" i="11"/>
  <c r="B1902" i="11"/>
  <c r="C1901" i="11"/>
  <c r="D1901" i="11"/>
  <c r="D2983" i="11"/>
  <c r="E2983" i="11"/>
  <c r="B2984" i="11"/>
  <c r="C2983" i="11"/>
  <c r="B2675" i="11"/>
  <c r="C2674" i="11"/>
  <c r="D2674" i="11"/>
  <c r="E2674" i="11"/>
  <c r="C428" i="11"/>
  <c r="D428" i="11"/>
  <c r="B429" i="11"/>
  <c r="D531" i="11"/>
  <c r="C531" i="11"/>
  <c r="E531" i="11"/>
  <c r="B532" i="11"/>
  <c r="B1593" i="11"/>
  <c r="C1592" i="11"/>
  <c r="D1592" i="11"/>
  <c r="E1592" i="11"/>
  <c r="D1798" i="11"/>
  <c r="C1798" i="11"/>
  <c r="E1798" i="11"/>
  <c r="B1799" i="11"/>
  <c r="C230" i="11"/>
  <c r="D230" i="11"/>
  <c r="B231" i="11"/>
  <c r="D132" i="11"/>
  <c r="B133" i="11"/>
  <c r="C132" i="11"/>
  <c r="L22" i="32"/>
  <c r="J23" i="32"/>
  <c r="H23" i="32"/>
  <c r="F23" i="32"/>
  <c r="D23" i="32"/>
  <c r="C24" i="32"/>
  <c r="E23" i="32"/>
  <c r="M22" i="32"/>
  <c r="S3" i="30"/>
  <c r="C3075" i="11" l="1"/>
  <c r="D3075" i="11"/>
  <c r="B3076" i="11"/>
  <c r="E3076" i="11" s="1"/>
  <c r="D2897" i="11"/>
  <c r="B2898" i="11"/>
  <c r="E2898" i="11" s="1"/>
  <c r="C2897" i="11"/>
  <c r="E2793" i="11"/>
  <c r="C2793" i="11"/>
  <c r="B2794" i="11"/>
  <c r="B2795" i="11" s="1"/>
  <c r="D2793" i="11"/>
  <c r="I23" i="32"/>
  <c r="K23" i="32"/>
  <c r="B2572" i="11"/>
  <c r="C2571" i="11"/>
  <c r="E2571" i="11"/>
  <c r="D2571" i="11"/>
  <c r="C1695" i="11"/>
  <c r="D1695" i="11"/>
  <c r="B1696" i="11"/>
  <c r="E1695" i="11"/>
  <c r="E2005" i="11" s="1"/>
  <c r="C2005" i="11"/>
  <c r="B2006" i="11"/>
  <c r="D2005" i="11"/>
  <c r="C133" i="11"/>
  <c r="B134" i="11"/>
  <c r="D133" i="11"/>
  <c r="D2365" i="11"/>
  <c r="E2365" i="11"/>
  <c r="B2366" i="11"/>
  <c r="C2365" i="11"/>
  <c r="C2675" i="11"/>
  <c r="D2675" i="11"/>
  <c r="E2675" i="11"/>
  <c r="B2676" i="11"/>
  <c r="C1046" i="11"/>
  <c r="E1046" i="11"/>
  <c r="D1046" i="11"/>
  <c r="B1047" i="11"/>
  <c r="C1150" i="11"/>
  <c r="D1150" i="11"/>
  <c r="E1150" i="11"/>
  <c r="B1151" i="11"/>
  <c r="D2159" i="11"/>
  <c r="E2159" i="11"/>
  <c r="C2159" i="11"/>
  <c r="B2160" i="11"/>
  <c r="B1594" i="11"/>
  <c r="C1593" i="11"/>
  <c r="D1593" i="11"/>
  <c r="E1593" i="11"/>
  <c r="D1799" i="11"/>
  <c r="B1800" i="11"/>
  <c r="C1799" i="11"/>
  <c r="E1799" i="11"/>
  <c r="C532" i="11"/>
  <c r="D532" i="11"/>
  <c r="E532" i="11"/>
  <c r="B533" i="11"/>
  <c r="C429" i="11"/>
  <c r="D429" i="11"/>
  <c r="B430" i="11"/>
  <c r="C2984" i="11"/>
  <c r="D2984" i="11"/>
  <c r="E2984" i="11"/>
  <c r="B2985" i="11"/>
  <c r="C34" i="11"/>
  <c r="D34" i="11"/>
  <c r="E34" i="11"/>
  <c r="B35" i="11"/>
  <c r="C2470" i="11"/>
  <c r="D2470" i="11"/>
  <c r="B2471" i="11"/>
  <c r="E2470" i="11"/>
  <c r="C1473" i="11"/>
  <c r="D1473" i="11"/>
  <c r="E1473" i="11"/>
  <c r="B1474" i="11"/>
  <c r="C1356" i="11"/>
  <c r="D1356" i="11"/>
  <c r="E1356" i="11"/>
  <c r="B1357" i="11"/>
  <c r="C331" i="11"/>
  <c r="D331" i="11"/>
  <c r="B332" i="11"/>
  <c r="E2262" i="11"/>
  <c r="B2263" i="11"/>
  <c r="C2262" i="11"/>
  <c r="D2262" i="11"/>
  <c r="C944" i="11"/>
  <c r="E944" i="11"/>
  <c r="D944" i="11"/>
  <c r="B945" i="11"/>
  <c r="B739" i="11"/>
  <c r="C738" i="11"/>
  <c r="D738" i="11"/>
  <c r="E738" i="11"/>
  <c r="B232" i="11"/>
  <c r="C231" i="11"/>
  <c r="D231" i="11"/>
  <c r="C1902" i="11"/>
  <c r="D1902" i="11"/>
  <c r="E1902" i="11"/>
  <c r="B1903" i="11"/>
  <c r="D635" i="11"/>
  <c r="B636" i="11"/>
  <c r="C635" i="11"/>
  <c r="E635" i="11"/>
  <c r="C1253" i="11"/>
  <c r="D1253" i="11"/>
  <c r="B1254" i="11"/>
  <c r="E1253" i="11"/>
  <c r="H24" i="32"/>
  <c r="D24" i="32"/>
  <c r="C25" i="32"/>
  <c r="J24" i="32"/>
  <c r="F24" i="32"/>
  <c r="E24" i="32"/>
  <c r="L23" i="32"/>
  <c r="M23" i="32"/>
  <c r="M114" i="33"/>
  <c r="N12" i="21"/>
  <c r="J6" i="21" s="1"/>
  <c r="N4" i="21"/>
  <c r="M3" i="21"/>
  <c r="Q3" i="21" s="1"/>
  <c r="B3077" i="11" l="1"/>
  <c r="E3077" i="11" s="1"/>
  <c r="C3076" i="11"/>
  <c r="D3076" i="11"/>
  <c r="C2898" i="11"/>
  <c r="D2898" i="11"/>
  <c r="B2899" i="11"/>
  <c r="E2899" i="11" s="1"/>
  <c r="B2796" i="11"/>
  <c r="E2795" i="11"/>
  <c r="D2795" i="11"/>
  <c r="C2795" i="11"/>
  <c r="E2794" i="11"/>
  <c r="C2794" i="11"/>
  <c r="D2794" i="11"/>
  <c r="I24" i="32"/>
  <c r="K24" i="32"/>
  <c r="B1697" i="11"/>
  <c r="C1696" i="11"/>
  <c r="D1696" i="11"/>
  <c r="E1696" i="11"/>
  <c r="E2006" i="11" s="1"/>
  <c r="B2007" i="11"/>
  <c r="C2006" i="11"/>
  <c r="D2006" i="11"/>
  <c r="D2572" i="11"/>
  <c r="C2572" i="11"/>
  <c r="E2572" i="11"/>
  <c r="B2573" i="11"/>
  <c r="B1595" i="11"/>
  <c r="C1594" i="11"/>
  <c r="D1594" i="11"/>
  <c r="E1594" i="11"/>
  <c r="D1254" i="11"/>
  <c r="B1255" i="11"/>
  <c r="E1254" i="11"/>
  <c r="C1254" i="11"/>
  <c r="B2264" i="11"/>
  <c r="C2263" i="11"/>
  <c r="D2263" i="11"/>
  <c r="E2263" i="11"/>
  <c r="C2160" i="11"/>
  <c r="D2160" i="11"/>
  <c r="E2160" i="11"/>
  <c r="B2161" i="11"/>
  <c r="E1047" i="11"/>
  <c r="C1047" i="11"/>
  <c r="B1048" i="11"/>
  <c r="D1047" i="11"/>
  <c r="B2677" i="11"/>
  <c r="C2676" i="11"/>
  <c r="D2676" i="11"/>
  <c r="E2676" i="11"/>
  <c r="D636" i="11"/>
  <c r="B637" i="11"/>
  <c r="C636" i="11"/>
  <c r="E636" i="11"/>
  <c r="D533" i="11"/>
  <c r="C533" i="11"/>
  <c r="E533" i="11"/>
  <c r="B534" i="11"/>
  <c r="B1152" i="11"/>
  <c r="C1151" i="11"/>
  <c r="D1151" i="11"/>
  <c r="E1151" i="11"/>
  <c r="E1357" i="11"/>
  <c r="B1358" i="11"/>
  <c r="C1357" i="11"/>
  <c r="D1357" i="11"/>
  <c r="E1903" i="11"/>
  <c r="B1904" i="11"/>
  <c r="C1903" i="11"/>
  <c r="D1903" i="11"/>
  <c r="D739" i="11"/>
  <c r="B740" i="11"/>
  <c r="C739" i="11"/>
  <c r="E739" i="11"/>
  <c r="D1474" i="11"/>
  <c r="E1474" i="11"/>
  <c r="B1475" i="11"/>
  <c r="C1474" i="11"/>
  <c r="D35" i="11"/>
  <c r="E35" i="11"/>
  <c r="B36" i="11"/>
  <c r="C35" i="11"/>
  <c r="C430" i="11"/>
  <c r="D430" i="11"/>
  <c r="B431" i="11"/>
  <c r="D134" i="11"/>
  <c r="C134" i="11"/>
  <c r="B135" i="11"/>
  <c r="D2985" i="11"/>
  <c r="E2985" i="11"/>
  <c r="B2986" i="11"/>
  <c r="C2985" i="11"/>
  <c r="C945" i="11"/>
  <c r="D945" i="11"/>
  <c r="E945" i="11"/>
  <c r="B946" i="11"/>
  <c r="C332" i="11"/>
  <c r="D332" i="11"/>
  <c r="B333" i="11"/>
  <c r="D1800" i="11"/>
  <c r="B1801" i="11"/>
  <c r="C1800" i="11"/>
  <c r="E1800" i="11"/>
  <c r="D232" i="11"/>
  <c r="B233" i="11"/>
  <c r="C232" i="11"/>
  <c r="C2366" i="11"/>
  <c r="D2366" i="11"/>
  <c r="E2366" i="11"/>
  <c r="B2367" i="11"/>
  <c r="C2471" i="11"/>
  <c r="D2471" i="11"/>
  <c r="B2472" i="11"/>
  <c r="E2471" i="11"/>
  <c r="M120" i="33"/>
  <c r="M104" i="33"/>
  <c r="M18" i="33"/>
  <c r="L24" i="32"/>
  <c r="M24" i="32"/>
  <c r="E25" i="32"/>
  <c r="D25" i="32"/>
  <c r="J25" i="32"/>
  <c r="C26" i="32"/>
  <c r="H25" i="32"/>
  <c r="F25" i="32"/>
  <c r="B3078" i="11" l="1"/>
  <c r="E3078" i="11" s="1"/>
  <c r="D3077" i="11"/>
  <c r="C3077" i="11"/>
  <c r="B2900" i="11"/>
  <c r="E2900" i="11" s="1"/>
  <c r="D2899" i="11"/>
  <c r="C2899" i="11"/>
  <c r="E2796" i="11"/>
  <c r="C2796" i="11"/>
  <c r="D2796" i="11"/>
  <c r="B2797" i="11"/>
  <c r="I25" i="32"/>
  <c r="K25" i="32"/>
  <c r="B2008" i="11"/>
  <c r="C2007" i="11"/>
  <c r="D2007" i="11"/>
  <c r="C2573" i="11"/>
  <c r="E2573" i="11"/>
  <c r="D2573" i="11"/>
  <c r="B2574" i="11"/>
  <c r="C1697" i="11"/>
  <c r="D1697" i="11"/>
  <c r="B1698" i="11"/>
  <c r="E1697" i="11"/>
  <c r="E2007" i="11" s="1"/>
  <c r="D2161" i="11"/>
  <c r="E2161" i="11"/>
  <c r="C2161" i="11"/>
  <c r="B2162" i="11"/>
  <c r="D2367" i="11"/>
  <c r="B2368" i="11"/>
  <c r="C2367" i="11"/>
  <c r="E2367" i="11"/>
  <c r="C233" i="11"/>
  <c r="B234" i="11"/>
  <c r="D233" i="11"/>
  <c r="D1801" i="11"/>
  <c r="B1802" i="11"/>
  <c r="C1801" i="11"/>
  <c r="E1801" i="11"/>
  <c r="B432" i="11"/>
  <c r="C431" i="11"/>
  <c r="D431" i="11"/>
  <c r="C1475" i="11"/>
  <c r="D1475" i="11"/>
  <c r="E1475" i="11"/>
  <c r="B1476" i="11"/>
  <c r="C1255" i="11"/>
  <c r="D1255" i="11"/>
  <c r="B1256" i="11"/>
  <c r="E1255" i="11"/>
  <c r="C1904" i="11"/>
  <c r="D1904" i="11"/>
  <c r="E1904" i="11"/>
  <c r="B1905" i="11"/>
  <c r="D637" i="11"/>
  <c r="B638" i="11"/>
  <c r="C637" i="11"/>
  <c r="E637" i="11"/>
  <c r="C2677" i="11"/>
  <c r="D2677" i="11"/>
  <c r="E2677" i="11"/>
  <c r="B2678" i="11"/>
  <c r="C1152" i="11"/>
  <c r="D1152" i="11"/>
  <c r="E1152" i="11"/>
  <c r="B1153" i="11"/>
  <c r="E534" i="11"/>
  <c r="B535" i="11"/>
  <c r="C534" i="11"/>
  <c r="D534" i="11"/>
  <c r="C1048" i="11"/>
  <c r="E1048" i="11"/>
  <c r="D1048" i="11"/>
  <c r="B1049" i="11"/>
  <c r="C333" i="11"/>
  <c r="B334" i="11"/>
  <c r="D333" i="11"/>
  <c r="C2986" i="11"/>
  <c r="D2986" i="11"/>
  <c r="E2986" i="11"/>
  <c r="B2987" i="11"/>
  <c r="C2472" i="11"/>
  <c r="D2472" i="11"/>
  <c r="B2473" i="11"/>
  <c r="E2472" i="11"/>
  <c r="C36" i="11"/>
  <c r="D36" i="11"/>
  <c r="E36" i="11"/>
  <c r="B37" i="11"/>
  <c r="C946" i="11"/>
  <c r="E946" i="11"/>
  <c r="D946" i="11"/>
  <c r="B947" i="11"/>
  <c r="C135" i="11"/>
  <c r="D135" i="11"/>
  <c r="B136" i="11"/>
  <c r="B741" i="11"/>
  <c r="C740" i="11"/>
  <c r="D740" i="11"/>
  <c r="E740" i="11"/>
  <c r="C1358" i="11"/>
  <c r="D1358" i="11"/>
  <c r="E1358" i="11"/>
  <c r="B1359" i="11"/>
  <c r="E2264" i="11"/>
  <c r="B2265" i="11"/>
  <c r="C2264" i="11"/>
  <c r="D2264" i="11"/>
  <c r="B1596" i="11"/>
  <c r="C1595" i="11"/>
  <c r="D1595" i="11"/>
  <c r="E1595" i="11"/>
  <c r="M107" i="33"/>
  <c r="M24" i="33"/>
  <c r="L25" i="32"/>
  <c r="J26" i="32"/>
  <c r="C27" i="32"/>
  <c r="F26" i="32"/>
  <c r="E26" i="32"/>
  <c r="D26" i="32"/>
  <c r="H26" i="32"/>
  <c r="M25" i="32"/>
  <c r="G5" i="29"/>
  <c r="Q7" i="29" s="1"/>
  <c r="T3" i="29"/>
  <c r="T4" i="29" s="1"/>
  <c r="S3" i="29"/>
  <c r="S4" i="29" s="1"/>
  <c r="R3" i="29"/>
  <c r="R4" i="29" s="1"/>
  <c r="Q8" i="29"/>
  <c r="AC2" i="29"/>
  <c r="M2" i="29"/>
  <c r="N28" i="29"/>
  <c r="N19" i="29"/>
  <c r="N25" i="29"/>
  <c r="Q12" i="29" s="1"/>
  <c r="N16" i="29"/>
  <c r="Q11" i="29" s="1"/>
  <c r="N7" i="29"/>
  <c r="Q10" i="29" s="1"/>
  <c r="H1" i="29"/>
  <c r="I3" i="29" s="1"/>
  <c r="J3" i="29" s="1"/>
  <c r="DP92" i="10"/>
  <c r="DP91" i="10"/>
  <c r="DP89" i="10"/>
  <c r="DP88" i="10"/>
  <c r="DP87" i="10"/>
  <c r="DP86" i="10"/>
  <c r="DP85" i="10"/>
  <c r="DP84" i="10"/>
  <c r="DP83" i="10"/>
  <c r="DP82" i="10"/>
  <c r="DP81" i="10"/>
  <c r="DP80" i="10"/>
  <c r="DP79" i="10"/>
  <c r="DP78" i="10"/>
  <c r="DP77" i="10"/>
  <c r="DP76" i="10"/>
  <c r="DP71" i="10"/>
  <c r="DP70" i="10"/>
  <c r="DP69" i="10"/>
  <c r="DP68" i="10"/>
  <c r="DP66" i="10"/>
  <c r="DP65" i="10"/>
  <c r="DP64" i="10"/>
  <c r="DP63" i="10"/>
  <c r="DP62" i="10"/>
  <c r="DP61" i="10"/>
  <c r="DP60" i="10"/>
  <c r="DP59" i="10"/>
  <c r="DP58" i="10"/>
  <c r="DP57" i="10"/>
  <c r="DP56" i="10"/>
  <c r="DP54" i="10"/>
  <c r="DP53" i="10"/>
  <c r="DP52" i="10"/>
  <c r="DP51" i="10"/>
  <c r="DP50" i="10"/>
  <c r="DP49" i="10"/>
  <c r="DP48" i="10"/>
  <c r="DP47" i="10"/>
  <c r="DP46" i="10"/>
  <c r="DP45" i="10"/>
  <c r="DP44" i="10"/>
  <c r="DP43" i="10"/>
  <c r="DP42" i="10"/>
  <c r="DP41" i="10"/>
  <c r="DP39" i="10"/>
  <c r="DP37" i="10"/>
  <c r="DP36" i="10"/>
  <c r="DP35" i="10"/>
  <c r="DP34" i="10"/>
  <c r="DP33" i="10"/>
  <c r="DP32" i="10"/>
  <c r="DP31" i="10"/>
  <c r="DP30" i="10"/>
  <c r="DP29" i="10"/>
  <c r="DP28" i="10"/>
  <c r="DP27" i="10"/>
  <c r="DP26" i="10"/>
  <c r="DP25" i="10"/>
  <c r="DP24" i="10"/>
  <c r="DP23" i="10"/>
  <c r="DP22" i="10"/>
  <c r="DP12" i="10"/>
  <c r="DP11" i="10"/>
  <c r="DP10" i="10"/>
  <c r="DP9" i="10"/>
  <c r="DP8" i="10"/>
  <c r="DP7" i="10"/>
  <c r="DP6" i="10"/>
  <c r="DP5" i="10"/>
  <c r="B3079" i="11" l="1"/>
  <c r="E3079" i="11" s="1"/>
  <c r="C3078" i="11"/>
  <c r="D3078" i="11"/>
  <c r="C2900" i="11"/>
  <c r="B2901" i="11"/>
  <c r="E2901" i="11" s="1"/>
  <c r="D2900" i="11"/>
  <c r="E2797" i="11"/>
  <c r="B2798" i="11"/>
  <c r="C2797" i="11"/>
  <c r="D2797" i="11"/>
  <c r="N72" i="33"/>
  <c r="N73" i="33"/>
  <c r="N71" i="33"/>
  <c r="I26" i="32"/>
  <c r="K26" i="32"/>
  <c r="H6" i="29"/>
  <c r="I4" i="29"/>
  <c r="B2575" i="11"/>
  <c r="C2574" i="11"/>
  <c r="D2574" i="11"/>
  <c r="E2574" i="11"/>
  <c r="B1699" i="11"/>
  <c r="C1698" i="11"/>
  <c r="D1698" i="11"/>
  <c r="E1698" i="11"/>
  <c r="E2008" i="11" s="1"/>
  <c r="B2009" i="11"/>
  <c r="C2008" i="11"/>
  <c r="D2008" i="11"/>
  <c r="D136" i="11"/>
  <c r="C136" i="11"/>
  <c r="B137" i="11"/>
  <c r="C334" i="11"/>
  <c r="D334" i="11"/>
  <c r="B335" i="11"/>
  <c r="D535" i="11"/>
  <c r="C535" i="11"/>
  <c r="E535" i="11"/>
  <c r="B536" i="11"/>
  <c r="E1359" i="11"/>
  <c r="B1360" i="11"/>
  <c r="C1359" i="11"/>
  <c r="D1359" i="11"/>
  <c r="D741" i="11"/>
  <c r="C741" i="11"/>
  <c r="E741" i="11"/>
  <c r="B742" i="11"/>
  <c r="C2473" i="11"/>
  <c r="D2473" i="11"/>
  <c r="B2474" i="11"/>
  <c r="E2473" i="11"/>
  <c r="B2266" i="11"/>
  <c r="C2265" i="11"/>
  <c r="D2265" i="11"/>
  <c r="E2265" i="11"/>
  <c r="C947" i="11"/>
  <c r="E947" i="11"/>
  <c r="D947" i="11"/>
  <c r="B948" i="11"/>
  <c r="D37" i="11"/>
  <c r="E37" i="11"/>
  <c r="B38" i="11"/>
  <c r="C37" i="11"/>
  <c r="D2987" i="11"/>
  <c r="E2987" i="11"/>
  <c r="B2988" i="11"/>
  <c r="C2987" i="11"/>
  <c r="E1049" i="11"/>
  <c r="C1049" i="11"/>
  <c r="D1049" i="11"/>
  <c r="B1050" i="11"/>
  <c r="B1154" i="11"/>
  <c r="C1153" i="11"/>
  <c r="D1153" i="11"/>
  <c r="E1153" i="11"/>
  <c r="D234" i="11"/>
  <c r="C234" i="11"/>
  <c r="B235" i="11"/>
  <c r="B1597" i="11"/>
  <c r="E1596" i="11"/>
  <c r="C1596" i="11"/>
  <c r="D1596" i="11"/>
  <c r="D1256" i="11"/>
  <c r="B1257" i="11"/>
  <c r="C1256" i="11"/>
  <c r="E1256" i="11"/>
  <c r="D638" i="11"/>
  <c r="B639" i="11"/>
  <c r="C638" i="11"/>
  <c r="E638" i="11"/>
  <c r="C432" i="11"/>
  <c r="D432" i="11"/>
  <c r="B433" i="11"/>
  <c r="C2162" i="11"/>
  <c r="D2162" i="11"/>
  <c r="E2162" i="11"/>
  <c r="B2163" i="11"/>
  <c r="B2679" i="11"/>
  <c r="C2678" i="11"/>
  <c r="D2678" i="11"/>
  <c r="E2678" i="11"/>
  <c r="E1905" i="11"/>
  <c r="B1906" i="11"/>
  <c r="C1905" i="11"/>
  <c r="D1905" i="11"/>
  <c r="D1476" i="11"/>
  <c r="E1476" i="11"/>
  <c r="B1477" i="11"/>
  <c r="C1476" i="11"/>
  <c r="C2368" i="11"/>
  <c r="D2368" i="11"/>
  <c r="E2368" i="11"/>
  <c r="B2369" i="11"/>
  <c r="D1802" i="11"/>
  <c r="C1802" i="11"/>
  <c r="E1802" i="11"/>
  <c r="B1803" i="11"/>
  <c r="N53" i="33"/>
  <c r="N39" i="33"/>
  <c r="N85" i="33"/>
  <c r="N50" i="33"/>
  <c r="N84" i="33"/>
  <c r="N35" i="33"/>
  <c r="N42" i="33"/>
  <c r="N52" i="33"/>
  <c r="N49" i="33"/>
  <c r="N82" i="33"/>
  <c r="N30" i="33"/>
  <c r="N20" i="33"/>
  <c r="N51" i="33"/>
  <c r="N91" i="33"/>
  <c r="N48" i="33"/>
  <c r="N36" i="33"/>
  <c r="N21" i="33"/>
  <c r="N86" i="33"/>
  <c r="N89" i="33"/>
  <c r="N70" i="33"/>
  <c r="N55" i="33"/>
  <c r="N77" i="33"/>
  <c r="N78" i="33"/>
  <c r="N68" i="33"/>
  <c r="N69" i="33"/>
  <c r="N41" i="33"/>
  <c r="N79" i="33"/>
  <c r="N87" i="33"/>
  <c r="N40" i="33"/>
  <c r="N22" i="33"/>
  <c r="N64" i="33"/>
  <c r="N80" i="33"/>
  <c r="N26" i="33"/>
  <c r="N28" i="33"/>
  <c r="N81" i="33"/>
  <c r="N83" i="33"/>
  <c r="N54" i="33"/>
  <c r="N67" i="33"/>
  <c r="N56" i="33"/>
  <c r="N37" i="33"/>
  <c r="N65" i="33"/>
  <c r="N43" i="33"/>
  <c r="N46" i="33"/>
  <c r="N57" i="33"/>
  <c r="N58" i="33"/>
  <c r="N38" i="33"/>
  <c r="N63" i="33"/>
  <c r="N44" i="33"/>
  <c r="N45" i="33"/>
  <c r="N24" i="33"/>
  <c r="N66" i="33"/>
  <c r="N34" i="33"/>
  <c r="N76" i="33"/>
  <c r="N88" i="33"/>
  <c r="N95" i="33"/>
  <c r="M61" i="33"/>
  <c r="N59" i="33"/>
  <c r="N107" i="33"/>
  <c r="N118" i="33"/>
  <c r="N103" i="33"/>
  <c r="N119" i="33"/>
  <c r="N108" i="33"/>
  <c r="N101" i="33"/>
  <c r="N113" i="33"/>
  <c r="N123" i="33"/>
  <c r="N112" i="33"/>
  <c r="N111" i="33"/>
  <c r="N128" i="33"/>
  <c r="N99" i="33"/>
  <c r="N125" i="33"/>
  <c r="N102" i="33"/>
  <c r="N121" i="33"/>
  <c r="N110" i="33"/>
  <c r="N116" i="33"/>
  <c r="N117" i="33"/>
  <c r="N126" i="33"/>
  <c r="N100" i="33"/>
  <c r="N105" i="33"/>
  <c r="N106" i="33"/>
  <c r="N114" i="33"/>
  <c r="N120" i="33"/>
  <c r="M109" i="33"/>
  <c r="N109" i="33" s="1"/>
  <c r="N104" i="33"/>
  <c r="N18" i="33"/>
  <c r="M26" i="32"/>
  <c r="L26" i="32"/>
  <c r="C28" i="32"/>
  <c r="F27" i="32"/>
  <c r="H27" i="32"/>
  <c r="J27" i="32"/>
  <c r="E27" i="32"/>
  <c r="D27" i="32"/>
  <c r="I2" i="29"/>
  <c r="H10" i="29" l="1"/>
  <c r="H18" i="29"/>
  <c r="C3079" i="11"/>
  <c r="D3079" i="11"/>
  <c r="B3080" i="11"/>
  <c r="E3080" i="11" s="1"/>
  <c r="B2902" i="11"/>
  <c r="E2902" i="11" s="1"/>
  <c r="C2901" i="11"/>
  <c r="D2901" i="11"/>
  <c r="E2798" i="11"/>
  <c r="D2798" i="11"/>
  <c r="B2799" i="11"/>
  <c r="C2798" i="11"/>
  <c r="I27" i="32"/>
  <c r="K27" i="32"/>
  <c r="N44" i="29"/>
  <c r="E1699" i="11"/>
  <c r="E2009" i="11" s="1"/>
  <c r="C1699" i="11"/>
  <c r="D1699" i="11"/>
  <c r="B1700" i="11"/>
  <c r="C2009" i="11"/>
  <c r="B2010" i="11"/>
  <c r="D2009" i="11"/>
  <c r="B2576" i="11"/>
  <c r="D2575" i="11"/>
  <c r="C2575" i="11"/>
  <c r="E2575" i="11"/>
  <c r="D2369" i="11"/>
  <c r="C2369" i="11"/>
  <c r="E2369" i="11"/>
  <c r="B2370" i="11"/>
  <c r="D2163" i="11"/>
  <c r="C2163" i="11"/>
  <c r="E2163" i="11"/>
  <c r="B2164" i="11"/>
  <c r="C1360" i="11"/>
  <c r="D1360" i="11"/>
  <c r="E1360" i="11"/>
  <c r="B1361" i="11"/>
  <c r="D1803" i="11"/>
  <c r="B1804" i="11"/>
  <c r="C1803" i="11"/>
  <c r="E1803" i="11"/>
  <c r="C1154" i="11"/>
  <c r="D1154" i="11"/>
  <c r="E1154" i="11"/>
  <c r="B1155" i="11"/>
  <c r="C2679" i="11"/>
  <c r="D2679" i="11"/>
  <c r="E2679" i="11"/>
  <c r="B2680" i="11"/>
  <c r="D639" i="11"/>
  <c r="B640" i="11"/>
  <c r="C639" i="11"/>
  <c r="E639" i="11"/>
  <c r="C1906" i="11"/>
  <c r="D1906" i="11"/>
  <c r="E1906" i="11"/>
  <c r="B1907" i="11"/>
  <c r="B1598" i="11"/>
  <c r="C1597" i="11"/>
  <c r="D1597" i="11"/>
  <c r="E1597" i="11"/>
  <c r="C1050" i="11"/>
  <c r="E1050" i="11"/>
  <c r="D1050" i="11"/>
  <c r="B1051" i="11"/>
  <c r="B743" i="11"/>
  <c r="D742" i="11"/>
  <c r="E742" i="11"/>
  <c r="C742" i="11"/>
  <c r="B336" i="11"/>
  <c r="C335" i="11"/>
  <c r="D335" i="11"/>
  <c r="C235" i="11"/>
  <c r="B236" i="11"/>
  <c r="D235" i="11"/>
  <c r="C38" i="11"/>
  <c r="D38" i="11"/>
  <c r="E38" i="11"/>
  <c r="B39" i="11"/>
  <c r="C433" i="11"/>
  <c r="D433" i="11"/>
  <c r="B434" i="11"/>
  <c r="C1477" i="11"/>
  <c r="D1477" i="11"/>
  <c r="E1477" i="11"/>
  <c r="B1478" i="11"/>
  <c r="C1257" i="11"/>
  <c r="D1257" i="11"/>
  <c r="B1258" i="11"/>
  <c r="E1257" i="11"/>
  <c r="E2266" i="11"/>
  <c r="B2267" i="11"/>
  <c r="C2266" i="11"/>
  <c r="D2266" i="11"/>
  <c r="C137" i="11"/>
  <c r="B138" i="11"/>
  <c r="D137" i="11"/>
  <c r="C948" i="11"/>
  <c r="E948" i="11"/>
  <c r="D948" i="11"/>
  <c r="B949" i="11"/>
  <c r="B537" i="11"/>
  <c r="C536" i="11"/>
  <c r="D536" i="11"/>
  <c r="E536" i="11"/>
  <c r="C2988" i="11"/>
  <c r="D2988" i="11"/>
  <c r="E2988" i="11"/>
  <c r="B2989" i="11"/>
  <c r="C2474" i="11"/>
  <c r="D2474" i="11"/>
  <c r="B2475" i="11"/>
  <c r="E2474" i="11"/>
  <c r="M93" i="33"/>
  <c r="N93" i="33" s="1"/>
  <c r="N61" i="33"/>
  <c r="M115" i="33"/>
  <c r="M27" i="32"/>
  <c r="L27" i="32"/>
  <c r="D28" i="32"/>
  <c r="H28" i="32"/>
  <c r="E28" i="32"/>
  <c r="F28" i="32"/>
  <c r="J28" i="32"/>
  <c r="C29" i="32"/>
  <c r="J2" i="29"/>
  <c r="AC4" i="29" s="1"/>
  <c r="I6" i="29"/>
  <c r="N47" i="29" l="1"/>
  <c r="M50" i="29" s="1"/>
  <c r="N45" i="29"/>
  <c r="M49" i="29" s="1"/>
  <c r="D3080" i="11"/>
  <c r="B3081" i="11"/>
  <c r="E3081" i="11" s="1"/>
  <c r="C3080" i="11"/>
  <c r="B2903" i="11"/>
  <c r="E2903" i="11" s="1"/>
  <c r="C2902" i="11"/>
  <c r="D2902" i="11"/>
  <c r="E2799" i="11"/>
  <c r="C2799" i="11"/>
  <c r="D2799" i="11"/>
  <c r="B2800" i="11"/>
  <c r="I28" i="32"/>
  <c r="K28" i="32"/>
  <c r="M48" i="29"/>
  <c r="B2011" i="11"/>
  <c r="C2010" i="11"/>
  <c r="D2010" i="11"/>
  <c r="B1701" i="11"/>
  <c r="C1700" i="11"/>
  <c r="D1700" i="11"/>
  <c r="E1700" i="11"/>
  <c r="E2010" i="11" s="1"/>
  <c r="B2577" i="11"/>
  <c r="C2576" i="11"/>
  <c r="D2576" i="11"/>
  <c r="E2576" i="11"/>
  <c r="B1156" i="11"/>
  <c r="C1155" i="11"/>
  <c r="D1155" i="11"/>
  <c r="E1155" i="11"/>
  <c r="E1361" i="11"/>
  <c r="B1362" i="11"/>
  <c r="C1361" i="11"/>
  <c r="D1361" i="11"/>
  <c r="C2370" i="11"/>
  <c r="D2370" i="11"/>
  <c r="E2370" i="11"/>
  <c r="B2371" i="11"/>
  <c r="D2989" i="11"/>
  <c r="E2989" i="11"/>
  <c r="B2990" i="11"/>
  <c r="C2989" i="11"/>
  <c r="C949" i="11"/>
  <c r="E949" i="11"/>
  <c r="B950" i="11"/>
  <c r="D949" i="11"/>
  <c r="D640" i="11"/>
  <c r="B641" i="11"/>
  <c r="C640" i="11"/>
  <c r="E640" i="11"/>
  <c r="B2268" i="11"/>
  <c r="C2267" i="11"/>
  <c r="D2267" i="11"/>
  <c r="E2267" i="11"/>
  <c r="D434" i="11"/>
  <c r="B435" i="11"/>
  <c r="C434" i="11"/>
  <c r="B337" i="11"/>
  <c r="C336" i="11"/>
  <c r="D336" i="11"/>
  <c r="D743" i="11"/>
  <c r="C743" i="11"/>
  <c r="E743" i="11"/>
  <c r="B744" i="11"/>
  <c r="B1599" i="11"/>
  <c r="C1598" i="11"/>
  <c r="D1598" i="11"/>
  <c r="E1598" i="11"/>
  <c r="E1051" i="11"/>
  <c r="C1051" i="11"/>
  <c r="B1052" i="11"/>
  <c r="D1051" i="11"/>
  <c r="C2164" i="11"/>
  <c r="D2164" i="11"/>
  <c r="E2164" i="11"/>
  <c r="B2165" i="11"/>
  <c r="D1258" i="11"/>
  <c r="B1259" i="11"/>
  <c r="C1258" i="11"/>
  <c r="E1258" i="11"/>
  <c r="B2681" i="11"/>
  <c r="C2680" i="11"/>
  <c r="D2680" i="11"/>
  <c r="E2680" i="11"/>
  <c r="C138" i="11"/>
  <c r="D138" i="11"/>
  <c r="B139" i="11"/>
  <c r="D1804" i="11"/>
  <c r="C1804" i="11"/>
  <c r="E1804" i="11"/>
  <c r="B1805" i="11"/>
  <c r="C236" i="11"/>
  <c r="D236" i="11"/>
  <c r="B237" i="11"/>
  <c r="E1907" i="11"/>
  <c r="B1908" i="11"/>
  <c r="C1907" i="11"/>
  <c r="D1907" i="11"/>
  <c r="C2475" i="11"/>
  <c r="D2475" i="11"/>
  <c r="B2476" i="11"/>
  <c r="E2475" i="11"/>
  <c r="D537" i="11"/>
  <c r="C537" i="11"/>
  <c r="E537" i="11"/>
  <c r="B538" i="11"/>
  <c r="D1478" i="11"/>
  <c r="E1478" i="11"/>
  <c r="B1479" i="11"/>
  <c r="C1478" i="11"/>
  <c r="D39" i="11"/>
  <c r="E39" i="11"/>
  <c r="B40" i="11"/>
  <c r="C39" i="11"/>
  <c r="M122" i="33"/>
  <c r="N122" i="33" s="1"/>
  <c r="N115" i="33"/>
  <c r="M124" i="33"/>
  <c r="N124" i="33" s="1"/>
  <c r="L28" i="32"/>
  <c r="M28" i="32"/>
  <c r="H29" i="32"/>
  <c r="E29" i="32"/>
  <c r="F29" i="32"/>
  <c r="D29" i="32"/>
  <c r="C30" i="32"/>
  <c r="J29" i="32"/>
  <c r="C3081" i="11" l="1"/>
  <c r="D3081" i="11"/>
  <c r="B3082" i="11"/>
  <c r="E3082" i="11" s="1"/>
  <c r="D2903" i="11"/>
  <c r="B2904" i="11"/>
  <c r="E2904" i="11" s="1"/>
  <c r="C2903" i="11"/>
  <c r="E2800" i="11"/>
  <c r="C2800" i="11"/>
  <c r="D2800" i="11"/>
  <c r="B2801" i="11"/>
  <c r="K29" i="32"/>
  <c r="I29" i="32"/>
  <c r="C1701" i="11"/>
  <c r="E1701" i="11"/>
  <c r="E2011" i="11" s="1"/>
  <c r="D1701" i="11"/>
  <c r="B1702" i="11"/>
  <c r="D2577" i="11"/>
  <c r="C2577" i="11"/>
  <c r="E2577" i="11"/>
  <c r="B2578" i="11"/>
  <c r="C2011" i="11"/>
  <c r="B2012" i="11"/>
  <c r="D2011" i="11"/>
  <c r="C337" i="11"/>
  <c r="D337" i="11"/>
  <c r="B338" i="11"/>
  <c r="B1600" i="11"/>
  <c r="D1599" i="11"/>
  <c r="E1599" i="11"/>
  <c r="C1599" i="11"/>
  <c r="C2990" i="11"/>
  <c r="D2990" i="11"/>
  <c r="E2990" i="11"/>
  <c r="B2991" i="11"/>
  <c r="B745" i="11"/>
  <c r="C744" i="11"/>
  <c r="D744" i="11"/>
  <c r="E744" i="11"/>
  <c r="C435" i="11"/>
  <c r="D435" i="11"/>
  <c r="B436" i="11"/>
  <c r="D641" i="11"/>
  <c r="B642" i="11"/>
  <c r="C641" i="11"/>
  <c r="E641" i="11"/>
  <c r="C1362" i="11"/>
  <c r="D1362" i="11"/>
  <c r="E1362" i="11"/>
  <c r="B1363" i="11"/>
  <c r="C1052" i="11"/>
  <c r="E1052" i="11"/>
  <c r="D1052" i="11"/>
  <c r="B1053" i="11"/>
  <c r="C1908" i="11"/>
  <c r="D1908" i="11"/>
  <c r="E1908" i="11"/>
  <c r="B1909" i="11"/>
  <c r="C237" i="11"/>
  <c r="B238" i="11"/>
  <c r="D237" i="11"/>
  <c r="C1479" i="11"/>
  <c r="D1479" i="11"/>
  <c r="E1479" i="11"/>
  <c r="B1480" i="11"/>
  <c r="C2476" i="11"/>
  <c r="D2476" i="11"/>
  <c r="B2477" i="11"/>
  <c r="E2476" i="11"/>
  <c r="C2681" i="11"/>
  <c r="D2681" i="11"/>
  <c r="E2681" i="11"/>
  <c r="B2682" i="11"/>
  <c r="D2371" i="11"/>
  <c r="C2371" i="11"/>
  <c r="E2371" i="11"/>
  <c r="B2372" i="11"/>
  <c r="C40" i="11"/>
  <c r="D40" i="11"/>
  <c r="E40" i="11"/>
  <c r="B41" i="11"/>
  <c r="C950" i="11"/>
  <c r="E950" i="11"/>
  <c r="D950" i="11"/>
  <c r="B951" i="11"/>
  <c r="D1805" i="11"/>
  <c r="B1806" i="11"/>
  <c r="C1805" i="11"/>
  <c r="E1805" i="11"/>
  <c r="B140" i="11"/>
  <c r="C139" i="11"/>
  <c r="D139" i="11"/>
  <c r="D2165" i="11"/>
  <c r="C2165" i="11"/>
  <c r="E2165" i="11"/>
  <c r="B2166" i="11"/>
  <c r="C538" i="11"/>
  <c r="D538" i="11"/>
  <c r="E538" i="11"/>
  <c r="B539" i="11"/>
  <c r="C1259" i="11"/>
  <c r="B1260" i="11"/>
  <c r="E1259" i="11"/>
  <c r="D1259" i="11"/>
  <c r="E2268" i="11"/>
  <c r="B2269" i="11"/>
  <c r="C2268" i="11"/>
  <c r="D2268" i="11"/>
  <c r="C1156" i="11"/>
  <c r="D1156" i="11"/>
  <c r="E1156" i="11"/>
  <c r="B1157" i="11"/>
  <c r="M129" i="33"/>
  <c r="N129" i="33" s="1"/>
  <c r="M127" i="33"/>
  <c r="N127" i="33" s="1"/>
  <c r="L29" i="32"/>
  <c r="M29" i="32"/>
  <c r="C31" i="32"/>
  <c r="E30" i="32"/>
  <c r="J30" i="32"/>
  <c r="D30" i="32"/>
  <c r="K125" i="33"/>
  <c r="K126" i="33"/>
  <c r="H7" i="28"/>
  <c r="E8" i="26"/>
  <c r="F83" i="26" s="1"/>
  <c r="U3" i="28"/>
  <c r="C11" i="26"/>
  <c r="E11" i="26" s="1"/>
  <c r="E10" i="26"/>
  <c r="D10" i="26"/>
  <c r="E9" i="26"/>
  <c r="D9" i="26"/>
  <c r="A2" i="26"/>
  <c r="D1" i="24"/>
  <c r="F2" i="24"/>
  <c r="C3082" i="11" l="1"/>
  <c r="B3083" i="11"/>
  <c r="E3083" i="11" s="1"/>
  <c r="D3082" i="11"/>
  <c r="D2904" i="11"/>
  <c r="C2904" i="11"/>
  <c r="B2905" i="11"/>
  <c r="E2905" i="11" s="1"/>
  <c r="E2801" i="11"/>
  <c r="D2801" i="11"/>
  <c r="B2802" i="11"/>
  <c r="C2801" i="11"/>
  <c r="J7" i="28"/>
  <c r="I42" i="28" s="1"/>
  <c r="G73" i="28"/>
  <c r="G72" i="28"/>
  <c r="G71" i="28"/>
  <c r="K30" i="32"/>
  <c r="D1702" i="11"/>
  <c r="E1702" i="11"/>
  <c r="E2012" i="11" s="1"/>
  <c r="B1703" i="11"/>
  <c r="C1702" i="11"/>
  <c r="C2012" i="11"/>
  <c r="B2013" i="11"/>
  <c r="D2012" i="11"/>
  <c r="E2578" i="11"/>
  <c r="B2579" i="11"/>
  <c r="D2578" i="11"/>
  <c r="C2578" i="11"/>
  <c r="B2270" i="11"/>
  <c r="D2269" i="11"/>
  <c r="E2269" i="11"/>
  <c r="C2269" i="11"/>
  <c r="C951" i="11"/>
  <c r="E951" i="11"/>
  <c r="D951" i="11"/>
  <c r="B952" i="11"/>
  <c r="B2683" i="11"/>
  <c r="C2682" i="11"/>
  <c r="D2682" i="11"/>
  <c r="E2682" i="11"/>
  <c r="D1260" i="11"/>
  <c r="B1261" i="11"/>
  <c r="C1260" i="11"/>
  <c r="E1260" i="11"/>
  <c r="D539" i="11"/>
  <c r="C539" i="11"/>
  <c r="E539" i="11"/>
  <c r="B540" i="11"/>
  <c r="E1909" i="11"/>
  <c r="B1910" i="11"/>
  <c r="C1909" i="11"/>
  <c r="D1909" i="11"/>
  <c r="E1363" i="11"/>
  <c r="B1364" i="11"/>
  <c r="C1363" i="11"/>
  <c r="D1363" i="11"/>
  <c r="C436" i="11"/>
  <c r="D436" i="11"/>
  <c r="B437" i="11"/>
  <c r="D140" i="11"/>
  <c r="B141" i="11"/>
  <c r="C140" i="11"/>
  <c r="D2372" i="11"/>
  <c r="E2372" i="11"/>
  <c r="B2373" i="11"/>
  <c r="C2372" i="11"/>
  <c r="D1480" i="11"/>
  <c r="E1480" i="11"/>
  <c r="B1481" i="11"/>
  <c r="C1480" i="11"/>
  <c r="B1601" i="11"/>
  <c r="C1600" i="11"/>
  <c r="D1600" i="11"/>
  <c r="E1600" i="11"/>
  <c r="B1158" i="11"/>
  <c r="C1157" i="11"/>
  <c r="D1157" i="11"/>
  <c r="E1157" i="11"/>
  <c r="C2166" i="11"/>
  <c r="D2166" i="11"/>
  <c r="E2166" i="11"/>
  <c r="B2167" i="11"/>
  <c r="D2991" i="11"/>
  <c r="E2991" i="11"/>
  <c r="B2992" i="11"/>
  <c r="C2991" i="11"/>
  <c r="D1806" i="11"/>
  <c r="C1806" i="11"/>
  <c r="E1806" i="11"/>
  <c r="B1807" i="11"/>
  <c r="E1053" i="11"/>
  <c r="C1053" i="11"/>
  <c r="D1053" i="11"/>
  <c r="B1054" i="11"/>
  <c r="D338" i="11"/>
  <c r="C338" i="11"/>
  <c r="B339" i="11"/>
  <c r="D41" i="11"/>
  <c r="E41" i="11"/>
  <c r="B42" i="11"/>
  <c r="C41" i="11"/>
  <c r="C2477" i="11"/>
  <c r="D2477" i="11"/>
  <c r="B2478" i="11"/>
  <c r="E2477" i="11"/>
  <c r="D238" i="11"/>
  <c r="C238" i="11"/>
  <c r="B239" i="11"/>
  <c r="D642" i="11"/>
  <c r="B643" i="11"/>
  <c r="C642" i="11"/>
  <c r="E642" i="11"/>
  <c r="D745" i="11"/>
  <c r="C745" i="11"/>
  <c r="E745" i="11"/>
  <c r="B746" i="11"/>
  <c r="K114" i="33"/>
  <c r="R114" i="33" s="1"/>
  <c r="K120" i="33"/>
  <c r="K18" i="33"/>
  <c r="K104" i="33"/>
  <c r="R126" i="33"/>
  <c r="Q126" i="33"/>
  <c r="R125" i="33"/>
  <c r="Q125" i="33"/>
  <c r="J31" i="32"/>
  <c r="C32" i="32"/>
  <c r="E31" i="32"/>
  <c r="D31" i="32"/>
  <c r="H30" i="32"/>
  <c r="G26" i="28"/>
  <c r="G28" i="28"/>
  <c r="G9" i="28"/>
  <c r="G13" i="28"/>
  <c r="G16" i="28"/>
  <c r="G31" i="28"/>
  <c r="G32" i="28"/>
  <c r="G14" i="28"/>
  <c r="G12" i="28"/>
  <c r="G15" i="28"/>
  <c r="G21" i="28"/>
  <c r="G41" i="28"/>
  <c r="G50" i="28"/>
  <c r="G64" i="28"/>
  <c r="G78" i="28"/>
  <c r="G86" i="28"/>
  <c r="G22" i="28"/>
  <c r="G42" i="28"/>
  <c r="G51" i="28"/>
  <c r="G65" i="28"/>
  <c r="G79" i="28"/>
  <c r="G87" i="28"/>
  <c r="G35" i="28"/>
  <c r="G43" i="28"/>
  <c r="G52" i="28"/>
  <c r="G66" i="28"/>
  <c r="G80" i="28"/>
  <c r="G89" i="28"/>
  <c r="G36" i="28"/>
  <c r="G44" i="28"/>
  <c r="G53" i="28"/>
  <c r="G67" i="28"/>
  <c r="G81" i="28"/>
  <c r="G91" i="28"/>
  <c r="G37" i="28"/>
  <c r="G45" i="28"/>
  <c r="G54" i="28"/>
  <c r="G68" i="28"/>
  <c r="G82" i="28"/>
  <c r="G30" i="28"/>
  <c r="G38" i="28"/>
  <c r="G46" i="28"/>
  <c r="G55" i="28"/>
  <c r="G69" i="28"/>
  <c r="G83" i="28"/>
  <c r="G39" i="28"/>
  <c r="G48" i="28"/>
  <c r="G56" i="28"/>
  <c r="G70" i="28"/>
  <c r="G84" i="28"/>
  <c r="G40" i="28"/>
  <c r="G49" i="28"/>
  <c r="G57" i="28"/>
  <c r="G77" i="28"/>
  <c r="G85" i="28"/>
  <c r="C12" i="26"/>
  <c r="F12" i="26" s="1"/>
  <c r="F9" i="26"/>
  <c r="H8" i="26"/>
  <c r="H83" i="26" s="1"/>
  <c r="D11" i="26"/>
  <c r="B3084" i="11" l="1"/>
  <c r="E3084" i="11" s="1"/>
  <c r="C3083" i="11"/>
  <c r="D3083" i="11"/>
  <c r="I39" i="28"/>
  <c r="I87" i="28"/>
  <c r="I69" i="28"/>
  <c r="I32" i="28"/>
  <c r="I9" i="28"/>
  <c r="I128" i="28" s="1"/>
  <c r="I91" i="28"/>
  <c r="I54" i="28"/>
  <c r="P9" i="28"/>
  <c r="I86" i="28"/>
  <c r="I67" i="28"/>
  <c r="I50" i="28"/>
  <c r="I36" i="28"/>
  <c r="I57" i="28"/>
  <c r="I30" i="28"/>
  <c r="I43" i="28"/>
  <c r="I14" i="28"/>
  <c r="P14" i="28" s="1"/>
  <c r="I78" i="28"/>
  <c r="I49" i="28"/>
  <c r="I28" i="28"/>
  <c r="I82" i="28"/>
  <c r="I53" i="28"/>
  <c r="I35" i="28"/>
  <c r="I21" i="28"/>
  <c r="I13" i="28"/>
  <c r="P13" i="28" s="1"/>
  <c r="I64" i="28"/>
  <c r="I40" i="28"/>
  <c r="I83" i="28"/>
  <c r="I68" i="28"/>
  <c r="I44" i="28"/>
  <c r="I22" i="28"/>
  <c r="I12" i="28"/>
  <c r="P12" i="28" s="1"/>
  <c r="I41" i="28"/>
  <c r="I84" i="28"/>
  <c r="I55" i="28"/>
  <c r="I45" i="28"/>
  <c r="I79" i="28"/>
  <c r="I31" i="28"/>
  <c r="I70" i="28"/>
  <c r="I46" i="28"/>
  <c r="I37" i="28"/>
  <c r="I80" i="28"/>
  <c r="I65" i="28"/>
  <c r="I16" i="28"/>
  <c r="P16" i="28" s="1"/>
  <c r="I85" i="28"/>
  <c r="I56" i="28"/>
  <c r="I38" i="28"/>
  <c r="I89" i="28"/>
  <c r="I66" i="28"/>
  <c r="I51" i="28"/>
  <c r="I15" i="28"/>
  <c r="P15" i="28" s="1"/>
  <c r="I77" i="28"/>
  <c r="I48" i="28"/>
  <c r="I26" i="28"/>
  <c r="I81" i="28"/>
  <c r="I52" i="28"/>
  <c r="B2906" i="11"/>
  <c r="E2906" i="11" s="1"/>
  <c r="C2905" i="11"/>
  <c r="D2905" i="11"/>
  <c r="E2802" i="11"/>
  <c r="C2802" i="11"/>
  <c r="D2802" i="11"/>
  <c r="B2803" i="11"/>
  <c r="L7" i="28"/>
  <c r="I71" i="28"/>
  <c r="I72" i="28"/>
  <c r="P72" i="28" s="1"/>
  <c r="I73" i="28"/>
  <c r="P73" i="28" s="1"/>
  <c r="L83" i="26"/>
  <c r="K31" i="32"/>
  <c r="M30" i="32"/>
  <c r="I30" i="32"/>
  <c r="C2013" i="11"/>
  <c r="B2014" i="11"/>
  <c r="D2013" i="11"/>
  <c r="C1703" i="11"/>
  <c r="D1703" i="11"/>
  <c r="B1704" i="11"/>
  <c r="E1703" i="11"/>
  <c r="E2013" i="11" s="1"/>
  <c r="D2579" i="11"/>
  <c r="E2579" i="11"/>
  <c r="B2580" i="11"/>
  <c r="C2579" i="11"/>
  <c r="C952" i="11"/>
  <c r="E952" i="11"/>
  <c r="D952" i="11"/>
  <c r="B953" i="11"/>
  <c r="C42" i="11"/>
  <c r="D42" i="11"/>
  <c r="E42" i="11"/>
  <c r="B43" i="11"/>
  <c r="C141" i="11"/>
  <c r="B142" i="11"/>
  <c r="D141" i="11"/>
  <c r="C2478" i="11"/>
  <c r="D2478" i="11"/>
  <c r="B2479" i="11"/>
  <c r="E2478" i="11"/>
  <c r="C2992" i="11"/>
  <c r="D2992" i="11"/>
  <c r="E2992" i="11"/>
  <c r="B2993" i="11"/>
  <c r="C1481" i="11"/>
  <c r="D1481" i="11"/>
  <c r="E1481" i="11"/>
  <c r="B1482" i="11"/>
  <c r="D643" i="11"/>
  <c r="B644" i="11"/>
  <c r="C643" i="11"/>
  <c r="E643" i="11"/>
  <c r="C1158" i="11"/>
  <c r="D1158" i="11"/>
  <c r="E1158" i="11"/>
  <c r="B1159" i="11"/>
  <c r="C1261" i="11"/>
  <c r="B1262" i="11"/>
  <c r="D1261" i="11"/>
  <c r="E1261" i="11"/>
  <c r="D1807" i="11"/>
  <c r="B1808" i="11"/>
  <c r="C1807" i="11"/>
  <c r="E1807" i="11"/>
  <c r="D2167" i="11"/>
  <c r="C2167" i="11"/>
  <c r="E2167" i="11"/>
  <c r="B2168" i="11"/>
  <c r="C1364" i="11"/>
  <c r="D1364" i="11"/>
  <c r="E1364" i="11"/>
  <c r="B1365" i="11"/>
  <c r="B747" i="11"/>
  <c r="C746" i="11"/>
  <c r="D746" i="11"/>
  <c r="E746" i="11"/>
  <c r="B240" i="11"/>
  <c r="C239" i="11"/>
  <c r="D239" i="11"/>
  <c r="B340" i="11"/>
  <c r="C339" i="11"/>
  <c r="D339" i="11"/>
  <c r="D2373" i="11"/>
  <c r="C2373" i="11"/>
  <c r="E2373" i="11"/>
  <c r="B2374" i="11"/>
  <c r="C540" i="11"/>
  <c r="D540" i="11"/>
  <c r="E540" i="11"/>
  <c r="B541" i="11"/>
  <c r="B1602" i="11"/>
  <c r="C1601" i="11"/>
  <c r="D1601" i="11"/>
  <c r="E1601" i="11"/>
  <c r="C437" i="11"/>
  <c r="D437" i="11"/>
  <c r="B438" i="11"/>
  <c r="C1054" i="11"/>
  <c r="E1054" i="11"/>
  <c r="D1054" i="11"/>
  <c r="B1055" i="11"/>
  <c r="C1910" i="11"/>
  <c r="D1910" i="11"/>
  <c r="E1910" i="11"/>
  <c r="B1911" i="11"/>
  <c r="C2683" i="11"/>
  <c r="D2683" i="11"/>
  <c r="E2683" i="11"/>
  <c r="B2684" i="11"/>
  <c r="E2270" i="11"/>
  <c r="B2271" i="11"/>
  <c r="C2270" i="11"/>
  <c r="D2270" i="11"/>
  <c r="H31" i="32"/>
  <c r="R104" i="33"/>
  <c r="R18" i="33"/>
  <c r="K107" i="33"/>
  <c r="K24" i="33"/>
  <c r="R120" i="33"/>
  <c r="H32" i="32"/>
  <c r="D32" i="32"/>
  <c r="J32" i="32"/>
  <c r="E32" i="32"/>
  <c r="C33" i="32"/>
  <c r="G126" i="28"/>
  <c r="G128" i="28"/>
  <c r="C13" i="26"/>
  <c r="H13" i="26" s="1"/>
  <c r="E12" i="26"/>
  <c r="D12" i="26"/>
  <c r="G20" i="28"/>
  <c r="G34" i="28"/>
  <c r="I102" i="28"/>
  <c r="G119" i="28"/>
  <c r="I103" i="28"/>
  <c r="G105" i="28"/>
  <c r="G123" i="28"/>
  <c r="I101" i="28"/>
  <c r="G111" i="28"/>
  <c r="G108" i="28"/>
  <c r="G118" i="28"/>
  <c r="G125" i="28"/>
  <c r="G121" i="28"/>
  <c r="G106" i="28"/>
  <c r="G117" i="28"/>
  <c r="G110" i="28"/>
  <c r="G112" i="28"/>
  <c r="G113" i="28"/>
  <c r="G116" i="28"/>
  <c r="I100" i="28"/>
  <c r="G58" i="28"/>
  <c r="G88" i="28"/>
  <c r="G95" i="28"/>
  <c r="G63" i="28"/>
  <c r="L9" i="26"/>
  <c r="J8" i="26"/>
  <c r="J83" i="26" s="1"/>
  <c r="H12" i="26"/>
  <c r="H9" i="26"/>
  <c r="C3084" i="11" l="1"/>
  <c r="B3085" i="11"/>
  <c r="E3085" i="11" s="1"/>
  <c r="D3084" i="11"/>
  <c r="I20" i="28"/>
  <c r="P20" i="28" s="1"/>
  <c r="I88" i="28"/>
  <c r="I34" i="28"/>
  <c r="C2906" i="11"/>
  <c r="D2906" i="11"/>
  <c r="B2907" i="11"/>
  <c r="E2803" i="11"/>
  <c r="C2803" i="11"/>
  <c r="D2803" i="11"/>
  <c r="B2804" i="11"/>
  <c r="F13" i="26"/>
  <c r="L13" i="26" s="1"/>
  <c r="N7" i="28"/>
  <c r="M18" i="28" s="1"/>
  <c r="K73" i="28"/>
  <c r="Q73" i="28" s="1"/>
  <c r="K72" i="28"/>
  <c r="Q72" i="28" s="1"/>
  <c r="K71" i="28"/>
  <c r="K51" i="28"/>
  <c r="K43" i="28"/>
  <c r="Q43" i="28" s="1"/>
  <c r="K36" i="28"/>
  <c r="K37" i="28"/>
  <c r="Q37" i="28" s="1"/>
  <c r="K38" i="28"/>
  <c r="Q38" i="28" s="1"/>
  <c r="K39" i="28"/>
  <c r="Q39" i="28" s="1"/>
  <c r="K30" i="28"/>
  <c r="Q30" i="28" s="1"/>
  <c r="K31" i="28"/>
  <c r="K15" i="28"/>
  <c r="K28" i="28"/>
  <c r="Q28" i="28" s="1"/>
  <c r="K65" i="28"/>
  <c r="Q65" i="28" s="1"/>
  <c r="K52" i="28"/>
  <c r="K44" i="28"/>
  <c r="K45" i="28"/>
  <c r="Q45" i="28" s="1"/>
  <c r="K55" i="28"/>
  <c r="Q55" i="28" s="1"/>
  <c r="K48" i="28"/>
  <c r="Q48" i="28" s="1"/>
  <c r="K40" i="28"/>
  <c r="Q40" i="28" s="1"/>
  <c r="K41" i="28"/>
  <c r="K13" i="28"/>
  <c r="K16" i="28"/>
  <c r="K12" i="28"/>
  <c r="K79" i="28"/>
  <c r="K66" i="28"/>
  <c r="K53" i="28"/>
  <c r="Q53" i="28" s="1"/>
  <c r="K54" i="28"/>
  <c r="Q54" i="28" s="1"/>
  <c r="K69" i="28"/>
  <c r="Q69" i="28" s="1"/>
  <c r="K56" i="28"/>
  <c r="Q56" i="28" s="1"/>
  <c r="K49" i="28"/>
  <c r="Q49" i="28" s="1"/>
  <c r="K50" i="28"/>
  <c r="Q50" i="28" s="1"/>
  <c r="K9" i="28"/>
  <c r="K32" i="28"/>
  <c r="K22" i="28"/>
  <c r="K42" i="28"/>
  <c r="K35" i="28"/>
  <c r="K26" i="28"/>
  <c r="Q26" i="28" s="1"/>
  <c r="K87" i="28"/>
  <c r="Q87" i="28" s="1"/>
  <c r="K80" i="28"/>
  <c r="Q80" i="28" s="1"/>
  <c r="K67" i="28"/>
  <c r="Q67" i="28" s="1"/>
  <c r="K68" i="28"/>
  <c r="K83" i="28"/>
  <c r="K70" i="28"/>
  <c r="Q70" i="28" s="1"/>
  <c r="K57" i="28"/>
  <c r="Q57" i="28" s="1"/>
  <c r="K64" i="28"/>
  <c r="Q64" i="28" s="1"/>
  <c r="K14" i="28"/>
  <c r="K21" i="28"/>
  <c r="Q9" i="28"/>
  <c r="K89" i="28"/>
  <c r="K81" i="28"/>
  <c r="Q81" i="28" s="1"/>
  <c r="K82" i="28"/>
  <c r="K84" i="28"/>
  <c r="K77" i="28"/>
  <c r="Q77" i="28" s="1"/>
  <c r="K78" i="28"/>
  <c r="Q78" i="28" s="1"/>
  <c r="K91" i="28"/>
  <c r="K85" i="28"/>
  <c r="K86" i="28"/>
  <c r="K46" i="28"/>
  <c r="Q46" i="28" s="1"/>
  <c r="L72" i="33"/>
  <c r="L71" i="33"/>
  <c r="L73" i="33"/>
  <c r="P71" i="28"/>
  <c r="M83" i="26"/>
  <c r="I32" i="32"/>
  <c r="K32" i="32"/>
  <c r="J10" i="26"/>
  <c r="K10" i="26" s="1"/>
  <c r="M31" i="32"/>
  <c r="I31" i="32"/>
  <c r="E13" i="26"/>
  <c r="C14" i="26"/>
  <c r="F14" i="26" s="1"/>
  <c r="B1705" i="11"/>
  <c r="C1704" i="11"/>
  <c r="D1704" i="11"/>
  <c r="E1704" i="11"/>
  <c r="E2014" i="11" s="1"/>
  <c r="B2581" i="11"/>
  <c r="C2580" i="11"/>
  <c r="D2580" i="11"/>
  <c r="E2580" i="11"/>
  <c r="B2015" i="11"/>
  <c r="C2014" i="11"/>
  <c r="D2014" i="11"/>
  <c r="B2685" i="11"/>
  <c r="C2684" i="11"/>
  <c r="D2684" i="11"/>
  <c r="E2684" i="11"/>
  <c r="E1055" i="11"/>
  <c r="C1055" i="11"/>
  <c r="B1056" i="11"/>
  <c r="D1055" i="11"/>
  <c r="D747" i="11"/>
  <c r="B748" i="11"/>
  <c r="C747" i="11"/>
  <c r="E747" i="11"/>
  <c r="C2168" i="11"/>
  <c r="D2168" i="11"/>
  <c r="E2168" i="11"/>
  <c r="B2169" i="11"/>
  <c r="D43" i="11"/>
  <c r="E43" i="11"/>
  <c r="B44" i="11"/>
  <c r="C43" i="11"/>
  <c r="B1160" i="11"/>
  <c r="C1159" i="11"/>
  <c r="D1159" i="11"/>
  <c r="E1159" i="11"/>
  <c r="D1482" i="11"/>
  <c r="E1482" i="11"/>
  <c r="B1483" i="11"/>
  <c r="C1482" i="11"/>
  <c r="C2479" i="11"/>
  <c r="D2479" i="11"/>
  <c r="B2480" i="11"/>
  <c r="E2479" i="11"/>
  <c r="E2374" i="11"/>
  <c r="B2375" i="11"/>
  <c r="C2374" i="11"/>
  <c r="D2374" i="11"/>
  <c r="D1262" i="11"/>
  <c r="B1263" i="11"/>
  <c r="C1262" i="11"/>
  <c r="E1262" i="11"/>
  <c r="C340" i="11"/>
  <c r="D340" i="11"/>
  <c r="B341" i="11"/>
  <c r="C1602" i="11"/>
  <c r="D1602" i="11"/>
  <c r="E1602" i="11"/>
  <c r="B1603" i="11"/>
  <c r="E1911" i="11"/>
  <c r="B1912" i="11"/>
  <c r="C1911" i="11"/>
  <c r="D1911" i="11"/>
  <c r="C438" i="11"/>
  <c r="D438" i="11"/>
  <c r="B439" i="11"/>
  <c r="D240" i="11"/>
  <c r="C240" i="11"/>
  <c r="B241" i="11"/>
  <c r="E1365" i="11"/>
  <c r="B1366" i="11"/>
  <c r="C1365" i="11"/>
  <c r="D1365" i="11"/>
  <c r="C953" i="11"/>
  <c r="E953" i="11"/>
  <c r="B954" i="11"/>
  <c r="D953" i="11"/>
  <c r="D2993" i="11"/>
  <c r="E2993" i="11"/>
  <c r="B2994" i="11"/>
  <c r="C2993" i="11"/>
  <c r="B2272" i="11"/>
  <c r="C2271" i="11"/>
  <c r="D2271" i="11"/>
  <c r="E2271" i="11"/>
  <c r="D142" i="11"/>
  <c r="B143" i="11"/>
  <c r="C142" i="11"/>
  <c r="D1808" i="11"/>
  <c r="C1808" i="11"/>
  <c r="E1808" i="11"/>
  <c r="B1809" i="11"/>
  <c r="D541" i="11"/>
  <c r="E541" i="11"/>
  <c r="B542" i="11"/>
  <c r="C541" i="11"/>
  <c r="D644" i="11"/>
  <c r="B645" i="11"/>
  <c r="C644" i="11"/>
  <c r="E644" i="11"/>
  <c r="D13" i="26"/>
  <c r="R24" i="33"/>
  <c r="L77" i="33"/>
  <c r="L22" i="33"/>
  <c r="L28" i="33"/>
  <c r="L26" i="33"/>
  <c r="L78" i="33"/>
  <c r="L24" i="33"/>
  <c r="L21" i="33"/>
  <c r="L46" i="33"/>
  <c r="L70" i="33"/>
  <c r="L50" i="33"/>
  <c r="L81" i="33"/>
  <c r="L79" i="33"/>
  <c r="L82" i="33"/>
  <c r="L54" i="33"/>
  <c r="L53" i="33"/>
  <c r="L84" i="33"/>
  <c r="L89" i="33"/>
  <c r="L80" i="33"/>
  <c r="L65" i="33"/>
  <c r="L45" i="33"/>
  <c r="L49" i="33"/>
  <c r="L35" i="33"/>
  <c r="L69" i="33"/>
  <c r="L86" i="33"/>
  <c r="L64" i="33"/>
  <c r="L87" i="33"/>
  <c r="L85" i="33"/>
  <c r="L67" i="33"/>
  <c r="L38" i="33"/>
  <c r="L66" i="33"/>
  <c r="L40" i="33"/>
  <c r="L68" i="33"/>
  <c r="L55" i="33"/>
  <c r="L43" i="33"/>
  <c r="L91" i="33"/>
  <c r="L41" i="33"/>
  <c r="L44" i="33"/>
  <c r="L83" i="33"/>
  <c r="L30" i="33"/>
  <c r="L42" i="33"/>
  <c r="L48" i="33"/>
  <c r="L57" i="33"/>
  <c r="L37" i="33"/>
  <c r="L51" i="33"/>
  <c r="L56" i="33"/>
  <c r="L39" i="33"/>
  <c r="L52" i="33"/>
  <c r="L36" i="33"/>
  <c r="L95" i="33"/>
  <c r="L34" i="33"/>
  <c r="L63" i="33"/>
  <c r="L20" i="33"/>
  <c r="L88" i="33"/>
  <c r="K61" i="33"/>
  <c r="L76" i="33"/>
  <c r="L58" i="33"/>
  <c r="L59" i="33"/>
  <c r="R107" i="33"/>
  <c r="L101" i="33"/>
  <c r="L116" i="33"/>
  <c r="L102" i="33"/>
  <c r="L117" i="33"/>
  <c r="L99" i="33"/>
  <c r="L112" i="33"/>
  <c r="L100" i="33"/>
  <c r="L110" i="33"/>
  <c r="L128" i="33"/>
  <c r="L106" i="33"/>
  <c r="L121" i="33"/>
  <c r="L107" i="33"/>
  <c r="L118" i="33"/>
  <c r="L108" i="33"/>
  <c r="L119" i="33"/>
  <c r="L105" i="33"/>
  <c r="L113" i="33"/>
  <c r="L103" i="33"/>
  <c r="L111" i="33"/>
  <c r="L123" i="33"/>
  <c r="L125" i="33"/>
  <c r="L114" i="33"/>
  <c r="L126" i="33"/>
  <c r="K109" i="33"/>
  <c r="L18" i="33"/>
  <c r="L104" i="33"/>
  <c r="L120" i="33"/>
  <c r="M32" i="32"/>
  <c r="E33" i="32"/>
  <c r="D33" i="32"/>
  <c r="F33" i="32"/>
  <c r="C34" i="32"/>
  <c r="J33" i="32"/>
  <c r="H33" i="32"/>
  <c r="M9" i="26"/>
  <c r="P128" i="28"/>
  <c r="P57" i="28"/>
  <c r="P28" i="28"/>
  <c r="P36" i="28"/>
  <c r="P49" i="28"/>
  <c r="P68" i="28"/>
  <c r="P53" i="28"/>
  <c r="P64" i="28"/>
  <c r="P78" i="28"/>
  <c r="P22" i="28"/>
  <c r="P32" i="28"/>
  <c r="P65" i="28"/>
  <c r="P84" i="28"/>
  <c r="P79" i="28"/>
  <c r="P21" i="28"/>
  <c r="P50" i="28"/>
  <c r="P35" i="28"/>
  <c r="P51" i="28"/>
  <c r="P54" i="28"/>
  <c r="P39" i="28"/>
  <c r="P52" i="28"/>
  <c r="P85" i="28"/>
  <c r="P45" i="28"/>
  <c r="P66" i="28"/>
  <c r="P56" i="28"/>
  <c r="P67" i="28"/>
  <c r="P69" i="28"/>
  <c r="P82" i="28"/>
  <c r="P44" i="28"/>
  <c r="P91" i="28"/>
  <c r="P48" i="28"/>
  <c r="P46" i="28"/>
  <c r="P77" i="28"/>
  <c r="P89" i="28"/>
  <c r="P40" i="28"/>
  <c r="P70" i="28"/>
  <c r="P83" i="28"/>
  <c r="P30" i="28"/>
  <c r="P37" i="28"/>
  <c r="P43" i="28"/>
  <c r="P41" i="28"/>
  <c r="P86" i="28"/>
  <c r="P80" i="28"/>
  <c r="P26" i="28"/>
  <c r="P38" i="28"/>
  <c r="P55" i="28"/>
  <c r="P42" i="28"/>
  <c r="P87" i="28"/>
  <c r="P81" i="28"/>
  <c r="G76" i="28"/>
  <c r="P31" i="28"/>
  <c r="G59" i="28"/>
  <c r="I118" i="28"/>
  <c r="I110" i="28"/>
  <c r="I99" i="28"/>
  <c r="I117" i="28"/>
  <c r="I126" i="28"/>
  <c r="I123" i="28"/>
  <c r="I125" i="28"/>
  <c r="I116" i="28"/>
  <c r="I108" i="28"/>
  <c r="I121" i="28"/>
  <c r="I113" i="28"/>
  <c r="I105" i="28"/>
  <c r="I112" i="28"/>
  <c r="I119" i="28"/>
  <c r="I106" i="28"/>
  <c r="L12" i="26"/>
  <c r="J12" i="26"/>
  <c r="J13" i="26"/>
  <c r="J9" i="26"/>
  <c r="J11" i="26"/>
  <c r="I63" i="28"/>
  <c r="I58" i="28"/>
  <c r="I95" i="28"/>
  <c r="R9" i="28" l="1"/>
  <c r="M46" i="28"/>
  <c r="R46" i="28" s="1"/>
  <c r="M24" i="28"/>
  <c r="B3086" i="11"/>
  <c r="E3086" i="11" s="1"/>
  <c r="C3085" i="11"/>
  <c r="D3085" i="11"/>
  <c r="B2908" i="11"/>
  <c r="E2908" i="11" s="1"/>
  <c r="E2907" i="11"/>
  <c r="C2907" i="11"/>
  <c r="D2907" i="11"/>
  <c r="E2804" i="11"/>
  <c r="D2804" i="11"/>
  <c r="B2805" i="11"/>
  <c r="C2804" i="11"/>
  <c r="K88" i="28"/>
  <c r="Q88" i="28" s="1"/>
  <c r="K34" i="28"/>
  <c r="Q34" i="28" s="1"/>
  <c r="Q15" i="28"/>
  <c r="K128" i="28"/>
  <c r="K121" i="28"/>
  <c r="Q121" i="28" s="1"/>
  <c r="Q12" i="28"/>
  <c r="M73" i="28"/>
  <c r="M72" i="28"/>
  <c r="M71" i="28"/>
  <c r="M91" i="28"/>
  <c r="M86" i="28"/>
  <c r="R86" i="28" s="1"/>
  <c r="M80" i="28"/>
  <c r="R80" i="28" s="1"/>
  <c r="M56" i="28"/>
  <c r="R56" i="28" s="1"/>
  <c r="M68" i="28"/>
  <c r="R68" i="28" s="1"/>
  <c r="M15" i="28"/>
  <c r="R15" i="28" s="1"/>
  <c r="M42" i="28"/>
  <c r="R42" i="28" s="1"/>
  <c r="M26" i="28"/>
  <c r="R26" i="28" s="1"/>
  <c r="M14" i="28"/>
  <c r="R14" i="28" s="1"/>
  <c r="M67" i="28"/>
  <c r="R67" i="28" s="1"/>
  <c r="M41" i="28"/>
  <c r="R41" i="28" s="1"/>
  <c r="M38" i="28"/>
  <c r="R38" i="28" s="1"/>
  <c r="M89" i="28"/>
  <c r="R89" i="28" s="1"/>
  <c r="M78" i="28"/>
  <c r="R78" i="28" s="1"/>
  <c r="M9" i="28"/>
  <c r="M48" i="28"/>
  <c r="R48" i="28" s="1"/>
  <c r="M53" i="28"/>
  <c r="R53" i="28" s="1"/>
  <c r="M85" i="28"/>
  <c r="R85" i="28" s="1"/>
  <c r="M66" i="28"/>
  <c r="R66" i="28" s="1"/>
  <c r="M70" i="28"/>
  <c r="R70" i="28" s="1"/>
  <c r="M16" i="28"/>
  <c r="R16" i="28" s="1"/>
  <c r="M87" i="28"/>
  <c r="R87" i="28" s="1"/>
  <c r="M82" i="28"/>
  <c r="R82" i="28" s="1"/>
  <c r="M64" i="28"/>
  <c r="R64" i="28" s="1"/>
  <c r="M54" i="28"/>
  <c r="R54" i="28" s="1"/>
  <c r="M40" i="28"/>
  <c r="R40" i="28" s="1"/>
  <c r="M31" i="28"/>
  <c r="M43" i="28"/>
  <c r="R43" i="28" s="1"/>
  <c r="M36" i="28"/>
  <c r="R36" i="28" s="1"/>
  <c r="M37" i="28"/>
  <c r="R37" i="28" s="1"/>
  <c r="M79" i="28"/>
  <c r="R79" i="28" s="1"/>
  <c r="M81" i="28"/>
  <c r="R81" i="28" s="1"/>
  <c r="M49" i="28"/>
  <c r="R49" i="28" s="1"/>
  <c r="M44" i="28"/>
  <c r="R44" i="28" s="1"/>
  <c r="M45" i="28"/>
  <c r="R45" i="28" s="1"/>
  <c r="M77" i="28"/>
  <c r="R77" i="28" s="1"/>
  <c r="M51" i="28"/>
  <c r="R51" i="28" s="1"/>
  <c r="M55" i="28"/>
  <c r="R55" i="28" s="1"/>
  <c r="M84" i="28"/>
  <c r="R84" i="28" s="1"/>
  <c r="M65" i="28"/>
  <c r="R65" i="28" s="1"/>
  <c r="M52" i="28"/>
  <c r="R52" i="28" s="1"/>
  <c r="M28" i="28"/>
  <c r="R28" i="28" s="1"/>
  <c r="M21" i="28"/>
  <c r="R21" i="28" s="1"/>
  <c r="M13" i="28"/>
  <c r="R13" i="28" s="1"/>
  <c r="M12" i="28"/>
  <c r="R12" i="28" s="1"/>
  <c r="M83" i="28"/>
  <c r="R83" i="28" s="1"/>
  <c r="M50" i="28"/>
  <c r="R50" i="28" s="1"/>
  <c r="M69" i="28"/>
  <c r="R69" i="28" s="1"/>
  <c r="M39" i="28"/>
  <c r="R39" i="28" s="1"/>
  <c r="M30" i="28"/>
  <c r="R30" i="28" s="1"/>
  <c r="M32" i="28"/>
  <c r="R32" i="28" s="1"/>
  <c r="M35" i="28"/>
  <c r="R35" i="28" s="1"/>
  <c r="M22" i="28"/>
  <c r="R22" i="28" s="1"/>
  <c r="Q14" i="28"/>
  <c r="Q16" i="28"/>
  <c r="K20" i="28"/>
  <c r="Q13" i="28"/>
  <c r="Q71" i="28"/>
  <c r="D14" i="26"/>
  <c r="H14" i="26"/>
  <c r="L14" i="26" s="1"/>
  <c r="J14" i="26"/>
  <c r="E14" i="26"/>
  <c r="C15" i="26"/>
  <c r="J15" i="26" s="1"/>
  <c r="K11" i="26"/>
  <c r="I33" i="32"/>
  <c r="K33" i="32"/>
  <c r="M13" i="26"/>
  <c r="K13" i="26"/>
  <c r="M12" i="26"/>
  <c r="K12" i="26"/>
  <c r="B2582" i="11"/>
  <c r="C2581" i="11"/>
  <c r="E2581" i="11"/>
  <c r="D2581" i="11"/>
  <c r="B2016" i="11"/>
  <c r="D2015" i="11"/>
  <c r="C2015" i="11"/>
  <c r="E1705" i="11"/>
  <c r="E2015" i="11" s="1"/>
  <c r="D1705" i="11"/>
  <c r="C1705" i="11"/>
  <c r="B1706" i="11"/>
  <c r="C2994" i="11"/>
  <c r="D2994" i="11"/>
  <c r="E2994" i="11"/>
  <c r="B2995" i="11"/>
  <c r="C954" i="11"/>
  <c r="E954" i="11"/>
  <c r="D954" i="11"/>
  <c r="B955" i="11"/>
  <c r="D2169" i="11"/>
  <c r="E2169" i="11"/>
  <c r="B2170" i="11"/>
  <c r="C2169" i="11"/>
  <c r="C542" i="11"/>
  <c r="D542" i="11"/>
  <c r="E542" i="11"/>
  <c r="B543" i="11"/>
  <c r="C143" i="11"/>
  <c r="D143" i="11"/>
  <c r="B144" i="11"/>
  <c r="C341" i="11"/>
  <c r="D341" i="11"/>
  <c r="B342" i="11"/>
  <c r="C1056" i="11"/>
  <c r="E1056" i="11"/>
  <c r="D1056" i="11"/>
  <c r="B1057" i="11"/>
  <c r="D2375" i="11"/>
  <c r="C2375" i="11"/>
  <c r="E2375" i="11"/>
  <c r="B2376" i="11"/>
  <c r="C1912" i="11"/>
  <c r="D1912" i="11"/>
  <c r="E1912" i="11"/>
  <c r="B1913" i="11"/>
  <c r="C1160" i="11"/>
  <c r="D1160" i="11"/>
  <c r="E1160" i="11"/>
  <c r="B1161" i="11"/>
  <c r="C1366" i="11"/>
  <c r="D1366" i="11"/>
  <c r="E1366" i="11"/>
  <c r="B1367" i="11"/>
  <c r="C1603" i="11"/>
  <c r="D1603" i="11"/>
  <c r="E1603" i="11"/>
  <c r="B1604" i="11"/>
  <c r="C1483" i="11"/>
  <c r="D1483" i="11"/>
  <c r="E1483" i="11"/>
  <c r="B1484" i="11"/>
  <c r="C44" i="11"/>
  <c r="D44" i="11"/>
  <c r="E44" i="11"/>
  <c r="B45" i="11"/>
  <c r="B440" i="11"/>
  <c r="C439" i="11"/>
  <c r="D439" i="11"/>
  <c r="B749" i="11"/>
  <c r="C748" i="11"/>
  <c r="D748" i="11"/>
  <c r="E748" i="11"/>
  <c r="D1809" i="11"/>
  <c r="B1810" i="11"/>
  <c r="C1809" i="11"/>
  <c r="E1809" i="11"/>
  <c r="D645" i="11"/>
  <c r="B646" i="11"/>
  <c r="C645" i="11"/>
  <c r="E645" i="11"/>
  <c r="E2272" i="11"/>
  <c r="B2273" i="11"/>
  <c r="D2272" i="11"/>
  <c r="C2272" i="11"/>
  <c r="C1263" i="11"/>
  <c r="B1264" i="11"/>
  <c r="E1263" i="11"/>
  <c r="D1263" i="11"/>
  <c r="C2480" i="11"/>
  <c r="D2480" i="11"/>
  <c r="B2481" i="11"/>
  <c r="E2480" i="11"/>
  <c r="C241" i="11"/>
  <c r="D241" i="11"/>
  <c r="B242" i="11"/>
  <c r="C2685" i="11"/>
  <c r="D2685" i="11"/>
  <c r="E2685" i="11"/>
  <c r="B2686" i="11"/>
  <c r="R61" i="33"/>
  <c r="L61" i="33"/>
  <c r="K93" i="33"/>
  <c r="K115" i="33"/>
  <c r="R109" i="33"/>
  <c r="L109" i="33"/>
  <c r="L33" i="32"/>
  <c r="J34" i="32"/>
  <c r="C35" i="32"/>
  <c r="E34" i="32"/>
  <c r="D34" i="32"/>
  <c r="H34" i="32"/>
  <c r="M33" i="32"/>
  <c r="P112" i="28"/>
  <c r="P108" i="28"/>
  <c r="P110" i="28"/>
  <c r="P116" i="28"/>
  <c r="P105" i="28"/>
  <c r="P125" i="28"/>
  <c r="P118" i="28"/>
  <c r="P106" i="28"/>
  <c r="P113" i="28"/>
  <c r="P123" i="28"/>
  <c r="P121" i="28"/>
  <c r="P126" i="28"/>
  <c r="P119" i="28"/>
  <c r="P117" i="28"/>
  <c r="Q36" i="28"/>
  <c r="Q21" i="28"/>
  <c r="Q44" i="28"/>
  <c r="Q31" i="28"/>
  <c r="Q86" i="28"/>
  <c r="Q89" i="28"/>
  <c r="Q91" i="28"/>
  <c r="Q32" i="28"/>
  <c r="P34" i="28"/>
  <c r="Q85" i="28"/>
  <c r="Q51" i="28"/>
  <c r="Q79" i="28"/>
  <c r="Q42" i="28"/>
  <c r="Q41" i="28"/>
  <c r="Q83" i="28"/>
  <c r="Q22" i="28"/>
  <c r="Q68" i="28"/>
  <c r="Q82" i="28"/>
  <c r="Q66" i="28"/>
  <c r="Q52" i="28"/>
  <c r="Q35" i="28"/>
  <c r="Q84" i="28"/>
  <c r="P88" i="28"/>
  <c r="P63" i="28"/>
  <c r="P58" i="28"/>
  <c r="P95" i="28"/>
  <c r="K123" i="28"/>
  <c r="Q123" i="28" s="1"/>
  <c r="K106" i="28"/>
  <c r="Q106" i="28" s="1"/>
  <c r="K105" i="28"/>
  <c r="Q105" i="28" s="1"/>
  <c r="K113" i="28"/>
  <c r="K112" i="28"/>
  <c r="Q112" i="28" s="1"/>
  <c r="K119" i="28"/>
  <c r="Q119" i="28" s="1"/>
  <c r="K111" i="28"/>
  <c r="K103" i="28"/>
  <c r="K126" i="28"/>
  <c r="K117" i="28"/>
  <c r="Q117" i="28" s="1"/>
  <c r="K101" i="28"/>
  <c r="K125" i="28"/>
  <c r="K116" i="28"/>
  <c r="Q116" i="28" s="1"/>
  <c r="K108" i="28"/>
  <c r="K100" i="28"/>
  <c r="K99" i="28"/>
  <c r="K118" i="28"/>
  <c r="Q118" i="28" s="1"/>
  <c r="K110" i="28"/>
  <c r="K102" i="28"/>
  <c r="G101" i="28"/>
  <c r="G100" i="28"/>
  <c r="G99" i="28"/>
  <c r="G103" i="28"/>
  <c r="G102" i="28"/>
  <c r="I76" i="28"/>
  <c r="I59" i="28"/>
  <c r="M57" i="28"/>
  <c r="R57" i="28" s="1"/>
  <c r="K95" i="28"/>
  <c r="Q95" i="28" s="1"/>
  <c r="K63" i="28"/>
  <c r="Q63" i="28" s="1"/>
  <c r="K58" i="28"/>
  <c r="N71" i="28" l="1"/>
  <c r="N72" i="28"/>
  <c r="N73" i="28"/>
  <c r="B3087" i="11"/>
  <c r="D3086" i="11"/>
  <c r="C3086" i="11"/>
  <c r="D2908" i="11"/>
  <c r="C2908" i="11"/>
  <c r="B2909" i="11"/>
  <c r="E2909" i="11" s="1"/>
  <c r="E2805" i="11"/>
  <c r="C2805" i="11"/>
  <c r="B2806" i="11"/>
  <c r="D2805" i="11"/>
  <c r="R73" i="28"/>
  <c r="R72" i="28"/>
  <c r="M129" i="28"/>
  <c r="M128" i="28"/>
  <c r="R128" i="28" s="1"/>
  <c r="R71" i="28"/>
  <c r="E15" i="26"/>
  <c r="D15" i="26"/>
  <c r="K15" i="26" s="1"/>
  <c r="F15" i="26"/>
  <c r="M34" i="28"/>
  <c r="M59" i="28" s="1"/>
  <c r="N59" i="28" s="1"/>
  <c r="C16" i="26"/>
  <c r="J16" i="26" s="1"/>
  <c r="M20" i="28"/>
  <c r="R20" i="28" s="1"/>
  <c r="Q128" i="28"/>
  <c r="H15" i="26"/>
  <c r="M15" i="26" s="1"/>
  <c r="K14" i="26"/>
  <c r="M14" i="26"/>
  <c r="I34" i="32"/>
  <c r="K34" i="32"/>
  <c r="B2017" i="11"/>
  <c r="C2016" i="11"/>
  <c r="D2016" i="11"/>
  <c r="E1706" i="11"/>
  <c r="E2016" i="11" s="1"/>
  <c r="D1706" i="11"/>
  <c r="C1706" i="11"/>
  <c r="B1707" i="11"/>
  <c r="E2582" i="11"/>
  <c r="B2583" i="11"/>
  <c r="C2582" i="11"/>
  <c r="D2582" i="11"/>
  <c r="D543" i="11"/>
  <c r="B544" i="11"/>
  <c r="C543" i="11"/>
  <c r="E543" i="11"/>
  <c r="C955" i="11"/>
  <c r="E955" i="11"/>
  <c r="D955" i="11"/>
  <c r="B956" i="11"/>
  <c r="D242" i="11"/>
  <c r="C242" i="11"/>
  <c r="B243" i="11"/>
  <c r="D1264" i="11"/>
  <c r="B1265" i="11"/>
  <c r="C1264" i="11"/>
  <c r="E1264" i="11"/>
  <c r="D646" i="11"/>
  <c r="B647" i="11"/>
  <c r="C646" i="11"/>
  <c r="E646" i="11"/>
  <c r="E1913" i="11"/>
  <c r="B1914" i="11"/>
  <c r="C1913" i="11"/>
  <c r="D1913" i="11"/>
  <c r="B2377" i="11"/>
  <c r="C2376" i="11"/>
  <c r="D2376" i="11"/>
  <c r="E2376" i="11"/>
  <c r="D342" i="11"/>
  <c r="B343" i="11"/>
  <c r="C342" i="11"/>
  <c r="B2687" i="11"/>
  <c r="C2686" i="11"/>
  <c r="D2686" i="11"/>
  <c r="E2686" i="11"/>
  <c r="C2481" i="11"/>
  <c r="D2481" i="11"/>
  <c r="B2482" i="11"/>
  <c r="E2481" i="11"/>
  <c r="D2995" i="11"/>
  <c r="E2995" i="11"/>
  <c r="B2996" i="11"/>
  <c r="C2995" i="11"/>
  <c r="D749" i="11"/>
  <c r="C749" i="11"/>
  <c r="B750" i="11"/>
  <c r="E749" i="11"/>
  <c r="B1162" i="11"/>
  <c r="C1161" i="11"/>
  <c r="D1161" i="11"/>
  <c r="E1161" i="11"/>
  <c r="B2274" i="11"/>
  <c r="C2273" i="11"/>
  <c r="D2273" i="11"/>
  <c r="E2273" i="11"/>
  <c r="D1810" i="11"/>
  <c r="E1810" i="11"/>
  <c r="B1811" i="11"/>
  <c r="C1810" i="11"/>
  <c r="C440" i="11"/>
  <c r="D440" i="11"/>
  <c r="B441" i="11"/>
  <c r="D144" i="11"/>
  <c r="C144" i="11"/>
  <c r="B145" i="11"/>
  <c r="C2170" i="11"/>
  <c r="D2170" i="11"/>
  <c r="E2170" i="11"/>
  <c r="B2171" i="11"/>
  <c r="D1484" i="11"/>
  <c r="E1484" i="11"/>
  <c r="B1485" i="11"/>
  <c r="C1484" i="11"/>
  <c r="D45" i="11"/>
  <c r="E45" i="11"/>
  <c r="B46" i="11"/>
  <c r="C45" i="11"/>
  <c r="C1604" i="11"/>
  <c r="D1604" i="11"/>
  <c r="E1604" i="11"/>
  <c r="B1605" i="11"/>
  <c r="E1367" i="11"/>
  <c r="B1368" i="11"/>
  <c r="C1367" i="11"/>
  <c r="D1367" i="11"/>
  <c r="C1057" i="11"/>
  <c r="D1057" i="11"/>
  <c r="E1057" i="11"/>
  <c r="B1058" i="11"/>
  <c r="R115" i="33"/>
  <c r="K122" i="33"/>
  <c r="L115" i="33"/>
  <c r="K124" i="33"/>
  <c r="R93" i="33"/>
  <c r="L93" i="33"/>
  <c r="M34" i="32"/>
  <c r="C36" i="32"/>
  <c r="D35" i="32"/>
  <c r="J35" i="32"/>
  <c r="H35" i="32"/>
  <c r="E35" i="32"/>
  <c r="R91" i="28"/>
  <c r="M88" i="28"/>
  <c r="N88" i="28" s="1"/>
  <c r="Q101" i="28"/>
  <c r="Q100" i="28"/>
  <c r="Q102" i="28"/>
  <c r="Q103" i="28"/>
  <c r="Q110" i="28"/>
  <c r="Q99" i="28"/>
  <c r="Q126" i="28"/>
  <c r="Q113" i="28"/>
  <c r="Q125" i="28"/>
  <c r="Q108" i="28"/>
  <c r="Q58" i="28"/>
  <c r="K59" i="28"/>
  <c r="P59" i="28"/>
  <c r="Q20" i="28"/>
  <c r="R31" i="28"/>
  <c r="P101" i="28"/>
  <c r="P102" i="28"/>
  <c r="P103" i="28"/>
  <c r="P76" i="28"/>
  <c r="P99" i="28"/>
  <c r="P100" i="28"/>
  <c r="N41" i="28"/>
  <c r="M119" i="28"/>
  <c r="R119" i="28" s="1"/>
  <c r="M111" i="28"/>
  <c r="R111" i="28" s="1"/>
  <c r="M103" i="28"/>
  <c r="R103" i="28" s="1"/>
  <c r="M118" i="28"/>
  <c r="R118" i="28" s="1"/>
  <c r="M127" i="28"/>
  <c r="M110" i="28"/>
  <c r="R110" i="28" s="1"/>
  <c r="M102" i="28"/>
  <c r="R102" i="28" s="1"/>
  <c r="M115" i="28"/>
  <c r="M126" i="28"/>
  <c r="R126" i="28" s="1"/>
  <c r="M117" i="28"/>
  <c r="R117" i="28" s="1"/>
  <c r="M109" i="28"/>
  <c r="M101" i="28"/>
  <c r="R101" i="28" s="1"/>
  <c r="M125" i="28"/>
  <c r="R125" i="28" s="1"/>
  <c r="M116" i="28"/>
  <c r="R116" i="28" s="1"/>
  <c r="M108" i="28"/>
  <c r="R108" i="28" s="1"/>
  <c r="M100" i="28"/>
  <c r="R100" i="28" s="1"/>
  <c r="M123" i="28"/>
  <c r="R123" i="28" s="1"/>
  <c r="M114" i="28"/>
  <c r="M106" i="28"/>
  <c r="R106" i="28" s="1"/>
  <c r="M121" i="28"/>
  <c r="R121" i="28" s="1"/>
  <c r="M113" i="28"/>
  <c r="R113" i="28" s="1"/>
  <c r="M105" i="28"/>
  <c r="R105" i="28" s="1"/>
  <c r="M99" i="28"/>
  <c r="R99" i="28" s="1"/>
  <c r="M120" i="28"/>
  <c r="M112" i="28"/>
  <c r="R112" i="28" s="1"/>
  <c r="M104" i="28"/>
  <c r="M124" i="28"/>
  <c r="M107" i="28"/>
  <c r="N83" i="28"/>
  <c r="N44" i="28"/>
  <c r="N55" i="28"/>
  <c r="N79" i="28"/>
  <c r="N42" i="28"/>
  <c r="N43" i="28"/>
  <c r="N53" i="28"/>
  <c r="N85" i="28"/>
  <c r="K76" i="28"/>
  <c r="Q76" i="28" s="1"/>
  <c r="N52" i="28"/>
  <c r="N49" i="28"/>
  <c r="N68" i="28"/>
  <c r="N46" i="28"/>
  <c r="N78" i="28"/>
  <c r="N39" i="28"/>
  <c r="N18" i="28"/>
  <c r="N21" i="28"/>
  <c r="N38" i="28"/>
  <c r="N51" i="28"/>
  <c r="N82" i="28"/>
  <c r="N89" i="28"/>
  <c r="N24" i="28"/>
  <c r="N40" i="28"/>
  <c r="N54" i="28"/>
  <c r="N50" i="28"/>
  <c r="N65" i="28"/>
  <c r="N36" i="28"/>
  <c r="N56" i="28"/>
  <c r="N57" i="28"/>
  <c r="N69" i="28"/>
  <c r="N66" i="28"/>
  <c r="N77" i="28"/>
  <c r="M95" i="28"/>
  <c r="N95" i="28" s="1"/>
  <c r="N26" i="28"/>
  <c r="N30" i="28"/>
  <c r="N80" i="28"/>
  <c r="N70" i="28"/>
  <c r="N86" i="28"/>
  <c r="N22" i="28"/>
  <c r="N64" i="28"/>
  <c r="M63" i="28"/>
  <c r="N63" i="28" s="1"/>
  <c r="N28" i="28"/>
  <c r="N37" i="28"/>
  <c r="N81" i="28"/>
  <c r="N91" i="28"/>
  <c r="N87" i="28"/>
  <c r="N45" i="28"/>
  <c r="N35" i="28"/>
  <c r="N48" i="28"/>
  <c r="M58" i="28"/>
  <c r="N58" i="28" s="1"/>
  <c r="N67" i="28"/>
  <c r="N84" i="28"/>
  <c r="E3087" i="11" l="1"/>
  <c r="B3088" i="11"/>
  <c r="B3089" i="11" s="1"/>
  <c r="B3090" i="11" s="1"/>
  <c r="C3087" i="11"/>
  <c r="D3087" i="11"/>
  <c r="D2909" i="11"/>
  <c r="C2909" i="11"/>
  <c r="B2910" i="11"/>
  <c r="E2910" i="11" s="1"/>
  <c r="E2806" i="11"/>
  <c r="C2806" i="11"/>
  <c r="D2806" i="11"/>
  <c r="B2807" i="11"/>
  <c r="L15" i="26"/>
  <c r="D16" i="26"/>
  <c r="K16" i="26" s="1"/>
  <c r="E16" i="26"/>
  <c r="C17" i="26"/>
  <c r="J17" i="26" s="1"/>
  <c r="H16" i="26"/>
  <c r="M16" i="26" s="1"/>
  <c r="F16" i="26"/>
  <c r="K35" i="32"/>
  <c r="I35" i="32"/>
  <c r="E1707" i="11"/>
  <c r="E2017" i="11" s="1"/>
  <c r="B1708" i="11"/>
  <c r="C1707" i="11"/>
  <c r="D1707" i="11"/>
  <c r="D2583" i="11"/>
  <c r="C2583" i="11"/>
  <c r="E2583" i="11"/>
  <c r="B2584" i="11"/>
  <c r="B2018" i="11"/>
  <c r="C2017" i="11"/>
  <c r="D2017" i="11"/>
  <c r="C46" i="11"/>
  <c r="D46" i="11"/>
  <c r="E46" i="11"/>
  <c r="B47" i="11"/>
  <c r="C1485" i="11"/>
  <c r="D1485" i="11"/>
  <c r="E1485" i="11"/>
  <c r="B1486" i="11"/>
  <c r="E2274" i="11"/>
  <c r="B2275" i="11"/>
  <c r="C2274" i="11"/>
  <c r="D2274" i="11"/>
  <c r="D2377" i="11"/>
  <c r="C2377" i="11"/>
  <c r="E2377" i="11"/>
  <c r="B2378" i="11"/>
  <c r="C956" i="11"/>
  <c r="E956" i="11"/>
  <c r="D956" i="11"/>
  <c r="B957" i="11"/>
  <c r="D1811" i="11"/>
  <c r="B1812" i="11"/>
  <c r="C1811" i="11"/>
  <c r="E1811" i="11"/>
  <c r="C2996" i="11"/>
  <c r="D2996" i="11"/>
  <c r="E2996" i="11"/>
  <c r="B2997" i="11"/>
  <c r="C1162" i="11"/>
  <c r="D1162" i="11"/>
  <c r="E1162" i="11"/>
  <c r="B1163" i="11"/>
  <c r="C2687" i="11"/>
  <c r="D2687" i="11"/>
  <c r="E2687" i="11"/>
  <c r="B2688" i="11"/>
  <c r="C1368" i="11"/>
  <c r="D1368" i="11"/>
  <c r="E1368" i="11"/>
  <c r="B1369" i="11"/>
  <c r="D2171" i="11"/>
  <c r="C2171" i="11"/>
  <c r="E2171" i="11"/>
  <c r="B2172" i="11"/>
  <c r="C343" i="11"/>
  <c r="D343" i="11"/>
  <c r="B344" i="11"/>
  <c r="C1914" i="11"/>
  <c r="D1914" i="11"/>
  <c r="E1914" i="11"/>
  <c r="B1915" i="11"/>
  <c r="C1265" i="11"/>
  <c r="B1266" i="11"/>
  <c r="D1265" i="11"/>
  <c r="E1265" i="11"/>
  <c r="C243" i="11"/>
  <c r="B244" i="11"/>
  <c r="D243" i="11"/>
  <c r="C441" i="11"/>
  <c r="D441" i="11"/>
  <c r="B442" i="11"/>
  <c r="B751" i="11"/>
  <c r="D750" i="11"/>
  <c r="E750" i="11"/>
  <c r="C750" i="11"/>
  <c r="C2482" i="11"/>
  <c r="D2482" i="11"/>
  <c r="B2483" i="11"/>
  <c r="E2482" i="11"/>
  <c r="C544" i="11"/>
  <c r="D544" i="11"/>
  <c r="E544" i="11"/>
  <c r="B545" i="11"/>
  <c r="E1058" i="11"/>
  <c r="B1059" i="11"/>
  <c r="C1058" i="11"/>
  <c r="D1058" i="11"/>
  <c r="C1605" i="11"/>
  <c r="D1605" i="11"/>
  <c r="E1605" i="11"/>
  <c r="B1606" i="11"/>
  <c r="C145" i="11"/>
  <c r="B146" i="11"/>
  <c r="D145" i="11"/>
  <c r="D647" i="11"/>
  <c r="B648" i="11"/>
  <c r="C647" i="11"/>
  <c r="E647" i="11"/>
  <c r="R124" i="33"/>
  <c r="L124" i="33"/>
  <c r="K127" i="33"/>
  <c r="R122" i="33"/>
  <c r="L122" i="33"/>
  <c r="D36" i="32"/>
  <c r="H36" i="32"/>
  <c r="J36" i="32"/>
  <c r="E36" i="32"/>
  <c r="C37" i="32"/>
  <c r="M35" i="32"/>
  <c r="N107" i="28"/>
  <c r="N128" i="28"/>
  <c r="N129" i="28"/>
  <c r="M122" i="28"/>
  <c r="R34" i="28"/>
  <c r="R59" i="28"/>
  <c r="R95" i="28"/>
  <c r="Q59" i="28"/>
  <c r="R88" i="28"/>
  <c r="R58" i="28"/>
  <c r="R63" i="28"/>
  <c r="N124" i="28"/>
  <c r="N120" i="28"/>
  <c r="N100" i="28"/>
  <c r="N101" i="28"/>
  <c r="N105" i="28"/>
  <c r="N99" i="28"/>
  <c r="N113" i="28"/>
  <c r="N102" i="28"/>
  <c r="N126" i="28"/>
  <c r="N109" i="28"/>
  <c r="N114" i="28"/>
  <c r="N104" i="28"/>
  <c r="N112" i="28"/>
  <c r="N123" i="28"/>
  <c r="N108" i="28"/>
  <c r="N117" i="28"/>
  <c r="N103" i="28"/>
  <c r="N116" i="28"/>
  <c r="N110" i="28"/>
  <c r="N119" i="28"/>
  <c r="N127" i="28"/>
  <c r="N121" i="28"/>
  <c r="N118" i="28"/>
  <c r="N106" i="28"/>
  <c r="M76" i="28"/>
  <c r="N76" i="28" s="1"/>
  <c r="N115" i="28"/>
  <c r="M61" i="28"/>
  <c r="N20" i="28"/>
  <c r="N111" i="28"/>
  <c r="N125" i="28"/>
  <c r="N34" i="28"/>
  <c r="J18" i="26"/>
  <c r="B3091" i="11" l="1"/>
  <c r="B3092" i="11" s="1"/>
  <c r="B3093" i="11" s="1"/>
  <c r="D3090" i="11"/>
  <c r="E3090" i="11"/>
  <c r="C3090" i="11"/>
  <c r="D17" i="26"/>
  <c r="K17" i="26" s="1"/>
  <c r="H17" i="26"/>
  <c r="M17" i="26" s="1"/>
  <c r="D3089" i="11"/>
  <c r="E3089" i="11"/>
  <c r="C3089" i="11"/>
  <c r="F17" i="26"/>
  <c r="E17" i="26"/>
  <c r="D3088" i="11"/>
  <c r="E3088" i="11"/>
  <c r="C3088" i="11"/>
  <c r="L16" i="26"/>
  <c r="B2911" i="11"/>
  <c r="E2911" i="11" s="1"/>
  <c r="D2910" i="11"/>
  <c r="C2910" i="11"/>
  <c r="E2807" i="11"/>
  <c r="D2807" i="11"/>
  <c r="B2808" i="11"/>
  <c r="C2807" i="11"/>
  <c r="I36" i="32"/>
  <c r="K36" i="32"/>
  <c r="B1709" i="11"/>
  <c r="C1708" i="11"/>
  <c r="D1708" i="11"/>
  <c r="E1708" i="11"/>
  <c r="E2018" i="11" s="1"/>
  <c r="B2019" i="11"/>
  <c r="C2018" i="11"/>
  <c r="D2018" i="11"/>
  <c r="E2584" i="11"/>
  <c r="B2585" i="11"/>
  <c r="C2584" i="11"/>
  <c r="D2584" i="11"/>
  <c r="C2172" i="11"/>
  <c r="D2172" i="11"/>
  <c r="B2173" i="11"/>
  <c r="E2172" i="11"/>
  <c r="B2689" i="11"/>
  <c r="C2688" i="11"/>
  <c r="D2688" i="11"/>
  <c r="E2688" i="11"/>
  <c r="D2997" i="11"/>
  <c r="E2997" i="11"/>
  <c r="B2998" i="11"/>
  <c r="C2997" i="11"/>
  <c r="C957" i="11"/>
  <c r="E957" i="11"/>
  <c r="B958" i="11"/>
  <c r="D957" i="11"/>
  <c r="E1486" i="11"/>
  <c r="B1487" i="11"/>
  <c r="C1486" i="11"/>
  <c r="D1486" i="11"/>
  <c r="C146" i="11"/>
  <c r="D146" i="11"/>
  <c r="B147" i="11"/>
  <c r="C1059" i="11"/>
  <c r="D1059" i="11"/>
  <c r="E1059" i="11"/>
  <c r="B1060" i="11"/>
  <c r="C344" i="11"/>
  <c r="D344" i="11"/>
  <c r="B345" i="11"/>
  <c r="D751" i="11"/>
  <c r="C751" i="11"/>
  <c r="B752" i="11"/>
  <c r="E751" i="11"/>
  <c r="C1606" i="11"/>
  <c r="D1606" i="11"/>
  <c r="E1606" i="11"/>
  <c r="B1607" i="11"/>
  <c r="D442" i="11"/>
  <c r="B443" i="11"/>
  <c r="C442" i="11"/>
  <c r="D1266" i="11"/>
  <c r="B1267" i="11"/>
  <c r="C1266" i="11"/>
  <c r="E1266" i="11"/>
  <c r="C2483" i="11"/>
  <c r="D2483" i="11"/>
  <c r="B2484" i="11"/>
  <c r="E2483" i="11"/>
  <c r="E1369" i="11"/>
  <c r="B1370" i="11"/>
  <c r="C1369" i="11"/>
  <c r="D1369" i="11"/>
  <c r="B1164" i="11"/>
  <c r="C1163" i="11"/>
  <c r="D1163" i="11"/>
  <c r="E1163" i="11"/>
  <c r="C2378" i="11"/>
  <c r="D2378" i="11"/>
  <c r="E2378" i="11"/>
  <c r="B2379" i="11"/>
  <c r="D47" i="11"/>
  <c r="E47" i="11"/>
  <c r="B48" i="11"/>
  <c r="C47" i="11"/>
  <c r="E1915" i="11"/>
  <c r="B1916" i="11"/>
  <c r="C1915" i="11"/>
  <c r="D1915" i="11"/>
  <c r="D1812" i="11"/>
  <c r="C1812" i="11"/>
  <c r="E1812" i="11"/>
  <c r="B1813" i="11"/>
  <c r="B2276" i="11"/>
  <c r="E2275" i="11"/>
  <c r="C2275" i="11"/>
  <c r="D2275" i="11"/>
  <c r="D648" i="11"/>
  <c r="B649" i="11"/>
  <c r="C648" i="11"/>
  <c r="E648" i="11"/>
  <c r="B546" i="11"/>
  <c r="C545" i="11"/>
  <c r="D545" i="11"/>
  <c r="E545" i="11"/>
  <c r="C244" i="11"/>
  <c r="D244" i="11"/>
  <c r="B245" i="11"/>
  <c r="R127" i="33"/>
  <c r="L127" i="33"/>
  <c r="K129" i="33"/>
  <c r="K129" i="28"/>
  <c r="R129" i="28" s="1"/>
  <c r="H37" i="32"/>
  <c r="E37" i="32"/>
  <c r="D37" i="32"/>
  <c r="C38" i="32"/>
  <c r="J37" i="32"/>
  <c r="M36" i="32"/>
  <c r="N122" i="28"/>
  <c r="R76" i="28"/>
  <c r="F18" i="26"/>
  <c r="H18" i="26"/>
  <c r="N61" i="28"/>
  <c r="M93" i="28"/>
  <c r="N93" i="28" s="1"/>
  <c r="D18" i="26"/>
  <c r="K18" i="26" s="1"/>
  <c r="E18" i="26"/>
  <c r="C19" i="26"/>
  <c r="J19" i="26" s="1"/>
  <c r="C3093" i="11" l="1"/>
  <c r="B3094" i="11"/>
  <c r="B3095" i="11" s="1"/>
  <c r="B3096" i="11" s="1"/>
  <c r="B3097" i="11" s="1"/>
  <c r="B3098" i="11" s="1"/>
  <c r="B3099" i="11" s="1"/>
  <c r="B3100" i="11" s="1"/>
  <c r="B3101" i="11" s="1"/>
  <c r="B3102" i="11" s="1"/>
  <c r="B3103" i="11" s="1"/>
  <c r="B3104" i="11" s="1"/>
  <c r="B3105" i="11" s="1"/>
  <c r="B3106" i="11" s="1"/>
  <c r="B3107" i="11" s="1"/>
  <c r="B3108" i="11" s="1"/>
  <c r="B3109" i="11" s="1"/>
  <c r="B3110" i="11" s="1"/>
  <c r="B3111" i="11" s="1"/>
  <c r="B3112" i="11" s="1"/>
  <c r="B3113" i="11" s="1"/>
  <c r="B3114" i="11" s="1"/>
  <c r="B3115" i="11" s="1"/>
  <c r="B3116" i="11" s="1"/>
  <c r="C3091" i="11"/>
  <c r="E3091" i="11"/>
  <c r="D3091" i="11"/>
  <c r="D3092" i="11"/>
  <c r="C3092" i="11"/>
  <c r="E3092" i="11"/>
  <c r="E3093" i="11"/>
  <c r="D3093" i="11"/>
  <c r="L17" i="26"/>
  <c r="D2911" i="11"/>
  <c r="B2912" i="11"/>
  <c r="E2912" i="11" s="1"/>
  <c r="C2911" i="11"/>
  <c r="E2808" i="11"/>
  <c r="D2808" i="11"/>
  <c r="B2809" i="11"/>
  <c r="C2808" i="11"/>
  <c r="K37" i="32"/>
  <c r="I37" i="32"/>
  <c r="M18" i="26"/>
  <c r="C2019" i="11"/>
  <c r="B2020" i="11"/>
  <c r="D2019" i="11"/>
  <c r="C2585" i="11"/>
  <c r="D2585" i="11"/>
  <c r="E2585" i="11"/>
  <c r="B2586" i="11"/>
  <c r="C1709" i="11"/>
  <c r="D1709" i="11"/>
  <c r="B1710" i="11"/>
  <c r="E1709" i="11"/>
  <c r="E2019" i="11" s="1"/>
  <c r="C1607" i="11"/>
  <c r="D1607" i="11"/>
  <c r="E1607" i="11"/>
  <c r="B1608" i="11"/>
  <c r="C1164" i="11"/>
  <c r="D1164" i="11"/>
  <c r="E1164" i="11"/>
  <c r="B1165" i="11"/>
  <c r="C2484" i="11"/>
  <c r="D2484" i="11"/>
  <c r="B2485" i="11"/>
  <c r="E2484" i="11"/>
  <c r="C1267" i="11"/>
  <c r="B1268" i="11"/>
  <c r="E1267" i="11"/>
  <c r="D1267" i="11"/>
  <c r="B148" i="11"/>
  <c r="C147" i="11"/>
  <c r="D147" i="11"/>
  <c r="C1916" i="11"/>
  <c r="D1916" i="11"/>
  <c r="E1916" i="11"/>
  <c r="B1917" i="11"/>
  <c r="C1370" i="11"/>
  <c r="D1370" i="11"/>
  <c r="E1370" i="11"/>
  <c r="B1371" i="11"/>
  <c r="C345" i="11"/>
  <c r="D345" i="11"/>
  <c r="B346" i="11"/>
  <c r="C958" i="11"/>
  <c r="E958" i="11"/>
  <c r="D958" i="11"/>
  <c r="B959" i="11"/>
  <c r="B753" i="11"/>
  <c r="D752" i="11"/>
  <c r="C752" i="11"/>
  <c r="E752" i="11"/>
  <c r="D1813" i="11"/>
  <c r="B1814" i="11"/>
  <c r="E1813" i="11"/>
  <c r="C1813" i="11"/>
  <c r="C443" i="11"/>
  <c r="D443" i="11"/>
  <c r="B444" i="11"/>
  <c r="C2689" i="11"/>
  <c r="D2689" i="11"/>
  <c r="E2689" i="11"/>
  <c r="B2690" i="11"/>
  <c r="C546" i="11"/>
  <c r="D546" i="11"/>
  <c r="E546" i="11"/>
  <c r="B547" i="11"/>
  <c r="E2276" i="11"/>
  <c r="B2277" i="11"/>
  <c r="C2276" i="11"/>
  <c r="D2276" i="11"/>
  <c r="C245" i="11"/>
  <c r="B246" i="11"/>
  <c r="D245" i="11"/>
  <c r="C48" i="11"/>
  <c r="D48" i="11"/>
  <c r="E48" i="11"/>
  <c r="B49" i="11"/>
  <c r="E1060" i="11"/>
  <c r="C1060" i="11"/>
  <c r="D1060" i="11"/>
  <c r="B1061" i="11"/>
  <c r="C1487" i="11"/>
  <c r="D1487" i="11"/>
  <c r="E1487" i="11"/>
  <c r="B1488" i="11"/>
  <c r="C2998" i="11"/>
  <c r="D2998" i="11"/>
  <c r="E2998" i="11"/>
  <c r="B2999" i="11"/>
  <c r="D2173" i="11"/>
  <c r="C2173" i="11"/>
  <c r="E2173" i="11"/>
  <c r="B2174" i="11"/>
  <c r="D649" i="11"/>
  <c r="B650" i="11"/>
  <c r="C649" i="11"/>
  <c r="E649" i="11"/>
  <c r="D2379" i="11"/>
  <c r="C2379" i="11"/>
  <c r="E2379" i="11"/>
  <c r="B2380" i="11"/>
  <c r="R129" i="33"/>
  <c r="L129" i="33"/>
  <c r="C39" i="32"/>
  <c r="E38" i="32"/>
  <c r="J38" i="32"/>
  <c r="H38" i="32"/>
  <c r="D38" i="32"/>
  <c r="M37" i="32"/>
  <c r="L18" i="26"/>
  <c r="F19" i="26"/>
  <c r="H19" i="26"/>
  <c r="E19" i="26"/>
  <c r="D19" i="26"/>
  <c r="K19" i="26" s="1"/>
  <c r="C20" i="26"/>
  <c r="J20" i="26" s="1"/>
  <c r="D3116" i="11" l="1"/>
  <c r="E3116" i="11"/>
  <c r="C3116" i="11"/>
  <c r="E3115" i="11"/>
  <c r="C3115" i="11"/>
  <c r="D3115" i="11"/>
  <c r="D3114" i="11"/>
  <c r="E3114" i="11"/>
  <c r="C3114" i="11"/>
  <c r="D3113" i="11"/>
  <c r="E3113" i="11"/>
  <c r="C3113" i="11"/>
  <c r="D3112" i="11"/>
  <c r="E3112" i="11"/>
  <c r="C3112" i="11"/>
  <c r="E3111" i="11"/>
  <c r="D3111" i="11"/>
  <c r="C3111" i="11"/>
  <c r="C3110" i="11"/>
  <c r="E3110" i="11"/>
  <c r="D3110" i="11"/>
  <c r="D3109" i="11"/>
  <c r="E3109" i="11"/>
  <c r="C3109" i="11"/>
  <c r="D3108" i="11"/>
  <c r="E3108" i="11"/>
  <c r="C3108" i="11"/>
  <c r="D3107" i="11"/>
  <c r="E3107" i="11"/>
  <c r="C3107" i="11"/>
  <c r="D3106" i="11"/>
  <c r="E3106" i="11"/>
  <c r="C3106" i="11"/>
  <c r="D3105" i="11"/>
  <c r="E3105" i="11"/>
  <c r="C3105" i="11"/>
  <c r="D3104" i="11"/>
  <c r="E3104" i="11"/>
  <c r="C3104" i="11"/>
  <c r="D3103" i="11"/>
  <c r="E3103" i="11"/>
  <c r="C3103" i="11"/>
  <c r="D3102" i="11"/>
  <c r="E3102" i="11"/>
  <c r="C3102" i="11"/>
  <c r="D3101" i="11"/>
  <c r="E3101" i="11"/>
  <c r="C3101" i="11"/>
  <c r="D3100" i="11"/>
  <c r="E3100" i="11"/>
  <c r="C3100" i="11"/>
  <c r="D3099" i="11"/>
  <c r="E3099" i="11"/>
  <c r="C3099" i="11"/>
  <c r="E3098" i="11"/>
  <c r="D3098" i="11"/>
  <c r="C3098" i="11"/>
  <c r="D3097" i="11"/>
  <c r="E3097" i="11"/>
  <c r="C3097" i="11"/>
  <c r="D3096" i="11"/>
  <c r="E3096" i="11"/>
  <c r="C3096" i="11"/>
  <c r="D3095" i="11"/>
  <c r="E3095" i="11"/>
  <c r="C3095" i="11"/>
  <c r="D3094" i="11"/>
  <c r="E3094" i="11"/>
  <c r="C3094" i="11"/>
  <c r="D2912" i="11"/>
  <c r="C2912" i="11"/>
  <c r="B2913" i="11"/>
  <c r="E2913" i="11" s="1"/>
  <c r="E2809" i="11"/>
  <c r="B2810" i="11"/>
  <c r="C2809" i="11"/>
  <c r="D2809" i="11"/>
  <c r="I38" i="32"/>
  <c r="K38" i="32"/>
  <c r="M19" i="26"/>
  <c r="C2586" i="11"/>
  <c r="B2587" i="11"/>
  <c r="D2586" i="11"/>
  <c r="E2586" i="11"/>
  <c r="B1711" i="11"/>
  <c r="C1710" i="11"/>
  <c r="D1710" i="11"/>
  <c r="E1710" i="11"/>
  <c r="E2020" i="11" s="1"/>
  <c r="D2020" i="11"/>
  <c r="B2021" i="11"/>
  <c r="C2020" i="11"/>
  <c r="C1608" i="11"/>
  <c r="D1608" i="11"/>
  <c r="E1608" i="11"/>
  <c r="B1609" i="11"/>
  <c r="E1917" i="11"/>
  <c r="B1918" i="11"/>
  <c r="C1917" i="11"/>
  <c r="D1917" i="11"/>
  <c r="C2485" i="11"/>
  <c r="D2485" i="11"/>
  <c r="B2486" i="11"/>
  <c r="E2485" i="11"/>
  <c r="D1814" i="11"/>
  <c r="C1814" i="11"/>
  <c r="E1814" i="11"/>
  <c r="B1815" i="11"/>
  <c r="C1061" i="11"/>
  <c r="E1061" i="11"/>
  <c r="B1062" i="11"/>
  <c r="D1061" i="11"/>
  <c r="D246" i="11"/>
  <c r="B247" i="11"/>
  <c r="C246" i="11"/>
  <c r="C346" i="11"/>
  <c r="D346" i="11"/>
  <c r="B347" i="11"/>
  <c r="C444" i="11"/>
  <c r="D444" i="11"/>
  <c r="B445" i="11"/>
  <c r="D2999" i="11"/>
  <c r="E2999" i="11"/>
  <c r="B3000" i="11"/>
  <c r="C2999" i="11"/>
  <c r="B548" i="11"/>
  <c r="C547" i="11"/>
  <c r="D547" i="11"/>
  <c r="E547" i="11"/>
  <c r="D650" i="11"/>
  <c r="B651" i="11"/>
  <c r="C650" i="11"/>
  <c r="E650" i="11"/>
  <c r="C2380" i="11"/>
  <c r="D2380" i="11"/>
  <c r="E2380" i="11"/>
  <c r="B2381" i="11"/>
  <c r="C2174" i="11"/>
  <c r="D2174" i="11"/>
  <c r="E2174" i="11"/>
  <c r="B2175" i="11"/>
  <c r="E1488" i="11"/>
  <c r="B1489" i="11"/>
  <c r="C1488" i="11"/>
  <c r="D1488" i="11"/>
  <c r="B1166" i="11"/>
  <c r="C1165" i="11"/>
  <c r="D1165" i="11"/>
  <c r="E1165" i="11"/>
  <c r="D49" i="11"/>
  <c r="E49" i="11"/>
  <c r="B50" i="11"/>
  <c r="C49" i="11"/>
  <c r="B2278" i="11"/>
  <c r="C2277" i="11"/>
  <c r="D2277" i="11"/>
  <c r="E2277" i="11"/>
  <c r="C959" i="11"/>
  <c r="E959" i="11"/>
  <c r="D959" i="11"/>
  <c r="B960" i="11"/>
  <c r="D1268" i="11"/>
  <c r="B1269" i="11"/>
  <c r="C1268" i="11"/>
  <c r="E1268" i="11"/>
  <c r="D753" i="11"/>
  <c r="C753" i="11"/>
  <c r="E753" i="11"/>
  <c r="B754" i="11"/>
  <c r="E1371" i="11"/>
  <c r="B1372" i="11"/>
  <c r="C1371" i="11"/>
  <c r="D1371" i="11"/>
  <c r="B2691" i="11"/>
  <c r="C2690" i="11"/>
  <c r="D2690" i="11"/>
  <c r="E2690" i="11"/>
  <c r="D148" i="11"/>
  <c r="B149" i="11"/>
  <c r="C148" i="11"/>
  <c r="M38" i="32"/>
  <c r="J39" i="32"/>
  <c r="D39" i="32"/>
  <c r="C40" i="32"/>
  <c r="H39" i="32"/>
  <c r="E39" i="32"/>
  <c r="L19" i="26"/>
  <c r="F20" i="26"/>
  <c r="H20" i="26"/>
  <c r="C21" i="26"/>
  <c r="J21" i="26" s="1"/>
  <c r="D20" i="26"/>
  <c r="K20" i="26" s="1"/>
  <c r="E20" i="26"/>
  <c r="D2913" i="11" l="1"/>
  <c r="C2913" i="11"/>
  <c r="B2914" i="11"/>
  <c r="E2914" i="11" s="1"/>
  <c r="E2810" i="11"/>
  <c r="B2811" i="11"/>
  <c r="C2810" i="11"/>
  <c r="D2810" i="11"/>
  <c r="I39" i="32"/>
  <c r="K39" i="32"/>
  <c r="M20" i="26"/>
  <c r="C1711" i="11"/>
  <c r="D1711" i="11"/>
  <c r="B1712" i="11"/>
  <c r="E1711" i="11"/>
  <c r="E2021" i="11" s="1"/>
  <c r="D2021" i="11"/>
  <c r="C2021" i="11"/>
  <c r="B2022" i="11"/>
  <c r="B2588" i="11"/>
  <c r="D2587" i="11"/>
  <c r="E2587" i="11"/>
  <c r="C2587" i="11"/>
  <c r="D2175" i="11"/>
  <c r="B2176" i="11"/>
  <c r="C2175" i="11"/>
  <c r="E2175" i="11"/>
  <c r="E2278" i="11"/>
  <c r="B2279" i="11"/>
  <c r="C2278" i="11"/>
  <c r="D2278" i="11"/>
  <c r="C1489" i="11"/>
  <c r="D1489" i="11"/>
  <c r="E1489" i="11"/>
  <c r="B1490" i="11"/>
  <c r="E1062" i="11"/>
  <c r="C1062" i="11"/>
  <c r="D1062" i="11"/>
  <c r="B1063" i="11"/>
  <c r="C2486" i="11"/>
  <c r="D2486" i="11"/>
  <c r="B2487" i="11"/>
  <c r="E2486" i="11"/>
  <c r="C548" i="11"/>
  <c r="D548" i="11"/>
  <c r="E548" i="11"/>
  <c r="B549" i="11"/>
  <c r="B348" i="11"/>
  <c r="C347" i="11"/>
  <c r="D347" i="11"/>
  <c r="C1918" i="11"/>
  <c r="D1918" i="11"/>
  <c r="E1918" i="11"/>
  <c r="B1919" i="11"/>
  <c r="C2691" i="11"/>
  <c r="D2691" i="11"/>
  <c r="E2691" i="11"/>
  <c r="B2692" i="11"/>
  <c r="C3000" i="11"/>
  <c r="D3000" i="11"/>
  <c r="E3000" i="11"/>
  <c r="B3001" i="11"/>
  <c r="D1815" i="11"/>
  <c r="B1816" i="11"/>
  <c r="C1815" i="11"/>
  <c r="E1815" i="11"/>
  <c r="C1609" i="11"/>
  <c r="D1609" i="11"/>
  <c r="E1609" i="11"/>
  <c r="B1610" i="11"/>
  <c r="D651" i="11"/>
  <c r="B652" i="11"/>
  <c r="C651" i="11"/>
  <c r="E651" i="11"/>
  <c r="C50" i="11"/>
  <c r="D50" i="11"/>
  <c r="E50" i="11"/>
  <c r="B51" i="11"/>
  <c r="C149" i="11"/>
  <c r="B150" i="11"/>
  <c r="D149" i="11"/>
  <c r="C1372" i="11"/>
  <c r="D1372" i="11"/>
  <c r="E1372" i="11"/>
  <c r="B1373" i="11"/>
  <c r="C1269" i="11"/>
  <c r="B1270" i="11"/>
  <c r="D1269" i="11"/>
  <c r="E1269" i="11"/>
  <c r="C1166" i="11"/>
  <c r="D1166" i="11"/>
  <c r="E1166" i="11"/>
  <c r="B1167" i="11"/>
  <c r="B248" i="11"/>
  <c r="C247" i="11"/>
  <c r="D247" i="11"/>
  <c r="D2381" i="11"/>
  <c r="E2381" i="11"/>
  <c r="B2382" i="11"/>
  <c r="C2381" i="11"/>
  <c r="C445" i="11"/>
  <c r="D445" i="11"/>
  <c r="B446" i="11"/>
  <c r="B755" i="11"/>
  <c r="D754" i="11"/>
  <c r="C754" i="11"/>
  <c r="E754" i="11"/>
  <c r="C960" i="11"/>
  <c r="E960" i="11"/>
  <c r="D960" i="11"/>
  <c r="B961" i="11"/>
  <c r="M39" i="32"/>
  <c r="H40" i="32"/>
  <c r="D40" i="32"/>
  <c r="E40" i="32"/>
  <c r="J40" i="32"/>
  <c r="C41" i="32"/>
  <c r="L20" i="26"/>
  <c r="F21" i="26"/>
  <c r="H21" i="26"/>
  <c r="D21" i="26"/>
  <c r="K21" i="26" s="1"/>
  <c r="C22" i="26"/>
  <c r="J22" i="26" s="1"/>
  <c r="E21" i="26"/>
  <c r="B2915" i="11" l="1"/>
  <c r="E2915" i="11" s="1"/>
  <c r="D2914" i="11"/>
  <c r="C2914" i="11"/>
  <c r="E2811" i="11"/>
  <c r="B2812" i="11"/>
  <c r="C2811" i="11"/>
  <c r="D2811" i="11"/>
  <c r="K40" i="32"/>
  <c r="I40" i="32"/>
  <c r="M21" i="26"/>
  <c r="B2023" i="11"/>
  <c r="C2022" i="11"/>
  <c r="D2022" i="11"/>
  <c r="B1713" i="11"/>
  <c r="C1712" i="11"/>
  <c r="D1712" i="11"/>
  <c r="E1712" i="11"/>
  <c r="E2022" i="11" s="1"/>
  <c r="D2588" i="11"/>
  <c r="B2589" i="11"/>
  <c r="E2588" i="11"/>
  <c r="C2588" i="11"/>
  <c r="C446" i="11"/>
  <c r="D446" i="11"/>
  <c r="B447" i="11"/>
  <c r="D1270" i="11"/>
  <c r="B1271" i="11"/>
  <c r="C1270" i="11"/>
  <c r="E1270" i="11"/>
  <c r="D1816" i="11"/>
  <c r="B1817" i="11"/>
  <c r="C1816" i="11"/>
  <c r="E1816" i="11"/>
  <c r="C348" i="11"/>
  <c r="D348" i="11"/>
  <c r="B349" i="11"/>
  <c r="C1063" i="11"/>
  <c r="D1063" i="11"/>
  <c r="E1063" i="11"/>
  <c r="B1064" i="11"/>
  <c r="E1373" i="11"/>
  <c r="B1374" i="11"/>
  <c r="C1373" i="11"/>
  <c r="D1373" i="11"/>
  <c r="D150" i="11"/>
  <c r="C150" i="11"/>
  <c r="B151" i="11"/>
  <c r="D652" i="11"/>
  <c r="B653" i="11"/>
  <c r="C652" i="11"/>
  <c r="E652" i="11"/>
  <c r="D248" i="11"/>
  <c r="C248" i="11"/>
  <c r="B249" i="11"/>
  <c r="D51" i="11"/>
  <c r="E51" i="11"/>
  <c r="B52" i="11"/>
  <c r="C51" i="11"/>
  <c r="C1610" i="11"/>
  <c r="D1610" i="11"/>
  <c r="E1610" i="11"/>
  <c r="B1611" i="11"/>
  <c r="B550" i="11"/>
  <c r="C549" i="11"/>
  <c r="D549" i="11"/>
  <c r="E549" i="11"/>
  <c r="D3001" i="11"/>
  <c r="E3001" i="11"/>
  <c r="B3002" i="11"/>
  <c r="C3001" i="11"/>
  <c r="E1919" i="11"/>
  <c r="B1920" i="11"/>
  <c r="C1919" i="11"/>
  <c r="D1919" i="11"/>
  <c r="B2280" i="11"/>
  <c r="C2279" i="11"/>
  <c r="D2279" i="11"/>
  <c r="E2279" i="11"/>
  <c r="C2382" i="11"/>
  <c r="D2382" i="11"/>
  <c r="E2382" i="11"/>
  <c r="B2383" i="11"/>
  <c r="E1490" i="11"/>
  <c r="B1491" i="11"/>
  <c r="C1490" i="11"/>
  <c r="D1490" i="11"/>
  <c r="C2487" i="11"/>
  <c r="D2487" i="11"/>
  <c r="B2488" i="11"/>
  <c r="E2487" i="11"/>
  <c r="B1168" i="11"/>
  <c r="C1167" i="11"/>
  <c r="D1167" i="11"/>
  <c r="E1167" i="11"/>
  <c r="D755" i="11"/>
  <c r="B756" i="11"/>
  <c r="C755" i="11"/>
  <c r="E755" i="11"/>
  <c r="C961" i="11"/>
  <c r="E961" i="11"/>
  <c r="B962" i="11"/>
  <c r="D961" i="11"/>
  <c r="B2693" i="11"/>
  <c r="C2692" i="11"/>
  <c r="D2692" i="11"/>
  <c r="E2692" i="11"/>
  <c r="C2176" i="11"/>
  <c r="D2176" i="11"/>
  <c r="E2176" i="11"/>
  <c r="B2177" i="11"/>
  <c r="E41" i="32"/>
  <c r="D41" i="32"/>
  <c r="C42" i="32"/>
  <c r="H41" i="32"/>
  <c r="J41" i="32"/>
  <c r="M40" i="32"/>
  <c r="L21" i="26"/>
  <c r="F22" i="26"/>
  <c r="H22" i="26"/>
  <c r="C23" i="26"/>
  <c r="J23" i="26" s="1"/>
  <c r="D22" i="26"/>
  <c r="K22" i="26" s="1"/>
  <c r="E22" i="26"/>
  <c r="B2916" i="11" l="1"/>
  <c r="E2916" i="11" s="1"/>
  <c r="C2915" i="11"/>
  <c r="D2915" i="11"/>
  <c r="E2812" i="11"/>
  <c r="C2812" i="11"/>
  <c r="D2812" i="11"/>
  <c r="B2813" i="11"/>
  <c r="I41" i="32"/>
  <c r="K41" i="32"/>
  <c r="M22" i="26"/>
  <c r="D1713" i="11"/>
  <c r="C1713" i="11"/>
  <c r="B1714" i="11"/>
  <c r="E1713" i="11"/>
  <c r="E2023" i="11" s="1"/>
  <c r="B2590" i="11"/>
  <c r="D2589" i="11"/>
  <c r="C2589" i="11"/>
  <c r="E2589" i="11"/>
  <c r="C2023" i="11"/>
  <c r="B2024" i="11"/>
  <c r="D2023" i="11"/>
  <c r="D2383" i="11"/>
  <c r="B2384" i="11"/>
  <c r="C2383" i="11"/>
  <c r="E2383" i="11"/>
  <c r="E2280" i="11"/>
  <c r="B2281" i="11"/>
  <c r="C2280" i="11"/>
  <c r="D2280" i="11"/>
  <c r="C1611" i="11"/>
  <c r="D1611" i="11"/>
  <c r="E1611" i="11"/>
  <c r="B1612" i="11"/>
  <c r="C249" i="11"/>
  <c r="D249" i="11"/>
  <c r="B250" i="11"/>
  <c r="C3002" i="11"/>
  <c r="D3002" i="11"/>
  <c r="E3002" i="11"/>
  <c r="B3003" i="11"/>
  <c r="C349" i="11"/>
  <c r="D349" i="11"/>
  <c r="B350" i="11"/>
  <c r="D2177" i="11"/>
  <c r="C2177" i="11"/>
  <c r="E2177" i="11"/>
  <c r="B2178" i="11"/>
  <c r="C962" i="11"/>
  <c r="E962" i="11"/>
  <c r="D962" i="11"/>
  <c r="B963" i="11"/>
  <c r="C2693" i="11"/>
  <c r="D2693" i="11"/>
  <c r="E2693" i="11"/>
  <c r="B2694" i="11"/>
  <c r="C1168" i="11"/>
  <c r="D1168" i="11"/>
  <c r="E1168" i="11"/>
  <c r="B1169" i="11"/>
  <c r="C1271" i="11"/>
  <c r="B1272" i="11"/>
  <c r="E1271" i="11"/>
  <c r="D1271" i="11"/>
  <c r="C1374" i="11"/>
  <c r="D1374" i="11"/>
  <c r="E1374" i="11"/>
  <c r="B1375" i="11"/>
  <c r="C52" i="11"/>
  <c r="D52" i="11"/>
  <c r="E52" i="11"/>
  <c r="B53" i="11"/>
  <c r="D653" i="11"/>
  <c r="B654" i="11"/>
  <c r="C653" i="11"/>
  <c r="E653" i="11"/>
  <c r="B448" i="11"/>
  <c r="C447" i="11"/>
  <c r="D447" i="11"/>
  <c r="C2488" i="11"/>
  <c r="D2488" i="11"/>
  <c r="B2489" i="11"/>
  <c r="E2488" i="11"/>
  <c r="B757" i="11"/>
  <c r="C756" i="11"/>
  <c r="D756" i="11"/>
  <c r="E756" i="11"/>
  <c r="C1491" i="11"/>
  <c r="D1491" i="11"/>
  <c r="E1491" i="11"/>
  <c r="B1492" i="11"/>
  <c r="C1920" i="11"/>
  <c r="D1920" i="11"/>
  <c r="E1920" i="11"/>
  <c r="B1921" i="11"/>
  <c r="E1064" i="11"/>
  <c r="C1064" i="11"/>
  <c r="D1064" i="11"/>
  <c r="B1065" i="11"/>
  <c r="C550" i="11"/>
  <c r="D550" i="11"/>
  <c r="E550" i="11"/>
  <c r="B551" i="11"/>
  <c r="C151" i="11"/>
  <c r="D151" i="11"/>
  <c r="B152" i="11"/>
  <c r="D1817" i="11"/>
  <c r="B1818" i="11"/>
  <c r="C1817" i="11"/>
  <c r="E1817" i="11"/>
  <c r="M41" i="32"/>
  <c r="J42" i="32"/>
  <c r="C43" i="32"/>
  <c r="H42" i="32"/>
  <c r="D42" i="32"/>
  <c r="E42" i="32"/>
  <c r="L22" i="26"/>
  <c r="F23" i="26"/>
  <c r="H23" i="26"/>
  <c r="E23" i="26"/>
  <c r="D23" i="26"/>
  <c r="K23" i="26" s="1"/>
  <c r="C24" i="26"/>
  <c r="J24" i="26" s="1"/>
  <c r="B2917" i="11" l="1"/>
  <c r="D2916" i="11"/>
  <c r="C2916" i="11"/>
  <c r="E2813" i="11"/>
  <c r="B2814" i="11"/>
  <c r="B2815" i="11" s="1"/>
  <c r="B2816" i="11" s="1"/>
  <c r="B2817" i="11" s="1"/>
  <c r="B2818" i="11" s="1"/>
  <c r="B2819" i="11" s="1"/>
  <c r="B2820" i="11" s="1"/>
  <c r="B2821" i="11" s="1"/>
  <c r="B2822" i="11" s="1"/>
  <c r="B2823" i="11" s="1"/>
  <c r="B2824" i="11" s="1"/>
  <c r="B2825" i="11" s="1"/>
  <c r="B2826" i="11" s="1"/>
  <c r="B2827" i="11" s="1"/>
  <c r="B2828" i="11" s="1"/>
  <c r="B2829" i="11" s="1"/>
  <c r="B2830" i="11" s="1"/>
  <c r="B2831" i="11" s="1"/>
  <c r="B2832" i="11" s="1"/>
  <c r="B2833" i="11" s="1"/>
  <c r="B2834" i="11" s="1"/>
  <c r="B2835" i="11" s="1"/>
  <c r="B2836" i="11" s="1"/>
  <c r="B2837" i="11" s="1"/>
  <c r="B2838" i="11" s="1"/>
  <c r="B2839" i="11" s="1"/>
  <c r="B2840" i="11" s="1"/>
  <c r="B2841" i="11" s="1"/>
  <c r="B2842" i="11" s="1"/>
  <c r="B2843" i="11" s="1"/>
  <c r="B2844" i="11" s="1"/>
  <c r="B2845" i="11" s="1"/>
  <c r="B2846" i="11" s="1"/>
  <c r="B2847" i="11" s="1"/>
  <c r="B2848" i="11" s="1"/>
  <c r="C2813" i="11"/>
  <c r="D2813" i="11"/>
  <c r="K42" i="32"/>
  <c r="I42" i="32"/>
  <c r="M23" i="26"/>
  <c r="B2591" i="11"/>
  <c r="C2590" i="11"/>
  <c r="D2590" i="11"/>
  <c r="E2590" i="11"/>
  <c r="B1715" i="11"/>
  <c r="C1714" i="11"/>
  <c r="E1714" i="11"/>
  <c r="E2024" i="11" s="1"/>
  <c r="D1714" i="11"/>
  <c r="B2025" i="11"/>
  <c r="C2024" i="11"/>
  <c r="D2024" i="11"/>
  <c r="C2489" i="11"/>
  <c r="D2489" i="11"/>
  <c r="B2490" i="11"/>
  <c r="E2489" i="11"/>
  <c r="D654" i="11"/>
  <c r="B655" i="11"/>
  <c r="C654" i="11"/>
  <c r="E654" i="11"/>
  <c r="C1612" i="11"/>
  <c r="D1612" i="11"/>
  <c r="E1612" i="11"/>
  <c r="B1613" i="11"/>
  <c r="E1921" i="11"/>
  <c r="B1922" i="11"/>
  <c r="C1921" i="11"/>
  <c r="D1921" i="11"/>
  <c r="D1818" i="11"/>
  <c r="C1818" i="11"/>
  <c r="E1818" i="11"/>
  <c r="B1819" i="11"/>
  <c r="D757" i="11"/>
  <c r="C757" i="11"/>
  <c r="B758" i="11"/>
  <c r="E757" i="11"/>
  <c r="C1065" i="11"/>
  <c r="D1065" i="11"/>
  <c r="E1065" i="11"/>
  <c r="B1066" i="11"/>
  <c r="E1492" i="11"/>
  <c r="B1493" i="11"/>
  <c r="C1492" i="11"/>
  <c r="D1492" i="11"/>
  <c r="D152" i="11"/>
  <c r="C152" i="11"/>
  <c r="B153" i="11"/>
  <c r="D3003" i="11"/>
  <c r="E3003" i="11"/>
  <c r="B3004" i="11"/>
  <c r="C3003" i="11"/>
  <c r="B552" i="11"/>
  <c r="C551" i="11"/>
  <c r="D551" i="11"/>
  <c r="E551" i="11"/>
  <c r="D53" i="11"/>
  <c r="E53" i="11"/>
  <c r="B54" i="11"/>
  <c r="C53" i="11"/>
  <c r="B1170" i="11"/>
  <c r="C1169" i="11"/>
  <c r="D1169" i="11"/>
  <c r="E1169" i="11"/>
  <c r="C963" i="11"/>
  <c r="E963" i="11"/>
  <c r="D963" i="11"/>
  <c r="B964" i="11"/>
  <c r="C2178" i="11"/>
  <c r="D2178" i="11"/>
  <c r="E2178" i="11"/>
  <c r="B2179" i="11"/>
  <c r="C2384" i="11"/>
  <c r="D2384" i="11"/>
  <c r="E2384" i="11"/>
  <c r="B2385" i="11"/>
  <c r="C448" i="11"/>
  <c r="D448" i="11"/>
  <c r="B449" i="11"/>
  <c r="D1272" i="11"/>
  <c r="B1273" i="11"/>
  <c r="C1272" i="11"/>
  <c r="E1272" i="11"/>
  <c r="D250" i="11"/>
  <c r="B251" i="11"/>
  <c r="C250" i="11"/>
  <c r="B2695" i="11"/>
  <c r="C2694" i="11"/>
  <c r="D2694" i="11"/>
  <c r="E2694" i="11"/>
  <c r="D350" i="11"/>
  <c r="B351" i="11"/>
  <c r="C350" i="11"/>
  <c r="B2282" i="11"/>
  <c r="C2281" i="11"/>
  <c r="D2281" i="11"/>
  <c r="E2281" i="11"/>
  <c r="E1375" i="11"/>
  <c r="B1376" i="11"/>
  <c r="C1375" i="11"/>
  <c r="D1375" i="11"/>
  <c r="C44" i="32"/>
  <c r="J43" i="32"/>
  <c r="E43" i="32"/>
  <c r="D43" i="32"/>
  <c r="H43" i="32"/>
  <c r="M42" i="32"/>
  <c r="L23" i="26"/>
  <c r="F24" i="26"/>
  <c r="H24" i="26"/>
  <c r="C25" i="26"/>
  <c r="J25" i="26" s="1"/>
  <c r="E24" i="26"/>
  <c r="D24" i="26"/>
  <c r="K24" i="26" s="1"/>
  <c r="E2848" i="11" l="1"/>
  <c r="C2848" i="11"/>
  <c r="D2848" i="11"/>
  <c r="D2847" i="11"/>
  <c r="E2847" i="11"/>
  <c r="C2847" i="11"/>
  <c r="D2846" i="11"/>
  <c r="E2846" i="11"/>
  <c r="C2846" i="11"/>
  <c r="D2845" i="11"/>
  <c r="E2845" i="11"/>
  <c r="C2845" i="11"/>
  <c r="D2844" i="11"/>
  <c r="E2844" i="11"/>
  <c r="C2844" i="11"/>
  <c r="E2843" i="11"/>
  <c r="D2843" i="11"/>
  <c r="C2843" i="11"/>
  <c r="D2842" i="11"/>
  <c r="E2842" i="11"/>
  <c r="C2842" i="11"/>
  <c r="D2841" i="11"/>
  <c r="E2841" i="11"/>
  <c r="C2841" i="11"/>
  <c r="D2840" i="11"/>
  <c r="E2840" i="11"/>
  <c r="C2840" i="11"/>
  <c r="D2839" i="11"/>
  <c r="E2839" i="11"/>
  <c r="C2839" i="11"/>
  <c r="D2838" i="11"/>
  <c r="E2838" i="11"/>
  <c r="C2838" i="11"/>
  <c r="D2837" i="11"/>
  <c r="E2837" i="11"/>
  <c r="C2837" i="11"/>
  <c r="D2836" i="11"/>
  <c r="E2836" i="11"/>
  <c r="C2836" i="11"/>
  <c r="D2835" i="11"/>
  <c r="E2835" i="11"/>
  <c r="C2835" i="11"/>
  <c r="D2834" i="11"/>
  <c r="E2834" i="11"/>
  <c r="C2834" i="11"/>
  <c r="D2833" i="11"/>
  <c r="E2833" i="11"/>
  <c r="C2833" i="11"/>
  <c r="D2832" i="11"/>
  <c r="E2832" i="11"/>
  <c r="C2832" i="11"/>
  <c r="D2831" i="11"/>
  <c r="E2831" i="11"/>
  <c r="C2831" i="11"/>
  <c r="E2830" i="11"/>
  <c r="D2830" i="11"/>
  <c r="C2830" i="11"/>
  <c r="D2829" i="11"/>
  <c r="E2829" i="11"/>
  <c r="C2829" i="11"/>
  <c r="D2828" i="11"/>
  <c r="E2828" i="11"/>
  <c r="C2828" i="11"/>
  <c r="D2827" i="11"/>
  <c r="E2827" i="11"/>
  <c r="C2827" i="11"/>
  <c r="D2826" i="11"/>
  <c r="E2826" i="11"/>
  <c r="C2826" i="11"/>
  <c r="D2825" i="11"/>
  <c r="C2825" i="11"/>
  <c r="E2825" i="11"/>
  <c r="D2824" i="11"/>
  <c r="E2824" i="11"/>
  <c r="C2824" i="11"/>
  <c r="I43" i="32"/>
  <c r="D2823" i="11"/>
  <c r="E2823" i="11"/>
  <c r="C2823" i="11"/>
  <c r="D2822" i="11"/>
  <c r="E2822" i="11"/>
  <c r="C2822" i="11"/>
  <c r="D2821" i="11"/>
  <c r="E2821" i="11"/>
  <c r="C2821" i="11"/>
  <c r="D2820" i="11"/>
  <c r="E2820" i="11"/>
  <c r="C2820" i="11"/>
  <c r="C2819" i="11"/>
  <c r="E2819" i="11"/>
  <c r="D2819" i="11"/>
  <c r="D2818" i="11"/>
  <c r="E2818" i="11"/>
  <c r="C2818" i="11"/>
  <c r="D2817" i="11"/>
  <c r="E2817" i="11"/>
  <c r="C2817" i="11"/>
  <c r="D2816" i="11"/>
  <c r="E2816" i="11"/>
  <c r="C2816" i="11"/>
  <c r="D2815" i="11"/>
  <c r="E2815" i="11"/>
  <c r="C2815" i="11"/>
  <c r="E2917" i="11"/>
  <c r="B2918" i="11"/>
  <c r="B2919" i="11" s="1"/>
  <c r="B2920" i="11" s="1"/>
  <c r="B2921" i="11" s="1"/>
  <c r="B2922" i="11" s="1"/>
  <c r="B2923" i="11" s="1"/>
  <c r="B2924" i="11" s="1"/>
  <c r="B2925" i="11" s="1"/>
  <c r="B2926" i="11" s="1"/>
  <c r="B2927" i="11" s="1"/>
  <c r="B2928" i="11" s="1"/>
  <c r="B2929" i="11" s="1"/>
  <c r="B2930" i="11" s="1"/>
  <c r="B2931" i="11" s="1"/>
  <c r="B2932" i="11" s="1"/>
  <c r="B2933" i="11" s="1"/>
  <c r="B2934" i="11" s="1"/>
  <c r="B2935" i="11" s="1"/>
  <c r="B2936" i="11" s="1"/>
  <c r="B2937" i="11" s="1"/>
  <c r="B2938" i="11" s="1"/>
  <c r="B2939" i="11" s="1"/>
  <c r="B2940" i="11" s="1"/>
  <c r="B2941" i="11" s="1"/>
  <c r="B2942" i="11" s="1"/>
  <c r="B2943" i="11" s="1"/>
  <c r="B2944" i="11" s="1"/>
  <c r="B2945" i="11" s="1"/>
  <c r="B2946" i="11" s="1"/>
  <c r="B2947" i="11" s="1"/>
  <c r="B2948" i="11" s="1"/>
  <c r="B2949" i="11" s="1"/>
  <c r="B2950" i="11" s="1"/>
  <c r="B2951" i="11" s="1"/>
  <c r="C2917" i="11"/>
  <c r="D2917" i="11"/>
  <c r="E2814" i="11"/>
  <c r="D2814" i="11"/>
  <c r="C2814" i="11"/>
  <c r="K43" i="32"/>
  <c r="M24" i="26"/>
  <c r="C1715" i="11"/>
  <c r="D1715" i="11"/>
  <c r="B1716" i="11"/>
  <c r="E1715" i="11"/>
  <c r="E2025" i="11" s="1"/>
  <c r="C2025" i="11"/>
  <c r="B2026" i="11"/>
  <c r="D2025" i="11"/>
  <c r="D2591" i="11"/>
  <c r="C2591" i="11"/>
  <c r="E2591" i="11"/>
  <c r="B2592" i="11"/>
  <c r="C351" i="11"/>
  <c r="D351" i="11"/>
  <c r="B352" i="11"/>
  <c r="C251" i="11"/>
  <c r="B252" i="11"/>
  <c r="D251" i="11"/>
  <c r="E1066" i="11"/>
  <c r="B1067" i="11"/>
  <c r="C1066" i="11"/>
  <c r="D1066" i="11"/>
  <c r="D1819" i="11"/>
  <c r="B1820" i="11"/>
  <c r="C1819" i="11"/>
  <c r="E1819" i="11"/>
  <c r="C1613" i="11"/>
  <c r="D1613" i="11"/>
  <c r="E1613" i="11"/>
  <c r="B1614" i="11"/>
  <c r="D655" i="11"/>
  <c r="B656" i="11"/>
  <c r="C655" i="11"/>
  <c r="E655" i="11"/>
  <c r="C153" i="11"/>
  <c r="B154" i="11"/>
  <c r="D153" i="11"/>
  <c r="C1376" i="11"/>
  <c r="D1376" i="11"/>
  <c r="E1376" i="11"/>
  <c r="B1377" i="11"/>
  <c r="D2179" i="11"/>
  <c r="C2179" i="11"/>
  <c r="E2179" i="11"/>
  <c r="B2180" i="11"/>
  <c r="C1170" i="11"/>
  <c r="D1170" i="11"/>
  <c r="E1170" i="11"/>
  <c r="B1171" i="11"/>
  <c r="C552" i="11"/>
  <c r="D552" i="11"/>
  <c r="E552" i="11"/>
  <c r="B553" i="11"/>
  <c r="C2490" i="11"/>
  <c r="D2490" i="11"/>
  <c r="B2491" i="11"/>
  <c r="E2490" i="11"/>
  <c r="C1273" i="11"/>
  <c r="B1274" i="11"/>
  <c r="D1273" i="11"/>
  <c r="E1273" i="11"/>
  <c r="D2385" i="11"/>
  <c r="C2385" i="11"/>
  <c r="E2385" i="11"/>
  <c r="B2386" i="11"/>
  <c r="C964" i="11"/>
  <c r="E964" i="11"/>
  <c r="D964" i="11"/>
  <c r="B965" i="11"/>
  <c r="B759" i="11"/>
  <c r="D758" i="11"/>
  <c r="E758" i="11"/>
  <c r="C758" i="11"/>
  <c r="E2282" i="11"/>
  <c r="B2283" i="11"/>
  <c r="C2282" i="11"/>
  <c r="D2282" i="11"/>
  <c r="C2695" i="11"/>
  <c r="D2695" i="11"/>
  <c r="E2695" i="11"/>
  <c r="B2696" i="11"/>
  <c r="C449" i="11"/>
  <c r="D449" i="11"/>
  <c r="B450" i="11"/>
  <c r="C54" i="11"/>
  <c r="D54" i="11"/>
  <c r="E54" i="11"/>
  <c r="B55" i="11"/>
  <c r="C3004" i="11"/>
  <c r="D3004" i="11"/>
  <c r="E3004" i="11"/>
  <c r="B3005" i="11"/>
  <c r="C1493" i="11"/>
  <c r="D1493" i="11"/>
  <c r="E1493" i="11"/>
  <c r="B1494" i="11"/>
  <c r="C1922" i="11"/>
  <c r="D1922" i="11"/>
  <c r="E1922" i="11"/>
  <c r="B1923" i="11"/>
  <c r="M43" i="32"/>
  <c r="D44" i="32"/>
  <c r="H44" i="32"/>
  <c r="J44" i="32"/>
  <c r="F44" i="32"/>
  <c r="E44" i="32"/>
  <c r="C45" i="32"/>
  <c r="L24" i="26"/>
  <c r="F25" i="26"/>
  <c r="H25" i="26"/>
  <c r="E25" i="26"/>
  <c r="D25" i="26"/>
  <c r="K25" i="26" s="1"/>
  <c r="C26" i="26"/>
  <c r="J26" i="26" s="1"/>
  <c r="D2951" i="11" l="1"/>
  <c r="E2951" i="11"/>
  <c r="C2951" i="11"/>
  <c r="D2950" i="11"/>
  <c r="E2950" i="11"/>
  <c r="C2950" i="11"/>
  <c r="D2949" i="11"/>
  <c r="E2949" i="11"/>
  <c r="C2949" i="11"/>
  <c r="D2948" i="11"/>
  <c r="E2948" i="11"/>
  <c r="C2948" i="11"/>
  <c r="D2947" i="11"/>
  <c r="E2947" i="11"/>
  <c r="C2947" i="11"/>
  <c r="E2946" i="11"/>
  <c r="D2946" i="11"/>
  <c r="C2946" i="11"/>
  <c r="E2945" i="11"/>
  <c r="D2945" i="11"/>
  <c r="C2945" i="11"/>
  <c r="D2944" i="11"/>
  <c r="E2944" i="11"/>
  <c r="C2944" i="11"/>
  <c r="D2943" i="11"/>
  <c r="E2943" i="11"/>
  <c r="C2943" i="11"/>
  <c r="D2942" i="11"/>
  <c r="E2942" i="11"/>
  <c r="C2942" i="11"/>
  <c r="D2941" i="11"/>
  <c r="E2941" i="11"/>
  <c r="C2941" i="11"/>
  <c r="D2940" i="11"/>
  <c r="E2940" i="11"/>
  <c r="C2940" i="11"/>
  <c r="D2939" i="11"/>
  <c r="E2939" i="11"/>
  <c r="C2939" i="11"/>
  <c r="D2938" i="11"/>
  <c r="E2938" i="11"/>
  <c r="C2938" i="11"/>
  <c r="D2937" i="11"/>
  <c r="E2937" i="11"/>
  <c r="C2937" i="11"/>
  <c r="D2936" i="11"/>
  <c r="E2936" i="11"/>
  <c r="C2936" i="11"/>
  <c r="D2935" i="11"/>
  <c r="E2935" i="11"/>
  <c r="C2935" i="11"/>
  <c r="D2934" i="11"/>
  <c r="E2934" i="11"/>
  <c r="C2934" i="11"/>
  <c r="E2933" i="11"/>
  <c r="D2933" i="11"/>
  <c r="C2933" i="11"/>
  <c r="D2932" i="11"/>
  <c r="E2932" i="11"/>
  <c r="C2932" i="11"/>
  <c r="D2931" i="11"/>
  <c r="E2931" i="11"/>
  <c r="C2931" i="11"/>
  <c r="D2930" i="11"/>
  <c r="E2930" i="11"/>
  <c r="C2930" i="11"/>
  <c r="D2929" i="11"/>
  <c r="E2929" i="11"/>
  <c r="C2929" i="11"/>
  <c r="E2928" i="11"/>
  <c r="D2928" i="11"/>
  <c r="C2928" i="11"/>
  <c r="D2927" i="11"/>
  <c r="E2927" i="11"/>
  <c r="C2927" i="11"/>
  <c r="D2926" i="11"/>
  <c r="E2926" i="11"/>
  <c r="C2926" i="11"/>
  <c r="D2925" i="11"/>
  <c r="E2925" i="11"/>
  <c r="C2925" i="11"/>
  <c r="D2924" i="11"/>
  <c r="E2924" i="11"/>
  <c r="C2924" i="11"/>
  <c r="D2923" i="11"/>
  <c r="E2923" i="11"/>
  <c r="C2923" i="11"/>
  <c r="D2922" i="11"/>
  <c r="E2922" i="11"/>
  <c r="C2922" i="11"/>
  <c r="D2921" i="11"/>
  <c r="E2921" i="11"/>
  <c r="C2921" i="11"/>
  <c r="D2920" i="11"/>
  <c r="E2920" i="11"/>
  <c r="C2920" i="11"/>
  <c r="D2919" i="11"/>
  <c r="E2919" i="11"/>
  <c r="C2919" i="11"/>
  <c r="D2918" i="11"/>
  <c r="E2918" i="11"/>
  <c r="C2918" i="11"/>
  <c r="K44" i="32"/>
  <c r="I44" i="32"/>
  <c r="M25" i="26"/>
  <c r="B2027" i="11"/>
  <c r="C2026" i="11"/>
  <c r="D2026" i="11"/>
  <c r="D2592" i="11"/>
  <c r="E2592" i="11"/>
  <c r="B2593" i="11"/>
  <c r="C2592" i="11"/>
  <c r="C1716" i="11"/>
  <c r="B1717" i="11"/>
  <c r="D1716" i="11"/>
  <c r="E1716" i="11"/>
  <c r="E2026" i="11" s="1"/>
  <c r="C2491" i="11"/>
  <c r="D2491" i="11"/>
  <c r="B2492" i="11"/>
  <c r="E2491" i="11"/>
  <c r="C154" i="11"/>
  <c r="D154" i="11"/>
  <c r="B155" i="11"/>
  <c r="C1067" i="11"/>
  <c r="D1067" i="11"/>
  <c r="E1067" i="11"/>
  <c r="B1068" i="11"/>
  <c r="B2697" i="11"/>
  <c r="C2696" i="11"/>
  <c r="D2696" i="11"/>
  <c r="E2696" i="11"/>
  <c r="D759" i="11"/>
  <c r="C759" i="11"/>
  <c r="B760" i="11"/>
  <c r="E759" i="11"/>
  <c r="B2284" i="11"/>
  <c r="C2283" i="11"/>
  <c r="D2283" i="11"/>
  <c r="E2283" i="11"/>
  <c r="C965" i="11"/>
  <c r="E965" i="11"/>
  <c r="B966" i="11"/>
  <c r="D965" i="11"/>
  <c r="B554" i="11"/>
  <c r="C553" i="11"/>
  <c r="D553" i="11"/>
  <c r="E553" i="11"/>
  <c r="C2180" i="11"/>
  <c r="D2180" i="11"/>
  <c r="E2180" i="11"/>
  <c r="B2181" i="11"/>
  <c r="E1377" i="11"/>
  <c r="B1378" i="11"/>
  <c r="C1377" i="11"/>
  <c r="D1377" i="11"/>
  <c r="C252" i="11"/>
  <c r="D252" i="11"/>
  <c r="B253" i="11"/>
  <c r="D656" i="11"/>
  <c r="B657" i="11"/>
  <c r="C656" i="11"/>
  <c r="E656" i="11"/>
  <c r="D1820" i="11"/>
  <c r="C1820" i="11"/>
  <c r="E1820" i="11"/>
  <c r="B1821" i="11"/>
  <c r="D1274" i="11"/>
  <c r="B1275" i="11"/>
  <c r="C1274" i="11"/>
  <c r="E1274" i="11"/>
  <c r="C352" i="11"/>
  <c r="D352" i="11"/>
  <c r="B353" i="11"/>
  <c r="B1924" i="11"/>
  <c r="C1923" i="11"/>
  <c r="D1923" i="11"/>
  <c r="E1923" i="11"/>
  <c r="B1495" i="11"/>
  <c r="C1494" i="11"/>
  <c r="D1494" i="11"/>
  <c r="E1494" i="11"/>
  <c r="D55" i="11"/>
  <c r="E55" i="11"/>
  <c r="B56" i="11"/>
  <c r="C55" i="11"/>
  <c r="C1614" i="11"/>
  <c r="D1614" i="11"/>
  <c r="E1614" i="11"/>
  <c r="B1615" i="11"/>
  <c r="D3005" i="11"/>
  <c r="E3005" i="11"/>
  <c r="B3006" i="11"/>
  <c r="C3005" i="11"/>
  <c r="D450" i="11"/>
  <c r="B451" i="11"/>
  <c r="C450" i="11"/>
  <c r="C2386" i="11"/>
  <c r="D2386" i="11"/>
  <c r="E2386" i="11"/>
  <c r="B2387" i="11"/>
  <c r="B1172" i="11"/>
  <c r="C1171" i="11"/>
  <c r="D1171" i="11"/>
  <c r="E1171" i="11"/>
  <c r="M44" i="32"/>
  <c r="L44" i="32"/>
  <c r="H45" i="32"/>
  <c r="E45" i="32"/>
  <c r="C46" i="32"/>
  <c r="J45" i="32"/>
  <c r="F45" i="32"/>
  <c r="D45" i="32"/>
  <c r="L25" i="26"/>
  <c r="F26" i="26"/>
  <c r="H26" i="26"/>
  <c r="D26" i="26"/>
  <c r="K26" i="26" s="1"/>
  <c r="E26" i="26"/>
  <c r="C27" i="26"/>
  <c r="J27" i="26" s="1"/>
  <c r="I45" i="32" l="1"/>
  <c r="K45" i="32"/>
  <c r="M26" i="26"/>
  <c r="B2594" i="11"/>
  <c r="D2593" i="11"/>
  <c r="C2593" i="11"/>
  <c r="E2593" i="11"/>
  <c r="E1717" i="11"/>
  <c r="E2027" i="11" s="1"/>
  <c r="C1717" i="11"/>
  <c r="D1717" i="11"/>
  <c r="B1718" i="11"/>
  <c r="C2027" i="11"/>
  <c r="D2027" i="11"/>
  <c r="B2028" i="11"/>
  <c r="C451" i="11"/>
  <c r="D451" i="11"/>
  <c r="B452" i="11"/>
  <c r="C1924" i="11"/>
  <c r="D1924" i="11"/>
  <c r="E1924" i="11"/>
  <c r="B1925" i="11"/>
  <c r="D2181" i="11"/>
  <c r="C2181" i="11"/>
  <c r="E2181" i="11"/>
  <c r="B2182" i="11"/>
  <c r="C1172" i="11"/>
  <c r="D1172" i="11"/>
  <c r="E1172" i="11"/>
  <c r="B1173" i="11"/>
  <c r="D2387" i="11"/>
  <c r="C2387" i="11"/>
  <c r="E2387" i="11"/>
  <c r="B2388" i="11"/>
  <c r="C3006" i="11"/>
  <c r="D3006" i="11"/>
  <c r="E3006" i="11"/>
  <c r="B3007" i="11"/>
  <c r="E2284" i="11"/>
  <c r="B2285" i="11"/>
  <c r="C2284" i="11"/>
  <c r="D2284" i="11"/>
  <c r="C2697" i="11"/>
  <c r="D2697" i="11"/>
  <c r="E2697" i="11"/>
  <c r="B2698" i="11"/>
  <c r="C1068" i="11"/>
  <c r="D1068" i="11"/>
  <c r="E1068" i="11"/>
  <c r="B1069" i="11"/>
  <c r="B761" i="11"/>
  <c r="D760" i="11"/>
  <c r="C760" i="11"/>
  <c r="E760" i="11"/>
  <c r="C1615" i="11"/>
  <c r="D1615" i="11"/>
  <c r="E1615" i="11"/>
  <c r="B1616" i="11"/>
  <c r="C56" i="11"/>
  <c r="D56" i="11"/>
  <c r="B57" i="11"/>
  <c r="E56" i="11"/>
  <c r="C1275" i="11"/>
  <c r="B1276" i="11"/>
  <c r="E1275" i="11"/>
  <c r="D1275" i="11"/>
  <c r="D657" i="11"/>
  <c r="B658" i="11"/>
  <c r="C657" i="11"/>
  <c r="E657" i="11"/>
  <c r="C1378" i="11"/>
  <c r="D1378" i="11"/>
  <c r="E1378" i="11"/>
  <c r="B1379" i="11"/>
  <c r="C554" i="11"/>
  <c r="D554" i="11"/>
  <c r="E554" i="11"/>
  <c r="B555" i="11"/>
  <c r="C1495" i="11"/>
  <c r="D1495" i="11"/>
  <c r="E1495" i="11"/>
  <c r="B1496" i="11"/>
  <c r="B156" i="11"/>
  <c r="C155" i="11"/>
  <c r="D155" i="11"/>
  <c r="C2492" i="11"/>
  <c r="D2492" i="11"/>
  <c r="B2493" i="11"/>
  <c r="E2492" i="11"/>
  <c r="D1821" i="11"/>
  <c r="B1822" i="11"/>
  <c r="C1821" i="11"/>
  <c r="E1821" i="11"/>
  <c r="C353" i="11"/>
  <c r="D353" i="11"/>
  <c r="B354" i="11"/>
  <c r="C253" i="11"/>
  <c r="B254" i="11"/>
  <c r="D253" i="11"/>
  <c r="C966" i="11"/>
  <c r="E966" i="11"/>
  <c r="D966" i="11"/>
  <c r="B967" i="11"/>
  <c r="C47" i="32"/>
  <c r="F46" i="32"/>
  <c r="E46" i="32"/>
  <c r="J46" i="32"/>
  <c r="H46" i="32"/>
  <c r="D46" i="32"/>
  <c r="M45" i="32"/>
  <c r="L45" i="32"/>
  <c r="L26" i="26"/>
  <c r="F27" i="26"/>
  <c r="H27" i="26"/>
  <c r="E27" i="26"/>
  <c r="C28" i="26"/>
  <c r="J28" i="26" s="1"/>
  <c r="D27" i="26"/>
  <c r="K27" i="26" s="1"/>
  <c r="D19" i="24"/>
  <c r="P21" i="24" s="1"/>
  <c r="E2078" i="11" l="1"/>
  <c r="I46" i="32"/>
  <c r="K46" i="32"/>
  <c r="M27" i="26"/>
  <c r="B2029" i="11"/>
  <c r="D2028" i="11"/>
  <c r="C2028" i="11"/>
  <c r="C1718" i="11"/>
  <c r="D1718" i="11"/>
  <c r="E1718" i="11"/>
  <c r="E2028" i="11" s="1"/>
  <c r="B1719" i="11"/>
  <c r="E2594" i="11"/>
  <c r="B2595" i="11"/>
  <c r="C2594" i="11"/>
  <c r="D2594" i="11"/>
  <c r="D1276" i="11"/>
  <c r="B1277" i="11"/>
  <c r="C1276" i="11"/>
  <c r="E1276" i="11"/>
  <c r="D1822" i="11"/>
  <c r="C1822" i="11"/>
  <c r="E1822" i="11"/>
  <c r="B1823" i="11"/>
  <c r="D156" i="11"/>
  <c r="B157" i="11"/>
  <c r="C156" i="11"/>
  <c r="E1379" i="11"/>
  <c r="B1380" i="11"/>
  <c r="C1379" i="11"/>
  <c r="D1379" i="11"/>
  <c r="C1616" i="11"/>
  <c r="D1616" i="11"/>
  <c r="E1616" i="11"/>
  <c r="B1617" i="11"/>
  <c r="D254" i="11"/>
  <c r="C254" i="11"/>
  <c r="B255" i="11"/>
  <c r="B1497" i="11"/>
  <c r="C1496" i="11"/>
  <c r="D1496" i="11"/>
  <c r="E1496" i="11"/>
  <c r="C1069" i="11"/>
  <c r="D1069" i="11"/>
  <c r="E1069" i="11"/>
  <c r="B1070" i="11"/>
  <c r="B2699" i="11"/>
  <c r="C2698" i="11"/>
  <c r="D2698" i="11"/>
  <c r="E2698" i="11"/>
  <c r="D3007" i="11"/>
  <c r="E3007" i="11"/>
  <c r="B3008" i="11"/>
  <c r="C3007" i="11"/>
  <c r="B1174" i="11"/>
  <c r="C1173" i="11"/>
  <c r="D1173" i="11"/>
  <c r="E1173" i="11"/>
  <c r="B1926" i="11"/>
  <c r="C1925" i="11"/>
  <c r="D1925" i="11"/>
  <c r="E1925" i="11"/>
  <c r="C354" i="11"/>
  <c r="D354" i="11"/>
  <c r="B355" i="11"/>
  <c r="C2493" i="11"/>
  <c r="D2493" i="11"/>
  <c r="B2494" i="11"/>
  <c r="E2493" i="11"/>
  <c r="D57" i="11"/>
  <c r="B58" i="11"/>
  <c r="C57" i="11"/>
  <c r="E57" i="11"/>
  <c r="D2388" i="11"/>
  <c r="E2388" i="11"/>
  <c r="B2389" i="11"/>
  <c r="C2388" i="11"/>
  <c r="C2182" i="11"/>
  <c r="D2182" i="11"/>
  <c r="E2182" i="11"/>
  <c r="B2183" i="11"/>
  <c r="C452" i="11"/>
  <c r="D452" i="11"/>
  <c r="B453" i="11"/>
  <c r="C967" i="11"/>
  <c r="E967" i="11"/>
  <c r="D967" i="11"/>
  <c r="B968" i="11"/>
  <c r="B556" i="11"/>
  <c r="C555" i="11"/>
  <c r="D555" i="11"/>
  <c r="E555" i="11"/>
  <c r="D658" i="11"/>
  <c r="B659" i="11"/>
  <c r="C658" i="11"/>
  <c r="E658" i="11"/>
  <c r="C761" i="11"/>
  <c r="D761" i="11"/>
  <c r="E761" i="11"/>
  <c r="B762" i="11"/>
  <c r="B2286" i="11"/>
  <c r="D2285" i="11"/>
  <c r="E2285" i="11"/>
  <c r="C2285" i="11"/>
  <c r="M46" i="32"/>
  <c r="L46" i="32"/>
  <c r="J47" i="32"/>
  <c r="E47" i="32"/>
  <c r="D47" i="32"/>
  <c r="C48" i="32"/>
  <c r="H47" i="32"/>
  <c r="F47" i="32"/>
  <c r="L27" i="26"/>
  <c r="F28" i="26"/>
  <c r="H28" i="26"/>
  <c r="C29" i="26"/>
  <c r="J29" i="26" s="1"/>
  <c r="D28" i="26"/>
  <c r="K28" i="26" s="1"/>
  <c r="E28" i="26"/>
  <c r="D17" i="24"/>
  <c r="P1" i="24" s="1"/>
  <c r="K2" i="24"/>
  <c r="J2" i="24"/>
  <c r="E2079" i="11" l="1"/>
  <c r="I47" i="32"/>
  <c r="K47" i="32"/>
  <c r="M28" i="26"/>
  <c r="D1719" i="11"/>
  <c r="B1720" i="11"/>
  <c r="E1719" i="11"/>
  <c r="E2029" i="11" s="1"/>
  <c r="C1719" i="11"/>
  <c r="D2595" i="11"/>
  <c r="E2595" i="11"/>
  <c r="B2596" i="11"/>
  <c r="C2595" i="11"/>
  <c r="C2029" i="11"/>
  <c r="D2029" i="11"/>
  <c r="B2030" i="11"/>
  <c r="C1070" i="11"/>
  <c r="D1070" i="11"/>
  <c r="E1070" i="11"/>
  <c r="B1071" i="11"/>
  <c r="E2286" i="11"/>
  <c r="B2287" i="11"/>
  <c r="C2286" i="11"/>
  <c r="D2286" i="11"/>
  <c r="C1926" i="11"/>
  <c r="D1926" i="11"/>
  <c r="E1926" i="11"/>
  <c r="B1927" i="11"/>
  <c r="C1497" i="11"/>
  <c r="D1497" i="11"/>
  <c r="B1498" i="11"/>
  <c r="E1497" i="11"/>
  <c r="D1823" i="11"/>
  <c r="B1824" i="11"/>
  <c r="C1823" i="11"/>
  <c r="E1823" i="11"/>
  <c r="B256" i="11"/>
  <c r="C255" i="11"/>
  <c r="D255" i="11"/>
  <c r="C556" i="11"/>
  <c r="D556" i="11"/>
  <c r="E556" i="11"/>
  <c r="B557" i="11"/>
  <c r="D2183" i="11"/>
  <c r="C2183" i="11"/>
  <c r="E2183" i="11"/>
  <c r="B2184" i="11"/>
  <c r="B356" i="11"/>
  <c r="C355" i="11"/>
  <c r="D355" i="11"/>
  <c r="C1380" i="11"/>
  <c r="D1380" i="11"/>
  <c r="E1380" i="11"/>
  <c r="B1381" i="11"/>
  <c r="C968" i="11"/>
  <c r="E968" i="11"/>
  <c r="D968" i="11"/>
  <c r="B969" i="11"/>
  <c r="B763" i="11"/>
  <c r="C762" i="11"/>
  <c r="E762" i="11"/>
  <c r="D762" i="11"/>
  <c r="C58" i="11"/>
  <c r="D58" i="11"/>
  <c r="B59" i="11"/>
  <c r="E58" i="11"/>
  <c r="C1174" i="11"/>
  <c r="D1174" i="11"/>
  <c r="E1174" i="11"/>
  <c r="B1175" i="11"/>
  <c r="C2699" i="11"/>
  <c r="D2699" i="11"/>
  <c r="E2699" i="11"/>
  <c r="B2700" i="11"/>
  <c r="C1617" i="11"/>
  <c r="D1617" i="11"/>
  <c r="E1617" i="11"/>
  <c r="B1618" i="11"/>
  <c r="C3008" i="11"/>
  <c r="D3008" i="11"/>
  <c r="E3008" i="11"/>
  <c r="B3009" i="11"/>
  <c r="C157" i="11"/>
  <c r="D157" i="11"/>
  <c r="B158" i="11"/>
  <c r="C1277" i="11"/>
  <c r="B1278" i="11"/>
  <c r="D1277" i="11"/>
  <c r="E1277" i="11"/>
  <c r="D659" i="11"/>
  <c r="B660" i="11"/>
  <c r="C659" i="11"/>
  <c r="E659" i="11"/>
  <c r="C453" i="11"/>
  <c r="D453" i="11"/>
  <c r="B454" i="11"/>
  <c r="D2389" i="11"/>
  <c r="C2389" i="11"/>
  <c r="E2389" i="11"/>
  <c r="B2390" i="11"/>
  <c r="C2494" i="11"/>
  <c r="D2494" i="11"/>
  <c r="B2495" i="11"/>
  <c r="E2494" i="11"/>
  <c r="H48" i="32"/>
  <c r="D48" i="32"/>
  <c r="F48" i="32"/>
  <c r="E48" i="32"/>
  <c r="C49" i="32"/>
  <c r="J48" i="32"/>
  <c r="L47" i="32"/>
  <c r="M47" i="32"/>
  <c r="L28" i="26"/>
  <c r="F29" i="26"/>
  <c r="H29" i="26"/>
  <c r="E29" i="26"/>
  <c r="D29" i="26"/>
  <c r="K29" i="26" s="1"/>
  <c r="C30" i="26"/>
  <c r="J30" i="26" s="1"/>
  <c r="E2080" i="11" l="1"/>
  <c r="I48" i="32"/>
  <c r="K48" i="32"/>
  <c r="M29" i="26"/>
  <c r="C2596" i="11"/>
  <c r="D2596" i="11"/>
  <c r="E2596" i="11"/>
  <c r="B2597" i="11"/>
  <c r="B2031" i="11"/>
  <c r="C2030" i="11"/>
  <c r="D2030" i="11"/>
  <c r="D1720" i="11"/>
  <c r="E1720" i="11"/>
  <c r="E2030" i="11" s="1"/>
  <c r="B1721" i="11"/>
  <c r="C1720" i="11"/>
  <c r="D158" i="11"/>
  <c r="C158" i="11"/>
  <c r="B159" i="11"/>
  <c r="E2390" i="11"/>
  <c r="B2391" i="11"/>
  <c r="C2390" i="11"/>
  <c r="D2390" i="11"/>
  <c r="C356" i="11"/>
  <c r="D356" i="11"/>
  <c r="B357" i="11"/>
  <c r="B1928" i="11"/>
  <c r="C1927" i="11"/>
  <c r="D1927" i="11"/>
  <c r="E1927" i="11"/>
  <c r="C2184" i="11"/>
  <c r="D2184" i="11"/>
  <c r="E2184" i="11"/>
  <c r="B2185" i="11"/>
  <c r="D3009" i="11"/>
  <c r="E3009" i="11"/>
  <c r="B3010" i="11"/>
  <c r="C3009" i="11"/>
  <c r="B1176" i="11"/>
  <c r="C1175" i="11"/>
  <c r="D1175" i="11"/>
  <c r="E1175" i="11"/>
  <c r="E1381" i="11"/>
  <c r="B1382" i="11"/>
  <c r="C1381" i="11"/>
  <c r="D1381" i="11"/>
  <c r="D1824" i="11"/>
  <c r="C1824" i="11"/>
  <c r="E1824" i="11"/>
  <c r="B1825" i="11"/>
  <c r="B2288" i="11"/>
  <c r="C2287" i="11"/>
  <c r="D2287" i="11"/>
  <c r="E2287" i="11"/>
  <c r="C454" i="11"/>
  <c r="D454" i="11"/>
  <c r="B455" i="11"/>
  <c r="D1071" i="11"/>
  <c r="E1071" i="11"/>
  <c r="B1072" i="11"/>
  <c r="C1071" i="11"/>
  <c r="B558" i="11"/>
  <c r="C557" i="11"/>
  <c r="D557" i="11"/>
  <c r="E557" i="11"/>
  <c r="B1499" i="11"/>
  <c r="C1498" i="11"/>
  <c r="D1498" i="11"/>
  <c r="E1498" i="11"/>
  <c r="D1278" i="11"/>
  <c r="B1279" i="11"/>
  <c r="C1278" i="11"/>
  <c r="E1278" i="11"/>
  <c r="C1618" i="11"/>
  <c r="D1618" i="11"/>
  <c r="E1618" i="11"/>
  <c r="B1619" i="11"/>
  <c r="B2701" i="11"/>
  <c r="C2700" i="11"/>
  <c r="D2700" i="11"/>
  <c r="E2700" i="11"/>
  <c r="C969" i="11"/>
  <c r="E969" i="11"/>
  <c r="B970" i="11"/>
  <c r="D969" i="11"/>
  <c r="D256" i="11"/>
  <c r="C256" i="11"/>
  <c r="B257" i="11"/>
  <c r="D660" i="11"/>
  <c r="B661" i="11"/>
  <c r="C660" i="11"/>
  <c r="E660" i="11"/>
  <c r="C2495" i="11"/>
  <c r="D2495" i="11"/>
  <c r="B2496" i="11"/>
  <c r="E2495" i="11"/>
  <c r="D763" i="11"/>
  <c r="E763" i="11"/>
  <c r="B764" i="11"/>
  <c r="C763" i="11"/>
  <c r="D59" i="11"/>
  <c r="B60" i="11"/>
  <c r="C59" i="11"/>
  <c r="E59" i="11"/>
  <c r="E49" i="32"/>
  <c r="D49" i="32"/>
  <c r="H49" i="32"/>
  <c r="C50" i="32"/>
  <c r="J49" i="32"/>
  <c r="F49" i="32"/>
  <c r="L48" i="32"/>
  <c r="M48" i="32"/>
  <c r="L29" i="26"/>
  <c r="C31" i="26"/>
  <c r="J31" i="26" s="1"/>
  <c r="D30" i="26"/>
  <c r="K30" i="26" s="1"/>
  <c r="E30" i="26"/>
  <c r="E2081" i="11" l="1"/>
  <c r="I49" i="32"/>
  <c r="K49" i="32"/>
  <c r="B2032" i="11"/>
  <c r="D2031" i="11"/>
  <c r="C2031" i="11"/>
  <c r="D2597" i="11"/>
  <c r="C2597" i="11"/>
  <c r="B2598" i="11"/>
  <c r="E2597" i="11"/>
  <c r="E1721" i="11"/>
  <c r="E2031" i="11" s="1"/>
  <c r="C1721" i="11"/>
  <c r="D1721" i="11"/>
  <c r="B1722" i="11"/>
  <c r="C1499" i="11"/>
  <c r="D1499" i="11"/>
  <c r="B1500" i="11"/>
  <c r="E1499" i="11"/>
  <c r="C970" i="11"/>
  <c r="E970" i="11"/>
  <c r="D970" i="11"/>
  <c r="B971" i="11"/>
  <c r="C1072" i="11"/>
  <c r="D1072" i="11"/>
  <c r="E1072" i="11"/>
  <c r="B1073" i="11"/>
  <c r="C1176" i="11"/>
  <c r="D1176" i="11"/>
  <c r="E1176" i="11"/>
  <c r="B1177" i="11"/>
  <c r="D661" i="11"/>
  <c r="B662" i="11"/>
  <c r="C661" i="11"/>
  <c r="E661" i="11"/>
  <c r="B765" i="11"/>
  <c r="D764" i="11"/>
  <c r="E764" i="11"/>
  <c r="C764" i="11"/>
  <c r="E2288" i="11"/>
  <c r="B2289" i="11"/>
  <c r="D2288" i="11"/>
  <c r="C2288" i="11"/>
  <c r="C1382" i="11"/>
  <c r="D1382" i="11"/>
  <c r="E1382" i="11"/>
  <c r="B1383" i="11"/>
  <c r="C3010" i="11"/>
  <c r="D3010" i="11"/>
  <c r="E3010" i="11"/>
  <c r="B3011" i="11"/>
  <c r="D2391" i="11"/>
  <c r="C2391" i="11"/>
  <c r="E2391" i="11"/>
  <c r="B2392" i="11"/>
  <c r="C2496" i="11"/>
  <c r="D2496" i="11"/>
  <c r="B2497" i="11"/>
  <c r="E2496" i="11"/>
  <c r="C1928" i="11"/>
  <c r="D1928" i="11"/>
  <c r="E1928" i="11"/>
  <c r="B1929" i="11"/>
  <c r="C159" i="11"/>
  <c r="D159" i="11"/>
  <c r="B160" i="11"/>
  <c r="C257" i="11"/>
  <c r="D257" i="11"/>
  <c r="B258" i="11"/>
  <c r="B1280" i="11"/>
  <c r="D1279" i="11"/>
  <c r="E1279" i="11"/>
  <c r="C1279" i="11"/>
  <c r="C60" i="11"/>
  <c r="D60" i="11"/>
  <c r="B61" i="11"/>
  <c r="E60" i="11"/>
  <c r="C2701" i="11"/>
  <c r="D2701" i="11"/>
  <c r="E2701" i="11"/>
  <c r="B2702" i="11"/>
  <c r="C558" i="11"/>
  <c r="D558" i="11"/>
  <c r="E558" i="11"/>
  <c r="B559" i="11"/>
  <c r="D2185" i="11"/>
  <c r="E2185" i="11"/>
  <c r="B2186" i="11"/>
  <c r="C2185" i="11"/>
  <c r="C357" i="11"/>
  <c r="D357" i="11"/>
  <c r="B358" i="11"/>
  <c r="D1825" i="11"/>
  <c r="B1826" i="11"/>
  <c r="C1825" i="11"/>
  <c r="E1825" i="11"/>
  <c r="C1619" i="11"/>
  <c r="D1619" i="11"/>
  <c r="E1619" i="11"/>
  <c r="B1620" i="11"/>
  <c r="B456" i="11"/>
  <c r="C455" i="11"/>
  <c r="D455" i="11"/>
  <c r="L49" i="32"/>
  <c r="J50" i="32"/>
  <c r="C51" i="32"/>
  <c r="F50" i="32"/>
  <c r="H50" i="32"/>
  <c r="E50" i="32"/>
  <c r="D50" i="32"/>
  <c r="M49" i="32"/>
  <c r="H31" i="26"/>
  <c r="E31" i="26"/>
  <c r="D31" i="26"/>
  <c r="K31" i="26" s="1"/>
  <c r="C32" i="26"/>
  <c r="J32" i="26" s="1"/>
  <c r="H11" i="26"/>
  <c r="E2082" i="11" l="1"/>
  <c r="K50" i="32"/>
  <c r="I50" i="32"/>
  <c r="M31" i="26"/>
  <c r="D2598" i="11"/>
  <c r="E2598" i="11"/>
  <c r="B2599" i="11"/>
  <c r="C2598" i="11"/>
  <c r="E1722" i="11"/>
  <c r="E2032" i="11" s="1"/>
  <c r="B1723" i="11"/>
  <c r="D1722" i="11"/>
  <c r="C1722" i="11"/>
  <c r="B2033" i="11"/>
  <c r="C2032" i="11"/>
  <c r="D2032" i="11"/>
  <c r="C1620" i="11"/>
  <c r="D1620" i="11"/>
  <c r="E1620" i="11"/>
  <c r="B1621" i="11"/>
  <c r="D358" i="11"/>
  <c r="B359" i="11"/>
  <c r="C358" i="11"/>
  <c r="B1930" i="11"/>
  <c r="C1929" i="11"/>
  <c r="D1929" i="11"/>
  <c r="E1929" i="11"/>
  <c r="E765" i="11"/>
  <c r="B766" i="11"/>
  <c r="C765" i="11"/>
  <c r="D765" i="11"/>
  <c r="C971" i="11"/>
  <c r="E971" i="11"/>
  <c r="D971" i="11"/>
  <c r="B972" i="11"/>
  <c r="B2393" i="11"/>
  <c r="C2392" i="11"/>
  <c r="D2392" i="11"/>
  <c r="E2392" i="11"/>
  <c r="E1383" i="11"/>
  <c r="B1384" i="11"/>
  <c r="C1383" i="11"/>
  <c r="D1383" i="11"/>
  <c r="B259" i="11"/>
  <c r="C258" i="11"/>
  <c r="D258" i="11"/>
  <c r="B2703" i="11"/>
  <c r="C2702" i="11"/>
  <c r="D2702" i="11"/>
  <c r="E2702" i="11"/>
  <c r="C2186" i="11"/>
  <c r="D2186" i="11"/>
  <c r="E2186" i="11"/>
  <c r="B2187" i="11"/>
  <c r="B2290" i="11"/>
  <c r="C2289" i="11"/>
  <c r="D2289" i="11"/>
  <c r="E2289" i="11"/>
  <c r="D662" i="11"/>
  <c r="B663" i="11"/>
  <c r="C662" i="11"/>
  <c r="E662" i="11"/>
  <c r="D1280" i="11"/>
  <c r="B1281" i="11"/>
  <c r="C1280" i="11"/>
  <c r="E1280" i="11"/>
  <c r="D1073" i="11"/>
  <c r="E1073" i="11"/>
  <c r="B1074" i="11"/>
  <c r="C1073" i="11"/>
  <c r="D1826" i="11"/>
  <c r="E1826" i="11"/>
  <c r="B1827" i="11"/>
  <c r="C1826" i="11"/>
  <c r="C160" i="11"/>
  <c r="D160" i="11"/>
  <c r="B161" i="11"/>
  <c r="C2497" i="11"/>
  <c r="B2498" i="11"/>
  <c r="D2497" i="11"/>
  <c r="E2497" i="11"/>
  <c r="D3011" i="11"/>
  <c r="E3011" i="11"/>
  <c r="B3012" i="11"/>
  <c r="C3011" i="11"/>
  <c r="B1178" i="11"/>
  <c r="C1177" i="11"/>
  <c r="D1177" i="11"/>
  <c r="E1177" i="11"/>
  <c r="B1501" i="11"/>
  <c r="C1500" i="11"/>
  <c r="D1500" i="11"/>
  <c r="E1500" i="11"/>
  <c r="C456" i="11"/>
  <c r="D456" i="11"/>
  <c r="B457" i="11"/>
  <c r="B560" i="11"/>
  <c r="C559" i="11"/>
  <c r="D559" i="11"/>
  <c r="E559" i="11"/>
  <c r="D61" i="11"/>
  <c r="B62" i="11"/>
  <c r="C61" i="11"/>
  <c r="E61" i="11"/>
  <c r="M11" i="26"/>
  <c r="L50" i="32"/>
  <c r="C52" i="32"/>
  <c r="J51" i="32"/>
  <c r="H51" i="32"/>
  <c r="E51" i="32"/>
  <c r="D51" i="32"/>
  <c r="M50" i="32"/>
  <c r="K114" i="28"/>
  <c r="R114" i="28" s="1"/>
  <c r="K120" i="28"/>
  <c r="R120" i="28" s="1"/>
  <c r="K18" i="28"/>
  <c r="K104" i="28"/>
  <c r="H32" i="26"/>
  <c r="C33" i="26"/>
  <c r="J33" i="26" s="1"/>
  <c r="E32" i="26"/>
  <c r="D32" i="26"/>
  <c r="K32" i="26" s="1"/>
  <c r="E2083" i="11" l="1"/>
  <c r="K51" i="32"/>
  <c r="I51" i="32"/>
  <c r="M32" i="26"/>
  <c r="E1723" i="11"/>
  <c r="E2033" i="11" s="1"/>
  <c r="C1723" i="11"/>
  <c r="D1723" i="11"/>
  <c r="B1724" i="11"/>
  <c r="D2599" i="11"/>
  <c r="C2599" i="11"/>
  <c r="E2599" i="11"/>
  <c r="B2600" i="11"/>
  <c r="C2033" i="11"/>
  <c r="B2034" i="11"/>
  <c r="D2033" i="11"/>
  <c r="B1282" i="11"/>
  <c r="C1281" i="11"/>
  <c r="D1281" i="11"/>
  <c r="E1281" i="11"/>
  <c r="C1930" i="11"/>
  <c r="D1930" i="11"/>
  <c r="E1930" i="11"/>
  <c r="B1931" i="11"/>
  <c r="C2498" i="11"/>
  <c r="D2498" i="11"/>
  <c r="B2499" i="11"/>
  <c r="B2500" i="11" s="1"/>
  <c r="B2501" i="11" s="1"/>
  <c r="B2502" i="11" s="1"/>
  <c r="B2503" i="11" s="1"/>
  <c r="B2504" i="11" s="1"/>
  <c r="B2505" i="11" s="1"/>
  <c r="B2506" i="11" s="1"/>
  <c r="B2507" i="11" s="1"/>
  <c r="B2508" i="11" s="1"/>
  <c r="B2509" i="11" s="1"/>
  <c r="B2510" i="11" s="1"/>
  <c r="B2511" i="11" s="1"/>
  <c r="B2512" i="11" s="1"/>
  <c r="B2513" i="11" s="1"/>
  <c r="B2514" i="11" s="1"/>
  <c r="B2515" i="11" s="1"/>
  <c r="B2516" i="11" s="1"/>
  <c r="B2517" i="11" s="1"/>
  <c r="B2518" i="11" s="1"/>
  <c r="B2519" i="11" s="1"/>
  <c r="B2520" i="11" s="1"/>
  <c r="B2521" i="11" s="1"/>
  <c r="B2522" i="11" s="1"/>
  <c r="B2523" i="11" s="1"/>
  <c r="B2524" i="11" s="1"/>
  <c r="B2525" i="11" s="1"/>
  <c r="B2526" i="11" s="1"/>
  <c r="B2527" i="11" s="1"/>
  <c r="B2528" i="11" s="1"/>
  <c r="B2529" i="11" s="1"/>
  <c r="B2530" i="11" s="1"/>
  <c r="B2531" i="11" s="1"/>
  <c r="B2532" i="11" s="1"/>
  <c r="B2533" i="11" s="1"/>
  <c r="B2534" i="11" s="1"/>
  <c r="B2535" i="11" s="1"/>
  <c r="B2536" i="11" s="1"/>
  <c r="B2537" i="11" s="1"/>
  <c r="B2538" i="11" s="1"/>
  <c r="B2539" i="11" s="1"/>
  <c r="E2498" i="11"/>
  <c r="E2290" i="11"/>
  <c r="B2291" i="11"/>
  <c r="C2290" i="11"/>
  <c r="D2290" i="11"/>
  <c r="C359" i="11"/>
  <c r="D359" i="11"/>
  <c r="B360" i="11"/>
  <c r="C62" i="11"/>
  <c r="D62" i="11"/>
  <c r="B63" i="11"/>
  <c r="E62" i="11"/>
  <c r="C1501" i="11"/>
  <c r="D1501" i="11"/>
  <c r="B1502" i="11"/>
  <c r="E1501" i="11"/>
  <c r="C161" i="11"/>
  <c r="B162" i="11"/>
  <c r="D161" i="11"/>
  <c r="C1074" i="11"/>
  <c r="D1074" i="11"/>
  <c r="E1074" i="11"/>
  <c r="B1075" i="11"/>
  <c r="C259" i="11"/>
  <c r="B260" i="11"/>
  <c r="D259" i="11"/>
  <c r="C766" i="11"/>
  <c r="E766" i="11"/>
  <c r="D766" i="11"/>
  <c r="B767" i="11"/>
  <c r="C3012" i="11"/>
  <c r="D3012" i="11"/>
  <c r="E3012" i="11"/>
  <c r="B3013" i="11"/>
  <c r="D663" i="11"/>
  <c r="B664" i="11"/>
  <c r="C663" i="11"/>
  <c r="E663" i="11"/>
  <c r="D2393" i="11"/>
  <c r="C2393" i="11"/>
  <c r="E2393" i="11"/>
  <c r="B2394" i="11"/>
  <c r="C1621" i="11"/>
  <c r="D1621" i="11"/>
  <c r="E1621" i="11"/>
  <c r="B1622" i="11"/>
  <c r="C457" i="11"/>
  <c r="D457" i="11"/>
  <c r="B458" i="11"/>
  <c r="C2703" i="11"/>
  <c r="D2703" i="11"/>
  <c r="E2703" i="11"/>
  <c r="B2704" i="11"/>
  <c r="C972" i="11"/>
  <c r="E972" i="11"/>
  <c r="D972" i="11"/>
  <c r="B973" i="11"/>
  <c r="D2187" i="11"/>
  <c r="C2187" i="11"/>
  <c r="E2187" i="11"/>
  <c r="B2188" i="11"/>
  <c r="C560" i="11"/>
  <c r="D560" i="11"/>
  <c r="E560" i="11"/>
  <c r="B561" i="11"/>
  <c r="C1178" i="11"/>
  <c r="D1178" i="11"/>
  <c r="E1178" i="11"/>
  <c r="B1179" i="11"/>
  <c r="D1827" i="11"/>
  <c r="B1828" i="11"/>
  <c r="C1827" i="11"/>
  <c r="E1827" i="11"/>
  <c r="C1384" i="11"/>
  <c r="D1384" i="11"/>
  <c r="E1384" i="11"/>
  <c r="B1385" i="11"/>
  <c r="M51" i="32"/>
  <c r="D52" i="32"/>
  <c r="H52" i="32"/>
  <c r="C53" i="32"/>
  <c r="J52" i="32"/>
  <c r="E52" i="32"/>
  <c r="K24" i="28"/>
  <c r="K107" i="28"/>
  <c r="H10" i="26"/>
  <c r="H30" i="26"/>
  <c r="R18" i="28"/>
  <c r="R104" i="28"/>
  <c r="F33" i="26"/>
  <c r="H33" i="26"/>
  <c r="E33" i="26"/>
  <c r="D33" i="26"/>
  <c r="K33" i="26" s="1"/>
  <c r="C34" i="26"/>
  <c r="J34" i="26" s="1"/>
  <c r="D2539" i="11" l="1"/>
  <c r="E2539" i="11"/>
  <c r="C2539" i="11"/>
  <c r="D2538" i="11"/>
  <c r="E2538" i="11"/>
  <c r="C2538" i="11"/>
  <c r="D2537" i="11"/>
  <c r="E2537" i="11"/>
  <c r="C2537" i="11"/>
  <c r="D2536" i="11"/>
  <c r="E2536" i="11"/>
  <c r="C2536" i="11"/>
  <c r="D2535" i="11"/>
  <c r="E2535" i="11"/>
  <c r="C2535" i="11"/>
  <c r="E2534" i="11"/>
  <c r="D2534" i="11"/>
  <c r="C2534" i="11"/>
  <c r="D2533" i="11"/>
  <c r="E2533" i="11"/>
  <c r="C2533" i="11"/>
  <c r="D2532" i="11"/>
  <c r="E2532" i="11"/>
  <c r="C2532" i="11"/>
  <c r="D2531" i="11"/>
  <c r="E2531" i="11"/>
  <c r="C2531" i="11"/>
  <c r="D2530" i="11"/>
  <c r="E2530" i="11"/>
  <c r="C2530" i="11"/>
  <c r="D2529" i="11"/>
  <c r="E2529" i="11"/>
  <c r="C2529" i="11"/>
  <c r="D2528" i="11"/>
  <c r="E2528" i="11"/>
  <c r="C2528" i="11"/>
  <c r="D2527" i="11"/>
  <c r="E2527" i="11"/>
  <c r="C2527" i="11"/>
  <c r="E2084" i="11"/>
  <c r="D2526" i="11"/>
  <c r="E2526" i="11"/>
  <c r="C2526" i="11"/>
  <c r="D2525" i="11"/>
  <c r="E2525" i="11"/>
  <c r="C2525" i="11"/>
  <c r="D2524" i="11"/>
  <c r="E2524" i="11"/>
  <c r="C2524" i="11"/>
  <c r="D2523" i="11"/>
  <c r="E2523" i="11"/>
  <c r="C2523" i="11"/>
  <c r="D2522" i="11"/>
  <c r="E2522" i="11"/>
  <c r="C2522" i="11"/>
  <c r="E2521" i="11"/>
  <c r="D2521" i="11"/>
  <c r="C2521" i="11"/>
  <c r="D2520" i="11"/>
  <c r="E2520" i="11"/>
  <c r="C2520" i="11"/>
  <c r="D2519" i="11"/>
  <c r="E2519" i="11"/>
  <c r="C2519" i="11"/>
  <c r="D2518" i="11"/>
  <c r="E2518" i="11"/>
  <c r="C2518" i="11"/>
  <c r="D2517" i="11"/>
  <c r="E2517" i="11"/>
  <c r="C2517" i="11"/>
  <c r="E2516" i="11"/>
  <c r="C2516" i="11"/>
  <c r="D2516" i="11"/>
  <c r="C2515" i="11"/>
  <c r="E2515" i="11"/>
  <c r="D2515" i="11"/>
  <c r="D2514" i="11"/>
  <c r="E2514" i="11"/>
  <c r="C2514" i="11"/>
  <c r="D2513" i="11"/>
  <c r="E2513" i="11"/>
  <c r="C2513" i="11"/>
  <c r="D2512" i="11"/>
  <c r="E2512" i="11"/>
  <c r="C2512" i="11"/>
  <c r="D2511" i="11"/>
  <c r="E2511" i="11"/>
  <c r="C2511" i="11"/>
  <c r="D2510" i="11"/>
  <c r="E2510" i="11"/>
  <c r="C2510" i="11"/>
  <c r="D2509" i="11"/>
  <c r="E2509" i="11"/>
  <c r="C2509" i="11"/>
  <c r="D2508" i="11"/>
  <c r="E2508" i="11"/>
  <c r="C2508" i="11"/>
  <c r="D2507" i="11"/>
  <c r="E2507" i="11"/>
  <c r="C2507" i="11"/>
  <c r="D2506" i="11"/>
  <c r="E2506" i="11"/>
  <c r="C2506" i="11"/>
  <c r="L18" i="28"/>
  <c r="L73" i="28"/>
  <c r="L71" i="28"/>
  <c r="L72" i="28"/>
  <c r="I52" i="32"/>
  <c r="I30" i="26"/>
  <c r="K52" i="32"/>
  <c r="I10" i="26"/>
  <c r="I12" i="26"/>
  <c r="I13" i="26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11" i="26"/>
  <c r="I31" i="26"/>
  <c r="M33" i="26"/>
  <c r="I33" i="26"/>
  <c r="I32" i="26"/>
  <c r="D2505" i="11"/>
  <c r="E2505" i="11"/>
  <c r="C2505" i="11"/>
  <c r="C2504" i="11"/>
  <c r="E2504" i="11"/>
  <c r="D2504" i="11"/>
  <c r="D2503" i="11"/>
  <c r="E2503" i="11"/>
  <c r="C2503" i="11"/>
  <c r="D2502" i="11"/>
  <c r="E2502" i="11"/>
  <c r="C2502" i="11"/>
  <c r="D2501" i="11"/>
  <c r="E2501" i="11"/>
  <c r="C2501" i="11"/>
  <c r="D2500" i="11"/>
  <c r="E2500" i="11"/>
  <c r="C2500" i="11"/>
  <c r="E1724" i="11"/>
  <c r="E2034" i="11" s="1"/>
  <c r="D1724" i="11"/>
  <c r="B1725" i="11"/>
  <c r="C1724" i="11"/>
  <c r="B2035" i="11"/>
  <c r="C2034" i="11"/>
  <c r="D2034" i="11"/>
  <c r="B2601" i="11"/>
  <c r="C2600" i="11"/>
  <c r="D2600" i="11"/>
  <c r="E2600" i="11"/>
  <c r="B562" i="11"/>
  <c r="B563" i="11" s="1"/>
  <c r="B564" i="11" s="1"/>
  <c r="B565" i="11" s="1"/>
  <c r="B566" i="11" s="1"/>
  <c r="B567" i="11" s="1"/>
  <c r="B568" i="11" s="1"/>
  <c r="B569" i="11" s="1"/>
  <c r="B570" i="11" s="1"/>
  <c r="B571" i="11" s="1"/>
  <c r="B572" i="11" s="1"/>
  <c r="B573" i="11" s="1"/>
  <c r="B574" i="11" s="1"/>
  <c r="B575" i="11" s="1"/>
  <c r="B576" i="11" s="1"/>
  <c r="B577" i="11" s="1"/>
  <c r="B578" i="11" s="1"/>
  <c r="B579" i="11" s="1"/>
  <c r="B580" i="11" s="1"/>
  <c r="B581" i="11" s="1"/>
  <c r="B582" i="11" s="1"/>
  <c r="B583" i="11" s="1"/>
  <c r="B584" i="11" s="1"/>
  <c r="B585" i="11" s="1"/>
  <c r="B586" i="11" s="1"/>
  <c r="B587" i="11" s="1"/>
  <c r="B588" i="11" s="1"/>
  <c r="B589" i="11" s="1"/>
  <c r="B590" i="11" s="1"/>
  <c r="B591" i="11" s="1"/>
  <c r="B592" i="11" s="1"/>
  <c r="B593" i="11" s="1"/>
  <c r="B594" i="11" s="1"/>
  <c r="B595" i="11" s="1"/>
  <c r="B596" i="11" s="1"/>
  <c r="B597" i="11" s="1"/>
  <c r="B598" i="11" s="1"/>
  <c r="B599" i="11" s="1"/>
  <c r="B600" i="11" s="1"/>
  <c r="B601" i="11" s="1"/>
  <c r="B602" i="11" s="1"/>
  <c r="C561" i="11"/>
  <c r="D561" i="11"/>
  <c r="E561" i="11"/>
  <c r="C973" i="11"/>
  <c r="E973" i="11"/>
  <c r="B974" i="11"/>
  <c r="B975" i="11" s="1"/>
  <c r="B976" i="11" s="1"/>
  <c r="B977" i="11" s="1"/>
  <c r="B978" i="11" s="1"/>
  <c r="B979" i="11" s="1"/>
  <c r="B980" i="11" s="1"/>
  <c r="B981" i="11" s="1"/>
  <c r="B982" i="11" s="1"/>
  <c r="B983" i="11" s="1"/>
  <c r="B984" i="11" s="1"/>
  <c r="B985" i="11" s="1"/>
  <c r="B986" i="11" s="1"/>
  <c r="B987" i="11" s="1"/>
  <c r="B988" i="11" s="1"/>
  <c r="B989" i="11" s="1"/>
  <c r="B990" i="11" s="1"/>
  <c r="B991" i="11" s="1"/>
  <c r="B992" i="11" s="1"/>
  <c r="B993" i="11" s="1"/>
  <c r="B994" i="11" s="1"/>
  <c r="B995" i="11" s="1"/>
  <c r="B996" i="11" s="1"/>
  <c r="B997" i="11" s="1"/>
  <c r="B998" i="11" s="1"/>
  <c r="B999" i="11" s="1"/>
  <c r="B1000" i="11" s="1"/>
  <c r="B1001" i="11" s="1"/>
  <c r="B1002" i="11" s="1"/>
  <c r="B1003" i="11" s="1"/>
  <c r="B1004" i="11" s="1"/>
  <c r="B1005" i="11" s="1"/>
  <c r="B1006" i="11" s="1"/>
  <c r="B1007" i="11" s="1"/>
  <c r="B1008" i="11" s="1"/>
  <c r="B1009" i="11" s="1"/>
  <c r="B1010" i="11" s="1"/>
  <c r="B1011" i="11" s="1"/>
  <c r="B1012" i="11" s="1"/>
  <c r="B1013" i="11" s="1"/>
  <c r="B1014" i="11" s="1"/>
  <c r="D973" i="11"/>
  <c r="D1828" i="11"/>
  <c r="C1828" i="11"/>
  <c r="E1828" i="11"/>
  <c r="B1829" i="11"/>
  <c r="B1830" i="11" s="1"/>
  <c r="B1831" i="11" s="1"/>
  <c r="B1832" i="11" s="1"/>
  <c r="B1833" i="11" s="1"/>
  <c r="B1834" i="11" s="1"/>
  <c r="B1835" i="11" s="1"/>
  <c r="B1836" i="11" s="1"/>
  <c r="B1837" i="11" s="1"/>
  <c r="B1838" i="11" s="1"/>
  <c r="B1839" i="11" s="1"/>
  <c r="B1840" i="11" s="1"/>
  <c r="B1841" i="11" s="1"/>
  <c r="B1842" i="11" s="1"/>
  <c r="B1843" i="11" s="1"/>
  <c r="B1844" i="11" s="1"/>
  <c r="B1845" i="11" s="1"/>
  <c r="B1846" i="11" s="1"/>
  <c r="B1847" i="11" s="1"/>
  <c r="B1848" i="11" s="1"/>
  <c r="B1849" i="11" s="1"/>
  <c r="B1850" i="11" s="1"/>
  <c r="B1851" i="11" s="1"/>
  <c r="B1852" i="11" s="1"/>
  <c r="B1853" i="11" s="1"/>
  <c r="B1854" i="11" s="1"/>
  <c r="B1855" i="11" s="1"/>
  <c r="B1856" i="11" s="1"/>
  <c r="B1857" i="11" s="1"/>
  <c r="B1858" i="11" s="1"/>
  <c r="B1859" i="11" s="1"/>
  <c r="B1860" i="11" s="1"/>
  <c r="B1861" i="11" s="1"/>
  <c r="B1862" i="11" s="1"/>
  <c r="B1863" i="11" s="1"/>
  <c r="B1864" i="11" s="1"/>
  <c r="E1385" i="11"/>
  <c r="B1386" i="11"/>
  <c r="B1387" i="11" s="1"/>
  <c r="B1388" i="11" s="1"/>
  <c r="B1389" i="11" s="1"/>
  <c r="B1390" i="11" s="1"/>
  <c r="B1391" i="11" s="1"/>
  <c r="B1392" i="11" s="1"/>
  <c r="B1393" i="11" s="1"/>
  <c r="B1394" i="11" s="1"/>
  <c r="B1395" i="11" s="1"/>
  <c r="B1396" i="11" s="1"/>
  <c r="B1397" i="11" s="1"/>
  <c r="B1398" i="11" s="1"/>
  <c r="B1399" i="11" s="1"/>
  <c r="B1400" i="11" s="1"/>
  <c r="B1401" i="11" s="1"/>
  <c r="B1402" i="11" s="1"/>
  <c r="B1403" i="11" s="1"/>
  <c r="B1404" i="11" s="1"/>
  <c r="B1405" i="11" s="1"/>
  <c r="B1406" i="11" s="1"/>
  <c r="B1407" i="11" s="1"/>
  <c r="B1408" i="11" s="1"/>
  <c r="B1409" i="11" s="1"/>
  <c r="B1410" i="11" s="1"/>
  <c r="B1411" i="11" s="1"/>
  <c r="B1412" i="11" s="1"/>
  <c r="B1413" i="11" s="1"/>
  <c r="B1414" i="11" s="1"/>
  <c r="B1415" i="11" s="1"/>
  <c r="B1416" i="11" s="1"/>
  <c r="B1417" i="11" s="1"/>
  <c r="B1418" i="11" s="1"/>
  <c r="B1419" i="11" s="1"/>
  <c r="B1420" i="11" s="1"/>
  <c r="B1421" i="11" s="1"/>
  <c r="B1422" i="11" s="1"/>
  <c r="B1423" i="11" s="1"/>
  <c r="B1424" i="11" s="1"/>
  <c r="B1425" i="11" s="1"/>
  <c r="B1426" i="11" s="1"/>
  <c r="C1385" i="11"/>
  <c r="D1385" i="11"/>
  <c r="B1180" i="11"/>
  <c r="B1181" i="11" s="1"/>
  <c r="B1182" i="11" s="1"/>
  <c r="B1183" i="11" s="1"/>
  <c r="B1184" i="11" s="1"/>
  <c r="B1185" i="11" s="1"/>
  <c r="B1186" i="11" s="1"/>
  <c r="B1187" i="11" s="1"/>
  <c r="B1188" i="11" s="1"/>
  <c r="B1189" i="11" s="1"/>
  <c r="B1190" i="11" s="1"/>
  <c r="B1191" i="11" s="1"/>
  <c r="B1192" i="11" s="1"/>
  <c r="B1193" i="11" s="1"/>
  <c r="B1194" i="11" s="1"/>
  <c r="B1195" i="11" s="1"/>
  <c r="B1196" i="11" s="1"/>
  <c r="B1197" i="11" s="1"/>
  <c r="B1198" i="11" s="1"/>
  <c r="B1199" i="11" s="1"/>
  <c r="B1200" i="11" s="1"/>
  <c r="B1201" i="11" s="1"/>
  <c r="B1202" i="11" s="1"/>
  <c r="B1203" i="11" s="1"/>
  <c r="B1204" i="11" s="1"/>
  <c r="B1205" i="11" s="1"/>
  <c r="B1206" i="11" s="1"/>
  <c r="B1207" i="11" s="1"/>
  <c r="B1208" i="11" s="1"/>
  <c r="B1209" i="11" s="1"/>
  <c r="B1210" i="11" s="1"/>
  <c r="B1211" i="11" s="1"/>
  <c r="B1212" i="11" s="1"/>
  <c r="B1213" i="11" s="1"/>
  <c r="B1214" i="11" s="1"/>
  <c r="B1215" i="11" s="1"/>
  <c r="B1216" i="11" s="1"/>
  <c r="B1217" i="11" s="1"/>
  <c r="B1218" i="11" s="1"/>
  <c r="B1219" i="11" s="1"/>
  <c r="B1220" i="11" s="1"/>
  <c r="C1179" i="11"/>
  <c r="D1179" i="11"/>
  <c r="E1179" i="11"/>
  <c r="C2188" i="11"/>
  <c r="D2188" i="11"/>
  <c r="B2189" i="11"/>
  <c r="B2190" i="11" s="1"/>
  <c r="B2191" i="11" s="1"/>
  <c r="B2192" i="11" s="1"/>
  <c r="B2193" i="11" s="1"/>
  <c r="B2194" i="11" s="1"/>
  <c r="B2195" i="11" s="1"/>
  <c r="B2196" i="11" s="1"/>
  <c r="B2197" i="11" s="1"/>
  <c r="B2198" i="11" s="1"/>
  <c r="B2199" i="11" s="1"/>
  <c r="B2200" i="11" s="1"/>
  <c r="B2201" i="11" s="1"/>
  <c r="B2202" i="11" s="1"/>
  <c r="B2203" i="11" s="1"/>
  <c r="B2204" i="11" s="1"/>
  <c r="B2205" i="11" s="1"/>
  <c r="B2206" i="11" s="1"/>
  <c r="B2207" i="11" s="1"/>
  <c r="B2208" i="11" s="1"/>
  <c r="B2209" i="11" s="1"/>
  <c r="B2210" i="11" s="1"/>
  <c r="B2211" i="11" s="1"/>
  <c r="B2212" i="11" s="1"/>
  <c r="B2213" i="11" s="1"/>
  <c r="B2214" i="11" s="1"/>
  <c r="B2215" i="11" s="1"/>
  <c r="B2216" i="11" s="1"/>
  <c r="B2217" i="11" s="1"/>
  <c r="B2218" i="11" s="1"/>
  <c r="B2219" i="11" s="1"/>
  <c r="B2220" i="11" s="1"/>
  <c r="B2221" i="11" s="1"/>
  <c r="B2222" i="11" s="1"/>
  <c r="B2223" i="11" s="1"/>
  <c r="B2224" i="11" s="1"/>
  <c r="B2225" i="11" s="1"/>
  <c r="B2226" i="11" s="1"/>
  <c r="B2227" i="11" s="1"/>
  <c r="B2228" i="11" s="1"/>
  <c r="B2229" i="11" s="1"/>
  <c r="E2188" i="11"/>
  <c r="B2705" i="11"/>
  <c r="B2706" i="11" s="1"/>
  <c r="B2707" i="11" s="1"/>
  <c r="B2708" i="11" s="1"/>
  <c r="B2709" i="11" s="1"/>
  <c r="B2710" i="11" s="1"/>
  <c r="B2711" i="11" s="1"/>
  <c r="B2712" i="11" s="1"/>
  <c r="B2713" i="11" s="1"/>
  <c r="B2714" i="11" s="1"/>
  <c r="B2715" i="11" s="1"/>
  <c r="B2716" i="11" s="1"/>
  <c r="B2717" i="11" s="1"/>
  <c r="B2718" i="11" s="1"/>
  <c r="B2719" i="11" s="1"/>
  <c r="B2720" i="11" s="1"/>
  <c r="B2721" i="11" s="1"/>
  <c r="B2722" i="11" s="1"/>
  <c r="B2723" i="11" s="1"/>
  <c r="B2724" i="11" s="1"/>
  <c r="B2725" i="11" s="1"/>
  <c r="B2726" i="11" s="1"/>
  <c r="B2727" i="11" s="1"/>
  <c r="B2728" i="11" s="1"/>
  <c r="B2729" i="11" s="1"/>
  <c r="B2730" i="11" s="1"/>
  <c r="B2731" i="11" s="1"/>
  <c r="B2732" i="11" s="1"/>
  <c r="B2733" i="11" s="1"/>
  <c r="B2734" i="11" s="1"/>
  <c r="B2735" i="11" s="1"/>
  <c r="B2736" i="11" s="1"/>
  <c r="B2737" i="11" s="1"/>
  <c r="B2738" i="11" s="1"/>
  <c r="B2739" i="11" s="1"/>
  <c r="B2740" i="11" s="1"/>
  <c r="B2741" i="11" s="1"/>
  <c r="B2742" i="11" s="1"/>
  <c r="B2743" i="11" s="1"/>
  <c r="B2744" i="11" s="1"/>
  <c r="B2745" i="11" s="1"/>
  <c r="C2704" i="11"/>
  <c r="D2704" i="11"/>
  <c r="E2704" i="11"/>
  <c r="D458" i="11"/>
  <c r="B459" i="1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C458" i="11"/>
  <c r="C260" i="11"/>
  <c r="D260" i="11"/>
  <c r="B261" i="1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D1075" i="11"/>
  <c r="E1075" i="11"/>
  <c r="B1076" i="11"/>
  <c r="C1075" i="11"/>
  <c r="B1503" i="11"/>
  <c r="C1502" i="11"/>
  <c r="D1502" i="11"/>
  <c r="E1502" i="11"/>
  <c r="C360" i="11"/>
  <c r="D360" i="11"/>
  <c r="B361" i="1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C2499" i="11"/>
  <c r="D2499" i="11"/>
  <c r="E2499" i="11"/>
  <c r="C1622" i="11"/>
  <c r="D1622" i="11"/>
  <c r="E1622" i="11"/>
  <c r="B1623" i="11"/>
  <c r="B1624" i="11" s="1"/>
  <c r="B1625" i="11" s="1"/>
  <c r="B1626" i="11" s="1"/>
  <c r="B1627" i="11" s="1"/>
  <c r="B1628" i="11" s="1"/>
  <c r="B1629" i="11" s="1"/>
  <c r="B1630" i="11" s="1"/>
  <c r="B1631" i="11" s="1"/>
  <c r="B1632" i="11" s="1"/>
  <c r="B1633" i="11" s="1"/>
  <c r="B1634" i="11" s="1"/>
  <c r="B1635" i="11" s="1"/>
  <c r="B1636" i="11" s="1"/>
  <c r="B1637" i="11" s="1"/>
  <c r="B1638" i="11" s="1"/>
  <c r="B1639" i="11" s="1"/>
  <c r="B1640" i="11" s="1"/>
  <c r="B1641" i="11" s="1"/>
  <c r="B1642" i="11" s="1"/>
  <c r="B1643" i="11" s="1"/>
  <c r="B1644" i="11" s="1"/>
  <c r="B1645" i="11" s="1"/>
  <c r="B1646" i="11" s="1"/>
  <c r="B1647" i="11" s="1"/>
  <c r="B1648" i="11" s="1"/>
  <c r="B1649" i="11" s="1"/>
  <c r="B1650" i="11" s="1"/>
  <c r="B1651" i="11" s="1"/>
  <c r="B1652" i="11" s="1"/>
  <c r="B1653" i="11" s="1"/>
  <c r="B1654" i="11" s="1"/>
  <c r="B1655" i="11" s="1"/>
  <c r="B1656" i="11" s="1"/>
  <c r="B1657" i="11" s="1"/>
  <c r="B1658" i="11" s="1"/>
  <c r="B1659" i="11" s="1"/>
  <c r="B1660" i="11" s="1"/>
  <c r="B1661" i="11" s="1"/>
  <c r="B1662" i="11" s="1"/>
  <c r="B1663" i="11" s="1"/>
  <c r="E767" i="11"/>
  <c r="B768" i="11"/>
  <c r="B769" i="11" s="1"/>
  <c r="B770" i="11" s="1"/>
  <c r="B771" i="11" s="1"/>
  <c r="B772" i="11" s="1"/>
  <c r="B773" i="11" s="1"/>
  <c r="B774" i="11" s="1"/>
  <c r="B775" i="11" s="1"/>
  <c r="B776" i="11" s="1"/>
  <c r="B777" i="11" s="1"/>
  <c r="B778" i="11" s="1"/>
  <c r="B779" i="11" s="1"/>
  <c r="B780" i="11" s="1"/>
  <c r="B781" i="11" s="1"/>
  <c r="B782" i="11" s="1"/>
  <c r="B783" i="11" s="1"/>
  <c r="B784" i="11" s="1"/>
  <c r="B785" i="11" s="1"/>
  <c r="B786" i="11" s="1"/>
  <c r="B787" i="11" s="1"/>
  <c r="B788" i="11" s="1"/>
  <c r="B789" i="11" s="1"/>
  <c r="B790" i="11" s="1"/>
  <c r="B791" i="11" s="1"/>
  <c r="B792" i="11" s="1"/>
  <c r="B793" i="11" s="1"/>
  <c r="B794" i="11" s="1"/>
  <c r="B795" i="11" s="1"/>
  <c r="B796" i="11" s="1"/>
  <c r="B797" i="11" s="1"/>
  <c r="B798" i="11" s="1"/>
  <c r="B799" i="11" s="1"/>
  <c r="B800" i="11" s="1"/>
  <c r="B801" i="11" s="1"/>
  <c r="B802" i="11" s="1"/>
  <c r="B803" i="11" s="1"/>
  <c r="B804" i="11" s="1"/>
  <c r="B805" i="11" s="1"/>
  <c r="B806" i="11" s="1"/>
  <c r="B807" i="11" s="1"/>
  <c r="B808" i="11" s="1"/>
  <c r="C767" i="11"/>
  <c r="D767" i="11"/>
  <c r="D664" i="11"/>
  <c r="B665" i="11"/>
  <c r="B666" i="11" s="1"/>
  <c r="B667" i="11" s="1"/>
  <c r="B668" i="11" s="1"/>
  <c r="B669" i="11" s="1"/>
  <c r="B670" i="11" s="1"/>
  <c r="B671" i="11" s="1"/>
  <c r="B672" i="11" s="1"/>
  <c r="B673" i="11" s="1"/>
  <c r="B674" i="11" s="1"/>
  <c r="B675" i="11" s="1"/>
  <c r="B676" i="11" s="1"/>
  <c r="B677" i="11" s="1"/>
  <c r="B678" i="11" s="1"/>
  <c r="B679" i="11" s="1"/>
  <c r="B680" i="11" s="1"/>
  <c r="B681" i="11" s="1"/>
  <c r="B682" i="11" s="1"/>
  <c r="B683" i="11" s="1"/>
  <c r="B684" i="11" s="1"/>
  <c r="B685" i="11" s="1"/>
  <c r="B686" i="11" s="1"/>
  <c r="B687" i="11" s="1"/>
  <c r="B688" i="11" s="1"/>
  <c r="B689" i="11" s="1"/>
  <c r="B690" i="11" s="1"/>
  <c r="B691" i="11" s="1"/>
  <c r="B692" i="11" s="1"/>
  <c r="B693" i="11" s="1"/>
  <c r="B694" i="11" s="1"/>
  <c r="B695" i="11" s="1"/>
  <c r="B696" i="11" s="1"/>
  <c r="B697" i="11" s="1"/>
  <c r="B698" i="11" s="1"/>
  <c r="B699" i="11" s="1"/>
  <c r="B700" i="11" s="1"/>
  <c r="B701" i="11" s="1"/>
  <c r="B702" i="11" s="1"/>
  <c r="B703" i="11" s="1"/>
  <c r="B704" i="11" s="1"/>
  <c r="B705" i="11" s="1"/>
  <c r="C664" i="11"/>
  <c r="E664" i="11"/>
  <c r="B1932" i="11"/>
  <c r="B1933" i="11" s="1"/>
  <c r="B1934" i="11" s="1"/>
  <c r="B1935" i="11" s="1"/>
  <c r="B1936" i="11" s="1"/>
  <c r="B1937" i="11" s="1"/>
  <c r="B1938" i="11" s="1"/>
  <c r="B1939" i="11" s="1"/>
  <c r="B1940" i="11" s="1"/>
  <c r="B1941" i="11" s="1"/>
  <c r="B1942" i="11" s="1"/>
  <c r="B1943" i="11" s="1"/>
  <c r="B1944" i="11" s="1"/>
  <c r="B1945" i="11" s="1"/>
  <c r="B1946" i="11" s="1"/>
  <c r="B1947" i="11" s="1"/>
  <c r="B1948" i="11" s="1"/>
  <c r="B1949" i="11" s="1"/>
  <c r="B1950" i="11" s="1"/>
  <c r="B1951" i="11" s="1"/>
  <c r="B1952" i="11" s="1"/>
  <c r="B1953" i="11" s="1"/>
  <c r="B1954" i="11" s="1"/>
  <c r="B1955" i="11" s="1"/>
  <c r="B1956" i="11" s="1"/>
  <c r="B1957" i="11" s="1"/>
  <c r="B1958" i="11" s="1"/>
  <c r="B1959" i="11" s="1"/>
  <c r="B1960" i="11" s="1"/>
  <c r="B1961" i="11" s="1"/>
  <c r="B1962" i="11" s="1"/>
  <c r="B1963" i="11" s="1"/>
  <c r="B1964" i="11" s="1"/>
  <c r="B1965" i="11" s="1"/>
  <c r="B1966" i="11" s="1"/>
  <c r="B1967" i="11" s="1"/>
  <c r="B1968" i="11" s="1"/>
  <c r="B1969" i="11" s="1"/>
  <c r="B1970" i="11" s="1"/>
  <c r="B1971" i="11" s="1"/>
  <c r="B1972" i="11" s="1"/>
  <c r="C1931" i="11"/>
  <c r="D1931" i="11"/>
  <c r="E1931" i="11"/>
  <c r="C2394" i="11"/>
  <c r="D2394" i="11"/>
  <c r="E2394" i="11"/>
  <c r="B2395" i="11"/>
  <c r="B2396" i="11" s="1"/>
  <c r="B2397" i="11" s="1"/>
  <c r="B2398" i="11" s="1"/>
  <c r="B2399" i="11" s="1"/>
  <c r="B2400" i="11" s="1"/>
  <c r="B2401" i="11" s="1"/>
  <c r="B2402" i="11" s="1"/>
  <c r="B2403" i="11" s="1"/>
  <c r="B2404" i="11" s="1"/>
  <c r="B2405" i="11" s="1"/>
  <c r="B2406" i="11" s="1"/>
  <c r="B2407" i="11" s="1"/>
  <c r="B2408" i="11" s="1"/>
  <c r="B2409" i="11" s="1"/>
  <c r="B2410" i="11" s="1"/>
  <c r="B2411" i="11" s="1"/>
  <c r="B2412" i="11" s="1"/>
  <c r="B2413" i="11" s="1"/>
  <c r="B2414" i="11" s="1"/>
  <c r="B2415" i="11" s="1"/>
  <c r="B2416" i="11" s="1"/>
  <c r="B2417" i="11" s="1"/>
  <c r="B2418" i="11" s="1"/>
  <c r="B2419" i="11" s="1"/>
  <c r="B2420" i="11" s="1"/>
  <c r="B2421" i="11" s="1"/>
  <c r="B2422" i="11" s="1"/>
  <c r="B2423" i="11" s="1"/>
  <c r="B2424" i="11" s="1"/>
  <c r="B2425" i="11" s="1"/>
  <c r="B2426" i="11" s="1"/>
  <c r="B2427" i="11" s="1"/>
  <c r="B2428" i="11" s="1"/>
  <c r="B2429" i="11" s="1"/>
  <c r="B2430" i="11" s="1"/>
  <c r="B2431" i="11" s="1"/>
  <c r="B2432" i="11" s="1"/>
  <c r="B2433" i="11" s="1"/>
  <c r="B2434" i="11" s="1"/>
  <c r="B2435" i="11" s="1"/>
  <c r="D3013" i="11"/>
  <c r="E3013" i="11"/>
  <c r="B3014" i="11"/>
  <c r="B3015" i="11" s="1"/>
  <c r="B3016" i="11" s="1"/>
  <c r="B3017" i="11" s="1"/>
  <c r="B3018" i="11" s="1"/>
  <c r="B3019" i="11" s="1"/>
  <c r="B3020" i="11" s="1"/>
  <c r="B3021" i="11" s="1"/>
  <c r="B3022" i="11" s="1"/>
  <c r="B3023" i="11" s="1"/>
  <c r="B3024" i="11" s="1"/>
  <c r="B3025" i="11" s="1"/>
  <c r="B3026" i="11" s="1"/>
  <c r="B3027" i="11" s="1"/>
  <c r="B3028" i="11" s="1"/>
  <c r="B3029" i="11" s="1"/>
  <c r="B3030" i="11" s="1"/>
  <c r="B3031" i="11" s="1"/>
  <c r="B3032" i="11" s="1"/>
  <c r="B3033" i="11" s="1"/>
  <c r="B3034" i="11" s="1"/>
  <c r="B3035" i="11" s="1"/>
  <c r="B3036" i="11" s="1"/>
  <c r="B3037" i="11" s="1"/>
  <c r="B3038" i="11" s="1"/>
  <c r="B3039" i="11" s="1"/>
  <c r="B3040" i="11" s="1"/>
  <c r="B3041" i="11" s="1"/>
  <c r="B3042" i="11" s="1"/>
  <c r="B3043" i="11" s="1"/>
  <c r="B3044" i="11" s="1"/>
  <c r="B3045" i="11" s="1"/>
  <c r="B3046" i="11" s="1"/>
  <c r="B3047" i="11" s="1"/>
  <c r="B3048" i="11" s="1"/>
  <c r="B3049" i="11" s="1"/>
  <c r="B3050" i="11" s="1"/>
  <c r="B3051" i="11" s="1"/>
  <c r="B3052" i="11" s="1"/>
  <c r="B3053" i="11" s="1"/>
  <c r="B3054" i="11" s="1"/>
  <c r="C3013" i="11"/>
  <c r="C162" i="11"/>
  <c r="D162" i="11"/>
  <c r="B163" i="1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D63" i="11"/>
  <c r="B64" i="11"/>
  <c r="C63" i="11"/>
  <c r="E63" i="11"/>
  <c r="B2292" i="11"/>
  <c r="B2293" i="11" s="1"/>
  <c r="B2294" i="11" s="1"/>
  <c r="B2295" i="11" s="1"/>
  <c r="B2296" i="11" s="1"/>
  <c r="B2297" i="11" s="1"/>
  <c r="B2298" i="11" s="1"/>
  <c r="B2299" i="11" s="1"/>
  <c r="B2300" i="11" s="1"/>
  <c r="B2301" i="11" s="1"/>
  <c r="B2302" i="11" s="1"/>
  <c r="B2303" i="11" s="1"/>
  <c r="B2304" i="11" s="1"/>
  <c r="B2305" i="11" s="1"/>
  <c r="B2306" i="11" s="1"/>
  <c r="B2307" i="11" s="1"/>
  <c r="B2308" i="11" s="1"/>
  <c r="B2309" i="11" s="1"/>
  <c r="B2310" i="11" s="1"/>
  <c r="B2311" i="11" s="1"/>
  <c r="B2312" i="11" s="1"/>
  <c r="B2313" i="11" s="1"/>
  <c r="B2314" i="11" s="1"/>
  <c r="B2315" i="11" s="1"/>
  <c r="B2316" i="11" s="1"/>
  <c r="B2317" i="11" s="1"/>
  <c r="B2318" i="11" s="1"/>
  <c r="B2319" i="11" s="1"/>
  <c r="B2320" i="11" s="1"/>
  <c r="B2321" i="11" s="1"/>
  <c r="B2322" i="11" s="1"/>
  <c r="B2323" i="11" s="1"/>
  <c r="B2324" i="11" s="1"/>
  <c r="B2325" i="11" s="1"/>
  <c r="B2326" i="11" s="1"/>
  <c r="B2327" i="11" s="1"/>
  <c r="B2328" i="11" s="1"/>
  <c r="B2329" i="11" s="1"/>
  <c r="B2330" i="11" s="1"/>
  <c r="B2331" i="11" s="1"/>
  <c r="B2332" i="11" s="1"/>
  <c r="E2291" i="11"/>
  <c r="C2291" i="11"/>
  <c r="D2291" i="11"/>
  <c r="D1282" i="11"/>
  <c r="B1283" i="11"/>
  <c r="B1284" i="11" s="1"/>
  <c r="B1285" i="11" s="1"/>
  <c r="B1286" i="11" s="1"/>
  <c r="B1287" i="11" s="1"/>
  <c r="B1288" i="11" s="1"/>
  <c r="B1289" i="11" s="1"/>
  <c r="B1290" i="11" s="1"/>
  <c r="B1291" i="11" s="1"/>
  <c r="B1292" i="11" s="1"/>
  <c r="B1293" i="11" s="1"/>
  <c r="B1294" i="11" s="1"/>
  <c r="B1295" i="11" s="1"/>
  <c r="B1296" i="11" s="1"/>
  <c r="B1297" i="11" s="1"/>
  <c r="B1298" i="11" s="1"/>
  <c r="B1299" i="11" s="1"/>
  <c r="B1300" i="11" s="1"/>
  <c r="B1301" i="11" s="1"/>
  <c r="B1302" i="11" s="1"/>
  <c r="B1303" i="11" s="1"/>
  <c r="B1304" i="11" s="1"/>
  <c r="B1305" i="11" s="1"/>
  <c r="B1306" i="11" s="1"/>
  <c r="B1307" i="11" s="1"/>
  <c r="B1308" i="11" s="1"/>
  <c r="B1309" i="11" s="1"/>
  <c r="B1310" i="11" s="1"/>
  <c r="B1311" i="11" s="1"/>
  <c r="B1312" i="11" s="1"/>
  <c r="B1313" i="11" s="1"/>
  <c r="B1314" i="11" s="1"/>
  <c r="B1315" i="11" s="1"/>
  <c r="B1316" i="11" s="1"/>
  <c r="B1317" i="11" s="1"/>
  <c r="B1318" i="11" s="1"/>
  <c r="B1319" i="11" s="1"/>
  <c r="B1320" i="11" s="1"/>
  <c r="B1321" i="11" s="1"/>
  <c r="B1322" i="11" s="1"/>
  <c r="B1323" i="11" s="1"/>
  <c r="E1282" i="11"/>
  <c r="C1282" i="11"/>
  <c r="M30" i="26"/>
  <c r="M10" i="26"/>
  <c r="H53" i="32"/>
  <c r="C54" i="32"/>
  <c r="E53" i="32"/>
  <c r="J53" i="32"/>
  <c r="F53" i="32"/>
  <c r="D53" i="32"/>
  <c r="M52" i="32"/>
  <c r="L104" i="28"/>
  <c r="L128" i="28"/>
  <c r="L129" i="28"/>
  <c r="L102" i="28"/>
  <c r="L100" i="28"/>
  <c r="L113" i="28"/>
  <c r="L111" i="28"/>
  <c r="L105" i="28"/>
  <c r="L116" i="28"/>
  <c r="L123" i="28"/>
  <c r="L107" i="28"/>
  <c r="L110" i="28"/>
  <c r="L119" i="28"/>
  <c r="L101" i="28"/>
  <c r="L125" i="28"/>
  <c r="L121" i="28"/>
  <c r="L112" i="28"/>
  <c r="L118" i="28"/>
  <c r="L99" i="28"/>
  <c r="L103" i="28"/>
  <c r="L126" i="28"/>
  <c r="L106" i="28"/>
  <c r="L108" i="28"/>
  <c r="L117" i="28"/>
  <c r="R107" i="28"/>
  <c r="L120" i="28"/>
  <c r="L114" i="28"/>
  <c r="L44" i="28"/>
  <c r="L65" i="28"/>
  <c r="L68" i="28"/>
  <c r="L67" i="28"/>
  <c r="L22" i="28"/>
  <c r="L21" i="28"/>
  <c r="L38" i="28"/>
  <c r="L89" i="28"/>
  <c r="L37" i="28"/>
  <c r="L50" i="28"/>
  <c r="L84" i="28"/>
  <c r="L41" i="28"/>
  <c r="L28" i="28"/>
  <c r="L30" i="28"/>
  <c r="L79" i="28"/>
  <c r="L87" i="28"/>
  <c r="L56" i="28"/>
  <c r="L70" i="28"/>
  <c r="L39" i="28"/>
  <c r="L66" i="28"/>
  <c r="L36" i="28"/>
  <c r="L81" i="28"/>
  <c r="L57" i="28"/>
  <c r="L46" i="28"/>
  <c r="L42" i="28"/>
  <c r="L78" i="28"/>
  <c r="L91" i="28"/>
  <c r="L83" i="28"/>
  <c r="R24" i="28"/>
  <c r="L24" i="28"/>
  <c r="L49" i="28"/>
  <c r="L48" i="28"/>
  <c r="L80" i="28"/>
  <c r="L54" i="28"/>
  <c r="L53" i="28"/>
  <c r="L77" i="28"/>
  <c r="L43" i="28"/>
  <c r="L40" i="28"/>
  <c r="L86" i="28"/>
  <c r="L35" i="28"/>
  <c r="L55" i="28"/>
  <c r="L64" i="28"/>
  <c r="L85" i="28"/>
  <c r="L52" i="28"/>
  <c r="L69" i="28"/>
  <c r="L45" i="28"/>
  <c r="L51" i="28"/>
  <c r="L26" i="28"/>
  <c r="L82" i="28"/>
  <c r="L34" i="28"/>
  <c r="L58" i="28"/>
  <c r="L20" i="28"/>
  <c r="L88" i="28"/>
  <c r="L95" i="28"/>
  <c r="L63" i="28"/>
  <c r="K61" i="28"/>
  <c r="L59" i="28"/>
  <c r="L76" i="28"/>
  <c r="L33" i="26"/>
  <c r="H34" i="26"/>
  <c r="D34" i="26"/>
  <c r="K34" i="26" s="1"/>
  <c r="C35" i="26"/>
  <c r="J35" i="26" s="1"/>
  <c r="E34" i="26"/>
  <c r="D499" i="11" l="1"/>
  <c r="C499" i="11"/>
  <c r="D1426" i="11"/>
  <c r="E1426" i="11"/>
  <c r="C1426" i="11"/>
  <c r="D808" i="11"/>
  <c r="E808" i="11"/>
  <c r="C808" i="11"/>
  <c r="D1972" i="11"/>
  <c r="E1972" i="11"/>
  <c r="C1972" i="11"/>
  <c r="D2229" i="11"/>
  <c r="E2229" i="11"/>
  <c r="C2229" i="11"/>
  <c r="E1663" i="11"/>
  <c r="C1663" i="11"/>
  <c r="D1663" i="11"/>
  <c r="D1220" i="11"/>
  <c r="E1220" i="11"/>
  <c r="C1220" i="11"/>
  <c r="D1014" i="11"/>
  <c r="E1014" i="11"/>
  <c r="C1014" i="11"/>
  <c r="D401" i="11"/>
  <c r="C401" i="11"/>
  <c r="D705" i="11"/>
  <c r="E705" i="11"/>
  <c r="C705" i="11"/>
  <c r="D1323" i="11"/>
  <c r="E1323" i="11"/>
  <c r="C1323" i="11"/>
  <c r="D301" i="11"/>
  <c r="C301" i="11"/>
  <c r="D2435" i="11"/>
  <c r="E2435" i="11"/>
  <c r="C2435" i="11"/>
  <c r="D2332" i="11"/>
  <c r="E2332" i="11"/>
  <c r="C2332" i="11"/>
  <c r="D203" i="11"/>
  <c r="C203" i="11"/>
  <c r="E2745" i="11"/>
  <c r="C2745" i="11"/>
  <c r="D2745" i="11"/>
  <c r="D602" i="11"/>
  <c r="E602" i="11"/>
  <c r="C602" i="11"/>
  <c r="D3054" i="11"/>
  <c r="E3054" i="11"/>
  <c r="C3054" i="11"/>
  <c r="D498" i="11"/>
  <c r="C498" i="11"/>
  <c r="D1425" i="11"/>
  <c r="E1425" i="11"/>
  <c r="C1425" i="11"/>
  <c r="D807" i="11"/>
  <c r="E807" i="11"/>
  <c r="C807" i="11"/>
  <c r="D1971" i="11"/>
  <c r="E1971" i="11"/>
  <c r="C1971" i="11"/>
  <c r="D2228" i="11"/>
  <c r="E2228" i="11"/>
  <c r="C2228" i="11"/>
  <c r="D1662" i="11"/>
  <c r="E1662" i="11"/>
  <c r="C1662" i="11"/>
  <c r="D1219" i="11"/>
  <c r="E1219" i="11"/>
  <c r="C1219" i="11"/>
  <c r="D1013" i="11"/>
  <c r="E1013" i="11"/>
  <c r="C1013" i="11"/>
  <c r="D400" i="11"/>
  <c r="C400" i="11"/>
  <c r="D704" i="11"/>
  <c r="E704" i="11"/>
  <c r="C704" i="11"/>
  <c r="D1322" i="11"/>
  <c r="E1322" i="11"/>
  <c r="C1322" i="11"/>
  <c r="D300" i="11"/>
  <c r="C300" i="11"/>
  <c r="D2434" i="11"/>
  <c r="E2434" i="11"/>
  <c r="C2434" i="11"/>
  <c r="D2331" i="11"/>
  <c r="E2331" i="11"/>
  <c r="C2331" i="11"/>
  <c r="D202" i="11"/>
  <c r="C202" i="11"/>
  <c r="D2744" i="11"/>
  <c r="E2744" i="11"/>
  <c r="C2744" i="11"/>
  <c r="D601" i="11"/>
  <c r="E601" i="11"/>
  <c r="C601" i="11"/>
  <c r="D3053" i="11"/>
  <c r="C3053" i="11"/>
  <c r="E3053" i="11"/>
  <c r="D497" i="11"/>
  <c r="C497" i="11"/>
  <c r="D1424" i="11"/>
  <c r="E1424" i="11"/>
  <c r="C1424" i="11"/>
  <c r="D806" i="11"/>
  <c r="E806" i="11"/>
  <c r="C806" i="11"/>
  <c r="D1970" i="11"/>
  <c r="E1970" i="11"/>
  <c r="C1970" i="11"/>
  <c r="D2227" i="11"/>
  <c r="E2227" i="11"/>
  <c r="C2227" i="11"/>
  <c r="D1661" i="11"/>
  <c r="E1661" i="11"/>
  <c r="C1661" i="11"/>
  <c r="D1218" i="11"/>
  <c r="E1218" i="11"/>
  <c r="C1218" i="11"/>
  <c r="D1012" i="11"/>
  <c r="E1012" i="11"/>
  <c r="C1012" i="11"/>
  <c r="D399" i="11"/>
  <c r="C399" i="11"/>
  <c r="D703" i="11"/>
  <c r="C703" i="11"/>
  <c r="E703" i="11"/>
  <c r="D1321" i="11"/>
  <c r="E1321" i="11"/>
  <c r="C1321" i="11"/>
  <c r="D299" i="11"/>
  <c r="C299" i="11"/>
  <c r="D2433" i="11"/>
  <c r="E2433" i="11"/>
  <c r="C2433" i="11"/>
  <c r="D2330" i="11"/>
  <c r="E2330" i="11"/>
  <c r="C2330" i="11"/>
  <c r="D201" i="11"/>
  <c r="C201" i="11"/>
  <c r="D2743" i="11"/>
  <c r="E2743" i="11"/>
  <c r="C2743" i="11"/>
  <c r="D600" i="11"/>
  <c r="E600" i="11"/>
  <c r="C600" i="11"/>
  <c r="D3052" i="11"/>
  <c r="E3052" i="11"/>
  <c r="C3052" i="11"/>
  <c r="D496" i="11"/>
  <c r="C496" i="11"/>
  <c r="D1423" i="11"/>
  <c r="E1423" i="11"/>
  <c r="C1423" i="11"/>
  <c r="D805" i="11"/>
  <c r="E805" i="11"/>
  <c r="C805" i="11"/>
  <c r="D1969" i="11"/>
  <c r="E1969" i="11"/>
  <c r="C1969" i="11"/>
  <c r="D2226" i="11"/>
  <c r="E2226" i="11"/>
  <c r="C2226" i="11"/>
  <c r="E1660" i="11"/>
  <c r="C1660" i="11"/>
  <c r="D1660" i="11"/>
  <c r="D1217" i="11"/>
  <c r="E1217" i="11"/>
  <c r="C1217" i="11"/>
  <c r="D1011" i="11"/>
  <c r="E1011" i="11"/>
  <c r="C1011" i="11"/>
  <c r="D398" i="11"/>
  <c r="C398" i="11"/>
  <c r="D702" i="11"/>
  <c r="E702" i="11"/>
  <c r="C702" i="11"/>
  <c r="D1320" i="11"/>
  <c r="E1320" i="11"/>
  <c r="C1320" i="11"/>
  <c r="D298" i="11"/>
  <c r="C298" i="11"/>
  <c r="D2432" i="11"/>
  <c r="E2432" i="11"/>
  <c r="C2432" i="11"/>
  <c r="E2329" i="11"/>
  <c r="C2329" i="11"/>
  <c r="D2329" i="11"/>
  <c r="D200" i="11"/>
  <c r="C200" i="11"/>
  <c r="D2742" i="11"/>
  <c r="E2742" i="11"/>
  <c r="C2742" i="11"/>
  <c r="D599" i="11"/>
  <c r="E599" i="11"/>
  <c r="C599" i="11"/>
  <c r="D3051" i="11"/>
  <c r="E3051" i="11"/>
  <c r="C3051" i="11"/>
  <c r="D495" i="11"/>
  <c r="C495" i="11"/>
  <c r="D1422" i="11"/>
  <c r="E1422" i="11"/>
  <c r="C1422" i="11"/>
  <c r="D804" i="11"/>
  <c r="E804" i="11"/>
  <c r="C804" i="11"/>
  <c r="E1864" i="11"/>
  <c r="B1865" i="11"/>
  <c r="B1866" i="11" s="1"/>
  <c r="B1867" i="11" s="1"/>
  <c r="B1868" i="11" s="1"/>
  <c r="B1869" i="11" s="1"/>
  <c r="D1968" i="11"/>
  <c r="E1968" i="11"/>
  <c r="C1968" i="11"/>
  <c r="D2225" i="11"/>
  <c r="E2225" i="11"/>
  <c r="C2225" i="11"/>
  <c r="D1659" i="11"/>
  <c r="E1659" i="11"/>
  <c r="C1659" i="11"/>
  <c r="D1216" i="11"/>
  <c r="E1216" i="11"/>
  <c r="C1216" i="11"/>
  <c r="D1010" i="11"/>
  <c r="E1010" i="11"/>
  <c r="C1010" i="11"/>
  <c r="D397" i="11"/>
  <c r="C397" i="11"/>
  <c r="D701" i="11"/>
  <c r="E701" i="11"/>
  <c r="C701" i="11"/>
  <c r="D1319" i="11"/>
  <c r="E1319" i="11"/>
  <c r="C1319" i="11"/>
  <c r="D297" i="11"/>
  <c r="C297" i="11"/>
  <c r="D2431" i="11"/>
  <c r="E2431" i="11"/>
  <c r="C2431" i="11"/>
  <c r="D2328" i="11"/>
  <c r="E2328" i="11"/>
  <c r="C2328" i="11"/>
  <c r="D199" i="11"/>
  <c r="C199" i="11"/>
  <c r="D2741" i="11"/>
  <c r="E2741" i="11"/>
  <c r="C2741" i="11"/>
  <c r="D598" i="11"/>
  <c r="E598" i="11"/>
  <c r="C598" i="11"/>
  <c r="D3050" i="11"/>
  <c r="E3050" i="11"/>
  <c r="C3050" i="11"/>
  <c r="D494" i="11"/>
  <c r="C494" i="11"/>
  <c r="E1421" i="11"/>
  <c r="D1421" i="11"/>
  <c r="C1421" i="11"/>
  <c r="E803" i="11"/>
  <c r="D803" i="11"/>
  <c r="C803" i="11"/>
  <c r="D1864" i="11"/>
  <c r="C1864" i="11"/>
  <c r="E1967" i="11"/>
  <c r="D1967" i="11"/>
  <c r="C1967" i="11"/>
  <c r="E2224" i="11"/>
  <c r="D2224" i="11"/>
  <c r="C2224" i="11"/>
  <c r="E1658" i="11"/>
  <c r="D1658" i="11"/>
  <c r="C1658" i="11"/>
  <c r="E1215" i="11"/>
  <c r="D1215" i="11"/>
  <c r="C1215" i="11"/>
  <c r="E1009" i="11"/>
  <c r="D1009" i="11"/>
  <c r="C1009" i="11"/>
  <c r="D396" i="11"/>
  <c r="C396" i="11"/>
  <c r="E700" i="11"/>
  <c r="D700" i="11"/>
  <c r="C700" i="11"/>
  <c r="E1318" i="11"/>
  <c r="D1318" i="11"/>
  <c r="C1318" i="11"/>
  <c r="D296" i="11"/>
  <c r="C296" i="11"/>
  <c r="E2430" i="11"/>
  <c r="D2430" i="11"/>
  <c r="C2430" i="11"/>
  <c r="E2327" i="11"/>
  <c r="D2327" i="11"/>
  <c r="C2327" i="11"/>
  <c r="D198" i="11"/>
  <c r="C198" i="11"/>
  <c r="E2740" i="11"/>
  <c r="D2740" i="11"/>
  <c r="C2740" i="11"/>
  <c r="E597" i="11"/>
  <c r="D597" i="11"/>
  <c r="C597" i="11"/>
  <c r="E3049" i="11"/>
  <c r="D3049" i="11"/>
  <c r="C3049" i="11"/>
  <c r="D493" i="11"/>
  <c r="C493" i="11"/>
  <c r="D1420" i="11"/>
  <c r="E1420" i="11"/>
  <c r="C1420" i="11"/>
  <c r="D802" i="11"/>
  <c r="E802" i="11"/>
  <c r="C802" i="11"/>
  <c r="E1863" i="11"/>
  <c r="D1863" i="11"/>
  <c r="C1863" i="11"/>
  <c r="D1966" i="11"/>
  <c r="E1966" i="11"/>
  <c r="C1966" i="11"/>
  <c r="D2223" i="11"/>
  <c r="E2223" i="11"/>
  <c r="C2223" i="11"/>
  <c r="D1657" i="11"/>
  <c r="E1657" i="11"/>
  <c r="C1657" i="11"/>
  <c r="D1214" i="11"/>
  <c r="E1214" i="11"/>
  <c r="C1214" i="11"/>
  <c r="E1008" i="11"/>
  <c r="D1008" i="11"/>
  <c r="C1008" i="11"/>
  <c r="D395" i="11"/>
  <c r="C395" i="11"/>
  <c r="D699" i="11"/>
  <c r="E699" i="11"/>
  <c r="C699" i="11"/>
  <c r="E1317" i="11"/>
  <c r="D1317" i="11"/>
  <c r="C1317" i="11"/>
  <c r="D295" i="11"/>
  <c r="C295" i="11"/>
  <c r="C2429" i="11"/>
  <c r="D2429" i="11"/>
  <c r="E2429" i="11"/>
  <c r="D2326" i="11"/>
  <c r="E2326" i="11"/>
  <c r="C2326" i="11"/>
  <c r="D197" i="11"/>
  <c r="C197" i="11"/>
  <c r="C2739" i="11"/>
  <c r="E2739" i="11"/>
  <c r="D2739" i="11"/>
  <c r="E596" i="11"/>
  <c r="D596" i="11"/>
  <c r="C596" i="11"/>
  <c r="C3048" i="11"/>
  <c r="E3048" i="11"/>
  <c r="D3048" i="11"/>
  <c r="D492" i="11"/>
  <c r="C492" i="11"/>
  <c r="D1419" i="11"/>
  <c r="E1419" i="11"/>
  <c r="C1419" i="11"/>
  <c r="D801" i="11"/>
  <c r="E801" i="11"/>
  <c r="C801" i="11"/>
  <c r="D1862" i="11"/>
  <c r="E1862" i="11"/>
  <c r="C1862" i="11"/>
  <c r="D1965" i="11"/>
  <c r="E1965" i="11"/>
  <c r="C1965" i="11"/>
  <c r="D2222" i="11"/>
  <c r="E2222" i="11"/>
  <c r="C2222" i="11"/>
  <c r="D1656" i="11"/>
  <c r="E1656" i="11"/>
  <c r="C1656" i="11"/>
  <c r="D1213" i="11"/>
  <c r="E1213" i="11"/>
  <c r="C1213" i="11"/>
  <c r="D1007" i="11"/>
  <c r="E1007" i="11"/>
  <c r="C1007" i="11"/>
  <c r="D394" i="11"/>
  <c r="C394" i="11"/>
  <c r="D698" i="11"/>
  <c r="E698" i="11"/>
  <c r="C698" i="11"/>
  <c r="D1316" i="11"/>
  <c r="E1316" i="11"/>
  <c r="C1316" i="11"/>
  <c r="D294" i="11"/>
  <c r="C294" i="11"/>
  <c r="D2428" i="11"/>
  <c r="E2428" i="11"/>
  <c r="C2428" i="11"/>
  <c r="C2325" i="11"/>
  <c r="E2325" i="11"/>
  <c r="D2325" i="11"/>
  <c r="D196" i="11"/>
  <c r="C196" i="11"/>
  <c r="D2738" i="11"/>
  <c r="E2738" i="11"/>
  <c r="C2738" i="11"/>
  <c r="D595" i="11"/>
  <c r="E595" i="11"/>
  <c r="C595" i="11"/>
  <c r="D3047" i="11"/>
  <c r="E3047" i="11"/>
  <c r="C3047" i="11"/>
  <c r="D491" i="11"/>
  <c r="C491" i="11"/>
  <c r="D1418" i="11"/>
  <c r="E1418" i="11"/>
  <c r="C1418" i="11"/>
  <c r="D800" i="11"/>
  <c r="E800" i="11"/>
  <c r="C800" i="11"/>
  <c r="D1861" i="11"/>
  <c r="E1861" i="11"/>
  <c r="C1861" i="11"/>
  <c r="D1964" i="11"/>
  <c r="E1964" i="11"/>
  <c r="C1964" i="11"/>
  <c r="D2221" i="11"/>
  <c r="E2221" i="11"/>
  <c r="C2221" i="11"/>
  <c r="D1655" i="11"/>
  <c r="E1655" i="11"/>
  <c r="C1655" i="11"/>
  <c r="C1212" i="11"/>
  <c r="E1212" i="11"/>
  <c r="D1212" i="11"/>
  <c r="D1006" i="11"/>
  <c r="E1006" i="11"/>
  <c r="C1006" i="11"/>
  <c r="D393" i="11"/>
  <c r="C393" i="11"/>
  <c r="D697" i="11"/>
  <c r="E697" i="11"/>
  <c r="C697" i="11"/>
  <c r="C1315" i="11"/>
  <c r="E1315" i="11"/>
  <c r="D1315" i="11"/>
  <c r="D293" i="11"/>
  <c r="C293" i="11"/>
  <c r="D2427" i="11"/>
  <c r="E2427" i="11"/>
  <c r="C2427" i="11"/>
  <c r="D2324" i="11"/>
  <c r="E2324" i="11"/>
  <c r="C2324" i="11"/>
  <c r="D195" i="11"/>
  <c r="C195" i="11"/>
  <c r="D2737" i="11"/>
  <c r="E2737" i="11"/>
  <c r="C2737" i="11"/>
  <c r="D594" i="11"/>
  <c r="E594" i="11"/>
  <c r="C594" i="11"/>
  <c r="D3046" i="11"/>
  <c r="E3046" i="11"/>
  <c r="C3046" i="11"/>
  <c r="D490" i="11"/>
  <c r="C490" i="11"/>
  <c r="D1417" i="11"/>
  <c r="E1417" i="11"/>
  <c r="C1417" i="11"/>
  <c r="D799" i="11"/>
  <c r="E799" i="11"/>
  <c r="C799" i="11"/>
  <c r="D1860" i="11"/>
  <c r="E1860" i="11"/>
  <c r="C1860" i="11"/>
  <c r="D1963" i="11"/>
  <c r="E1963" i="11"/>
  <c r="C1963" i="11"/>
  <c r="D2220" i="11"/>
  <c r="E2220" i="11"/>
  <c r="C2220" i="11"/>
  <c r="D1654" i="11"/>
  <c r="E1654" i="11"/>
  <c r="C1654" i="11"/>
  <c r="D1211" i="11"/>
  <c r="E1211" i="11"/>
  <c r="C1211" i="11"/>
  <c r="D1005" i="11"/>
  <c r="E1005" i="11"/>
  <c r="C1005" i="11"/>
  <c r="D392" i="11"/>
  <c r="C392" i="11"/>
  <c r="D696" i="11"/>
  <c r="E696" i="11"/>
  <c r="C696" i="11"/>
  <c r="D1314" i="11"/>
  <c r="E1314" i="11"/>
  <c r="C1314" i="11"/>
  <c r="D292" i="11"/>
  <c r="C292" i="11"/>
  <c r="D2426" i="11"/>
  <c r="E2426" i="11"/>
  <c r="C2426" i="11"/>
  <c r="D2323" i="11"/>
  <c r="E2323" i="11"/>
  <c r="C2323" i="11"/>
  <c r="D194" i="11"/>
  <c r="C194" i="11"/>
  <c r="D2736" i="11"/>
  <c r="E2736" i="11"/>
  <c r="C2736" i="11"/>
  <c r="D593" i="11"/>
  <c r="E593" i="11"/>
  <c r="C593" i="11"/>
  <c r="D3045" i="11"/>
  <c r="E3045" i="11"/>
  <c r="C3045" i="11"/>
  <c r="D489" i="11"/>
  <c r="C489" i="11"/>
  <c r="D1416" i="11"/>
  <c r="E1416" i="11"/>
  <c r="C1416" i="11"/>
  <c r="D798" i="11"/>
  <c r="E798" i="11"/>
  <c r="C798" i="11"/>
  <c r="D1859" i="11"/>
  <c r="E1859" i="11"/>
  <c r="C1859" i="11"/>
  <c r="D1962" i="11"/>
  <c r="E1962" i="11"/>
  <c r="C1962" i="11"/>
  <c r="D2219" i="11"/>
  <c r="E2219" i="11"/>
  <c r="C2219" i="11"/>
  <c r="D1653" i="11"/>
  <c r="E1653" i="11"/>
  <c r="C1653" i="11"/>
  <c r="D1210" i="11"/>
  <c r="E1210" i="11"/>
  <c r="C1210" i="11"/>
  <c r="D1004" i="11"/>
  <c r="E1004" i="11"/>
  <c r="C1004" i="11"/>
  <c r="D391" i="11"/>
  <c r="C391" i="11"/>
  <c r="D695" i="11"/>
  <c r="E695" i="11"/>
  <c r="C695" i="11"/>
  <c r="D1313" i="11"/>
  <c r="E1313" i="11"/>
  <c r="C1313" i="11"/>
  <c r="D291" i="11"/>
  <c r="C291" i="11"/>
  <c r="D2425" i="11"/>
  <c r="E2425" i="11"/>
  <c r="C2425" i="11"/>
  <c r="D2322" i="11"/>
  <c r="E2322" i="11"/>
  <c r="C2322" i="11"/>
  <c r="D193" i="11"/>
  <c r="C193" i="11"/>
  <c r="D2735" i="11"/>
  <c r="E2735" i="11"/>
  <c r="C2735" i="11"/>
  <c r="D592" i="11"/>
  <c r="E592" i="11"/>
  <c r="C592" i="11"/>
  <c r="D3044" i="11"/>
  <c r="E3044" i="11"/>
  <c r="C3044" i="11"/>
  <c r="C488" i="11"/>
  <c r="D488" i="11"/>
  <c r="D1415" i="11"/>
  <c r="E1415" i="11"/>
  <c r="C1415" i="11"/>
  <c r="D797" i="11"/>
  <c r="E797" i="11"/>
  <c r="C797" i="11"/>
  <c r="D1858" i="11"/>
  <c r="E1858" i="11"/>
  <c r="C1858" i="11"/>
  <c r="D1961" i="11"/>
  <c r="E1961" i="11"/>
  <c r="C1961" i="11"/>
  <c r="D2218" i="11"/>
  <c r="E2218" i="11"/>
  <c r="C2218" i="11"/>
  <c r="D1652" i="11"/>
  <c r="E1652" i="11"/>
  <c r="C1652" i="11"/>
  <c r="D1209" i="11"/>
  <c r="E1209" i="11"/>
  <c r="C1209" i="11"/>
  <c r="D1003" i="11"/>
  <c r="E1003" i="11"/>
  <c r="C1003" i="11"/>
  <c r="D390" i="11"/>
  <c r="C390" i="11"/>
  <c r="D694" i="11"/>
  <c r="E694" i="11"/>
  <c r="C694" i="11"/>
  <c r="D1312" i="11"/>
  <c r="E1312" i="11"/>
  <c r="C1312" i="11"/>
  <c r="D290" i="11"/>
  <c r="C290" i="11"/>
  <c r="D2424" i="11"/>
  <c r="E2424" i="11"/>
  <c r="C2424" i="11"/>
  <c r="D2321" i="11"/>
  <c r="E2321" i="11"/>
  <c r="C2321" i="11"/>
  <c r="D192" i="11"/>
  <c r="C192" i="11"/>
  <c r="D2734" i="11"/>
  <c r="E2734" i="11"/>
  <c r="C2734" i="11"/>
  <c r="D591" i="11"/>
  <c r="E591" i="11"/>
  <c r="C591" i="11"/>
  <c r="C3043" i="11"/>
  <c r="E3043" i="11"/>
  <c r="D3043" i="11"/>
  <c r="D487" i="11"/>
  <c r="C487" i="11"/>
  <c r="D1414" i="11"/>
  <c r="E1414" i="11"/>
  <c r="C1414" i="11"/>
  <c r="D796" i="11"/>
  <c r="E796" i="11"/>
  <c r="C796" i="11"/>
  <c r="D1857" i="11"/>
  <c r="E1857" i="11"/>
  <c r="C1857" i="11"/>
  <c r="D1960" i="11"/>
  <c r="E1960" i="11"/>
  <c r="C1960" i="11"/>
  <c r="C2217" i="11"/>
  <c r="E2217" i="11"/>
  <c r="D2217" i="11"/>
  <c r="D1651" i="11"/>
  <c r="E1651" i="11"/>
  <c r="C1651" i="11"/>
  <c r="D1208" i="11"/>
  <c r="E1208" i="11"/>
  <c r="C1208" i="11"/>
  <c r="D1002" i="11"/>
  <c r="E1002" i="11"/>
  <c r="C1002" i="11"/>
  <c r="D389" i="11"/>
  <c r="C389" i="11"/>
  <c r="D693" i="11"/>
  <c r="E693" i="11"/>
  <c r="C693" i="11"/>
  <c r="D1311" i="11"/>
  <c r="E1311" i="11"/>
  <c r="C1311" i="11"/>
  <c r="D289" i="11"/>
  <c r="C289" i="11"/>
  <c r="D2423" i="11"/>
  <c r="E2423" i="11"/>
  <c r="C2423" i="11"/>
  <c r="D2320" i="11"/>
  <c r="E2320" i="11"/>
  <c r="C2320" i="11"/>
  <c r="D191" i="11"/>
  <c r="C191" i="11"/>
  <c r="D2733" i="11"/>
  <c r="E2733" i="11"/>
  <c r="C2733" i="11"/>
  <c r="D590" i="11"/>
  <c r="E590" i="11"/>
  <c r="C590" i="11"/>
  <c r="D3042" i="11"/>
  <c r="E3042" i="11"/>
  <c r="C3042" i="11"/>
  <c r="E2085" i="11"/>
  <c r="D486" i="11"/>
  <c r="C486" i="11"/>
  <c r="D1413" i="11"/>
  <c r="E1413" i="11"/>
  <c r="C1413" i="11"/>
  <c r="D795" i="11"/>
  <c r="E795" i="11"/>
  <c r="C795" i="11"/>
  <c r="D1856" i="11"/>
  <c r="E1856" i="11"/>
  <c r="C1856" i="11"/>
  <c r="D1959" i="11"/>
  <c r="E1959" i="11"/>
  <c r="C1959" i="11"/>
  <c r="D2216" i="11"/>
  <c r="E2216" i="11"/>
  <c r="C2216" i="11"/>
  <c r="D1650" i="11"/>
  <c r="E1650" i="11"/>
  <c r="C1650" i="11"/>
  <c r="D1207" i="11"/>
  <c r="E1207" i="11"/>
  <c r="C1207" i="11"/>
  <c r="D1001" i="11"/>
  <c r="E1001" i="11"/>
  <c r="C1001" i="11"/>
  <c r="D388" i="11"/>
  <c r="C388" i="11"/>
  <c r="D692" i="11"/>
  <c r="E692" i="11"/>
  <c r="C692" i="11"/>
  <c r="D1310" i="11"/>
  <c r="E1310" i="11"/>
  <c r="C1310" i="11"/>
  <c r="D288" i="11"/>
  <c r="C288" i="11"/>
  <c r="D2422" i="11"/>
  <c r="E2422" i="11"/>
  <c r="C2422" i="11"/>
  <c r="D2319" i="11"/>
  <c r="E2319" i="11"/>
  <c r="C2319" i="11"/>
  <c r="D190" i="11"/>
  <c r="C190" i="11"/>
  <c r="D2732" i="11"/>
  <c r="E2732" i="11"/>
  <c r="C2732" i="11"/>
  <c r="D589" i="11"/>
  <c r="E589" i="11"/>
  <c r="C589" i="11"/>
  <c r="D3041" i="11"/>
  <c r="E3041" i="11"/>
  <c r="C3041" i="11"/>
  <c r="D485" i="11"/>
  <c r="C485" i="11"/>
  <c r="D1412" i="11"/>
  <c r="E1412" i="11"/>
  <c r="C1412" i="11"/>
  <c r="D794" i="11"/>
  <c r="E794" i="11"/>
  <c r="C794" i="11"/>
  <c r="D1855" i="11"/>
  <c r="E1855" i="11"/>
  <c r="C1855" i="11"/>
  <c r="D1958" i="11"/>
  <c r="E1958" i="11"/>
  <c r="C1958" i="11"/>
  <c r="D2215" i="11"/>
  <c r="E2215" i="11"/>
  <c r="C2215" i="11"/>
  <c r="D1649" i="11"/>
  <c r="E1649" i="11"/>
  <c r="C1649" i="11"/>
  <c r="D1206" i="11"/>
  <c r="E1206" i="11"/>
  <c r="C1206" i="11"/>
  <c r="D1000" i="11"/>
  <c r="E1000" i="11"/>
  <c r="C1000" i="11"/>
  <c r="D387" i="11"/>
  <c r="C387" i="11"/>
  <c r="D691" i="11"/>
  <c r="E691" i="11"/>
  <c r="C691" i="11"/>
  <c r="D1309" i="11"/>
  <c r="E1309" i="11"/>
  <c r="C1309" i="11"/>
  <c r="D287" i="11"/>
  <c r="C287" i="11"/>
  <c r="D2421" i="11"/>
  <c r="E2421" i="11"/>
  <c r="C2421" i="11"/>
  <c r="D2318" i="11"/>
  <c r="E2318" i="11"/>
  <c r="C2318" i="11"/>
  <c r="D189" i="11"/>
  <c r="C189" i="11"/>
  <c r="D2731" i="11"/>
  <c r="E2731" i="11"/>
  <c r="C2731" i="11"/>
  <c r="D588" i="11"/>
  <c r="E588" i="11"/>
  <c r="C588" i="11"/>
  <c r="D3040" i="11"/>
  <c r="E3040" i="11"/>
  <c r="C3040" i="11"/>
  <c r="D484" i="11"/>
  <c r="C484" i="11"/>
  <c r="D1411" i="11"/>
  <c r="E1411" i="11"/>
  <c r="C1411" i="11"/>
  <c r="D793" i="11"/>
  <c r="E793" i="11"/>
  <c r="C793" i="11"/>
  <c r="D1854" i="11"/>
  <c r="E1854" i="11"/>
  <c r="C1854" i="11"/>
  <c r="D1957" i="11"/>
  <c r="E1957" i="11"/>
  <c r="C1957" i="11"/>
  <c r="D2214" i="11"/>
  <c r="E2214" i="11"/>
  <c r="C2214" i="11"/>
  <c r="D1648" i="11"/>
  <c r="E1648" i="11"/>
  <c r="C1648" i="11"/>
  <c r="D1205" i="11"/>
  <c r="E1205" i="11"/>
  <c r="C1205" i="11"/>
  <c r="D999" i="11"/>
  <c r="E999" i="11"/>
  <c r="C999" i="11"/>
  <c r="D386" i="11"/>
  <c r="C386" i="11"/>
  <c r="D690" i="11"/>
  <c r="E690" i="11"/>
  <c r="C690" i="11"/>
  <c r="D1308" i="11"/>
  <c r="E1308" i="11"/>
  <c r="C1308" i="11"/>
  <c r="D286" i="11"/>
  <c r="C286" i="11"/>
  <c r="D2420" i="11"/>
  <c r="E2420" i="11"/>
  <c r="C2420" i="11"/>
  <c r="D2317" i="11"/>
  <c r="E2317" i="11"/>
  <c r="C2317" i="11"/>
  <c r="D188" i="11"/>
  <c r="C188" i="11"/>
  <c r="D2730" i="11"/>
  <c r="E2730" i="11"/>
  <c r="C2730" i="11"/>
  <c r="D587" i="11"/>
  <c r="E587" i="11"/>
  <c r="C587" i="11"/>
  <c r="D3039" i="11"/>
  <c r="E3039" i="11"/>
  <c r="C3039" i="11"/>
  <c r="D483" i="11"/>
  <c r="C483" i="11"/>
  <c r="D1410" i="11"/>
  <c r="E1410" i="11"/>
  <c r="C1410" i="11"/>
  <c r="D792" i="11"/>
  <c r="E792" i="11"/>
  <c r="C792" i="11"/>
  <c r="D1853" i="11"/>
  <c r="E1853" i="11"/>
  <c r="C1853" i="11"/>
  <c r="D1956" i="11"/>
  <c r="E1956" i="11"/>
  <c r="C1956" i="11"/>
  <c r="D2213" i="11"/>
  <c r="E2213" i="11"/>
  <c r="C2213" i="11"/>
  <c r="D1647" i="11"/>
  <c r="E1647" i="11"/>
  <c r="C1647" i="11"/>
  <c r="D1204" i="11"/>
  <c r="E1204" i="11"/>
  <c r="C1204" i="11"/>
  <c r="D998" i="11"/>
  <c r="E998" i="11"/>
  <c r="C998" i="11"/>
  <c r="D385" i="11"/>
  <c r="C385" i="11"/>
  <c r="D689" i="11"/>
  <c r="E689" i="11"/>
  <c r="C689" i="11"/>
  <c r="D1307" i="11"/>
  <c r="E1307" i="11"/>
  <c r="C1307" i="11"/>
  <c r="D285" i="11"/>
  <c r="C285" i="11"/>
  <c r="D2419" i="11"/>
  <c r="E2419" i="11"/>
  <c r="C2419" i="11"/>
  <c r="D2316" i="11"/>
  <c r="E2316" i="11"/>
  <c r="C2316" i="11"/>
  <c r="D187" i="11"/>
  <c r="C187" i="11"/>
  <c r="D2729" i="11"/>
  <c r="E2729" i="11"/>
  <c r="C2729" i="11"/>
  <c r="D586" i="11"/>
  <c r="E586" i="11"/>
  <c r="C586" i="11"/>
  <c r="D3038" i="11"/>
  <c r="E3038" i="11"/>
  <c r="C3038" i="11"/>
  <c r="D482" i="11"/>
  <c r="C482" i="11"/>
  <c r="D1409" i="11"/>
  <c r="E1409" i="11"/>
  <c r="C1409" i="11"/>
  <c r="D791" i="11"/>
  <c r="C791" i="11"/>
  <c r="E1852" i="11"/>
  <c r="C1852" i="11"/>
  <c r="D1852" i="11"/>
  <c r="D1955" i="11"/>
  <c r="E1955" i="11"/>
  <c r="C1955" i="11"/>
  <c r="D2212" i="11"/>
  <c r="E2212" i="11"/>
  <c r="C2212" i="11"/>
  <c r="D1646" i="11"/>
  <c r="E1646" i="11"/>
  <c r="C1646" i="11"/>
  <c r="D1203" i="11"/>
  <c r="C1203" i="11"/>
  <c r="C997" i="11"/>
  <c r="D997" i="11"/>
  <c r="D384" i="11"/>
  <c r="C384" i="11"/>
  <c r="D688" i="11"/>
  <c r="C688" i="11"/>
  <c r="D1306" i="11"/>
  <c r="E1306" i="11"/>
  <c r="C1306" i="11"/>
  <c r="D284" i="11"/>
  <c r="C284" i="11"/>
  <c r="D2418" i="11"/>
  <c r="E2418" i="11"/>
  <c r="C2418" i="11"/>
  <c r="D2315" i="11"/>
  <c r="E2315" i="11"/>
  <c r="C2315" i="11"/>
  <c r="D186" i="11"/>
  <c r="C186" i="11"/>
  <c r="D2728" i="11"/>
  <c r="E2728" i="11"/>
  <c r="C2728" i="11"/>
  <c r="D585" i="11"/>
  <c r="E585" i="11"/>
  <c r="C585" i="11"/>
  <c r="D3037" i="11"/>
  <c r="E3037" i="11"/>
  <c r="C3037" i="11"/>
  <c r="D481" i="11"/>
  <c r="C481" i="11"/>
  <c r="D1408" i="11"/>
  <c r="E1408" i="11"/>
  <c r="C1408" i="11"/>
  <c r="C790" i="11"/>
  <c r="E790" i="11"/>
  <c r="D790" i="11"/>
  <c r="E1851" i="11"/>
  <c r="D1851" i="11"/>
  <c r="C1851" i="11"/>
  <c r="E1954" i="11"/>
  <c r="D1954" i="11"/>
  <c r="C1954" i="11"/>
  <c r="E2211" i="11"/>
  <c r="D2211" i="11"/>
  <c r="C2211" i="11"/>
  <c r="E1645" i="11"/>
  <c r="C1645" i="11"/>
  <c r="D1645" i="11"/>
  <c r="E1202" i="11"/>
  <c r="D1202" i="11"/>
  <c r="C1202" i="11"/>
  <c r="E996" i="11"/>
  <c r="C996" i="11"/>
  <c r="D996" i="11"/>
  <c r="C383" i="11"/>
  <c r="D383" i="11"/>
  <c r="D687" i="11"/>
  <c r="E687" i="11"/>
  <c r="C687" i="11"/>
  <c r="E1305" i="11"/>
  <c r="C1305" i="11"/>
  <c r="D1305" i="11"/>
  <c r="D283" i="11"/>
  <c r="C283" i="11"/>
  <c r="E2417" i="11"/>
  <c r="D2417" i="11"/>
  <c r="C2417" i="11"/>
  <c r="E2314" i="11"/>
  <c r="C2314" i="11"/>
  <c r="D2314" i="11"/>
  <c r="D185" i="11"/>
  <c r="C185" i="11"/>
  <c r="D2727" i="11"/>
  <c r="E2727" i="11"/>
  <c r="C2727" i="11"/>
  <c r="E584" i="11"/>
  <c r="C584" i="11"/>
  <c r="D584" i="11"/>
  <c r="E3036" i="11"/>
  <c r="D3036" i="11"/>
  <c r="C3036" i="11"/>
  <c r="D480" i="11"/>
  <c r="C480" i="11"/>
  <c r="D1407" i="11"/>
  <c r="E1407" i="11"/>
  <c r="C1407" i="11"/>
  <c r="D789" i="11"/>
  <c r="E789" i="11"/>
  <c r="C789" i="11"/>
  <c r="D1850" i="11"/>
  <c r="E1850" i="11"/>
  <c r="C1850" i="11"/>
  <c r="D1953" i="11"/>
  <c r="E1953" i="11"/>
  <c r="C1953" i="11"/>
  <c r="D2210" i="11"/>
  <c r="E2210" i="11"/>
  <c r="C2210" i="11"/>
  <c r="D1644" i="11"/>
  <c r="E1644" i="11"/>
  <c r="C1644" i="11"/>
  <c r="D1201" i="11"/>
  <c r="E1201" i="11"/>
  <c r="C1201" i="11"/>
  <c r="D995" i="11"/>
  <c r="E995" i="11"/>
  <c r="C995" i="11"/>
  <c r="D382" i="11"/>
  <c r="C382" i="11"/>
  <c r="D686" i="11"/>
  <c r="E686" i="11"/>
  <c r="C686" i="11"/>
  <c r="D1304" i="11"/>
  <c r="E1304" i="11"/>
  <c r="C1304" i="11"/>
  <c r="D282" i="11"/>
  <c r="C282" i="11"/>
  <c r="D2416" i="11"/>
  <c r="E2416" i="11"/>
  <c r="C2416" i="11"/>
  <c r="D2313" i="11"/>
  <c r="E2313" i="11"/>
  <c r="C2313" i="11"/>
  <c r="D184" i="11"/>
  <c r="C184" i="11"/>
  <c r="D2726" i="11"/>
  <c r="E2726" i="11"/>
  <c r="C2726" i="11"/>
  <c r="D583" i="11"/>
  <c r="E583" i="11"/>
  <c r="C583" i="11"/>
  <c r="D3035" i="11"/>
  <c r="E3035" i="11"/>
  <c r="C3035" i="11"/>
  <c r="D479" i="11"/>
  <c r="C479" i="11"/>
  <c r="D1406" i="11"/>
  <c r="E1406" i="11"/>
  <c r="C1406" i="11"/>
  <c r="D788" i="11"/>
  <c r="E788" i="11"/>
  <c r="C788" i="11"/>
  <c r="D1849" i="11"/>
  <c r="E1849" i="11"/>
  <c r="C1849" i="11"/>
  <c r="D1952" i="11"/>
  <c r="E1952" i="11"/>
  <c r="C1952" i="11"/>
  <c r="D2209" i="11"/>
  <c r="E2209" i="11"/>
  <c r="C2209" i="11"/>
  <c r="D1643" i="11"/>
  <c r="E1643" i="11"/>
  <c r="C1643" i="11"/>
  <c r="D1200" i="11"/>
  <c r="E1200" i="11"/>
  <c r="C1200" i="11"/>
  <c r="D994" i="11"/>
  <c r="E994" i="11"/>
  <c r="C994" i="11"/>
  <c r="D381" i="11"/>
  <c r="C381" i="11"/>
  <c r="D685" i="11"/>
  <c r="E685" i="11"/>
  <c r="C685" i="11"/>
  <c r="D1303" i="11"/>
  <c r="E1303" i="11"/>
  <c r="C1303" i="11"/>
  <c r="D281" i="11"/>
  <c r="C281" i="11"/>
  <c r="D2415" i="11"/>
  <c r="E2415" i="11"/>
  <c r="C2415" i="11"/>
  <c r="D2312" i="11"/>
  <c r="E2312" i="11"/>
  <c r="C2312" i="11"/>
  <c r="D183" i="11"/>
  <c r="C183" i="11"/>
  <c r="D2725" i="11"/>
  <c r="E2725" i="11"/>
  <c r="C2725" i="11"/>
  <c r="D582" i="11"/>
  <c r="E582" i="11"/>
  <c r="C582" i="11"/>
  <c r="D3034" i="11"/>
  <c r="E3034" i="11"/>
  <c r="C3034" i="11"/>
  <c r="D478" i="11"/>
  <c r="C478" i="11"/>
  <c r="D1405" i="11"/>
  <c r="E1405" i="11"/>
  <c r="C1405" i="11"/>
  <c r="D787" i="11"/>
  <c r="C787" i="11"/>
  <c r="D1848" i="11"/>
  <c r="E1848" i="11"/>
  <c r="C1848" i="11"/>
  <c r="D1951" i="11"/>
  <c r="E1951" i="11"/>
  <c r="C1951" i="11"/>
  <c r="D2208" i="11"/>
  <c r="E2208" i="11"/>
  <c r="C2208" i="11"/>
  <c r="D1642" i="11"/>
  <c r="E1642" i="11"/>
  <c r="C1642" i="11"/>
  <c r="D1199" i="11"/>
  <c r="C1199" i="11"/>
  <c r="D993" i="11"/>
  <c r="C993" i="11"/>
  <c r="D380" i="11"/>
  <c r="C380" i="11"/>
  <c r="D684" i="11"/>
  <c r="C684" i="11"/>
  <c r="D1302" i="11"/>
  <c r="E1302" i="11"/>
  <c r="C1302" i="11"/>
  <c r="D280" i="11"/>
  <c r="C280" i="11"/>
  <c r="D2414" i="11"/>
  <c r="E2414" i="11"/>
  <c r="C2414" i="11"/>
  <c r="D2311" i="11"/>
  <c r="E2311" i="11"/>
  <c r="C2311" i="11"/>
  <c r="D182" i="11"/>
  <c r="C182" i="11"/>
  <c r="D2724" i="11"/>
  <c r="E2724" i="11"/>
  <c r="C2724" i="11"/>
  <c r="D581" i="11"/>
  <c r="E581" i="11"/>
  <c r="C581" i="11"/>
  <c r="D3033" i="11"/>
  <c r="E3033" i="11"/>
  <c r="C3033" i="11"/>
  <c r="D477" i="11"/>
  <c r="C477" i="11"/>
  <c r="D1404" i="11"/>
  <c r="E1404" i="11"/>
  <c r="C1404" i="11"/>
  <c r="D786" i="11"/>
  <c r="E786" i="11"/>
  <c r="C786" i="11"/>
  <c r="D1847" i="11"/>
  <c r="E1847" i="11"/>
  <c r="C1847" i="11"/>
  <c r="D1950" i="11"/>
  <c r="E1950" i="11"/>
  <c r="C1950" i="11"/>
  <c r="D2207" i="11"/>
  <c r="E2207" i="11"/>
  <c r="C2207" i="11"/>
  <c r="D1641" i="11"/>
  <c r="E1641" i="11"/>
  <c r="C1641" i="11"/>
  <c r="D1198" i="11"/>
  <c r="E1198" i="11"/>
  <c r="C1198" i="11"/>
  <c r="D992" i="11"/>
  <c r="E992" i="11"/>
  <c r="C992" i="11"/>
  <c r="D379" i="11"/>
  <c r="C379" i="11"/>
  <c r="D683" i="11"/>
  <c r="E683" i="11"/>
  <c r="C683" i="11"/>
  <c r="D1301" i="11"/>
  <c r="E1301" i="11"/>
  <c r="C1301" i="11"/>
  <c r="D279" i="11"/>
  <c r="C279" i="11"/>
  <c r="D2413" i="11"/>
  <c r="E2413" i="11"/>
  <c r="C2413" i="11"/>
  <c r="D2310" i="11"/>
  <c r="E2310" i="11"/>
  <c r="C2310" i="11"/>
  <c r="D181" i="11"/>
  <c r="C181" i="11"/>
  <c r="D2723" i="11"/>
  <c r="E2723" i="11"/>
  <c r="C2723" i="11"/>
  <c r="D580" i="11"/>
  <c r="E580" i="11"/>
  <c r="C580" i="11"/>
  <c r="D3032" i="11"/>
  <c r="E3032" i="11"/>
  <c r="C3032" i="11"/>
  <c r="D476" i="11"/>
  <c r="C476" i="11"/>
  <c r="E1403" i="11"/>
  <c r="C1403" i="11"/>
  <c r="D1403" i="11"/>
  <c r="C785" i="11"/>
  <c r="D785" i="11"/>
  <c r="D1846" i="11"/>
  <c r="E1846" i="11"/>
  <c r="C1846" i="11"/>
  <c r="E1949" i="11"/>
  <c r="C1949" i="11"/>
  <c r="D1949" i="11"/>
  <c r="D2206" i="11"/>
  <c r="C2206" i="11"/>
  <c r="D1640" i="11"/>
  <c r="E1640" i="11"/>
  <c r="C1640" i="11"/>
  <c r="C1197" i="11"/>
  <c r="D1197" i="11"/>
  <c r="C991" i="11"/>
  <c r="D991" i="11"/>
  <c r="C378" i="11"/>
  <c r="D378" i="11"/>
  <c r="D682" i="11"/>
  <c r="C682" i="11"/>
  <c r="D1300" i="11"/>
  <c r="E1300" i="11"/>
  <c r="C1300" i="11"/>
  <c r="D278" i="11"/>
  <c r="C278" i="11"/>
  <c r="E2412" i="11"/>
  <c r="C2412" i="11"/>
  <c r="D2412" i="11"/>
  <c r="E2309" i="11"/>
  <c r="C2309" i="11"/>
  <c r="D2309" i="11"/>
  <c r="D180" i="11"/>
  <c r="C180" i="11"/>
  <c r="D2722" i="11"/>
  <c r="E2722" i="11"/>
  <c r="C2722" i="11"/>
  <c r="D579" i="11"/>
  <c r="C579" i="11"/>
  <c r="D3031" i="11"/>
  <c r="E3031" i="11"/>
  <c r="C3031" i="11"/>
  <c r="D475" i="11"/>
  <c r="C475" i="11"/>
  <c r="D1402" i="11"/>
  <c r="E1402" i="11"/>
  <c r="C1402" i="11"/>
  <c r="E784" i="11"/>
  <c r="C784" i="11"/>
  <c r="D784" i="11"/>
  <c r="C1845" i="11"/>
  <c r="E1845" i="11"/>
  <c r="D1845" i="11"/>
  <c r="E1948" i="11"/>
  <c r="C1948" i="11"/>
  <c r="D1948" i="11"/>
  <c r="D2205" i="11"/>
  <c r="E2205" i="11"/>
  <c r="C2205" i="11"/>
  <c r="E1639" i="11"/>
  <c r="C1639" i="11"/>
  <c r="D1639" i="11"/>
  <c r="E1196" i="11"/>
  <c r="C1196" i="11"/>
  <c r="D1196" i="11"/>
  <c r="C990" i="11"/>
  <c r="E990" i="11"/>
  <c r="D990" i="11"/>
  <c r="D377" i="11"/>
  <c r="C377" i="11"/>
  <c r="E681" i="11"/>
  <c r="C681" i="11"/>
  <c r="D681" i="11"/>
  <c r="D1299" i="11"/>
  <c r="E1299" i="11"/>
  <c r="C1299" i="11"/>
  <c r="D277" i="11"/>
  <c r="C277" i="11"/>
  <c r="C2411" i="11"/>
  <c r="E2411" i="11"/>
  <c r="D2411" i="11"/>
  <c r="E2308" i="11"/>
  <c r="D2308" i="11"/>
  <c r="C2308" i="11"/>
  <c r="D179" i="11"/>
  <c r="C179" i="11"/>
  <c r="D2721" i="11"/>
  <c r="E2721" i="11"/>
  <c r="C2721" i="11"/>
  <c r="D578" i="11"/>
  <c r="E578" i="11"/>
  <c r="C578" i="11"/>
  <c r="D3030" i="11"/>
  <c r="E3030" i="11"/>
  <c r="C3030" i="11"/>
  <c r="D474" i="11"/>
  <c r="C474" i="11"/>
  <c r="D1401" i="11"/>
  <c r="E1401" i="11"/>
  <c r="C1401" i="11"/>
  <c r="D783" i="11"/>
  <c r="C783" i="11"/>
  <c r="E1844" i="11"/>
  <c r="C1844" i="11"/>
  <c r="D1844" i="11"/>
  <c r="D1947" i="11"/>
  <c r="E1947" i="11"/>
  <c r="C1947" i="11"/>
  <c r="D2204" i="11"/>
  <c r="E2204" i="11"/>
  <c r="C2204" i="11"/>
  <c r="D1638" i="11"/>
  <c r="E1638" i="11"/>
  <c r="C1638" i="11"/>
  <c r="D1195" i="11"/>
  <c r="C1195" i="11"/>
  <c r="D989" i="11"/>
  <c r="C989" i="11"/>
  <c r="D376" i="11"/>
  <c r="C376" i="11"/>
  <c r="D680" i="11"/>
  <c r="C680" i="11"/>
  <c r="D1298" i="11"/>
  <c r="E1298" i="11"/>
  <c r="C1298" i="11"/>
  <c r="D276" i="11"/>
  <c r="C276" i="11"/>
  <c r="D2410" i="11"/>
  <c r="E2410" i="11"/>
  <c r="C2410" i="11"/>
  <c r="D2307" i="11"/>
  <c r="E2307" i="11"/>
  <c r="C2307" i="11"/>
  <c r="D178" i="11"/>
  <c r="C178" i="11"/>
  <c r="D2720" i="11"/>
  <c r="E2720" i="11"/>
  <c r="C2720" i="11"/>
  <c r="D577" i="11"/>
  <c r="E577" i="11"/>
  <c r="C577" i="11"/>
  <c r="D3029" i="11"/>
  <c r="E3029" i="11"/>
  <c r="C3029" i="11"/>
  <c r="D473" i="11"/>
  <c r="C473" i="11"/>
  <c r="D1400" i="11"/>
  <c r="E1400" i="11"/>
  <c r="C1400" i="11"/>
  <c r="D782" i="11"/>
  <c r="C782" i="11"/>
  <c r="D1843" i="11"/>
  <c r="E1843" i="11"/>
  <c r="C1843" i="11"/>
  <c r="D1946" i="11"/>
  <c r="E1946" i="11"/>
  <c r="C1946" i="11"/>
  <c r="D2203" i="11"/>
  <c r="E2203" i="11"/>
  <c r="C2203" i="11"/>
  <c r="D1637" i="11"/>
  <c r="E1637" i="11"/>
  <c r="C1637" i="11"/>
  <c r="D1194" i="11"/>
  <c r="C1194" i="11"/>
  <c r="D988" i="11"/>
  <c r="C988" i="11"/>
  <c r="D375" i="11"/>
  <c r="C375" i="11"/>
  <c r="D679" i="11"/>
  <c r="C679" i="11"/>
  <c r="D1297" i="11"/>
  <c r="E1297" i="11"/>
  <c r="C1297" i="11"/>
  <c r="D275" i="11"/>
  <c r="C275" i="11"/>
  <c r="D2409" i="11"/>
  <c r="E2409" i="11"/>
  <c r="C2409" i="11"/>
  <c r="D2306" i="11"/>
  <c r="E2306" i="11"/>
  <c r="C2306" i="11"/>
  <c r="D177" i="11"/>
  <c r="C177" i="11"/>
  <c r="D2719" i="11"/>
  <c r="E2719" i="11"/>
  <c r="C2719" i="11"/>
  <c r="D576" i="11"/>
  <c r="E576" i="11"/>
  <c r="C576" i="11"/>
  <c r="D3028" i="11"/>
  <c r="E3028" i="11"/>
  <c r="C3028" i="11"/>
  <c r="D472" i="11"/>
  <c r="C472" i="11"/>
  <c r="D1399" i="11"/>
  <c r="E1399" i="11"/>
  <c r="C1399" i="11"/>
  <c r="D781" i="11"/>
  <c r="C781" i="11"/>
  <c r="D1842" i="11"/>
  <c r="E1842" i="11"/>
  <c r="C1842" i="11"/>
  <c r="D1945" i="11"/>
  <c r="E1945" i="11"/>
  <c r="C1945" i="11"/>
  <c r="D2202" i="11"/>
  <c r="E2202" i="11"/>
  <c r="C2202" i="11"/>
  <c r="D1636" i="11"/>
  <c r="E1636" i="11"/>
  <c r="C1636" i="11"/>
  <c r="D1193" i="11"/>
  <c r="C1193" i="11"/>
  <c r="D987" i="11"/>
  <c r="C987" i="11"/>
  <c r="D374" i="11"/>
  <c r="C374" i="11"/>
  <c r="D678" i="11"/>
  <c r="C678" i="11"/>
  <c r="D1296" i="11"/>
  <c r="E1296" i="11"/>
  <c r="C1296" i="11"/>
  <c r="D274" i="11"/>
  <c r="C274" i="11"/>
  <c r="D2408" i="11"/>
  <c r="E2408" i="11"/>
  <c r="C2408" i="11"/>
  <c r="D2305" i="11"/>
  <c r="E2305" i="11"/>
  <c r="C2305" i="11"/>
  <c r="D176" i="11"/>
  <c r="C176" i="11"/>
  <c r="D2718" i="11"/>
  <c r="E2718" i="11"/>
  <c r="C2718" i="11"/>
  <c r="D575" i="11"/>
  <c r="E575" i="11"/>
  <c r="C575" i="11"/>
  <c r="D3027" i="11"/>
  <c r="E3027" i="11"/>
  <c r="C3027" i="11"/>
  <c r="D471" i="11"/>
  <c r="C471" i="11"/>
  <c r="D1398" i="11"/>
  <c r="E1398" i="11"/>
  <c r="C1398" i="11"/>
  <c r="D780" i="11"/>
  <c r="C780" i="11"/>
  <c r="D1841" i="11"/>
  <c r="E1841" i="11"/>
  <c r="C1841" i="11"/>
  <c r="D1944" i="11"/>
  <c r="E1944" i="11"/>
  <c r="C1944" i="11"/>
  <c r="D2201" i="11"/>
  <c r="E2201" i="11"/>
  <c r="C2201" i="11"/>
  <c r="D1635" i="11"/>
  <c r="E1635" i="11"/>
  <c r="C1635" i="11"/>
  <c r="D1192" i="11"/>
  <c r="C1192" i="11"/>
  <c r="D986" i="11"/>
  <c r="C986" i="11"/>
  <c r="D373" i="11"/>
  <c r="C373" i="11"/>
  <c r="D677" i="11"/>
  <c r="C677" i="11"/>
  <c r="D1295" i="11"/>
  <c r="E1295" i="11"/>
  <c r="C1295" i="11"/>
  <c r="D273" i="11"/>
  <c r="C273" i="11"/>
  <c r="D2407" i="11"/>
  <c r="E2407" i="11"/>
  <c r="C2407" i="11"/>
  <c r="D2304" i="11"/>
  <c r="E2304" i="11"/>
  <c r="C2304" i="11"/>
  <c r="D175" i="11"/>
  <c r="C175" i="11"/>
  <c r="D2717" i="11"/>
  <c r="E2717" i="11"/>
  <c r="C2717" i="11"/>
  <c r="D574" i="11"/>
  <c r="E574" i="11"/>
  <c r="C574" i="11"/>
  <c r="D3026" i="11"/>
  <c r="E3026" i="11"/>
  <c r="C3026" i="11"/>
  <c r="D470" i="11"/>
  <c r="C470" i="11"/>
  <c r="D1397" i="11"/>
  <c r="E1397" i="11"/>
  <c r="C1397" i="11"/>
  <c r="D779" i="11"/>
  <c r="C779" i="11"/>
  <c r="D1840" i="11"/>
  <c r="E1840" i="11"/>
  <c r="C1840" i="11"/>
  <c r="D1943" i="11"/>
  <c r="E1943" i="11"/>
  <c r="C1943" i="11"/>
  <c r="D2200" i="11"/>
  <c r="E2200" i="11"/>
  <c r="C2200" i="11"/>
  <c r="D1634" i="11"/>
  <c r="E1634" i="11"/>
  <c r="C1634" i="11"/>
  <c r="D1191" i="11"/>
  <c r="C1191" i="11"/>
  <c r="D985" i="11"/>
  <c r="C985" i="11"/>
  <c r="D372" i="11"/>
  <c r="C372" i="11"/>
  <c r="D676" i="11"/>
  <c r="C676" i="11"/>
  <c r="D1294" i="11"/>
  <c r="E1294" i="11"/>
  <c r="C1294" i="11"/>
  <c r="D272" i="11"/>
  <c r="C272" i="11"/>
  <c r="D2406" i="11"/>
  <c r="E2406" i="11"/>
  <c r="C2406" i="11"/>
  <c r="D2303" i="11"/>
  <c r="E2303" i="11"/>
  <c r="C2303" i="11"/>
  <c r="D174" i="11"/>
  <c r="C174" i="11"/>
  <c r="D2716" i="11"/>
  <c r="E2716" i="11"/>
  <c r="C2716" i="11"/>
  <c r="D573" i="11"/>
  <c r="E573" i="11"/>
  <c r="C573" i="11"/>
  <c r="D3025" i="11"/>
  <c r="E3025" i="11"/>
  <c r="C3025" i="11"/>
  <c r="D469" i="11"/>
  <c r="C469" i="11"/>
  <c r="D1396" i="11"/>
  <c r="E1396" i="11"/>
  <c r="C1396" i="11"/>
  <c r="D778" i="11"/>
  <c r="C778" i="11"/>
  <c r="D1839" i="11"/>
  <c r="E1839" i="11"/>
  <c r="C1839" i="11"/>
  <c r="D1942" i="11"/>
  <c r="E1942" i="11"/>
  <c r="C1942" i="11"/>
  <c r="D2199" i="11"/>
  <c r="E2199" i="11"/>
  <c r="C2199" i="11"/>
  <c r="D1633" i="11"/>
  <c r="E1633" i="11"/>
  <c r="C1633" i="11"/>
  <c r="D1190" i="11"/>
  <c r="C1190" i="11"/>
  <c r="D984" i="11"/>
  <c r="C984" i="11"/>
  <c r="D371" i="11"/>
  <c r="C371" i="11"/>
  <c r="D675" i="11"/>
  <c r="C675" i="11"/>
  <c r="D1293" i="11"/>
  <c r="E1293" i="11"/>
  <c r="C1293" i="11"/>
  <c r="D271" i="11"/>
  <c r="C271" i="11"/>
  <c r="D2405" i="11"/>
  <c r="E2405" i="11"/>
  <c r="C2405" i="11"/>
  <c r="D2302" i="11"/>
  <c r="E2302" i="11"/>
  <c r="C2302" i="11"/>
  <c r="D173" i="11"/>
  <c r="C173" i="11"/>
  <c r="D2715" i="11"/>
  <c r="E2715" i="11"/>
  <c r="C2715" i="11"/>
  <c r="D572" i="11"/>
  <c r="E572" i="11"/>
  <c r="C572" i="11"/>
  <c r="D3024" i="11"/>
  <c r="E3024" i="11"/>
  <c r="C3024" i="11"/>
  <c r="D468" i="11"/>
  <c r="C468" i="11"/>
  <c r="D1395" i="11"/>
  <c r="E1395" i="11"/>
  <c r="C1395" i="11"/>
  <c r="D777" i="11"/>
  <c r="C777" i="11"/>
  <c r="D1838" i="11"/>
  <c r="E1838" i="11"/>
  <c r="C1838" i="11"/>
  <c r="D1941" i="11"/>
  <c r="E1941" i="11"/>
  <c r="C1941" i="11"/>
  <c r="D2198" i="11"/>
  <c r="E2198" i="11"/>
  <c r="C2198" i="11"/>
  <c r="D1632" i="11"/>
  <c r="E1632" i="11"/>
  <c r="C1632" i="11"/>
  <c r="D1189" i="11"/>
  <c r="C1189" i="11"/>
  <c r="D983" i="11"/>
  <c r="C983" i="11"/>
  <c r="D370" i="11"/>
  <c r="C370" i="11"/>
  <c r="D674" i="11"/>
  <c r="C674" i="11"/>
  <c r="D1292" i="11"/>
  <c r="E1292" i="11"/>
  <c r="C1292" i="11"/>
  <c r="D270" i="11"/>
  <c r="C270" i="11"/>
  <c r="D2404" i="11"/>
  <c r="E2404" i="11"/>
  <c r="C2404" i="11"/>
  <c r="D2301" i="11"/>
  <c r="E2301" i="11"/>
  <c r="C2301" i="11"/>
  <c r="D172" i="11"/>
  <c r="C172" i="11"/>
  <c r="D2714" i="11"/>
  <c r="E2714" i="11"/>
  <c r="C2714" i="11"/>
  <c r="D571" i="11"/>
  <c r="E571" i="11"/>
  <c r="C571" i="11"/>
  <c r="D3023" i="11"/>
  <c r="E3023" i="11"/>
  <c r="C3023" i="11"/>
  <c r="D467" i="11"/>
  <c r="C467" i="11"/>
  <c r="D1394" i="11"/>
  <c r="E1394" i="11"/>
  <c r="C1394" i="11"/>
  <c r="D776" i="11"/>
  <c r="C776" i="11"/>
  <c r="D1837" i="11"/>
  <c r="E1837" i="11"/>
  <c r="C1837" i="11"/>
  <c r="D1940" i="11"/>
  <c r="E1940" i="11"/>
  <c r="C1940" i="11"/>
  <c r="D2197" i="11"/>
  <c r="E2197" i="11"/>
  <c r="C2197" i="11"/>
  <c r="D1631" i="11"/>
  <c r="E1631" i="11"/>
  <c r="C1631" i="11"/>
  <c r="D1188" i="11"/>
  <c r="C1188" i="11"/>
  <c r="D982" i="11"/>
  <c r="C982" i="11"/>
  <c r="D369" i="11"/>
  <c r="C369" i="11"/>
  <c r="D673" i="11"/>
  <c r="C673" i="11"/>
  <c r="D1291" i="11"/>
  <c r="E1291" i="11"/>
  <c r="C1291" i="11"/>
  <c r="D269" i="11"/>
  <c r="C269" i="11"/>
  <c r="D2403" i="11"/>
  <c r="E2403" i="11"/>
  <c r="C2403" i="11"/>
  <c r="D2300" i="11"/>
  <c r="E2300" i="11"/>
  <c r="C2300" i="11"/>
  <c r="D171" i="11"/>
  <c r="C171" i="11"/>
  <c r="D2713" i="11"/>
  <c r="E2713" i="11"/>
  <c r="C2713" i="11"/>
  <c r="D570" i="11"/>
  <c r="E570" i="11"/>
  <c r="C570" i="11"/>
  <c r="D3022" i="11"/>
  <c r="E3022" i="11"/>
  <c r="C3022" i="11"/>
  <c r="D466" i="11"/>
  <c r="C466" i="11"/>
  <c r="D1393" i="11"/>
  <c r="E1393" i="11"/>
  <c r="C1393" i="11"/>
  <c r="D775" i="11"/>
  <c r="C775" i="11"/>
  <c r="D1836" i="11"/>
  <c r="E1836" i="11"/>
  <c r="C1836" i="11"/>
  <c r="D1939" i="11"/>
  <c r="E1939" i="11"/>
  <c r="C1939" i="11"/>
  <c r="D2196" i="11"/>
  <c r="E2196" i="11"/>
  <c r="C2196" i="11"/>
  <c r="D1630" i="11"/>
  <c r="E1630" i="11"/>
  <c r="C1630" i="11"/>
  <c r="D1187" i="11"/>
  <c r="C1187" i="11"/>
  <c r="D981" i="11"/>
  <c r="C981" i="11"/>
  <c r="D368" i="11"/>
  <c r="C368" i="11"/>
  <c r="D672" i="11"/>
  <c r="C672" i="11"/>
  <c r="D1290" i="11"/>
  <c r="E1290" i="11"/>
  <c r="C1290" i="11"/>
  <c r="D268" i="11"/>
  <c r="C268" i="11"/>
  <c r="D2402" i="11"/>
  <c r="E2402" i="11"/>
  <c r="C2402" i="11"/>
  <c r="E2299" i="11"/>
  <c r="C2299" i="11"/>
  <c r="D2299" i="11"/>
  <c r="D170" i="11"/>
  <c r="C170" i="11"/>
  <c r="D2712" i="11"/>
  <c r="E2712" i="11"/>
  <c r="C2712" i="11"/>
  <c r="D569" i="11"/>
  <c r="E569" i="11"/>
  <c r="C569" i="11"/>
  <c r="D3021" i="11"/>
  <c r="E3021" i="11"/>
  <c r="C3021" i="11"/>
  <c r="K53" i="32"/>
  <c r="I53" i="32"/>
  <c r="M34" i="26"/>
  <c r="I34" i="26"/>
  <c r="D465" i="11"/>
  <c r="C465" i="11"/>
  <c r="D1392" i="11"/>
  <c r="E1392" i="11"/>
  <c r="C1392" i="11"/>
  <c r="D774" i="11"/>
  <c r="C774" i="11"/>
  <c r="D1835" i="11"/>
  <c r="E1835" i="11"/>
  <c r="C1835" i="11"/>
  <c r="D1938" i="11"/>
  <c r="E1938" i="11"/>
  <c r="C1938" i="11"/>
  <c r="D2195" i="11"/>
  <c r="E2195" i="11"/>
  <c r="C2195" i="11"/>
  <c r="D1629" i="11"/>
  <c r="E1629" i="11"/>
  <c r="C1629" i="11"/>
  <c r="D1186" i="11"/>
  <c r="C1186" i="11"/>
  <c r="D980" i="11"/>
  <c r="C980" i="11"/>
  <c r="D367" i="11"/>
  <c r="C367" i="11"/>
  <c r="D671" i="11"/>
  <c r="C671" i="11"/>
  <c r="D1289" i="11"/>
  <c r="E1289" i="11"/>
  <c r="C1289" i="11"/>
  <c r="D267" i="11"/>
  <c r="C267" i="11"/>
  <c r="D2401" i="11"/>
  <c r="E2401" i="11"/>
  <c r="C2401" i="11"/>
  <c r="D2298" i="11"/>
  <c r="E2298" i="11"/>
  <c r="C2298" i="11"/>
  <c r="D169" i="11"/>
  <c r="C169" i="11"/>
  <c r="D2711" i="11"/>
  <c r="E2711" i="11"/>
  <c r="C2711" i="11"/>
  <c r="D568" i="11"/>
  <c r="E568" i="11"/>
  <c r="C568" i="11"/>
  <c r="D3020" i="11"/>
  <c r="E3020" i="11"/>
  <c r="C3020" i="11"/>
  <c r="D464" i="11"/>
  <c r="C464" i="11"/>
  <c r="C1391" i="11"/>
  <c r="E1391" i="11"/>
  <c r="D1391" i="11"/>
  <c r="C773" i="11"/>
  <c r="E773" i="11"/>
  <c r="D773" i="11"/>
  <c r="C1834" i="11"/>
  <c r="E1834" i="11"/>
  <c r="D1834" i="11"/>
  <c r="D1937" i="11"/>
  <c r="E1937" i="11"/>
  <c r="C1937" i="11"/>
  <c r="D2194" i="11"/>
  <c r="E2194" i="11"/>
  <c r="C2194" i="11"/>
  <c r="C1628" i="11"/>
  <c r="E1628" i="11"/>
  <c r="D1628" i="11"/>
  <c r="D1185" i="11"/>
  <c r="E1185" i="11"/>
  <c r="C1185" i="11"/>
  <c r="E979" i="11"/>
  <c r="C979" i="11"/>
  <c r="D979" i="11"/>
  <c r="D366" i="11"/>
  <c r="C366" i="11"/>
  <c r="D670" i="11"/>
  <c r="E670" i="11"/>
  <c r="C670" i="11"/>
  <c r="C1288" i="11"/>
  <c r="E1288" i="11"/>
  <c r="D1288" i="11"/>
  <c r="D266" i="11"/>
  <c r="C266" i="11"/>
  <c r="D2400" i="11"/>
  <c r="E2400" i="11"/>
  <c r="C2400" i="11"/>
  <c r="C2297" i="11"/>
  <c r="E2297" i="11"/>
  <c r="D2297" i="11"/>
  <c r="D168" i="11"/>
  <c r="C168" i="11"/>
  <c r="C2710" i="11"/>
  <c r="E2710" i="11"/>
  <c r="D2710" i="11"/>
  <c r="E567" i="11"/>
  <c r="D567" i="11"/>
  <c r="C567" i="11"/>
  <c r="D3019" i="11"/>
  <c r="E3019" i="11"/>
  <c r="C3019" i="11"/>
  <c r="D463" i="11"/>
  <c r="C463" i="11"/>
  <c r="D1390" i="11"/>
  <c r="E1390" i="11"/>
  <c r="C1390" i="11"/>
  <c r="D772" i="11"/>
  <c r="E772" i="11"/>
  <c r="C772" i="11"/>
  <c r="D1833" i="11"/>
  <c r="E1833" i="11"/>
  <c r="C1833" i="11"/>
  <c r="D1936" i="11"/>
  <c r="E1936" i="11"/>
  <c r="C1936" i="11"/>
  <c r="D2193" i="11"/>
  <c r="E2193" i="11"/>
  <c r="C2193" i="11"/>
  <c r="D1627" i="11"/>
  <c r="E1627" i="11"/>
  <c r="C1627" i="11"/>
  <c r="D1184" i="11"/>
  <c r="E1184" i="11"/>
  <c r="C1184" i="11"/>
  <c r="D978" i="11"/>
  <c r="E978" i="11"/>
  <c r="C978" i="11"/>
  <c r="D365" i="11"/>
  <c r="C365" i="11"/>
  <c r="D669" i="11"/>
  <c r="E669" i="11"/>
  <c r="C669" i="11"/>
  <c r="D1287" i="11"/>
  <c r="E1287" i="11"/>
  <c r="C1287" i="11"/>
  <c r="D265" i="11"/>
  <c r="C265" i="11"/>
  <c r="D2399" i="11"/>
  <c r="E2399" i="11"/>
  <c r="C2399" i="11"/>
  <c r="D2296" i="11"/>
  <c r="E2296" i="11"/>
  <c r="C2296" i="11"/>
  <c r="D167" i="11"/>
  <c r="C167" i="11"/>
  <c r="D2709" i="11"/>
  <c r="E2709" i="11"/>
  <c r="C2709" i="11"/>
  <c r="D566" i="11"/>
  <c r="E566" i="11"/>
  <c r="C566" i="11"/>
  <c r="D3018" i="11"/>
  <c r="E3018" i="11"/>
  <c r="C3018" i="11"/>
  <c r="D462" i="11"/>
  <c r="C462" i="11"/>
  <c r="D1389" i="11"/>
  <c r="E1389" i="11"/>
  <c r="C1389" i="11"/>
  <c r="D771" i="11"/>
  <c r="E771" i="11"/>
  <c r="C771" i="11"/>
  <c r="D1832" i="11"/>
  <c r="E1832" i="11"/>
  <c r="C1832" i="11"/>
  <c r="D1935" i="11"/>
  <c r="E1935" i="11"/>
  <c r="C1935" i="11"/>
  <c r="D2192" i="11"/>
  <c r="E2192" i="11"/>
  <c r="C2192" i="11"/>
  <c r="D1626" i="11"/>
  <c r="E1626" i="11"/>
  <c r="C1626" i="11"/>
  <c r="D1183" i="11"/>
  <c r="E1183" i="11"/>
  <c r="C1183" i="11"/>
  <c r="D977" i="11"/>
  <c r="E977" i="11"/>
  <c r="C977" i="11"/>
  <c r="D364" i="11"/>
  <c r="C364" i="11"/>
  <c r="D668" i="11"/>
  <c r="E668" i="11"/>
  <c r="C668" i="11"/>
  <c r="D1286" i="11"/>
  <c r="E1286" i="11"/>
  <c r="C1286" i="11"/>
  <c r="D264" i="11"/>
  <c r="C264" i="11"/>
  <c r="D2398" i="11"/>
  <c r="E2398" i="11"/>
  <c r="C2398" i="11"/>
  <c r="D2295" i="11"/>
  <c r="E2295" i="11"/>
  <c r="C2295" i="11"/>
  <c r="D166" i="11"/>
  <c r="C166" i="11"/>
  <c r="D2708" i="11"/>
  <c r="E2708" i="11"/>
  <c r="C2708" i="11"/>
  <c r="D565" i="11"/>
  <c r="E565" i="11"/>
  <c r="C565" i="11"/>
  <c r="D3017" i="11"/>
  <c r="E3017" i="11"/>
  <c r="C3017" i="11"/>
  <c r="D461" i="11"/>
  <c r="C461" i="11"/>
  <c r="D1388" i="11"/>
  <c r="E1388" i="11"/>
  <c r="C1388" i="11"/>
  <c r="D770" i="11"/>
  <c r="E770" i="11"/>
  <c r="C770" i="11"/>
  <c r="D1831" i="11"/>
  <c r="E1831" i="11"/>
  <c r="C1831" i="11"/>
  <c r="D1934" i="11"/>
  <c r="E1934" i="11"/>
  <c r="C1934" i="11"/>
  <c r="D2191" i="11"/>
  <c r="E2191" i="11"/>
  <c r="C2191" i="11"/>
  <c r="D1625" i="11"/>
  <c r="E1625" i="11"/>
  <c r="C1625" i="11"/>
  <c r="D1182" i="11"/>
  <c r="E1182" i="11"/>
  <c r="C1182" i="11"/>
  <c r="D976" i="11"/>
  <c r="E976" i="11"/>
  <c r="C976" i="11"/>
  <c r="D363" i="11"/>
  <c r="C363" i="11"/>
  <c r="D667" i="11"/>
  <c r="E667" i="11"/>
  <c r="C667" i="11"/>
  <c r="D1285" i="11"/>
  <c r="E1285" i="11"/>
  <c r="C1285" i="11"/>
  <c r="D263" i="11"/>
  <c r="C263" i="11"/>
  <c r="D2397" i="11"/>
  <c r="E2397" i="11"/>
  <c r="C2397" i="11"/>
  <c r="D2294" i="11"/>
  <c r="E2294" i="11"/>
  <c r="C2294" i="11"/>
  <c r="D165" i="11"/>
  <c r="C165" i="11"/>
  <c r="D2707" i="11"/>
  <c r="E2707" i="11"/>
  <c r="C2707" i="11"/>
  <c r="D564" i="11"/>
  <c r="E564" i="11"/>
  <c r="C564" i="11"/>
  <c r="D3016" i="11"/>
  <c r="E3016" i="11"/>
  <c r="C3016" i="11"/>
  <c r="D460" i="11"/>
  <c r="C460" i="11"/>
  <c r="D1387" i="11"/>
  <c r="E1387" i="11"/>
  <c r="C1387" i="11"/>
  <c r="D769" i="11"/>
  <c r="E769" i="11"/>
  <c r="C769" i="11"/>
  <c r="D1830" i="11"/>
  <c r="E1830" i="11"/>
  <c r="C1830" i="11"/>
  <c r="D1933" i="11"/>
  <c r="E1933" i="11"/>
  <c r="C1933" i="11"/>
  <c r="D2190" i="11"/>
  <c r="E2190" i="11"/>
  <c r="C2190" i="11"/>
  <c r="D1624" i="11"/>
  <c r="E1624" i="11"/>
  <c r="C1624" i="11"/>
  <c r="D1181" i="11"/>
  <c r="E1181" i="11"/>
  <c r="C1181" i="11"/>
  <c r="D975" i="11"/>
  <c r="E975" i="11"/>
  <c r="C975" i="11"/>
  <c r="D362" i="11"/>
  <c r="C362" i="11"/>
  <c r="D666" i="11"/>
  <c r="E666" i="11"/>
  <c r="C666" i="11"/>
  <c r="D1284" i="11"/>
  <c r="E1284" i="11"/>
  <c r="C1284" i="11"/>
  <c r="D262" i="11"/>
  <c r="C262" i="11"/>
  <c r="D2396" i="11"/>
  <c r="E2396" i="11"/>
  <c r="C2396" i="11"/>
  <c r="D2293" i="11"/>
  <c r="E2293" i="11"/>
  <c r="C2293" i="11"/>
  <c r="D164" i="11"/>
  <c r="C164" i="11"/>
  <c r="D2706" i="11"/>
  <c r="E2706" i="11"/>
  <c r="C2706" i="11"/>
  <c r="D563" i="11"/>
  <c r="E563" i="11"/>
  <c r="C563" i="11"/>
  <c r="D3015" i="11"/>
  <c r="E3015" i="11"/>
  <c r="C3015" i="11"/>
  <c r="C2035" i="11"/>
  <c r="B2036" i="11"/>
  <c r="B2037" i="11" s="1"/>
  <c r="B2038" i="11" s="1"/>
  <c r="B2039" i="11" s="1"/>
  <c r="B2040" i="11" s="1"/>
  <c r="B2041" i="11" s="1"/>
  <c r="B2042" i="11" s="1"/>
  <c r="B2043" i="11" s="1"/>
  <c r="B2044" i="11" s="1"/>
  <c r="B2045" i="11" s="1"/>
  <c r="B2046" i="11" s="1"/>
  <c r="B2047" i="11" s="1"/>
  <c r="B2048" i="11" s="1"/>
  <c r="B2049" i="11" s="1"/>
  <c r="B2050" i="11" s="1"/>
  <c r="B2051" i="11" s="1"/>
  <c r="B2052" i="11" s="1"/>
  <c r="B2053" i="11" s="1"/>
  <c r="B2054" i="11" s="1"/>
  <c r="B2055" i="11" s="1"/>
  <c r="B2056" i="11" s="1"/>
  <c r="B2057" i="11" s="1"/>
  <c r="B2058" i="11" s="1"/>
  <c r="B2059" i="11" s="1"/>
  <c r="B2060" i="11" s="1"/>
  <c r="B2061" i="11" s="1"/>
  <c r="B2062" i="11" s="1"/>
  <c r="B2063" i="11" s="1"/>
  <c r="B2064" i="11" s="1"/>
  <c r="B2065" i="11" s="1"/>
  <c r="B2066" i="11" s="1"/>
  <c r="B2067" i="11" s="1"/>
  <c r="B2068" i="11" s="1"/>
  <c r="B2069" i="11" s="1"/>
  <c r="B2070" i="11" s="1"/>
  <c r="B2071" i="11" s="1"/>
  <c r="B2072" i="11" s="1"/>
  <c r="B2073" i="11" s="1"/>
  <c r="B2074" i="11" s="1"/>
  <c r="B2075" i="11" s="1"/>
  <c r="B2076" i="11" s="1"/>
  <c r="D2035" i="11"/>
  <c r="C1725" i="11"/>
  <c r="D1725" i="11"/>
  <c r="B1726" i="11"/>
  <c r="B1727" i="11" s="1"/>
  <c r="B1728" i="11" s="1"/>
  <c r="B1729" i="11" s="1"/>
  <c r="B1730" i="11" s="1"/>
  <c r="B1731" i="11" s="1"/>
  <c r="B1732" i="11" s="1"/>
  <c r="B1733" i="11" s="1"/>
  <c r="B1734" i="11" s="1"/>
  <c r="B1735" i="11" s="1"/>
  <c r="B1736" i="11" s="1"/>
  <c r="B1737" i="11" s="1"/>
  <c r="B1738" i="11" s="1"/>
  <c r="B1739" i="11" s="1"/>
  <c r="B1740" i="11" s="1"/>
  <c r="B1741" i="11" s="1"/>
  <c r="B1742" i="11" s="1"/>
  <c r="B1743" i="11" s="1"/>
  <c r="B1744" i="11" s="1"/>
  <c r="B1745" i="11" s="1"/>
  <c r="B1746" i="11" s="1"/>
  <c r="B1747" i="11" s="1"/>
  <c r="B1748" i="11" s="1"/>
  <c r="B1749" i="11" s="1"/>
  <c r="B1750" i="11" s="1"/>
  <c r="B1751" i="11" s="1"/>
  <c r="B1752" i="11" s="1"/>
  <c r="B1753" i="11" s="1"/>
  <c r="B1754" i="11" s="1"/>
  <c r="B1755" i="11" s="1"/>
  <c r="B1756" i="11" s="1"/>
  <c r="B1757" i="11" s="1"/>
  <c r="B1758" i="11" s="1"/>
  <c r="B1759" i="11" s="1"/>
  <c r="B1760" i="11" s="1"/>
  <c r="B1761" i="11" s="1"/>
  <c r="B1762" i="11" s="1"/>
  <c r="B1763" i="11" s="1"/>
  <c r="B1764" i="11" s="1"/>
  <c r="B1765" i="11" s="1"/>
  <c r="B1766" i="11" s="1"/>
  <c r="E1725" i="11"/>
  <c r="E2035" i="11" s="1"/>
  <c r="D2601" i="11"/>
  <c r="C2601" i="11"/>
  <c r="B2602" i="11"/>
  <c r="B2603" i="11" s="1"/>
  <c r="B2604" i="11" s="1"/>
  <c r="B2605" i="11" s="1"/>
  <c r="B2606" i="11" s="1"/>
  <c r="B2607" i="11" s="1"/>
  <c r="B2608" i="11" s="1"/>
  <c r="B2609" i="11" s="1"/>
  <c r="B2610" i="11" s="1"/>
  <c r="B2611" i="11" s="1"/>
  <c r="B2612" i="11" s="1"/>
  <c r="B2613" i="11" s="1"/>
  <c r="B2614" i="11" s="1"/>
  <c r="B2615" i="11" s="1"/>
  <c r="B2616" i="11" s="1"/>
  <c r="B2617" i="11" s="1"/>
  <c r="B2618" i="11" s="1"/>
  <c r="B2619" i="11" s="1"/>
  <c r="B2620" i="11" s="1"/>
  <c r="B2621" i="11" s="1"/>
  <c r="B2622" i="11" s="1"/>
  <c r="B2623" i="11" s="1"/>
  <c r="B2624" i="11" s="1"/>
  <c r="B2625" i="11" s="1"/>
  <c r="B2626" i="11" s="1"/>
  <c r="B2627" i="11" s="1"/>
  <c r="B2628" i="11" s="1"/>
  <c r="B2629" i="11" s="1"/>
  <c r="B2630" i="11" s="1"/>
  <c r="B2631" i="11" s="1"/>
  <c r="B2632" i="11" s="1"/>
  <c r="B2633" i="11" s="1"/>
  <c r="B2634" i="11" s="1"/>
  <c r="B2635" i="11" s="1"/>
  <c r="B2636" i="11" s="1"/>
  <c r="B2637" i="11" s="1"/>
  <c r="B2638" i="11" s="1"/>
  <c r="B2639" i="11" s="1"/>
  <c r="B2640" i="11" s="1"/>
  <c r="B2641" i="11" s="1"/>
  <c r="B2642" i="11" s="1"/>
  <c r="E2601" i="11"/>
  <c r="C1623" i="11"/>
  <c r="D1623" i="11"/>
  <c r="E1623" i="11"/>
  <c r="C1503" i="11"/>
  <c r="D1503" i="11"/>
  <c r="B1504" i="11"/>
  <c r="B1505" i="11" s="1"/>
  <c r="B1506" i="11" s="1"/>
  <c r="B1507" i="11" s="1"/>
  <c r="B1508" i="11" s="1"/>
  <c r="B1509" i="11" s="1"/>
  <c r="B1510" i="11" s="1"/>
  <c r="B1511" i="11" s="1"/>
  <c r="B1512" i="11" s="1"/>
  <c r="B1513" i="11" s="1"/>
  <c r="B1514" i="11" s="1"/>
  <c r="B1515" i="11" s="1"/>
  <c r="B1516" i="11" s="1"/>
  <c r="B1517" i="11" s="1"/>
  <c r="B1518" i="11" s="1"/>
  <c r="B1519" i="11" s="1"/>
  <c r="B1520" i="11" s="1"/>
  <c r="B1521" i="11" s="1"/>
  <c r="B1522" i="11" s="1"/>
  <c r="B1523" i="11" s="1"/>
  <c r="B1524" i="11" s="1"/>
  <c r="B1525" i="11" s="1"/>
  <c r="B1526" i="11" s="1"/>
  <c r="B1527" i="11" s="1"/>
  <c r="B1528" i="11" s="1"/>
  <c r="B1529" i="11" s="1"/>
  <c r="B1530" i="11" s="1"/>
  <c r="B1531" i="11" s="1"/>
  <c r="B1532" i="11" s="1"/>
  <c r="B1533" i="11" s="1"/>
  <c r="B1534" i="11" s="1"/>
  <c r="B1535" i="11" s="1"/>
  <c r="B1536" i="11" s="1"/>
  <c r="B1537" i="11" s="1"/>
  <c r="B1538" i="11" s="1"/>
  <c r="B1539" i="11" s="1"/>
  <c r="B1540" i="11" s="1"/>
  <c r="B1541" i="11" s="1"/>
  <c r="B1542" i="11" s="1"/>
  <c r="B1543" i="11" s="1"/>
  <c r="B1544" i="11" s="1"/>
  <c r="E1503" i="11"/>
  <c r="D2189" i="11"/>
  <c r="C2189" i="11"/>
  <c r="E2189" i="11"/>
  <c r="C974" i="11"/>
  <c r="E974" i="11"/>
  <c r="D974" i="11"/>
  <c r="C3014" i="11"/>
  <c r="D3014" i="11"/>
  <c r="E3014" i="11"/>
  <c r="C459" i="11"/>
  <c r="D459" i="11"/>
  <c r="C1386" i="11"/>
  <c r="D1386" i="11"/>
  <c r="E1386" i="11"/>
  <c r="C361" i="11"/>
  <c r="D361" i="11"/>
  <c r="C1076" i="11"/>
  <c r="D1076" i="11"/>
  <c r="E1076" i="11"/>
  <c r="B1077" i="11"/>
  <c r="B1078" i="11" s="1"/>
  <c r="B1079" i="11" s="1"/>
  <c r="B1080" i="11" s="1"/>
  <c r="B1081" i="11" s="1"/>
  <c r="B1082" i="11" s="1"/>
  <c r="B1083" i="11" s="1"/>
  <c r="B1084" i="11" s="1"/>
  <c r="B1085" i="11" s="1"/>
  <c r="B1086" i="11" s="1"/>
  <c r="B1087" i="11" s="1"/>
  <c r="B1088" i="11" s="1"/>
  <c r="B1089" i="11" s="1"/>
  <c r="B1090" i="11" s="1"/>
  <c r="B1091" i="11" s="1"/>
  <c r="B1092" i="11" s="1"/>
  <c r="B1093" i="11" s="1"/>
  <c r="B1094" i="11" s="1"/>
  <c r="B1095" i="11" s="1"/>
  <c r="B1096" i="11" s="1"/>
  <c r="B1097" i="11" s="1"/>
  <c r="B1098" i="11" s="1"/>
  <c r="B1099" i="11" s="1"/>
  <c r="B1100" i="11" s="1"/>
  <c r="B1101" i="11" s="1"/>
  <c r="B1102" i="11" s="1"/>
  <c r="B1103" i="11" s="1"/>
  <c r="B1104" i="11" s="1"/>
  <c r="B1105" i="11" s="1"/>
  <c r="B1106" i="11" s="1"/>
  <c r="B1107" i="11" s="1"/>
  <c r="B1108" i="11" s="1"/>
  <c r="B1109" i="11" s="1"/>
  <c r="B1110" i="11" s="1"/>
  <c r="B1111" i="11" s="1"/>
  <c r="B1112" i="11" s="1"/>
  <c r="B1113" i="11" s="1"/>
  <c r="B1114" i="11" s="1"/>
  <c r="B1115" i="11" s="1"/>
  <c r="B1116" i="11" s="1"/>
  <c r="B1117" i="11" s="1"/>
  <c r="E2292" i="11"/>
  <c r="C2292" i="11"/>
  <c r="D2292" i="11"/>
  <c r="C1283" i="11"/>
  <c r="D1283" i="11"/>
  <c r="E1283" i="11"/>
  <c r="D1829" i="11"/>
  <c r="E1829" i="11"/>
  <c r="C1829" i="11"/>
  <c r="C64" i="11"/>
  <c r="D64" i="11"/>
  <c r="B65" i="1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E64" i="11"/>
  <c r="C1932" i="11"/>
  <c r="D1932" i="11"/>
  <c r="E1932" i="11"/>
  <c r="D2395" i="11"/>
  <c r="C2395" i="11"/>
  <c r="E2395" i="11"/>
  <c r="C163" i="11"/>
  <c r="D163" i="11"/>
  <c r="C261" i="11"/>
  <c r="D261" i="11"/>
  <c r="D665" i="11"/>
  <c r="C665" i="11"/>
  <c r="E665" i="11"/>
  <c r="C768" i="11"/>
  <c r="E768" i="11"/>
  <c r="D768" i="11"/>
  <c r="C2705" i="11"/>
  <c r="D2705" i="11"/>
  <c r="E2705" i="11"/>
  <c r="C1180" i="11"/>
  <c r="D1180" i="11"/>
  <c r="E1180" i="11"/>
  <c r="C562" i="11"/>
  <c r="D562" i="11"/>
  <c r="E562" i="11"/>
  <c r="L53" i="32"/>
  <c r="C55" i="32"/>
  <c r="F54" i="32"/>
  <c r="E54" i="32"/>
  <c r="J54" i="32"/>
  <c r="D54" i="32"/>
  <c r="H54" i="32"/>
  <c r="M53" i="32"/>
  <c r="K93" i="28"/>
  <c r="L61" i="28"/>
  <c r="R61" i="28"/>
  <c r="H35" i="26"/>
  <c r="E35" i="26"/>
  <c r="C36" i="26"/>
  <c r="J36" i="26" s="1"/>
  <c r="D35" i="26"/>
  <c r="K35" i="26" s="1"/>
  <c r="K109" i="28"/>
  <c r="D1544" i="11" l="1"/>
  <c r="E1544" i="11"/>
  <c r="C1544" i="11"/>
  <c r="D1766" i="11"/>
  <c r="E1766" i="11"/>
  <c r="C1766" i="11"/>
  <c r="D1869" i="11"/>
  <c r="E1869" i="11"/>
  <c r="E2126" i="11" s="1"/>
  <c r="C1869" i="11"/>
  <c r="D1117" i="11"/>
  <c r="E1117" i="11"/>
  <c r="C1117" i="11"/>
  <c r="D2642" i="11"/>
  <c r="E2642" i="11"/>
  <c r="C2642" i="11"/>
  <c r="E105" i="11"/>
  <c r="C105" i="11"/>
  <c r="D105" i="11"/>
  <c r="D2076" i="11"/>
  <c r="C2076" i="11"/>
  <c r="E1543" i="11"/>
  <c r="C1543" i="11"/>
  <c r="D1543" i="11"/>
  <c r="D1765" i="11"/>
  <c r="E1765" i="11"/>
  <c r="C1765" i="11"/>
  <c r="D1868" i="11"/>
  <c r="E1868" i="11"/>
  <c r="E2125" i="11" s="1"/>
  <c r="C1868" i="11"/>
  <c r="D1116" i="11"/>
  <c r="E1116" i="11"/>
  <c r="C1116" i="11"/>
  <c r="D2641" i="11"/>
  <c r="E2641" i="11"/>
  <c r="C2641" i="11"/>
  <c r="E104" i="11"/>
  <c r="C104" i="11"/>
  <c r="D104" i="11"/>
  <c r="D2075" i="11"/>
  <c r="C2075" i="11"/>
  <c r="D1542" i="11"/>
  <c r="E1542" i="11"/>
  <c r="C1542" i="11"/>
  <c r="D1764" i="11"/>
  <c r="E1764" i="11"/>
  <c r="C1764" i="11"/>
  <c r="D1867" i="11"/>
  <c r="E1867" i="11"/>
  <c r="E2124" i="11" s="1"/>
  <c r="C1867" i="11"/>
  <c r="D1115" i="11"/>
  <c r="E1115" i="11"/>
  <c r="C1115" i="11"/>
  <c r="D2640" i="11"/>
  <c r="E2640" i="11"/>
  <c r="C2640" i="11"/>
  <c r="E103" i="11"/>
  <c r="C103" i="11"/>
  <c r="D103" i="11"/>
  <c r="D2074" i="11"/>
  <c r="C2074" i="11"/>
  <c r="D1541" i="11"/>
  <c r="E1541" i="11"/>
  <c r="C1541" i="11"/>
  <c r="D1763" i="11"/>
  <c r="E1763" i="11"/>
  <c r="C1763" i="11"/>
  <c r="D1866" i="11"/>
  <c r="E1866" i="11"/>
  <c r="E2123" i="11" s="1"/>
  <c r="C1866" i="11"/>
  <c r="D1114" i="11"/>
  <c r="E1114" i="11"/>
  <c r="C1114" i="11"/>
  <c r="D2639" i="11"/>
  <c r="E2639" i="11"/>
  <c r="C2639" i="11"/>
  <c r="E102" i="11"/>
  <c r="C102" i="11"/>
  <c r="D102" i="11"/>
  <c r="D2073" i="11"/>
  <c r="C2073" i="11"/>
  <c r="D1540" i="11"/>
  <c r="E1540" i="11"/>
  <c r="C1540" i="11"/>
  <c r="D1762" i="11"/>
  <c r="E1762" i="11"/>
  <c r="C1762" i="11"/>
  <c r="D1865" i="11"/>
  <c r="E1865" i="11"/>
  <c r="E2122" i="11" s="1"/>
  <c r="C1865" i="11"/>
  <c r="E1113" i="11"/>
  <c r="C1113" i="11"/>
  <c r="D1113" i="11"/>
  <c r="D2638" i="11"/>
  <c r="E2638" i="11"/>
  <c r="C2638" i="11"/>
  <c r="E101" i="11"/>
  <c r="C101" i="11"/>
  <c r="D101" i="11"/>
  <c r="D2072" i="11"/>
  <c r="C2072" i="11"/>
  <c r="E2121" i="11"/>
  <c r="E1539" i="11"/>
  <c r="D1539" i="11"/>
  <c r="C1539" i="11"/>
  <c r="E1761" i="11"/>
  <c r="E2071" i="11" s="1"/>
  <c r="D1761" i="11"/>
  <c r="C1761" i="11"/>
  <c r="E1112" i="11"/>
  <c r="D1112" i="11"/>
  <c r="C1112" i="11"/>
  <c r="E2637" i="11"/>
  <c r="D2637" i="11"/>
  <c r="C2637" i="11"/>
  <c r="E100" i="11"/>
  <c r="D100" i="11"/>
  <c r="C100" i="11"/>
  <c r="D2071" i="11"/>
  <c r="C2071" i="11"/>
  <c r="E2120" i="11"/>
  <c r="C1538" i="11"/>
  <c r="E1538" i="11"/>
  <c r="D1538" i="11"/>
  <c r="D1760" i="11"/>
  <c r="C1760" i="11"/>
  <c r="E1760" i="11"/>
  <c r="E2070" i="11" s="1"/>
  <c r="E1111" i="11"/>
  <c r="C1111" i="11"/>
  <c r="D1111" i="11"/>
  <c r="E2636" i="11"/>
  <c r="D2636" i="11"/>
  <c r="C2636" i="11"/>
  <c r="E99" i="11"/>
  <c r="C99" i="11"/>
  <c r="D99" i="11"/>
  <c r="C2070" i="11"/>
  <c r="D2070" i="11"/>
  <c r="E2119" i="11"/>
  <c r="D1537" i="11"/>
  <c r="E1537" i="11"/>
  <c r="C1537" i="11"/>
  <c r="D1759" i="11"/>
  <c r="E1759" i="11"/>
  <c r="E2069" i="11" s="1"/>
  <c r="C1759" i="11"/>
  <c r="D1110" i="11"/>
  <c r="E1110" i="11"/>
  <c r="C1110" i="11"/>
  <c r="D2635" i="11"/>
  <c r="E2635" i="11"/>
  <c r="C2635" i="11"/>
  <c r="E98" i="11"/>
  <c r="D98" i="11"/>
  <c r="C98" i="11"/>
  <c r="D2069" i="11"/>
  <c r="C2069" i="11"/>
  <c r="E2118" i="11"/>
  <c r="D1536" i="11"/>
  <c r="E1536" i="11"/>
  <c r="C1536" i="11"/>
  <c r="D1758" i="11"/>
  <c r="E1758" i="11"/>
  <c r="E2068" i="11" s="1"/>
  <c r="C1758" i="11"/>
  <c r="E1109" i="11"/>
  <c r="C1109" i="11"/>
  <c r="D1109" i="11"/>
  <c r="D2634" i="11"/>
  <c r="E2634" i="11"/>
  <c r="C2634" i="11"/>
  <c r="E97" i="11"/>
  <c r="C97" i="11"/>
  <c r="D97" i="11"/>
  <c r="D2068" i="11"/>
  <c r="C2068" i="11"/>
  <c r="E2117" i="11"/>
  <c r="D1535" i="11"/>
  <c r="E1535" i="11"/>
  <c r="C1535" i="11"/>
  <c r="D1757" i="11"/>
  <c r="E1757" i="11"/>
  <c r="E2067" i="11" s="1"/>
  <c r="C1757" i="11"/>
  <c r="D1108" i="11"/>
  <c r="E1108" i="11"/>
  <c r="C1108" i="11"/>
  <c r="D2633" i="11"/>
  <c r="E2633" i="11"/>
  <c r="C2633" i="11"/>
  <c r="D96" i="11"/>
  <c r="E96" i="11"/>
  <c r="C96" i="11"/>
  <c r="D2067" i="11"/>
  <c r="C2067" i="11"/>
  <c r="E2116" i="11"/>
  <c r="D1534" i="11"/>
  <c r="E1534" i="11"/>
  <c r="C1534" i="11"/>
  <c r="D1756" i="11"/>
  <c r="E1756" i="11"/>
  <c r="E2066" i="11" s="1"/>
  <c r="C1756" i="11"/>
  <c r="D1107" i="11"/>
  <c r="E1107" i="11"/>
  <c r="C1107" i="11"/>
  <c r="D2632" i="11"/>
  <c r="E2632" i="11"/>
  <c r="C2632" i="11"/>
  <c r="E95" i="11"/>
  <c r="C95" i="11"/>
  <c r="D95" i="11"/>
  <c r="D2066" i="11"/>
  <c r="C2066" i="11"/>
  <c r="E2115" i="11"/>
  <c r="D1533" i="11"/>
  <c r="E1533" i="11"/>
  <c r="C1533" i="11"/>
  <c r="D1755" i="11"/>
  <c r="E1755" i="11"/>
  <c r="E2065" i="11" s="1"/>
  <c r="C1755" i="11"/>
  <c r="D1106" i="11"/>
  <c r="E1106" i="11"/>
  <c r="C1106" i="11"/>
  <c r="C2631" i="11"/>
  <c r="E2631" i="11"/>
  <c r="D2631" i="11"/>
  <c r="E94" i="11"/>
  <c r="C94" i="11"/>
  <c r="D94" i="11"/>
  <c r="D2065" i="11"/>
  <c r="C2065" i="11"/>
  <c r="E2114" i="11"/>
  <c r="D1532" i="11"/>
  <c r="E1532" i="11"/>
  <c r="C1532" i="11"/>
  <c r="D1754" i="11"/>
  <c r="E1754" i="11"/>
  <c r="E2064" i="11" s="1"/>
  <c r="C1754" i="11"/>
  <c r="D1105" i="11"/>
  <c r="E1105" i="11"/>
  <c r="C1105" i="11"/>
  <c r="D2630" i="11"/>
  <c r="E2630" i="11"/>
  <c r="C2630" i="11"/>
  <c r="E93" i="11"/>
  <c r="C93" i="11"/>
  <c r="D93" i="11"/>
  <c r="D2064" i="11"/>
  <c r="C2064" i="11"/>
  <c r="E2101" i="11"/>
  <c r="E2099" i="11"/>
  <c r="E2108" i="11"/>
  <c r="E2104" i="11"/>
  <c r="E2089" i="11"/>
  <c r="E2094" i="11"/>
  <c r="E2091" i="11"/>
  <c r="E2103" i="11"/>
  <c r="E2106" i="11"/>
  <c r="E2100" i="11"/>
  <c r="E2093" i="11"/>
  <c r="E2112" i="11"/>
  <c r="E2088" i="11"/>
  <c r="E2095" i="11"/>
  <c r="E2105" i="11"/>
  <c r="E2092" i="11"/>
  <c r="E2096" i="11"/>
  <c r="E2107" i="11"/>
  <c r="E2109" i="11"/>
  <c r="E2111" i="11"/>
  <c r="E2090" i="11"/>
  <c r="E2097" i="11"/>
  <c r="E2102" i="11"/>
  <c r="E2086" i="11"/>
  <c r="E2087" i="11"/>
  <c r="E2098" i="11"/>
  <c r="E2113" i="11"/>
  <c r="E2110" i="11"/>
  <c r="D1531" i="11"/>
  <c r="E1531" i="11"/>
  <c r="C1531" i="11"/>
  <c r="D1753" i="11"/>
  <c r="E1753" i="11"/>
  <c r="E2063" i="11" s="1"/>
  <c r="C1753" i="11"/>
  <c r="D1104" i="11"/>
  <c r="E1104" i="11"/>
  <c r="C1104" i="11"/>
  <c r="D2629" i="11"/>
  <c r="E2629" i="11"/>
  <c r="C2629" i="11"/>
  <c r="D92" i="11"/>
  <c r="E92" i="11"/>
  <c r="C92" i="11"/>
  <c r="D2063" i="11"/>
  <c r="C2063" i="11"/>
  <c r="D1530" i="11"/>
  <c r="E1530" i="11"/>
  <c r="C1530" i="11"/>
  <c r="D1752" i="11"/>
  <c r="E1752" i="11"/>
  <c r="E2062" i="11" s="1"/>
  <c r="C1752" i="11"/>
  <c r="D1103" i="11"/>
  <c r="E1103" i="11"/>
  <c r="C1103" i="11"/>
  <c r="D2628" i="11"/>
  <c r="E2628" i="11"/>
  <c r="C2628" i="11"/>
  <c r="E91" i="11"/>
  <c r="D91" i="11"/>
  <c r="C91" i="11"/>
  <c r="C2062" i="11"/>
  <c r="D2062" i="11"/>
  <c r="D1529" i="11"/>
  <c r="E1529" i="11"/>
  <c r="C1529" i="11"/>
  <c r="D1751" i="11"/>
  <c r="E1751" i="11"/>
  <c r="E2061" i="11" s="1"/>
  <c r="C1751" i="11"/>
  <c r="D1102" i="11"/>
  <c r="E1102" i="11"/>
  <c r="C1102" i="11"/>
  <c r="D2627" i="11"/>
  <c r="E2627" i="11"/>
  <c r="C2627" i="11"/>
  <c r="E90" i="11"/>
  <c r="D90" i="11"/>
  <c r="C90" i="11"/>
  <c r="D2061" i="11"/>
  <c r="C2061" i="11"/>
  <c r="D1528" i="11"/>
  <c r="E1528" i="11"/>
  <c r="C1528" i="11"/>
  <c r="D1750" i="11"/>
  <c r="E1750" i="11"/>
  <c r="E2060" i="11" s="1"/>
  <c r="C1750" i="11"/>
  <c r="D1101" i="11"/>
  <c r="E1101" i="11"/>
  <c r="C1101" i="11"/>
  <c r="D2626" i="11"/>
  <c r="E2626" i="11"/>
  <c r="C2626" i="11"/>
  <c r="E89" i="11"/>
  <c r="C89" i="11"/>
  <c r="D89" i="11"/>
  <c r="D2060" i="11"/>
  <c r="C2060" i="11"/>
  <c r="D1527" i="11"/>
  <c r="E1527" i="11"/>
  <c r="C1527" i="11"/>
  <c r="E1749" i="11"/>
  <c r="E2059" i="11" s="1"/>
  <c r="C1749" i="11"/>
  <c r="D1749" i="11"/>
  <c r="C1100" i="11"/>
  <c r="D1100" i="11"/>
  <c r="D2625" i="11"/>
  <c r="E2625" i="11"/>
  <c r="C2625" i="11"/>
  <c r="C88" i="11"/>
  <c r="D88" i="11"/>
  <c r="D2059" i="11"/>
  <c r="C2059" i="11"/>
  <c r="E1526" i="11"/>
  <c r="D1526" i="11"/>
  <c r="C1526" i="11"/>
  <c r="D1748" i="11"/>
  <c r="E1748" i="11"/>
  <c r="E2058" i="11" s="1"/>
  <c r="C1748" i="11"/>
  <c r="D1099" i="11"/>
  <c r="E1099" i="11"/>
  <c r="C1099" i="11"/>
  <c r="C2624" i="11"/>
  <c r="E2624" i="11"/>
  <c r="D2624" i="11"/>
  <c r="E87" i="11"/>
  <c r="C87" i="11"/>
  <c r="D87" i="11"/>
  <c r="D2058" i="11"/>
  <c r="C2058" i="11"/>
  <c r="D1525" i="11"/>
  <c r="E1525" i="11"/>
  <c r="C1525" i="11"/>
  <c r="D1747" i="11"/>
  <c r="E1747" i="11"/>
  <c r="E2057" i="11" s="1"/>
  <c r="C1747" i="11"/>
  <c r="D1098" i="11"/>
  <c r="E1098" i="11"/>
  <c r="C1098" i="11"/>
  <c r="D2623" i="11"/>
  <c r="E2623" i="11"/>
  <c r="C2623" i="11"/>
  <c r="E86" i="11"/>
  <c r="D86" i="11"/>
  <c r="C86" i="11"/>
  <c r="D2057" i="11"/>
  <c r="C2057" i="11"/>
  <c r="D1524" i="11"/>
  <c r="E1524" i="11"/>
  <c r="C1524" i="11"/>
  <c r="D1746" i="11"/>
  <c r="E1746" i="11"/>
  <c r="E2056" i="11" s="1"/>
  <c r="C1746" i="11"/>
  <c r="D1097" i="11"/>
  <c r="E1097" i="11"/>
  <c r="C1097" i="11"/>
  <c r="D2622" i="11"/>
  <c r="E2622" i="11"/>
  <c r="C2622" i="11"/>
  <c r="E85" i="11"/>
  <c r="C85" i="11"/>
  <c r="D85" i="11"/>
  <c r="D2056" i="11"/>
  <c r="C2056" i="11"/>
  <c r="D1523" i="11"/>
  <c r="E1523" i="11"/>
  <c r="C1523" i="11"/>
  <c r="D1745" i="11"/>
  <c r="E1745" i="11"/>
  <c r="E2055" i="11" s="1"/>
  <c r="C1745" i="11"/>
  <c r="D1096" i="11"/>
  <c r="C1096" i="11"/>
  <c r="D2621" i="11"/>
  <c r="E2621" i="11"/>
  <c r="C2621" i="11"/>
  <c r="D84" i="11"/>
  <c r="C84" i="11"/>
  <c r="D2055" i="11"/>
  <c r="C2055" i="11"/>
  <c r="D1522" i="11"/>
  <c r="E1522" i="11"/>
  <c r="C1522" i="11"/>
  <c r="D1744" i="11"/>
  <c r="E1744" i="11"/>
  <c r="E2054" i="11" s="1"/>
  <c r="C1744" i="11"/>
  <c r="D1095" i="11"/>
  <c r="E1095" i="11"/>
  <c r="C1095" i="11"/>
  <c r="D2620" i="11"/>
  <c r="E2620" i="11"/>
  <c r="C2620" i="11"/>
  <c r="E83" i="11"/>
  <c r="D83" i="11"/>
  <c r="C83" i="11"/>
  <c r="D2054" i="11"/>
  <c r="C2054" i="11"/>
  <c r="C1521" i="11"/>
  <c r="D1521" i="11"/>
  <c r="E1743" i="11"/>
  <c r="E2053" i="11" s="1"/>
  <c r="D1743" i="11"/>
  <c r="C1743" i="11"/>
  <c r="C1094" i="11"/>
  <c r="D1094" i="11"/>
  <c r="E2619" i="11"/>
  <c r="C2619" i="11"/>
  <c r="D2619" i="11"/>
  <c r="C82" i="11"/>
  <c r="D82" i="11"/>
  <c r="D2053" i="11"/>
  <c r="C2053" i="11"/>
  <c r="D1520" i="11"/>
  <c r="E1520" i="11"/>
  <c r="C1520" i="11"/>
  <c r="D1742" i="11"/>
  <c r="E1742" i="11"/>
  <c r="E2052" i="11" s="1"/>
  <c r="C1742" i="11"/>
  <c r="E1093" i="11"/>
  <c r="C1093" i="11"/>
  <c r="D1093" i="11"/>
  <c r="E2618" i="11"/>
  <c r="C2618" i="11"/>
  <c r="D2618" i="11"/>
  <c r="E81" i="11"/>
  <c r="C81" i="11"/>
  <c r="D81" i="11"/>
  <c r="C2052" i="11"/>
  <c r="D2052" i="11"/>
  <c r="D1519" i="11"/>
  <c r="E1519" i="11"/>
  <c r="C1519" i="11"/>
  <c r="D1741" i="11"/>
  <c r="E1741" i="11"/>
  <c r="E2051" i="11" s="1"/>
  <c r="C1741" i="11"/>
  <c r="D1092" i="11"/>
  <c r="C1092" i="11"/>
  <c r="D2617" i="11"/>
  <c r="E2617" i="11"/>
  <c r="C2617" i="11"/>
  <c r="C80" i="11"/>
  <c r="D80" i="11"/>
  <c r="D2051" i="11"/>
  <c r="C2051" i="11"/>
  <c r="D1518" i="11"/>
  <c r="E1518" i="11"/>
  <c r="C1518" i="11"/>
  <c r="D1740" i="11"/>
  <c r="E1740" i="11"/>
  <c r="E2050" i="11" s="1"/>
  <c r="C1740" i="11"/>
  <c r="D1091" i="11"/>
  <c r="C1091" i="11"/>
  <c r="D2616" i="11"/>
  <c r="E2616" i="11"/>
  <c r="C2616" i="11"/>
  <c r="D79" i="11"/>
  <c r="C79" i="11"/>
  <c r="D2050" i="11"/>
  <c r="C2050" i="11"/>
  <c r="D1517" i="11"/>
  <c r="E1517" i="11"/>
  <c r="C1517" i="11"/>
  <c r="D1739" i="11"/>
  <c r="E1739" i="11"/>
  <c r="E2049" i="11" s="1"/>
  <c r="C1739" i="11"/>
  <c r="D1090" i="11"/>
  <c r="C1090" i="11"/>
  <c r="D2615" i="11"/>
  <c r="E2615" i="11"/>
  <c r="C2615" i="11"/>
  <c r="C78" i="11"/>
  <c r="D78" i="11"/>
  <c r="D2049" i="11"/>
  <c r="C2049" i="11"/>
  <c r="D1516" i="11"/>
  <c r="E1516" i="11"/>
  <c r="C1516" i="11"/>
  <c r="D1738" i="11"/>
  <c r="E1738" i="11"/>
  <c r="E2048" i="11" s="1"/>
  <c r="C1738" i="11"/>
  <c r="D1089" i="11"/>
  <c r="C1089" i="11"/>
  <c r="D2614" i="11"/>
  <c r="E2614" i="11"/>
  <c r="C2614" i="11"/>
  <c r="C77" i="11"/>
  <c r="D77" i="11"/>
  <c r="D2048" i="11"/>
  <c r="C2048" i="11"/>
  <c r="D1515" i="11"/>
  <c r="E1515" i="11"/>
  <c r="C1515" i="11"/>
  <c r="D1737" i="11"/>
  <c r="E1737" i="11"/>
  <c r="E2047" i="11" s="1"/>
  <c r="C1737" i="11"/>
  <c r="D1088" i="11"/>
  <c r="C1088" i="11"/>
  <c r="D2613" i="11"/>
  <c r="E2613" i="11"/>
  <c r="C2613" i="11"/>
  <c r="C76" i="11"/>
  <c r="D76" i="11"/>
  <c r="D2047" i="11"/>
  <c r="C2047" i="11"/>
  <c r="D1514" i="11"/>
  <c r="E1514" i="11"/>
  <c r="C1514" i="11"/>
  <c r="D1736" i="11"/>
  <c r="E1736" i="11"/>
  <c r="E2046" i="11" s="1"/>
  <c r="C1736" i="11"/>
  <c r="D1087" i="11"/>
  <c r="C1087" i="11"/>
  <c r="D2612" i="11"/>
  <c r="E2612" i="11"/>
  <c r="C2612" i="11"/>
  <c r="D75" i="11"/>
  <c r="C75" i="11"/>
  <c r="D2046" i="11"/>
  <c r="C2046" i="11"/>
  <c r="D1513" i="11"/>
  <c r="E1513" i="11"/>
  <c r="C1513" i="11"/>
  <c r="D1735" i="11"/>
  <c r="E1735" i="11"/>
  <c r="E2045" i="11" s="1"/>
  <c r="C1735" i="11"/>
  <c r="D1086" i="11"/>
  <c r="C1086" i="11"/>
  <c r="D2611" i="11"/>
  <c r="E2611" i="11"/>
  <c r="C2611" i="11"/>
  <c r="C74" i="11"/>
  <c r="D74" i="11"/>
  <c r="D2045" i="11"/>
  <c r="C2045" i="11"/>
  <c r="D1512" i="11"/>
  <c r="E1512" i="11"/>
  <c r="C1512" i="11"/>
  <c r="D1734" i="11"/>
  <c r="E1734" i="11"/>
  <c r="E2044" i="11" s="1"/>
  <c r="C1734" i="11"/>
  <c r="D1085" i="11"/>
  <c r="C1085" i="11"/>
  <c r="D2610" i="11"/>
  <c r="E2610" i="11"/>
  <c r="C2610" i="11"/>
  <c r="D73" i="11"/>
  <c r="C73" i="11"/>
  <c r="D2044" i="11"/>
  <c r="C2044" i="11"/>
  <c r="D1511" i="11"/>
  <c r="E1511" i="11"/>
  <c r="C1511" i="11"/>
  <c r="D1733" i="11"/>
  <c r="E1733" i="11"/>
  <c r="E2043" i="11" s="1"/>
  <c r="C1733" i="11"/>
  <c r="D1084" i="11"/>
  <c r="C1084" i="11"/>
  <c r="D2609" i="11"/>
  <c r="E2609" i="11"/>
  <c r="C2609" i="11"/>
  <c r="C72" i="11"/>
  <c r="D72" i="11"/>
  <c r="D2043" i="11"/>
  <c r="C2043" i="11"/>
  <c r="I54" i="32"/>
  <c r="K54" i="32"/>
  <c r="M35" i="26"/>
  <c r="I35" i="26"/>
  <c r="D1510" i="11"/>
  <c r="E1510" i="11"/>
  <c r="C1510" i="11"/>
  <c r="D1732" i="11"/>
  <c r="E1732" i="11"/>
  <c r="E2042" i="11" s="1"/>
  <c r="C1732" i="11"/>
  <c r="D1083" i="11"/>
  <c r="C1083" i="11"/>
  <c r="D2608" i="11"/>
  <c r="E2608" i="11"/>
  <c r="C2608" i="11"/>
  <c r="D71" i="11"/>
  <c r="C71" i="11"/>
  <c r="D2042" i="11"/>
  <c r="C2042" i="11"/>
  <c r="D1509" i="11"/>
  <c r="E1509" i="11"/>
  <c r="C1509" i="11"/>
  <c r="C1731" i="11"/>
  <c r="E1731" i="11"/>
  <c r="E2041" i="11" s="1"/>
  <c r="D1731" i="11"/>
  <c r="D1082" i="11"/>
  <c r="E1082" i="11"/>
  <c r="C1082" i="11"/>
  <c r="C2607" i="11"/>
  <c r="E2607" i="11"/>
  <c r="D2607" i="11"/>
  <c r="C70" i="11"/>
  <c r="E70" i="11"/>
  <c r="D70" i="11"/>
  <c r="C2041" i="11"/>
  <c r="D2041" i="11"/>
  <c r="D1508" i="11"/>
  <c r="E1508" i="11"/>
  <c r="C1508" i="11"/>
  <c r="D1730" i="11"/>
  <c r="E1730" i="11"/>
  <c r="E2040" i="11" s="1"/>
  <c r="C1730" i="11"/>
  <c r="D1081" i="11"/>
  <c r="E1081" i="11"/>
  <c r="C1081" i="11"/>
  <c r="D2606" i="11"/>
  <c r="E2606" i="11"/>
  <c r="C2606" i="11"/>
  <c r="E69" i="11"/>
  <c r="D69" i="11"/>
  <c r="C69" i="11"/>
  <c r="D2040" i="11"/>
  <c r="C2040" i="11"/>
  <c r="D1507" i="11"/>
  <c r="E1507" i="11"/>
  <c r="C1507" i="11"/>
  <c r="D1729" i="11"/>
  <c r="E1729" i="11"/>
  <c r="E2039" i="11" s="1"/>
  <c r="C1729" i="11"/>
  <c r="D1080" i="11"/>
  <c r="E1080" i="11"/>
  <c r="C1080" i="11"/>
  <c r="D2605" i="11"/>
  <c r="E2605" i="11"/>
  <c r="C2605" i="11"/>
  <c r="E68" i="11"/>
  <c r="C68" i="11"/>
  <c r="D68" i="11"/>
  <c r="D2039" i="11"/>
  <c r="C2039" i="11"/>
  <c r="D1506" i="11"/>
  <c r="E1506" i="11"/>
  <c r="C1506" i="11"/>
  <c r="D1728" i="11"/>
  <c r="E1728" i="11"/>
  <c r="E2038" i="11" s="1"/>
  <c r="C1728" i="11"/>
  <c r="D1079" i="11"/>
  <c r="E1079" i="11"/>
  <c r="C1079" i="11"/>
  <c r="D2604" i="11"/>
  <c r="E2604" i="11"/>
  <c r="C2604" i="11"/>
  <c r="E67" i="11"/>
  <c r="D67" i="11"/>
  <c r="C67" i="11"/>
  <c r="D2038" i="11"/>
  <c r="C2038" i="11"/>
  <c r="D1505" i="11"/>
  <c r="E1505" i="11"/>
  <c r="C1505" i="11"/>
  <c r="D1727" i="11"/>
  <c r="E1727" i="11"/>
  <c r="E2037" i="11" s="1"/>
  <c r="C1727" i="11"/>
  <c r="D1078" i="11"/>
  <c r="E1078" i="11"/>
  <c r="C1078" i="11"/>
  <c r="D2603" i="11"/>
  <c r="E2603" i="11"/>
  <c r="C2603" i="11"/>
  <c r="E66" i="11"/>
  <c r="C66" i="11"/>
  <c r="D66" i="11"/>
  <c r="D2037" i="11"/>
  <c r="C2037" i="11"/>
  <c r="D1726" i="11"/>
  <c r="E1726" i="11"/>
  <c r="E2036" i="11" s="1"/>
  <c r="C1726" i="11"/>
  <c r="D2602" i="11"/>
  <c r="E2602" i="11"/>
  <c r="C2602" i="11"/>
  <c r="C2036" i="11"/>
  <c r="D2036" i="11"/>
  <c r="C1504" i="11"/>
  <c r="E1504" i="11"/>
  <c r="D1504" i="11"/>
  <c r="D1077" i="11"/>
  <c r="E1077" i="11"/>
  <c r="C1077" i="11"/>
  <c r="D65" i="11"/>
  <c r="E65" i="11"/>
  <c r="C65" i="11"/>
  <c r="M54" i="32"/>
  <c r="L54" i="32"/>
  <c r="E55" i="32"/>
  <c r="J55" i="32"/>
  <c r="H55" i="32"/>
  <c r="C56" i="32"/>
  <c r="D55" i="32"/>
  <c r="L93" i="28"/>
  <c r="R93" i="28"/>
  <c r="L109" i="28"/>
  <c r="R109" i="28"/>
  <c r="H36" i="26"/>
  <c r="C37" i="26"/>
  <c r="J37" i="26" s="1"/>
  <c r="D36" i="26"/>
  <c r="K36" i="26" s="1"/>
  <c r="E36" i="26"/>
  <c r="K115" i="28"/>
  <c r="E2072" i="11" l="1"/>
  <c r="E2073" i="11"/>
  <c r="E2074" i="11"/>
  <c r="E2075" i="11"/>
  <c r="K55" i="32"/>
  <c r="I55" i="32"/>
  <c r="M36" i="26"/>
  <c r="I36" i="26"/>
  <c r="M55" i="32"/>
  <c r="J56" i="32"/>
  <c r="H56" i="32"/>
  <c r="E56" i="32"/>
  <c r="D56" i="32"/>
  <c r="C57" i="32"/>
  <c r="L115" i="28"/>
  <c r="K122" i="28"/>
  <c r="R115" i="28"/>
  <c r="H37" i="26"/>
  <c r="E37" i="26"/>
  <c r="D37" i="26"/>
  <c r="K37" i="26" s="1"/>
  <c r="C38" i="26"/>
  <c r="J38" i="26" s="1"/>
  <c r="I56" i="32" l="1"/>
  <c r="K56" i="32"/>
  <c r="M37" i="26"/>
  <c r="I37" i="26"/>
  <c r="E57" i="32"/>
  <c r="D57" i="32"/>
  <c r="J57" i="32"/>
  <c r="C58" i="32"/>
  <c r="H57" i="32"/>
  <c r="M56" i="32"/>
  <c r="L122" i="28"/>
  <c r="R122" i="28"/>
  <c r="H38" i="26"/>
  <c r="C39" i="26"/>
  <c r="J39" i="26" s="1"/>
  <c r="D38" i="26"/>
  <c r="K38" i="26" s="1"/>
  <c r="E38" i="26"/>
  <c r="K124" i="28"/>
  <c r="I57" i="32" l="1"/>
  <c r="K57" i="32"/>
  <c r="M38" i="26"/>
  <c r="I38" i="26"/>
  <c r="D58" i="32"/>
  <c r="J58" i="32"/>
  <c r="C59" i="32"/>
  <c r="H58" i="32"/>
  <c r="E58" i="32"/>
  <c r="M57" i="32"/>
  <c r="L124" i="28"/>
  <c r="R124" i="28"/>
  <c r="H39" i="26"/>
  <c r="E39" i="26"/>
  <c r="D39" i="26"/>
  <c r="K39" i="26" s="1"/>
  <c r="C40" i="26"/>
  <c r="J40" i="26" s="1"/>
  <c r="K127" i="28"/>
  <c r="I58" i="32" l="1"/>
  <c r="K58" i="32"/>
  <c r="M39" i="26"/>
  <c r="I39" i="26"/>
  <c r="M58" i="32"/>
  <c r="C60" i="32"/>
  <c r="D59" i="32"/>
  <c r="J59" i="32"/>
  <c r="E59" i="32"/>
  <c r="H59" i="32"/>
  <c r="L127" i="28"/>
  <c r="R127" i="28"/>
  <c r="H40" i="26"/>
  <c r="C41" i="26"/>
  <c r="J41" i="26" s="1"/>
  <c r="E40" i="26"/>
  <c r="D40" i="26"/>
  <c r="K40" i="26" s="1"/>
  <c r="M40" i="26" l="1"/>
  <c r="I40" i="26"/>
  <c r="I59" i="32"/>
  <c r="K59" i="32"/>
  <c r="C61" i="32"/>
  <c r="F60" i="32"/>
  <c r="D60" i="32"/>
  <c r="H60" i="32"/>
  <c r="J60" i="32"/>
  <c r="E60" i="32"/>
  <c r="M59" i="32"/>
  <c r="H41" i="26"/>
  <c r="E41" i="26"/>
  <c r="C42" i="26"/>
  <c r="J42" i="26" s="1"/>
  <c r="D41" i="26"/>
  <c r="K41" i="26" s="1"/>
  <c r="K60" i="32" l="1"/>
  <c r="I60" i="32"/>
  <c r="M41" i="26"/>
  <c r="I41" i="26"/>
  <c r="M60" i="32"/>
  <c r="L60" i="32"/>
  <c r="H61" i="32"/>
  <c r="C62" i="32"/>
  <c r="E61" i="32"/>
  <c r="J61" i="32"/>
  <c r="D61" i="32"/>
  <c r="H42" i="26"/>
  <c r="D42" i="26"/>
  <c r="K42" i="26" s="1"/>
  <c r="C43" i="26"/>
  <c r="J43" i="26" s="1"/>
  <c r="E42" i="26"/>
  <c r="I61" i="32" l="1"/>
  <c r="K61" i="32"/>
  <c r="M42" i="26"/>
  <c r="I42" i="26"/>
  <c r="H62" i="32"/>
  <c r="C63" i="32"/>
  <c r="E62" i="32"/>
  <c r="J62" i="32"/>
  <c r="D62" i="32"/>
  <c r="M61" i="32"/>
  <c r="H43" i="26"/>
  <c r="E43" i="26"/>
  <c r="D43" i="26"/>
  <c r="K43" i="26" s="1"/>
  <c r="C44" i="26"/>
  <c r="J44" i="26" s="1"/>
  <c r="K62" i="32" l="1"/>
  <c r="I62" i="32"/>
  <c r="M43" i="26"/>
  <c r="I43" i="26"/>
  <c r="E63" i="32"/>
  <c r="J63" i="32"/>
  <c r="H63" i="32"/>
  <c r="D63" i="32"/>
  <c r="C64" i="32"/>
  <c r="M62" i="32"/>
  <c r="F44" i="26"/>
  <c r="H44" i="26"/>
  <c r="C45" i="26"/>
  <c r="J45" i="26" s="1"/>
  <c r="D44" i="26"/>
  <c r="K44" i="26" s="1"/>
  <c r="E44" i="26"/>
  <c r="I63" i="32" l="1"/>
  <c r="K63" i="32"/>
  <c r="M44" i="26"/>
  <c r="I44" i="26"/>
  <c r="F43" i="32"/>
  <c r="F43" i="26"/>
  <c r="F42" i="32"/>
  <c r="F42" i="26"/>
  <c r="F38" i="32"/>
  <c r="F39" i="32"/>
  <c r="F39" i="26"/>
  <c r="F41" i="32"/>
  <c r="F41" i="26"/>
  <c r="F40" i="32"/>
  <c r="F40" i="26"/>
  <c r="J64" i="32"/>
  <c r="H64" i="32"/>
  <c r="E64" i="32"/>
  <c r="D64" i="32"/>
  <c r="C65" i="32"/>
  <c r="C66" i="32" s="1"/>
  <c r="C68" i="32" s="1"/>
  <c r="C69" i="32" s="1"/>
  <c r="C70" i="32" s="1"/>
  <c r="C71" i="32" s="1"/>
  <c r="C72" i="32" s="1"/>
  <c r="C73" i="32" s="1"/>
  <c r="C74" i="32" s="1"/>
  <c r="C75" i="32" s="1"/>
  <c r="C76" i="32" s="1"/>
  <c r="C77" i="32" s="1"/>
  <c r="C78" i="32" s="1"/>
  <c r="C79" i="32" s="1"/>
  <c r="C80" i="32" s="1"/>
  <c r="C81" i="32" s="1"/>
  <c r="C82" i="32" s="1"/>
  <c r="C83" i="32" s="1"/>
  <c r="M63" i="32"/>
  <c r="L44" i="26"/>
  <c r="F45" i="26"/>
  <c r="H45" i="26"/>
  <c r="E45" i="26"/>
  <c r="D45" i="26"/>
  <c r="K45" i="26" s="1"/>
  <c r="C46" i="26"/>
  <c r="J46" i="26" s="1"/>
  <c r="I64" i="32" l="1"/>
  <c r="K64" i="32"/>
  <c r="M45" i="26"/>
  <c r="I45" i="26"/>
  <c r="L43" i="26"/>
  <c r="L43" i="32"/>
  <c r="L40" i="26"/>
  <c r="L42" i="32"/>
  <c r="L42" i="26"/>
  <c r="L40" i="32"/>
  <c r="L41" i="26"/>
  <c r="L41" i="32"/>
  <c r="L39" i="26"/>
  <c r="L39" i="32"/>
  <c r="L38" i="32"/>
  <c r="E65" i="32"/>
  <c r="D65" i="32"/>
  <c r="J65" i="32"/>
  <c r="H65" i="32"/>
  <c r="M64" i="32"/>
  <c r="L45" i="26"/>
  <c r="F46" i="26"/>
  <c r="H46" i="26"/>
  <c r="C47" i="26"/>
  <c r="J47" i="26" s="1"/>
  <c r="D46" i="26"/>
  <c r="K46" i="26" s="1"/>
  <c r="E46" i="26"/>
  <c r="I65" i="32" l="1"/>
  <c r="K65" i="32"/>
  <c r="M46" i="26"/>
  <c r="I46" i="26"/>
  <c r="D66" i="32"/>
  <c r="J66" i="32"/>
  <c r="F66" i="32"/>
  <c r="H66" i="32"/>
  <c r="E66" i="32"/>
  <c r="M65" i="32"/>
  <c r="L46" i="26"/>
  <c r="F47" i="26"/>
  <c r="H47" i="26"/>
  <c r="E47" i="26"/>
  <c r="D47" i="26"/>
  <c r="K47" i="26" s="1"/>
  <c r="C48" i="26"/>
  <c r="J48" i="26" s="1"/>
  <c r="I66" i="32" l="1"/>
  <c r="K66" i="32"/>
  <c r="M47" i="26"/>
  <c r="I47" i="26"/>
  <c r="F65" i="32"/>
  <c r="F37" i="32"/>
  <c r="F55" i="32"/>
  <c r="F56" i="32"/>
  <c r="F32" i="32"/>
  <c r="F32" i="26"/>
  <c r="F51" i="32"/>
  <c r="F52" i="32"/>
  <c r="F59" i="32"/>
  <c r="M66" i="32"/>
  <c r="L66" i="32"/>
  <c r="F67" i="32"/>
  <c r="D67" i="32"/>
  <c r="J67" i="32"/>
  <c r="H67" i="32"/>
  <c r="E67" i="32"/>
  <c r="L47" i="26"/>
  <c r="F48" i="26"/>
  <c r="H48" i="26"/>
  <c r="C49" i="26"/>
  <c r="J49" i="26" s="1"/>
  <c r="E48" i="26"/>
  <c r="D48" i="26"/>
  <c r="K48" i="26" s="1"/>
  <c r="F62" i="32"/>
  <c r="F11" i="32"/>
  <c r="G62" i="32" l="1"/>
  <c r="I67" i="32"/>
  <c r="K67" i="32"/>
  <c r="G67" i="32"/>
  <c r="M48" i="26"/>
  <c r="I48" i="26"/>
  <c r="G60" i="32"/>
  <c r="G65" i="32"/>
  <c r="G66" i="32"/>
  <c r="L65" i="32"/>
  <c r="F64" i="32"/>
  <c r="G64" i="32" s="1"/>
  <c r="L56" i="32"/>
  <c r="L37" i="32"/>
  <c r="L59" i="32"/>
  <c r="L52" i="32"/>
  <c r="L32" i="32"/>
  <c r="L62" i="32"/>
  <c r="L51" i="32"/>
  <c r="L55" i="32"/>
  <c r="L32" i="26"/>
  <c r="F63" i="32"/>
  <c r="G63" i="32" s="1"/>
  <c r="F57" i="32"/>
  <c r="F61" i="32"/>
  <c r="G61" i="32" s="1"/>
  <c r="F58" i="32"/>
  <c r="L11" i="32"/>
  <c r="L67" i="32"/>
  <c r="F68" i="32"/>
  <c r="D68" i="32"/>
  <c r="H68" i="32"/>
  <c r="J68" i="32"/>
  <c r="E68" i="32"/>
  <c r="M67" i="32"/>
  <c r="L48" i="26"/>
  <c r="F49" i="26"/>
  <c r="H49" i="26"/>
  <c r="E49" i="26"/>
  <c r="C50" i="26"/>
  <c r="J50" i="26" s="1"/>
  <c r="D49" i="26"/>
  <c r="K49" i="26" s="1"/>
  <c r="D6" i="21"/>
  <c r="G68" i="32" l="1"/>
  <c r="K68" i="32"/>
  <c r="I68" i="32"/>
  <c r="M49" i="26"/>
  <c r="I49" i="26"/>
  <c r="L64" i="32"/>
  <c r="L58" i="32"/>
  <c r="L61" i="32"/>
  <c r="L63" i="32"/>
  <c r="L57" i="32"/>
  <c r="M68" i="32"/>
  <c r="L68" i="32"/>
  <c r="H69" i="32"/>
  <c r="F69" i="32"/>
  <c r="E69" i="32"/>
  <c r="J69" i="32"/>
  <c r="D69" i="32"/>
  <c r="L49" i="26"/>
  <c r="F50" i="26"/>
  <c r="H50" i="26"/>
  <c r="D50" i="26"/>
  <c r="K50" i="26" s="1"/>
  <c r="E50" i="26"/>
  <c r="C51" i="26"/>
  <c r="J51" i="26" s="1"/>
  <c r="G69" i="32" l="1"/>
  <c r="I69" i="32"/>
  <c r="K69" i="32"/>
  <c r="M50" i="26"/>
  <c r="I50" i="26"/>
  <c r="L69" i="32"/>
  <c r="H70" i="32"/>
  <c r="F70" i="32"/>
  <c r="E70" i="32"/>
  <c r="J70" i="32"/>
  <c r="D70" i="32"/>
  <c r="M69" i="32"/>
  <c r="L50" i="26"/>
  <c r="H51" i="26"/>
  <c r="E51" i="26"/>
  <c r="D51" i="26"/>
  <c r="K51" i="26" s="1"/>
  <c r="C52" i="26"/>
  <c r="J52" i="26" s="1"/>
  <c r="F36" i="32"/>
  <c r="G70" i="32" l="1"/>
  <c r="I70" i="32"/>
  <c r="K70" i="32"/>
  <c r="M51" i="26"/>
  <c r="I51" i="26"/>
  <c r="L36" i="32"/>
  <c r="F35" i="32"/>
  <c r="F35" i="26"/>
  <c r="F31" i="32"/>
  <c r="F34" i="32"/>
  <c r="F30" i="32"/>
  <c r="L70" i="32"/>
  <c r="E71" i="32"/>
  <c r="J71" i="32"/>
  <c r="H71" i="32"/>
  <c r="F71" i="32"/>
  <c r="D71" i="32"/>
  <c r="M70" i="32"/>
  <c r="H52" i="26"/>
  <c r="C53" i="26"/>
  <c r="J53" i="26" s="1"/>
  <c r="D52" i="26"/>
  <c r="K52" i="26" s="1"/>
  <c r="E52" i="26"/>
  <c r="I71" i="32" l="1"/>
  <c r="G71" i="32"/>
  <c r="K71" i="32"/>
  <c r="M52" i="26"/>
  <c r="I52" i="26"/>
  <c r="F10" i="32"/>
  <c r="G59" i="32" s="1"/>
  <c r="L31" i="32"/>
  <c r="L34" i="32"/>
  <c r="L35" i="26"/>
  <c r="L35" i="32"/>
  <c r="L30" i="32"/>
  <c r="I111" i="28"/>
  <c r="P111" i="28" s="1"/>
  <c r="I111" i="33"/>
  <c r="J72" i="32"/>
  <c r="H72" i="32"/>
  <c r="E72" i="32"/>
  <c r="D72" i="32"/>
  <c r="F72" i="32"/>
  <c r="L71" i="32"/>
  <c r="M71" i="32"/>
  <c r="H53" i="26"/>
  <c r="E53" i="26"/>
  <c r="C54" i="26"/>
  <c r="J54" i="26" s="1"/>
  <c r="D53" i="26"/>
  <c r="K53" i="26" s="1"/>
  <c r="I72" i="32" l="1"/>
  <c r="K72" i="32"/>
  <c r="G72" i="32"/>
  <c r="M53" i="26"/>
  <c r="I53" i="26"/>
  <c r="G10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3" i="32"/>
  <c r="G44" i="32"/>
  <c r="G45" i="32"/>
  <c r="G46" i="32"/>
  <c r="G47" i="32"/>
  <c r="G48" i="32"/>
  <c r="G49" i="32"/>
  <c r="G50" i="32"/>
  <c r="G53" i="32"/>
  <c r="G54" i="32"/>
  <c r="G41" i="32"/>
  <c r="G39" i="32"/>
  <c r="G38" i="32"/>
  <c r="G42" i="32"/>
  <c r="G40" i="32"/>
  <c r="G43" i="32"/>
  <c r="G51" i="32"/>
  <c r="G32" i="32"/>
  <c r="G56" i="32"/>
  <c r="G55" i="32"/>
  <c r="G37" i="32"/>
  <c r="G11" i="32"/>
  <c r="G52" i="32"/>
  <c r="G58" i="32"/>
  <c r="G57" i="32"/>
  <c r="G36" i="32"/>
  <c r="G35" i="32"/>
  <c r="G31" i="32"/>
  <c r="G34" i="32"/>
  <c r="G30" i="32"/>
  <c r="L10" i="32"/>
  <c r="E73" i="32"/>
  <c r="J73" i="32"/>
  <c r="H73" i="32"/>
  <c r="F73" i="32"/>
  <c r="Q111" i="28"/>
  <c r="Q111" i="33"/>
  <c r="P111" i="33"/>
  <c r="D73" i="32"/>
  <c r="L72" i="32"/>
  <c r="M72" i="32"/>
  <c r="F54" i="26"/>
  <c r="H54" i="26"/>
  <c r="C55" i="26"/>
  <c r="J55" i="26" s="1"/>
  <c r="D54" i="26"/>
  <c r="K54" i="26" s="1"/>
  <c r="E54" i="26"/>
  <c r="P3" i="21"/>
  <c r="A6" i="21"/>
  <c r="H3" i="21"/>
  <c r="G73" i="32" l="1"/>
  <c r="I73" i="32"/>
  <c r="K73" i="32"/>
  <c r="M54" i="26"/>
  <c r="I54" i="26"/>
  <c r="L73" i="32"/>
  <c r="M73" i="32"/>
  <c r="D74" i="32"/>
  <c r="J74" i="32"/>
  <c r="F74" i="32"/>
  <c r="H74" i="32"/>
  <c r="E74" i="32"/>
  <c r="L54" i="26"/>
  <c r="F55" i="26"/>
  <c r="H55" i="26"/>
  <c r="E55" i="26"/>
  <c r="C56" i="26"/>
  <c r="J56" i="26" s="1"/>
  <c r="D55" i="26"/>
  <c r="K55" i="26" s="1"/>
  <c r="G3" i="21"/>
  <c r="K74" i="32" l="1"/>
  <c r="I74" i="32"/>
  <c r="G74" i="32"/>
  <c r="M55" i="26"/>
  <c r="I55" i="26"/>
  <c r="M74" i="32"/>
  <c r="L74" i="32"/>
  <c r="F75" i="32"/>
  <c r="D75" i="32"/>
  <c r="H75" i="32"/>
  <c r="E75" i="32"/>
  <c r="J75" i="32"/>
  <c r="L55" i="26"/>
  <c r="F56" i="26"/>
  <c r="H56" i="26"/>
  <c r="C57" i="26"/>
  <c r="J57" i="26" s="1"/>
  <c r="E56" i="26"/>
  <c r="D56" i="26"/>
  <c r="K56" i="26" s="1"/>
  <c r="G75" i="32" l="1"/>
  <c r="K75" i="32"/>
  <c r="I75" i="32"/>
  <c r="M56" i="26"/>
  <c r="I56" i="26"/>
  <c r="L75" i="32"/>
  <c r="F76" i="32"/>
  <c r="D76" i="32"/>
  <c r="H76" i="32"/>
  <c r="J76" i="32"/>
  <c r="E76" i="32"/>
  <c r="M75" i="32"/>
  <c r="L56" i="26"/>
  <c r="H57" i="26"/>
  <c r="E57" i="26"/>
  <c r="D57" i="26"/>
  <c r="K57" i="26" s="1"/>
  <c r="C58" i="26"/>
  <c r="J58" i="26" s="1"/>
  <c r="F38" i="26"/>
  <c r="F34" i="26"/>
  <c r="G76" i="32" l="1"/>
  <c r="I57" i="26"/>
  <c r="K76" i="32"/>
  <c r="I76" i="32"/>
  <c r="L38" i="26"/>
  <c r="M76" i="32"/>
  <c r="L76" i="32"/>
  <c r="H77" i="32"/>
  <c r="F77" i="32"/>
  <c r="E77" i="32"/>
  <c r="D77" i="32"/>
  <c r="J77" i="32"/>
  <c r="M57" i="26"/>
  <c r="F36" i="26"/>
  <c r="F37" i="26"/>
  <c r="L34" i="26"/>
  <c r="H58" i="26"/>
  <c r="D58" i="26"/>
  <c r="K58" i="26" s="1"/>
  <c r="E58" i="26"/>
  <c r="C59" i="26"/>
  <c r="K77" i="32" l="1"/>
  <c r="G77" i="32"/>
  <c r="I77" i="32"/>
  <c r="M58" i="26"/>
  <c r="I58" i="26"/>
  <c r="L37" i="26"/>
  <c r="L36" i="26"/>
  <c r="L77" i="32"/>
  <c r="M77" i="32"/>
  <c r="H78" i="32"/>
  <c r="F78" i="32"/>
  <c r="E78" i="32"/>
  <c r="J78" i="32"/>
  <c r="D78" i="32"/>
  <c r="H59" i="26"/>
  <c r="I83" i="26" s="1"/>
  <c r="E59" i="26"/>
  <c r="D59" i="26"/>
  <c r="C60" i="26"/>
  <c r="G29" i="6"/>
  <c r="G78" i="32" l="1"/>
  <c r="I78" i="32"/>
  <c r="K78" i="32"/>
  <c r="I59" i="26"/>
  <c r="E80" i="32"/>
  <c r="J80" i="32"/>
  <c r="H80" i="32"/>
  <c r="F80" i="32"/>
  <c r="D80" i="32"/>
  <c r="L78" i="32"/>
  <c r="E79" i="32"/>
  <c r="J79" i="32"/>
  <c r="H79" i="32"/>
  <c r="F79" i="32"/>
  <c r="D79" i="32"/>
  <c r="M78" i="32"/>
  <c r="F60" i="26"/>
  <c r="H60" i="26"/>
  <c r="C61" i="26"/>
  <c r="J61" i="26" s="1"/>
  <c r="D60" i="26"/>
  <c r="E60" i="26"/>
  <c r="I29" i="6"/>
  <c r="E83" i="32" l="1"/>
  <c r="D83" i="32"/>
  <c r="F83" i="32"/>
  <c r="H83" i="32"/>
  <c r="J83" i="32"/>
  <c r="K79" i="32"/>
  <c r="G79" i="32"/>
  <c r="I80" i="32"/>
  <c r="G80" i="32"/>
  <c r="I79" i="32"/>
  <c r="K80" i="32"/>
  <c r="I60" i="26"/>
  <c r="E82" i="32"/>
  <c r="D82" i="32"/>
  <c r="F82" i="32"/>
  <c r="H82" i="32"/>
  <c r="J82" i="32"/>
  <c r="M80" i="32"/>
  <c r="L80" i="32"/>
  <c r="E81" i="32"/>
  <c r="J81" i="32"/>
  <c r="H81" i="32"/>
  <c r="F81" i="32"/>
  <c r="D81" i="32"/>
  <c r="L79" i="32"/>
  <c r="M79" i="32"/>
  <c r="L60" i="26"/>
  <c r="F61" i="26"/>
  <c r="H61" i="26"/>
  <c r="E61" i="26"/>
  <c r="D61" i="26"/>
  <c r="C62" i="26"/>
  <c r="J62" i="26" s="1"/>
  <c r="E17" i="6"/>
  <c r="F59" i="26"/>
  <c r="F53" i="26"/>
  <c r="F31" i="26"/>
  <c r="F11" i="26"/>
  <c r="G60" i="26" l="1"/>
  <c r="G83" i="26"/>
  <c r="M83" i="32"/>
  <c r="I82" i="32"/>
  <c r="G82" i="32"/>
  <c r="G81" i="32"/>
  <c r="L83" i="32"/>
  <c r="K82" i="32"/>
  <c r="I83" i="32"/>
  <c r="K83" i="32"/>
  <c r="G83" i="32"/>
  <c r="I81" i="32"/>
  <c r="K81" i="32"/>
  <c r="G61" i="26"/>
  <c r="M61" i="26"/>
  <c r="I61" i="26"/>
  <c r="M82" i="32"/>
  <c r="L82" i="32"/>
  <c r="M81" i="32"/>
  <c r="L81" i="32"/>
  <c r="L59" i="26"/>
  <c r="L53" i="26"/>
  <c r="F51" i="26"/>
  <c r="F52" i="26"/>
  <c r="F57" i="26"/>
  <c r="F58" i="26"/>
  <c r="L31" i="26"/>
  <c r="L11" i="26"/>
  <c r="L61" i="26"/>
  <c r="F62" i="26"/>
  <c r="H62" i="26"/>
  <c r="C63" i="26"/>
  <c r="J63" i="26" s="1"/>
  <c r="D62" i="26"/>
  <c r="E62" i="26"/>
  <c r="G62" i="26" l="1"/>
  <c r="M62" i="26"/>
  <c r="I62" i="26"/>
  <c r="L51" i="26"/>
  <c r="L52" i="26"/>
  <c r="L58" i="26"/>
  <c r="L57" i="26"/>
  <c r="F30" i="26"/>
  <c r="L62" i="26"/>
  <c r="F63" i="26"/>
  <c r="H63" i="26"/>
  <c r="E63" i="26"/>
  <c r="C64" i="26"/>
  <c r="J64" i="26" s="1"/>
  <c r="D63" i="26"/>
  <c r="F42" i="8"/>
  <c r="DP93" i="10" s="1"/>
  <c r="F41" i="8"/>
  <c r="F40" i="8"/>
  <c r="F39" i="8"/>
  <c r="F38" i="8"/>
  <c r="F37" i="8"/>
  <c r="F36" i="8"/>
  <c r="F35" i="8"/>
  <c r="F34" i="8"/>
  <c r="F33" i="8"/>
  <c r="F32" i="8"/>
  <c r="F31" i="8"/>
  <c r="I63" i="26" l="1"/>
  <c r="G63" i="26"/>
  <c r="M63" i="26"/>
  <c r="F10" i="26"/>
  <c r="G59" i="26" s="1"/>
  <c r="L30" i="26"/>
  <c r="L63" i="26"/>
  <c r="F64" i="26"/>
  <c r="H64" i="26"/>
  <c r="C65" i="26"/>
  <c r="J65" i="26" s="1"/>
  <c r="D64" i="26"/>
  <c r="E64" i="26"/>
  <c r="DP122" i="10"/>
  <c r="DP282" i="10" l="1"/>
  <c r="DP314" i="10"/>
  <c r="G64" i="26"/>
  <c r="M64" i="26"/>
  <c r="I64" i="26"/>
  <c r="G10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3" i="26"/>
  <c r="G44" i="26"/>
  <c r="G45" i="26"/>
  <c r="G42" i="26"/>
  <c r="G40" i="26"/>
  <c r="G43" i="26"/>
  <c r="G41" i="26"/>
  <c r="G39" i="26"/>
  <c r="G46" i="26"/>
  <c r="G47" i="26"/>
  <c r="G48" i="26"/>
  <c r="G32" i="26"/>
  <c r="G49" i="26"/>
  <c r="G50" i="26"/>
  <c r="G35" i="26"/>
  <c r="G54" i="26"/>
  <c r="G55" i="26"/>
  <c r="G56" i="26"/>
  <c r="G34" i="26"/>
  <c r="G38" i="26"/>
  <c r="G37" i="26"/>
  <c r="G36" i="26"/>
  <c r="G11" i="26"/>
  <c r="G53" i="26"/>
  <c r="G31" i="26"/>
  <c r="G58" i="26"/>
  <c r="G57" i="26"/>
  <c r="G52" i="26"/>
  <c r="G51" i="26"/>
  <c r="G30" i="26"/>
  <c r="DP291" i="10"/>
  <c r="DP290" i="10"/>
  <c r="DP109" i="10"/>
  <c r="L10" i="26"/>
  <c r="D10" i="31" a="1"/>
  <c r="D10" i="31" s="1"/>
  <c r="B10" i="31" a="1"/>
  <c r="B10" i="31" s="1"/>
  <c r="E11" i="31" a="1"/>
  <c r="E11" i="31" s="1"/>
  <c r="E15" i="31" s="1" a="1"/>
  <c r="E15" i="31" s="1"/>
  <c r="G13" i="31" a="1"/>
  <c r="G13" i="31" s="1"/>
  <c r="G16" i="31" s="1" a="1"/>
  <c r="G16" i="31" s="1"/>
  <c r="F13" i="31" a="1"/>
  <c r="F13" i="31" s="1"/>
  <c r="F16" i="31" s="1" a="1"/>
  <c r="F16" i="31" s="1"/>
  <c r="G18" i="31" a="1"/>
  <c r="G18" i="31" s="1"/>
  <c r="B6" i="31" a="1"/>
  <c r="B6" i="31" s="1"/>
  <c r="B7" i="31" s="1"/>
  <c r="D13" i="31" a="1"/>
  <c r="D13" i="31" s="1"/>
  <c r="D16" i="31" s="1" a="1"/>
  <c r="D16" i="31" s="1"/>
  <c r="C11" i="31" a="1"/>
  <c r="C11" i="31" s="1"/>
  <c r="C15" i="31" s="1" a="1"/>
  <c r="C15" i="31" s="1"/>
  <c r="C8" i="31" a="1"/>
  <c r="C8" i="31" s="1"/>
  <c r="G6" i="31" a="1"/>
  <c r="G6" i="31" s="1"/>
  <c r="H7" i="31" s="1"/>
  <c r="C13" i="31" a="1"/>
  <c r="C13" i="31" s="1"/>
  <c r="C16" i="31" s="1" a="1"/>
  <c r="C16" i="31" s="1"/>
  <c r="D4" i="31" a="1"/>
  <c r="D4" i="31" s="1"/>
  <c r="B13" i="31" a="1"/>
  <c r="B13" i="31" s="1"/>
  <c r="B16" i="31" s="1" a="1"/>
  <c r="B16" i="31" s="1"/>
  <c r="C4" i="31" a="1"/>
  <c r="C4" i="31" s="1"/>
  <c r="F6" i="31" a="1"/>
  <c r="F6" i="31" s="1"/>
  <c r="F18" i="31" a="1"/>
  <c r="F18" i="31" s="1"/>
  <c r="C10" i="31" a="1"/>
  <c r="C10" i="31" s="1"/>
  <c r="G10" i="31" a="1"/>
  <c r="G10" i="31" s="1"/>
  <c r="B8" i="31" a="1"/>
  <c r="B8" i="31" s="1"/>
  <c r="B9" i="31" s="1"/>
  <c r="D11" i="31" a="1"/>
  <c r="D11" i="31" s="1"/>
  <c r="D15" i="31" s="1" a="1"/>
  <c r="D15" i="31" s="1"/>
  <c r="C18" i="31" a="1"/>
  <c r="C18" i="31" s="1"/>
  <c r="F11" i="31" a="1"/>
  <c r="F11" i="31" s="1"/>
  <c r="F15" i="31" s="1" a="1"/>
  <c r="F15" i="31" s="1"/>
  <c r="E13" i="31" a="1"/>
  <c r="E13" i="31" s="1"/>
  <c r="E16" i="31" s="1" a="1"/>
  <c r="E16" i="31" s="1"/>
  <c r="D18" i="31" a="1"/>
  <c r="D18" i="31" s="1"/>
  <c r="E10" i="31" a="1"/>
  <c r="E10" i="31" s="1"/>
  <c r="E4" i="31" a="1"/>
  <c r="E4" i="31" s="1"/>
  <c r="G4" i="31" a="1"/>
  <c r="G4" i="31" s="1"/>
  <c r="H5" i="31" s="1"/>
  <c r="D6" i="31" a="1"/>
  <c r="D6" i="31" s="1"/>
  <c r="C6" i="31" a="1"/>
  <c r="C6" i="31" s="1"/>
  <c r="B11" i="31" a="1"/>
  <c r="B11" i="31" s="1"/>
  <c r="B12" i="31" s="1"/>
  <c r="F10" i="31" a="1"/>
  <c r="F10" i="31" s="1"/>
  <c r="D8" i="31" a="1"/>
  <c r="D8" i="31" s="1"/>
  <c r="G8" i="31" a="1"/>
  <c r="G8" i="31" s="1"/>
  <c r="H9" i="31" s="1"/>
  <c r="F4" i="31" a="1"/>
  <c r="F4" i="31" s="1"/>
  <c r="E18" i="31" a="1"/>
  <c r="E18" i="31" s="1"/>
  <c r="E6" i="31" a="1"/>
  <c r="E6" i="31" s="1"/>
  <c r="F8" i="31" a="1"/>
  <c r="F8" i="31" s="1"/>
  <c r="G11" i="31" a="1"/>
  <c r="G11" i="31" s="1"/>
  <c r="H12" i="31" s="1"/>
  <c r="E8" i="31" a="1"/>
  <c r="E8" i="31" s="1"/>
  <c r="B4" i="31" a="1"/>
  <c r="B4" i="31" s="1"/>
  <c r="B5" i="31" s="1"/>
  <c r="B18" i="31" a="1"/>
  <c r="B18" i="31" s="1"/>
  <c r="DP128" i="10"/>
  <c r="DP127" i="10"/>
  <c r="DP129" i="10"/>
  <c r="DP126" i="10"/>
  <c r="DP131" i="10"/>
  <c r="DP130" i="10"/>
  <c r="A2" i="8"/>
  <c r="J4" i="29"/>
  <c r="DP124" i="10"/>
  <c r="DP309" i="10"/>
  <c r="DP301" i="10"/>
  <c r="DP293" i="10"/>
  <c r="DP283" i="10"/>
  <c r="DP274" i="10"/>
  <c r="DP266" i="10"/>
  <c r="P80" i="5" s="1"/>
  <c r="DP258" i="10"/>
  <c r="P84" i="5" s="1"/>
  <c r="DP250" i="10"/>
  <c r="DP242" i="10"/>
  <c r="DP235" i="10"/>
  <c r="DP227" i="10"/>
  <c r="DP219" i="10"/>
  <c r="P65" i="5" s="1"/>
  <c r="DP211" i="10"/>
  <c r="DP203" i="10"/>
  <c r="P50" i="5" s="1"/>
  <c r="DP195" i="10"/>
  <c r="DP187" i="10"/>
  <c r="P49" i="5" s="1"/>
  <c r="DP179" i="10"/>
  <c r="DP171" i="10"/>
  <c r="P38" i="5" s="1"/>
  <c r="DP163" i="10"/>
  <c r="DP155" i="10"/>
  <c r="DP147" i="10"/>
  <c r="DP139" i="10"/>
  <c r="DP114" i="10"/>
  <c r="DP105" i="10"/>
  <c r="DP97" i="10"/>
  <c r="DP259" i="10"/>
  <c r="P78" i="5" s="1"/>
  <c r="DP212" i="10"/>
  <c r="DP196" i="10"/>
  <c r="P54" i="5" s="1"/>
  <c r="DP164" i="10"/>
  <c r="DP132" i="10"/>
  <c r="DP308" i="10"/>
  <c r="DP300" i="10"/>
  <c r="DP292" i="10"/>
  <c r="DP281" i="10"/>
  <c r="DP273" i="10"/>
  <c r="DP265" i="10"/>
  <c r="DP257" i="10"/>
  <c r="DP249" i="10"/>
  <c r="DP241" i="10"/>
  <c r="P76" i="5" s="1"/>
  <c r="DP234" i="10"/>
  <c r="DP226" i="10"/>
  <c r="DP218" i="10"/>
  <c r="DP210" i="10"/>
  <c r="DP202" i="10"/>
  <c r="P56" i="5" s="1"/>
  <c r="DP194" i="10"/>
  <c r="DP186" i="10"/>
  <c r="P48" i="5" s="1"/>
  <c r="DP178" i="10"/>
  <c r="DP170" i="10"/>
  <c r="P44" i="5" s="1"/>
  <c r="DP162" i="10"/>
  <c r="DP154" i="10"/>
  <c r="P36" i="5" s="1"/>
  <c r="DP146" i="10"/>
  <c r="DP138" i="10"/>
  <c r="DP121" i="10"/>
  <c r="DP113" i="10"/>
  <c r="DP104" i="10"/>
  <c r="DP96" i="10"/>
  <c r="DP302" i="10"/>
  <c r="DP243" i="10"/>
  <c r="P77" i="5" s="1"/>
  <c r="DP228" i="10"/>
  <c r="DP188" i="10"/>
  <c r="DP156" i="10"/>
  <c r="DP123" i="10"/>
  <c r="DP307" i="10"/>
  <c r="DP299" i="10"/>
  <c r="DP289" i="10"/>
  <c r="DP280" i="10"/>
  <c r="P79" i="5" s="1"/>
  <c r="DP272" i="10"/>
  <c r="DP264" i="10"/>
  <c r="DP256" i="10"/>
  <c r="DP248" i="10"/>
  <c r="DP240" i="10"/>
  <c r="DP233" i="10"/>
  <c r="DP225" i="10"/>
  <c r="P68" i="5" s="1"/>
  <c r="DP217" i="10"/>
  <c r="DP209" i="10"/>
  <c r="DP201" i="10"/>
  <c r="DP193" i="10"/>
  <c r="DP185" i="10"/>
  <c r="DP177" i="10"/>
  <c r="DP169" i="10"/>
  <c r="P43" i="5" s="1"/>
  <c r="DP161" i="10"/>
  <c r="DP153" i="10"/>
  <c r="DP145" i="10"/>
  <c r="DP137" i="10"/>
  <c r="DP120" i="10"/>
  <c r="DP112" i="10"/>
  <c r="DP103" i="10"/>
  <c r="DP95" i="10"/>
  <c r="DP284" i="10"/>
  <c r="DP106" i="10"/>
  <c r="DP306" i="10"/>
  <c r="DP298" i="10"/>
  <c r="DP288" i="10"/>
  <c r="DP279" i="10"/>
  <c r="DP271" i="10"/>
  <c r="DP263" i="10"/>
  <c r="DP255" i="10"/>
  <c r="DP247" i="10"/>
  <c r="DP239" i="10"/>
  <c r="P73" i="5" s="1"/>
  <c r="DP232" i="10"/>
  <c r="DP224" i="10"/>
  <c r="DP216" i="10"/>
  <c r="P66" i="5" s="1"/>
  <c r="DP208" i="10"/>
  <c r="P51" i="5" s="1"/>
  <c r="DP200" i="10"/>
  <c r="DP192" i="10"/>
  <c r="DP184" i="10"/>
  <c r="DP176" i="10"/>
  <c r="P46" i="5" s="1"/>
  <c r="DP168" i="10"/>
  <c r="P40" i="5" s="1"/>
  <c r="DP160" i="10"/>
  <c r="P37" i="5" s="1"/>
  <c r="DP152" i="10"/>
  <c r="DP144" i="10"/>
  <c r="DP136" i="10"/>
  <c r="P30" i="5" s="1"/>
  <c r="DP119" i="10"/>
  <c r="DP111" i="10"/>
  <c r="DP102" i="10"/>
  <c r="P24" i="5" s="1"/>
  <c r="DP94" i="10"/>
  <c r="DP275" i="10"/>
  <c r="DP313" i="10"/>
  <c r="DP305" i="10"/>
  <c r="DP297" i="10"/>
  <c r="DP287" i="10"/>
  <c r="DP278" i="10"/>
  <c r="DP270" i="10"/>
  <c r="DP262" i="10"/>
  <c r="P86" i="5" s="1"/>
  <c r="DP254" i="10"/>
  <c r="DP246" i="10"/>
  <c r="DP238" i="10"/>
  <c r="P72" i="5" s="1"/>
  <c r="DP231" i="10"/>
  <c r="P67" i="5" s="1"/>
  <c r="DP223" i="10"/>
  <c r="DP215" i="10"/>
  <c r="DP207" i="10"/>
  <c r="P53" i="5" s="1"/>
  <c r="DP199" i="10"/>
  <c r="DP191" i="10"/>
  <c r="DP183" i="10"/>
  <c r="DP175" i="10"/>
  <c r="P42" i="5" s="1"/>
  <c r="DP167" i="10"/>
  <c r="P41" i="5" s="1"/>
  <c r="DP159" i="10"/>
  <c r="DP151" i="10"/>
  <c r="DP143" i="10"/>
  <c r="DP135" i="10"/>
  <c r="DP118" i="10"/>
  <c r="DP110" i="10"/>
  <c r="DP310" i="10"/>
  <c r="DP267" i="10"/>
  <c r="DP236" i="10"/>
  <c r="DP204" i="10"/>
  <c r="P57" i="5" s="1"/>
  <c r="DP172" i="10"/>
  <c r="P39" i="5" s="1"/>
  <c r="DP140" i="10"/>
  <c r="DP98" i="10"/>
  <c r="P18" i="5" s="1"/>
  <c r="DP312" i="10"/>
  <c r="DP304" i="10"/>
  <c r="DP296" i="10"/>
  <c r="DP286" i="10"/>
  <c r="DP277" i="10"/>
  <c r="DP269" i="10"/>
  <c r="P83" i="5" s="1"/>
  <c r="DP261" i="10"/>
  <c r="DP253" i="10"/>
  <c r="P81" i="5" s="1"/>
  <c r="DP245" i="10"/>
  <c r="DP237" i="10"/>
  <c r="P71" i="5" s="1"/>
  <c r="DP230" i="10"/>
  <c r="DP222" i="10"/>
  <c r="DP214" i="10"/>
  <c r="DP206" i="10"/>
  <c r="P52" i="5" s="1"/>
  <c r="DP198" i="10"/>
  <c r="DP190" i="10"/>
  <c r="P55" i="5" s="1"/>
  <c r="DP182" i="10"/>
  <c r="P28" i="5" s="1"/>
  <c r="DP174" i="10"/>
  <c r="P45" i="5" s="1"/>
  <c r="DP166" i="10"/>
  <c r="DP158" i="10"/>
  <c r="DP150" i="10"/>
  <c r="DP142" i="10"/>
  <c r="DP134" i="10"/>
  <c r="DP117" i="10"/>
  <c r="DP108" i="10"/>
  <c r="P91" i="5" s="1"/>
  <c r="DP100" i="10"/>
  <c r="P22" i="5" s="1"/>
  <c r="DP294" i="10"/>
  <c r="DP251" i="10"/>
  <c r="DP220" i="10"/>
  <c r="DP180" i="10"/>
  <c r="DP148" i="10"/>
  <c r="DP115" i="10"/>
  <c r="DP311" i="10"/>
  <c r="DP303" i="10"/>
  <c r="DP295" i="10"/>
  <c r="DP285" i="10"/>
  <c r="DP276" i="10"/>
  <c r="P82" i="5" s="1"/>
  <c r="DP268" i="10"/>
  <c r="DP260" i="10"/>
  <c r="P85" i="5" s="1"/>
  <c r="DP252" i="10"/>
  <c r="DP244" i="10"/>
  <c r="DP229" i="10"/>
  <c r="DP221" i="10"/>
  <c r="P69" i="5" s="1"/>
  <c r="DP213" i="10"/>
  <c r="P64" i="5" s="1"/>
  <c r="DP205" i="10"/>
  <c r="DP197" i="10"/>
  <c r="DP189" i="10"/>
  <c r="DP181" i="10"/>
  <c r="P26" i="5" s="1"/>
  <c r="DP173" i="10"/>
  <c r="P35" i="5" s="1"/>
  <c r="DP165" i="10"/>
  <c r="DP157" i="10"/>
  <c r="DP149" i="10"/>
  <c r="DP141" i="10"/>
  <c r="DP133" i="10"/>
  <c r="DP125" i="10"/>
  <c r="DP116" i="10"/>
  <c r="DP107" i="10"/>
  <c r="DP99" i="10"/>
  <c r="P21" i="5" s="1"/>
  <c r="L64" i="26"/>
  <c r="F65" i="26"/>
  <c r="H65" i="26"/>
  <c r="E65" i="26"/>
  <c r="D65" i="26"/>
  <c r="J66" i="26"/>
  <c r="D3" i="24"/>
  <c r="P5" i="21"/>
  <c r="K17" i="21" s="1"/>
  <c r="G5" i="21"/>
  <c r="B31" i="21" s="1"/>
  <c r="H7" i="5"/>
  <c r="R58" i="5" l="1"/>
  <c r="R57" i="5"/>
  <c r="R52" i="5"/>
  <c r="R56" i="5"/>
  <c r="R50" i="5"/>
  <c r="R49" i="5"/>
  <c r="R53" i="5"/>
  <c r="R51" i="5"/>
  <c r="P126" i="5"/>
  <c r="Q26" i="5"/>
  <c r="Q28" i="5"/>
  <c r="P89" i="5"/>
  <c r="P87" i="5" s="1"/>
  <c r="R89" i="5"/>
  <c r="H28" i="5"/>
  <c r="H26" i="5"/>
  <c r="I10" i="29"/>
  <c r="J10" i="29" s="1"/>
  <c r="AD10" i="29" s="1"/>
  <c r="I18" i="29"/>
  <c r="K23" i="21"/>
  <c r="P58" i="5"/>
  <c r="P70" i="5"/>
  <c r="P63" i="5" s="1"/>
  <c r="Q71" i="5"/>
  <c r="Q72" i="5"/>
  <c r="Q73" i="5"/>
  <c r="G123" i="5"/>
  <c r="G72" i="5"/>
  <c r="G73" i="5"/>
  <c r="G71" i="5"/>
  <c r="G65" i="26"/>
  <c r="M65" i="26"/>
  <c r="I65" i="26"/>
  <c r="I11" i="29"/>
  <c r="N35" i="29"/>
  <c r="N36" i="29" s="1"/>
  <c r="H11" i="29"/>
  <c r="A27" i="8"/>
  <c r="A25" i="8"/>
  <c r="DS1" i="10" s="1"/>
  <c r="B37" i="21"/>
  <c r="E29" i="21"/>
  <c r="I35" i="29"/>
  <c r="F5" i="31"/>
  <c r="H23" i="29"/>
  <c r="H35" i="29"/>
  <c r="G12" i="31"/>
  <c r="E7" i="31"/>
  <c r="P13" i="5"/>
  <c r="Q26" i="8"/>
  <c r="P16" i="5"/>
  <c r="Q29" i="8"/>
  <c r="P14" i="5"/>
  <c r="Q27" i="8"/>
  <c r="P15" i="5"/>
  <c r="Q28" i="8"/>
  <c r="C7" i="31"/>
  <c r="D5" i="31"/>
  <c r="F17" i="31"/>
  <c r="D12" i="31"/>
  <c r="C17" i="31"/>
  <c r="D9" i="31"/>
  <c r="E17" i="31"/>
  <c r="F12" i="31"/>
  <c r="D17" i="31"/>
  <c r="E5" i="31"/>
  <c r="E9" i="31"/>
  <c r="G7" i="31"/>
  <c r="B17" i="31"/>
  <c r="D7" i="31"/>
  <c r="G5" i="31"/>
  <c r="G15" i="31" a="1"/>
  <c r="G15" i="31" s="1"/>
  <c r="G9" i="31"/>
  <c r="G17" i="31"/>
  <c r="B15" i="31" a="1"/>
  <c r="B15" i="31" s="1"/>
  <c r="F7" i="31"/>
  <c r="D14" i="31"/>
  <c r="D20" i="31"/>
  <c r="F9" i="31"/>
  <c r="C5" i="31"/>
  <c r="C19" i="31"/>
  <c r="C23" i="31"/>
  <c r="C21" i="31"/>
  <c r="C22" i="31"/>
  <c r="B14" i="31"/>
  <c r="B20" i="31"/>
  <c r="G21" i="31"/>
  <c r="G22" i="31"/>
  <c r="G19" i="31"/>
  <c r="G23" i="31"/>
  <c r="E19" i="31"/>
  <c r="E22" i="31"/>
  <c r="E21" i="31"/>
  <c r="E23" i="31"/>
  <c r="F14" i="31"/>
  <c r="F20" i="31"/>
  <c r="C14" i="31"/>
  <c r="C20" i="31"/>
  <c r="G20" i="31"/>
  <c r="G14" i="31"/>
  <c r="B21" i="31"/>
  <c r="B22" i="31"/>
  <c r="B19" i="31"/>
  <c r="B23" i="31"/>
  <c r="E12" i="31"/>
  <c r="D21" i="31"/>
  <c r="D23" i="31"/>
  <c r="D19" i="31"/>
  <c r="D22" i="31"/>
  <c r="C9" i="31"/>
  <c r="E14" i="31"/>
  <c r="E20" i="31"/>
  <c r="F22" i="31"/>
  <c r="F19" i="31"/>
  <c r="F23" i="31"/>
  <c r="F21" i="31"/>
  <c r="C12" i="31"/>
  <c r="I39" i="29"/>
  <c r="I23" i="29"/>
  <c r="H34" i="29"/>
  <c r="K39" i="21"/>
  <c r="K31" i="21"/>
  <c r="K22" i="21"/>
  <c r="K14" i="21"/>
  <c r="K11" i="21"/>
  <c r="K12" i="21"/>
  <c r="K38" i="21"/>
  <c r="K30" i="21"/>
  <c r="K21" i="21"/>
  <c r="K13" i="21"/>
  <c r="K27" i="21"/>
  <c r="K34" i="21"/>
  <c r="K24" i="21"/>
  <c r="K37" i="21"/>
  <c r="K29" i="21"/>
  <c r="K20" i="21"/>
  <c r="K9" i="21"/>
  <c r="K35" i="21"/>
  <c r="K26" i="21"/>
  <c r="K36" i="21"/>
  <c r="K28" i="21"/>
  <c r="K19" i="21"/>
  <c r="K10" i="21"/>
  <c r="K18" i="21"/>
  <c r="K15" i="21"/>
  <c r="K33" i="21"/>
  <c r="K25" i="21"/>
  <c r="K16" i="21"/>
  <c r="K32" i="21"/>
  <c r="H8" i="29"/>
  <c r="AD9" i="29" s="1"/>
  <c r="H7" i="29"/>
  <c r="H9" i="29"/>
  <c r="N26" i="29"/>
  <c r="N27" i="29" s="1"/>
  <c r="N17" i="29"/>
  <c r="N18" i="29" s="1"/>
  <c r="N8" i="29"/>
  <c r="I34" i="29"/>
  <c r="I8" i="29"/>
  <c r="I9" i="29"/>
  <c r="H15" i="29"/>
  <c r="H19" i="29"/>
  <c r="H20" i="29"/>
  <c r="I16" i="29"/>
  <c r="I19" i="29"/>
  <c r="I15" i="29"/>
  <c r="I20" i="29"/>
  <c r="H40" i="29"/>
  <c r="H47" i="29"/>
  <c r="AD52" i="29" s="1"/>
  <c r="I47" i="29"/>
  <c r="I46" i="29"/>
  <c r="I24" i="29"/>
  <c r="I14" i="29"/>
  <c r="I40" i="29"/>
  <c r="I7" i="29"/>
  <c r="I27" i="29"/>
  <c r="I17" i="29"/>
  <c r="I26" i="29"/>
  <c r="P20" i="5"/>
  <c r="H24" i="29"/>
  <c r="H14" i="29"/>
  <c r="H33" i="29"/>
  <c r="H16" i="29"/>
  <c r="H26" i="29"/>
  <c r="H27" i="29"/>
  <c r="H17" i="29"/>
  <c r="H46" i="29"/>
  <c r="B22" i="21"/>
  <c r="E26" i="21"/>
  <c r="L65" i="26"/>
  <c r="E66" i="26"/>
  <c r="F66" i="26"/>
  <c r="H66" i="26"/>
  <c r="J67" i="26"/>
  <c r="D66" i="26"/>
  <c r="B12" i="21"/>
  <c r="B23" i="21"/>
  <c r="G79" i="5"/>
  <c r="G56" i="5"/>
  <c r="G48" i="5"/>
  <c r="G45" i="5"/>
  <c r="G37" i="5"/>
  <c r="G77" i="5"/>
  <c r="G35" i="5"/>
  <c r="G76" i="5"/>
  <c r="G42" i="5"/>
  <c r="G83" i="5"/>
  <c r="G89" i="5"/>
  <c r="G38" i="5"/>
  <c r="G86" i="5"/>
  <c r="G78" i="5"/>
  <c r="G70" i="5"/>
  <c r="G55" i="5"/>
  <c r="G44" i="5"/>
  <c r="G36" i="5"/>
  <c r="G85" i="5"/>
  <c r="G69" i="5"/>
  <c r="G54" i="5"/>
  <c r="G91" i="5"/>
  <c r="G84" i="5"/>
  <c r="G68" i="5"/>
  <c r="G53" i="5"/>
  <c r="G52" i="5"/>
  <c r="G82" i="5"/>
  <c r="G66" i="5"/>
  <c r="G51" i="5"/>
  <c r="G50" i="5"/>
  <c r="G39" i="5"/>
  <c r="G80" i="5"/>
  <c r="G43" i="5"/>
  <c r="G67" i="5"/>
  <c r="G41" i="5"/>
  <c r="G81" i="5"/>
  <c r="G65" i="5"/>
  <c r="G64" i="5"/>
  <c r="G57" i="5"/>
  <c r="G46" i="5"/>
  <c r="G40" i="5"/>
  <c r="G49" i="5"/>
  <c r="G22" i="5"/>
  <c r="G21" i="5"/>
  <c r="G18" i="5"/>
  <c r="G24" i="5"/>
  <c r="G30" i="5"/>
  <c r="G26" i="5"/>
  <c r="G28" i="5"/>
  <c r="G15" i="5"/>
  <c r="G13" i="5"/>
  <c r="G12" i="5"/>
  <c r="G14" i="5"/>
  <c r="G16" i="5"/>
  <c r="G32" i="5"/>
  <c r="G31" i="5"/>
  <c r="E22" i="21"/>
  <c r="B44" i="21"/>
  <c r="E17" i="21"/>
  <c r="B36" i="21"/>
  <c r="E16" i="21"/>
  <c r="B14" i="21"/>
  <c r="B19" i="21"/>
  <c r="B46" i="21"/>
  <c r="E21" i="21"/>
  <c r="E12" i="21"/>
  <c r="E13" i="21"/>
  <c r="E28" i="21"/>
  <c r="B11" i="21"/>
  <c r="E31" i="21"/>
  <c r="B43" i="21"/>
  <c r="B16" i="21"/>
  <c r="B45" i="21"/>
  <c r="B25" i="21"/>
  <c r="E10" i="21"/>
  <c r="E15" i="21"/>
  <c r="B17" i="21"/>
  <c r="B26" i="21"/>
  <c r="B42" i="21"/>
  <c r="E9" i="21"/>
  <c r="B33" i="21"/>
  <c r="B18" i="21"/>
  <c r="B24" i="21"/>
  <c r="B13" i="21"/>
  <c r="E25" i="21"/>
  <c r="B20" i="21"/>
  <c r="B10" i="21"/>
  <c r="B32" i="21"/>
  <c r="E27" i="21"/>
  <c r="E11" i="21"/>
  <c r="B21" i="21"/>
  <c r="B15" i="21"/>
  <c r="E20" i="21"/>
  <c r="G110" i="5"/>
  <c r="G101" i="5"/>
  <c r="G108" i="5"/>
  <c r="G118" i="5"/>
  <c r="G102" i="5"/>
  <c r="G116" i="5"/>
  <c r="A15" i="8"/>
  <c r="B21" i="8"/>
  <c r="E21" i="8"/>
  <c r="A21" i="8"/>
  <c r="E19" i="8"/>
  <c r="B15" i="8"/>
  <c r="D19" i="8"/>
  <c r="C15" i="8"/>
  <c r="B19" i="8"/>
  <c r="C19" i="8"/>
  <c r="D15" i="8"/>
  <c r="A19" i="8"/>
  <c r="D21" i="8"/>
  <c r="C21" i="8"/>
  <c r="J7" i="5"/>
  <c r="DR16" i="10" l="1"/>
  <c r="DR17" i="10"/>
  <c r="DR19" i="10"/>
  <c r="DR18" i="10"/>
  <c r="DR15" i="10"/>
  <c r="AC5" i="1"/>
  <c r="AC6" i="1" s="1"/>
  <c r="AC7" i="1" s="1"/>
  <c r="AC8" i="1" s="1"/>
  <c r="AC9" i="1" s="1"/>
  <c r="AC10" i="1" s="1"/>
  <c r="AC11" i="1" s="1"/>
  <c r="J28" i="5"/>
  <c r="J26" i="5"/>
  <c r="L6" i="8"/>
  <c r="L23" i="21"/>
  <c r="N11" i="29"/>
  <c r="O3" i="29" s="1"/>
  <c r="O1" i="29" s="1" a="1"/>
  <c r="O1" i="29" s="1"/>
  <c r="N9" i="29"/>
  <c r="M13" i="29" s="1"/>
  <c r="I12" i="29"/>
  <c r="G106" i="5"/>
  <c r="G105" i="5"/>
  <c r="G128" i="5"/>
  <c r="G103" i="5"/>
  <c r="G129" i="5"/>
  <c r="G63" i="5"/>
  <c r="I123" i="5"/>
  <c r="I72" i="5"/>
  <c r="I73" i="5"/>
  <c r="I71" i="5"/>
  <c r="H71" i="5"/>
  <c r="H73" i="5"/>
  <c r="H72" i="5"/>
  <c r="G66" i="26"/>
  <c r="M66" i="26"/>
  <c r="I66" i="26"/>
  <c r="J11" i="29"/>
  <c r="N38" i="29"/>
  <c r="M41" i="29" s="1"/>
  <c r="O9" i="8"/>
  <c r="R23" i="8"/>
  <c r="AA5" i="1" s="1"/>
  <c r="AD5" i="1" s="1"/>
  <c r="A29" i="8"/>
  <c r="AD8" i="29"/>
  <c r="J35" i="29"/>
  <c r="AD39" i="29" s="1"/>
  <c r="L35" i="21"/>
  <c r="O13" i="8"/>
  <c r="W26" i="8"/>
  <c r="S23" i="8"/>
  <c r="T20" i="8" s="1"/>
  <c r="W25" i="8"/>
  <c r="W29" i="8"/>
  <c r="W28" i="8"/>
  <c r="W27" i="8"/>
  <c r="M40" i="29"/>
  <c r="M39" i="29"/>
  <c r="J46" i="29"/>
  <c r="AD51" i="29"/>
  <c r="I33" i="29"/>
  <c r="AD11" i="29"/>
  <c r="M22" i="29"/>
  <c r="M21" i="29"/>
  <c r="N20" i="29"/>
  <c r="M23" i="29" s="1"/>
  <c r="M31" i="29"/>
  <c r="M30" i="29"/>
  <c r="N29" i="29"/>
  <c r="M32" i="29" s="1"/>
  <c r="M12" i="29"/>
  <c r="J19" i="29"/>
  <c r="AD21" i="29" s="1"/>
  <c r="J14" i="29"/>
  <c r="AD16" i="29" s="1"/>
  <c r="J15" i="29"/>
  <c r="AD17" i="29" s="1"/>
  <c r="J17" i="29"/>
  <c r="AD19" i="29" s="1"/>
  <c r="J16" i="29"/>
  <c r="AD18" i="29" s="1"/>
  <c r="J18" i="29"/>
  <c r="AD20" i="29" s="1"/>
  <c r="J20" i="29"/>
  <c r="AD22" i="29" s="1"/>
  <c r="I48" i="29"/>
  <c r="H48" i="29"/>
  <c r="J24" i="29"/>
  <c r="J34" i="29"/>
  <c r="AD38" i="29" s="1"/>
  <c r="J27" i="29"/>
  <c r="J26" i="29"/>
  <c r="I41" i="29"/>
  <c r="J47" i="29"/>
  <c r="H21" i="29"/>
  <c r="J23" i="29"/>
  <c r="J40" i="29"/>
  <c r="AD44" i="29" s="1"/>
  <c r="I21" i="29"/>
  <c r="H36" i="29"/>
  <c r="L66" i="26"/>
  <c r="F67" i="26"/>
  <c r="H67" i="26"/>
  <c r="E67" i="26"/>
  <c r="J68" i="26"/>
  <c r="D67" i="26"/>
  <c r="J6" i="8"/>
  <c r="I84" i="5"/>
  <c r="I76" i="5"/>
  <c r="I64" i="5"/>
  <c r="I54" i="5"/>
  <c r="I41" i="5"/>
  <c r="I70" i="5"/>
  <c r="I69" i="5"/>
  <c r="I68" i="5"/>
  <c r="I37" i="5"/>
  <c r="I128" i="5" s="1"/>
  <c r="I79" i="5"/>
  <c r="I67" i="5"/>
  <c r="I57" i="5"/>
  <c r="I89" i="5"/>
  <c r="I78" i="5"/>
  <c r="I66" i="5"/>
  <c r="I56" i="5"/>
  <c r="I43" i="5"/>
  <c r="I77" i="5"/>
  <c r="I65" i="5"/>
  <c r="I55" i="5"/>
  <c r="I83" i="5"/>
  <c r="I53" i="5"/>
  <c r="I40" i="5"/>
  <c r="I39" i="5"/>
  <c r="I46" i="5"/>
  <c r="I80" i="5"/>
  <c r="I45" i="5"/>
  <c r="I36" i="5"/>
  <c r="I85" i="5"/>
  <c r="I91" i="5"/>
  <c r="I82" i="5"/>
  <c r="I52" i="5"/>
  <c r="I81" i="5"/>
  <c r="I51" i="5"/>
  <c r="I38" i="5"/>
  <c r="I129" i="5" s="1"/>
  <c r="I50" i="5"/>
  <c r="I44" i="5"/>
  <c r="I49" i="5"/>
  <c r="I86" i="5"/>
  <c r="I48" i="5"/>
  <c r="I35" i="5"/>
  <c r="I42" i="5"/>
  <c r="G58" i="5"/>
  <c r="G20" i="5"/>
  <c r="I21" i="5"/>
  <c r="I28" i="5"/>
  <c r="I30" i="5"/>
  <c r="I26" i="5"/>
  <c r="I24" i="5"/>
  <c r="I22" i="5"/>
  <c r="I16" i="5"/>
  <c r="I13" i="5"/>
  <c r="I15" i="5"/>
  <c r="I106" i="5" s="1"/>
  <c r="I12" i="5"/>
  <c r="I103" i="5" s="1"/>
  <c r="I14" i="5"/>
  <c r="I105" i="5" s="1"/>
  <c r="I31" i="5"/>
  <c r="I32" i="5"/>
  <c r="D27" i="8"/>
  <c r="J27" i="8"/>
  <c r="M27" i="8"/>
  <c r="J25" i="8"/>
  <c r="G113" i="5"/>
  <c r="G112" i="5"/>
  <c r="M25" i="8"/>
  <c r="G27" i="8"/>
  <c r="G126" i="5"/>
  <c r="I110" i="5"/>
  <c r="I101" i="5"/>
  <c r="I118" i="5"/>
  <c r="I102" i="5"/>
  <c r="I116" i="5"/>
  <c r="I108" i="5"/>
  <c r="G119" i="5"/>
  <c r="G117" i="5"/>
  <c r="G121" i="5"/>
  <c r="G95" i="5"/>
  <c r="G34" i="5"/>
  <c r="H6" i="8"/>
  <c r="K6" i="8"/>
  <c r="I6" i="8"/>
  <c r="L7" i="5"/>
  <c r="AD12" i="29" l="1"/>
  <c r="AC19" i="1" a="1"/>
  <c r="AC19" i="1" s="1"/>
  <c r="DR314" i="10"/>
  <c r="DR71" i="10"/>
  <c r="DR73" i="10"/>
  <c r="DR75" i="10"/>
  <c r="DR72" i="10"/>
  <c r="DR74" i="10"/>
  <c r="DR67" i="10"/>
  <c r="DR90" i="10"/>
  <c r="DR69" i="10"/>
  <c r="DR70" i="10"/>
  <c r="DR68" i="10"/>
  <c r="DR291" i="10"/>
  <c r="DR290" i="10"/>
  <c r="DR20" i="10"/>
  <c r="DR14" i="10"/>
  <c r="DR21" i="10"/>
  <c r="DR40" i="10"/>
  <c r="DR13" i="10"/>
  <c r="DR109" i="10"/>
  <c r="DR124" i="10"/>
  <c r="DR30" i="10"/>
  <c r="DR77" i="10"/>
  <c r="DR92" i="10"/>
  <c r="DR91" i="10"/>
  <c r="DR28" i="10"/>
  <c r="DR87" i="10"/>
  <c r="DR130" i="10"/>
  <c r="DR9" i="10"/>
  <c r="DR98" i="10"/>
  <c r="DR99" i="10"/>
  <c r="DR125" i="10"/>
  <c r="DR51" i="10"/>
  <c r="DR283" i="10"/>
  <c r="DR62" i="10"/>
  <c r="DR63" i="10"/>
  <c r="DR78" i="10"/>
  <c r="DR107" i="10"/>
  <c r="DR31" i="10"/>
  <c r="DR183" i="10"/>
  <c r="DR219" i="10"/>
  <c r="R65" i="5" s="1"/>
  <c r="DR8" i="10"/>
  <c r="DR47" i="10"/>
  <c r="DR57" i="10"/>
  <c r="DR274" i="10"/>
  <c r="DR123" i="10"/>
  <c r="DR223" i="10"/>
  <c r="DR114" i="10"/>
  <c r="K118" i="5" s="1"/>
  <c r="DR210" i="10"/>
  <c r="DR105" i="10"/>
  <c r="DR250" i="10"/>
  <c r="DR167" i="10"/>
  <c r="R41" i="5" s="1"/>
  <c r="DR168" i="10"/>
  <c r="R40" i="5" s="1"/>
  <c r="DR265" i="10"/>
  <c r="DR148" i="10"/>
  <c r="DR242" i="10"/>
  <c r="DR204" i="10"/>
  <c r="DR267" i="10"/>
  <c r="DR118" i="10"/>
  <c r="DR189" i="10"/>
  <c r="DR260" i="10"/>
  <c r="R85" i="5" s="1"/>
  <c r="DR111" i="10"/>
  <c r="DR182" i="10"/>
  <c r="R28" i="5" s="1"/>
  <c r="DR245" i="10"/>
  <c r="DS2" i="10"/>
  <c r="DR25" i="10"/>
  <c r="DR48" i="10"/>
  <c r="DR309" i="10"/>
  <c r="DR83" i="10"/>
  <c r="DR299" i="10"/>
  <c r="DR300" i="10"/>
  <c r="DR116" i="10"/>
  <c r="DR100" i="10"/>
  <c r="DR230" i="10"/>
  <c r="DR280" i="10"/>
  <c r="R79" i="5" s="1"/>
  <c r="DR151" i="10"/>
  <c r="DR24" i="10"/>
  <c r="DR84" i="10"/>
  <c r="DR85" i="10"/>
  <c r="DR104" i="10"/>
  <c r="DR144" i="10"/>
  <c r="DR41" i="10"/>
  <c r="DR249" i="10"/>
  <c r="DR255" i="10"/>
  <c r="DR36" i="10"/>
  <c r="DR64" i="10"/>
  <c r="DR65" i="10"/>
  <c r="DR22" i="10"/>
  <c r="DR140" i="10"/>
  <c r="DR234" i="10"/>
  <c r="DR131" i="10"/>
  <c r="DR224" i="10"/>
  <c r="DR135" i="10"/>
  <c r="DR264" i="10"/>
  <c r="DR226" i="10"/>
  <c r="DR178" i="10"/>
  <c r="DR279" i="10"/>
  <c r="DR160" i="10"/>
  <c r="R37" i="5" s="1"/>
  <c r="DR256" i="10"/>
  <c r="DR212" i="10"/>
  <c r="DR275" i="10"/>
  <c r="DR133" i="10"/>
  <c r="DR197" i="10"/>
  <c r="DR268" i="10"/>
  <c r="DR119" i="10"/>
  <c r="DR190" i="10"/>
  <c r="R55" i="5" s="1"/>
  <c r="DR253" i="10"/>
  <c r="R81" i="5" s="1"/>
  <c r="DR93" i="10"/>
  <c r="DR26" i="10"/>
  <c r="DR11" i="10"/>
  <c r="DR288" i="10"/>
  <c r="DR218" i="10"/>
  <c r="DR312" i="10"/>
  <c r="DR82" i="10"/>
  <c r="DR43" i="10"/>
  <c r="DR44" i="10"/>
  <c r="DR96" i="10"/>
  <c r="DR137" i="10"/>
  <c r="DR169" i="10"/>
  <c r="R43" i="5" s="1"/>
  <c r="DR171" i="10"/>
  <c r="R38" i="5" s="1"/>
  <c r="DR49" i="10"/>
  <c r="DR6" i="10"/>
  <c r="DR7" i="10"/>
  <c r="DR54" i="10"/>
  <c r="DR86" i="10"/>
  <c r="DR88" i="10"/>
  <c r="DR32" i="10"/>
  <c r="DR152" i="10"/>
  <c r="DR247" i="10"/>
  <c r="DR143" i="10"/>
  <c r="DR235" i="10"/>
  <c r="DR155" i="10"/>
  <c r="DR278" i="10"/>
  <c r="DR95" i="10"/>
  <c r="DR191" i="10"/>
  <c r="DR293" i="10"/>
  <c r="DR170" i="10"/>
  <c r="R44" i="5" s="1"/>
  <c r="DR270" i="10"/>
  <c r="DR220" i="10"/>
  <c r="DR284" i="10"/>
  <c r="DR141" i="10"/>
  <c r="DR205" i="10"/>
  <c r="DR276" i="10"/>
  <c r="R82" i="5" s="1"/>
  <c r="DR134" i="10"/>
  <c r="DR198" i="10"/>
  <c r="DR261" i="10"/>
  <c r="DR33" i="10"/>
  <c r="DR240" i="10"/>
  <c r="DR296" i="10"/>
  <c r="DR129" i="10"/>
  <c r="DR5" i="10"/>
  <c r="DR211" i="10"/>
  <c r="DR122" i="10"/>
  <c r="DR161" i="10"/>
  <c r="DR194" i="10"/>
  <c r="DR233" i="10"/>
  <c r="DR203" i="10"/>
  <c r="DR58" i="10"/>
  <c r="DR34" i="10"/>
  <c r="DR35" i="10"/>
  <c r="DR76" i="10"/>
  <c r="DR139" i="10"/>
  <c r="DR112" i="10"/>
  <c r="DR42" i="10"/>
  <c r="DR162" i="10"/>
  <c r="DR258" i="10"/>
  <c r="R84" i="5" s="1"/>
  <c r="DR153" i="10"/>
  <c r="DR248" i="10"/>
  <c r="DR177" i="10"/>
  <c r="DR292" i="10"/>
  <c r="DR106" i="10"/>
  <c r="DR202" i="10"/>
  <c r="DR308" i="10"/>
  <c r="DR180" i="10"/>
  <c r="DR281" i="10"/>
  <c r="DR228" i="10"/>
  <c r="DR294" i="10"/>
  <c r="DR149" i="10"/>
  <c r="DR213" i="10"/>
  <c r="R64" i="5" s="1"/>
  <c r="DR285" i="10"/>
  <c r="DR142" i="10"/>
  <c r="DR206" i="10"/>
  <c r="DR269" i="10"/>
  <c r="R83" i="5" s="1"/>
  <c r="DR154" i="10"/>
  <c r="R36" i="5" s="1"/>
  <c r="DR195" i="10"/>
  <c r="DR121" i="10"/>
  <c r="DR173" i="10"/>
  <c r="R35" i="5" s="1"/>
  <c r="DR128" i="10"/>
  <c r="DR23" i="10"/>
  <c r="DR60" i="10"/>
  <c r="DR186" i="10"/>
  <c r="R48" i="5" s="1"/>
  <c r="DR225" i="10"/>
  <c r="R68" i="5" s="1"/>
  <c r="DR263" i="10"/>
  <c r="DR306" i="10"/>
  <c r="DR238" i="10"/>
  <c r="R72" i="5" s="1"/>
  <c r="DR66" i="10"/>
  <c r="DR52" i="10"/>
  <c r="DR53" i="10"/>
  <c r="DR164" i="10"/>
  <c r="DR200" i="10"/>
  <c r="DR147" i="10"/>
  <c r="DR50" i="10"/>
  <c r="DR172" i="10"/>
  <c r="R39" i="5" s="1"/>
  <c r="DR272" i="10"/>
  <c r="DR163" i="10"/>
  <c r="DR262" i="10"/>
  <c r="R86" i="5" s="1"/>
  <c r="DR187" i="10"/>
  <c r="DR307" i="10"/>
  <c r="DR117" i="10"/>
  <c r="DR216" i="10"/>
  <c r="R66" i="5" s="1"/>
  <c r="DR97" i="10"/>
  <c r="DR193" i="10"/>
  <c r="DR298" i="10"/>
  <c r="DR236" i="10"/>
  <c r="R70" i="5" s="1"/>
  <c r="DR302" i="10"/>
  <c r="DR157" i="10"/>
  <c r="DR221" i="10"/>
  <c r="R69" i="5" s="1"/>
  <c r="DR295" i="10"/>
  <c r="DR150" i="10"/>
  <c r="DR214" i="10"/>
  <c r="DR277" i="10"/>
  <c r="DR126" i="10"/>
  <c r="DR89" i="10"/>
  <c r="DR192" i="10"/>
  <c r="DR81" i="10"/>
  <c r="DR185" i="10"/>
  <c r="DR146" i="10"/>
  <c r="DR251" i="10"/>
  <c r="DR166" i="10"/>
  <c r="DR127" i="10"/>
  <c r="DR115" i="10"/>
  <c r="DR246" i="10"/>
  <c r="DR289" i="10"/>
  <c r="DR297" i="10"/>
  <c r="DR10" i="10"/>
  <c r="DR29" i="10"/>
  <c r="DR271" i="10"/>
  <c r="DR80" i="10"/>
  <c r="DR61" i="10"/>
  <c r="DR132" i="10"/>
  <c r="DR231" i="10"/>
  <c r="R67" i="5" s="1"/>
  <c r="DR266" i="10"/>
  <c r="R80" i="5" s="1"/>
  <c r="DR176" i="10"/>
  <c r="R46" i="5" s="1"/>
  <c r="DR59" i="10"/>
  <c r="DR184" i="10"/>
  <c r="DR287" i="10"/>
  <c r="R91" i="5" s="1"/>
  <c r="DR175" i="10"/>
  <c r="R42" i="5" s="1"/>
  <c r="DR273" i="10"/>
  <c r="DR201" i="10"/>
  <c r="DR94" i="10"/>
  <c r="DR136" i="10"/>
  <c r="R30" i="5" s="1"/>
  <c r="DR227" i="10"/>
  <c r="DR108" i="10"/>
  <c r="DR207" i="10"/>
  <c r="DR310" i="10"/>
  <c r="DR243" i="10"/>
  <c r="R77" i="5" s="1"/>
  <c r="DR311" i="10"/>
  <c r="DR165" i="10"/>
  <c r="DR229" i="10"/>
  <c r="DR303" i="10"/>
  <c r="DR158" i="10"/>
  <c r="DR222" i="10"/>
  <c r="DR286" i="10"/>
  <c r="DR313" i="10"/>
  <c r="DR179" i="10"/>
  <c r="DR217" i="10"/>
  <c r="DR45" i="10"/>
  <c r="DR46" i="10"/>
  <c r="DR56" i="10"/>
  <c r="DR79" i="10"/>
  <c r="DR12" i="10"/>
  <c r="DR120" i="10"/>
  <c r="DR159" i="10"/>
  <c r="DR257" i="10"/>
  <c r="DR27" i="10"/>
  <c r="DR39" i="10"/>
  <c r="DR241" i="10"/>
  <c r="R76" i="5" s="1"/>
  <c r="DR113" i="10"/>
  <c r="DR209" i="10"/>
  <c r="DR103" i="10"/>
  <c r="DR199" i="10"/>
  <c r="DR301" i="10"/>
  <c r="DR239" i="10"/>
  <c r="R73" i="5" s="1"/>
  <c r="DR145" i="10"/>
  <c r="DR156" i="10"/>
  <c r="DR254" i="10"/>
  <c r="DR138" i="10"/>
  <c r="DR232" i="10"/>
  <c r="DR196" i="10"/>
  <c r="R54" i="5" s="1"/>
  <c r="DR259" i="10"/>
  <c r="R78" i="5" s="1"/>
  <c r="DR110" i="10"/>
  <c r="DR181" i="10"/>
  <c r="R26" i="5" s="1"/>
  <c r="DR252" i="10"/>
  <c r="DR102" i="10"/>
  <c r="R24" i="5" s="1"/>
  <c r="DR174" i="10"/>
  <c r="R45" i="5" s="1"/>
  <c r="DR237" i="10"/>
  <c r="R71" i="5" s="1"/>
  <c r="DR305" i="10"/>
  <c r="DR37" i="10"/>
  <c r="DR208" i="10"/>
  <c r="DR215" i="10"/>
  <c r="DR188" i="10"/>
  <c r="DR244" i="10"/>
  <c r="L28" i="5"/>
  <c r="L26" i="5"/>
  <c r="I36" i="29"/>
  <c r="J33" i="29"/>
  <c r="H12" i="29"/>
  <c r="J12" i="29" s="1"/>
  <c r="AD13" i="29" s="1"/>
  <c r="G59" i="5"/>
  <c r="I63" i="5"/>
  <c r="K123" i="5"/>
  <c r="K73" i="5"/>
  <c r="K71" i="5"/>
  <c r="K72" i="5"/>
  <c r="J71" i="5"/>
  <c r="J73" i="5"/>
  <c r="J72" i="5"/>
  <c r="G67" i="26"/>
  <c r="M67" i="26"/>
  <c r="I67" i="26"/>
  <c r="AA6" i="1"/>
  <c r="AD6" i="1" s="1"/>
  <c r="AB5" i="1"/>
  <c r="R8" i="29"/>
  <c r="R7" i="29" s="1"/>
  <c r="R13" i="29" s="1"/>
  <c r="P13" i="8"/>
  <c r="H13" i="8"/>
  <c r="G13" i="8" s="1"/>
  <c r="I13" i="8" s="1"/>
  <c r="V21" i="8"/>
  <c r="T21" i="8"/>
  <c r="B27" i="8"/>
  <c r="M26" i="8"/>
  <c r="R24" i="8"/>
  <c r="S27" i="8" a="1"/>
  <c r="S27" i="8" s="1"/>
  <c r="S26" i="8" a="1"/>
  <c r="S26" i="8" s="1"/>
  <c r="S28" i="8" a="1"/>
  <c r="S28" i="8" s="1"/>
  <c r="S29" i="8" a="1"/>
  <c r="S29" i="8" s="1"/>
  <c r="S25" i="8" a="1"/>
  <c r="S25" i="8" s="1"/>
  <c r="Y27" i="8"/>
  <c r="X27" i="8"/>
  <c r="Y28" i="8"/>
  <c r="X28" i="8"/>
  <c r="Y29" i="8"/>
  <c r="X29" i="8"/>
  <c r="X25" i="8"/>
  <c r="Y25" i="8"/>
  <c r="Y26" i="8"/>
  <c r="X26" i="8"/>
  <c r="J48" i="29"/>
  <c r="AD53" i="29"/>
  <c r="M14" i="29"/>
  <c r="M3" i="29"/>
  <c r="M1" i="29" s="1" a="1"/>
  <c r="M1" i="29" s="1"/>
  <c r="H39" i="29" s="1"/>
  <c r="J21" i="29"/>
  <c r="AD23" i="29" s="1"/>
  <c r="L67" i="26"/>
  <c r="F68" i="26"/>
  <c r="H68" i="26"/>
  <c r="J69" i="26"/>
  <c r="E68" i="26"/>
  <c r="D68" i="26"/>
  <c r="J26" i="8"/>
  <c r="G26" i="8"/>
  <c r="C27" i="8"/>
  <c r="I58" i="5"/>
  <c r="K81" i="5"/>
  <c r="K65" i="5"/>
  <c r="K52" i="5"/>
  <c r="K45" i="5"/>
  <c r="K37" i="5"/>
  <c r="K128" i="5" s="1"/>
  <c r="K50" i="5"/>
  <c r="K35" i="5"/>
  <c r="K78" i="5"/>
  <c r="K57" i="5"/>
  <c r="K42" i="5"/>
  <c r="K77" i="5"/>
  <c r="K48" i="5"/>
  <c r="K40" i="5"/>
  <c r="K46" i="5"/>
  <c r="K91" i="5"/>
  <c r="K80" i="5"/>
  <c r="K64" i="5"/>
  <c r="K51" i="5"/>
  <c r="K44" i="5"/>
  <c r="K36" i="5"/>
  <c r="K86" i="5"/>
  <c r="K49" i="5"/>
  <c r="K85" i="5"/>
  <c r="K69" i="5"/>
  <c r="K89" i="5"/>
  <c r="K84" i="5"/>
  <c r="K55" i="5"/>
  <c r="K83" i="5"/>
  <c r="K67" i="5"/>
  <c r="K54" i="5"/>
  <c r="K53" i="5"/>
  <c r="K38" i="5"/>
  <c r="K129" i="5" s="1"/>
  <c r="K79" i="5"/>
  <c r="K43" i="5"/>
  <c r="K70" i="5"/>
  <c r="K56" i="5"/>
  <c r="K41" i="5"/>
  <c r="K76" i="5"/>
  <c r="K68" i="5"/>
  <c r="K39" i="5"/>
  <c r="K66" i="5"/>
  <c r="K82" i="5"/>
  <c r="K30" i="5"/>
  <c r="K26" i="5"/>
  <c r="K22" i="5"/>
  <c r="K21" i="5"/>
  <c r="K24" i="5"/>
  <c r="K28" i="5"/>
  <c r="I20" i="5"/>
  <c r="K15" i="5"/>
  <c r="K106" i="5" s="1"/>
  <c r="K16" i="5"/>
  <c r="K14" i="5"/>
  <c r="K105" i="5" s="1"/>
  <c r="K12" i="5"/>
  <c r="K103" i="5" s="1"/>
  <c r="K13" i="5"/>
  <c r="K31" i="5"/>
  <c r="K32" i="5"/>
  <c r="L25" i="8"/>
  <c r="O25" i="8"/>
  <c r="G125" i="5"/>
  <c r="I119" i="5"/>
  <c r="I113" i="5"/>
  <c r="K110" i="5"/>
  <c r="K102" i="5"/>
  <c r="K108" i="5"/>
  <c r="K101" i="5"/>
  <c r="K116" i="5"/>
  <c r="I121" i="5"/>
  <c r="I126" i="5"/>
  <c r="G111" i="5"/>
  <c r="I112" i="5"/>
  <c r="I117" i="5"/>
  <c r="I95" i="5"/>
  <c r="I34" i="5"/>
  <c r="I59" i="5" s="1"/>
  <c r="N7" i="5"/>
  <c r="S28" i="5" l="1"/>
  <c r="S26" i="5"/>
  <c r="R126" i="5"/>
  <c r="R87" i="5"/>
  <c r="S81" i="5"/>
  <c r="S80" i="5"/>
  <c r="S86" i="5"/>
  <c r="S83" i="5"/>
  <c r="S91" i="5"/>
  <c r="S76" i="5"/>
  <c r="S82" i="5"/>
  <c r="S84" i="5"/>
  <c r="S79" i="5"/>
  <c r="S77" i="5"/>
  <c r="S85" i="5"/>
  <c r="S78" i="5"/>
  <c r="R95" i="5"/>
  <c r="S95" i="5" s="1"/>
  <c r="R63" i="5"/>
  <c r="S63" i="5" s="1"/>
  <c r="S30" i="5"/>
  <c r="S46" i="5"/>
  <c r="S72" i="5"/>
  <c r="S71" i="5"/>
  <c r="S64" i="5"/>
  <c r="S70" i="5"/>
  <c r="S67" i="5"/>
  <c r="S65" i="5"/>
  <c r="S69" i="5"/>
  <c r="S68" i="5"/>
  <c r="S66" i="5"/>
  <c r="S73" i="5"/>
  <c r="S55" i="5"/>
  <c r="S54" i="5"/>
  <c r="S41" i="5"/>
  <c r="S39" i="5"/>
  <c r="S36" i="5"/>
  <c r="S45" i="5"/>
  <c r="S42" i="5"/>
  <c r="S48" i="5"/>
  <c r="S43" i="5"/>
  <c r="S40" i="5"/>
  <c r="R34" i="5"/>
  <c r="S35" i="5"/>
  <c r="S37" i="5"/>
  <c r="S44" i="5"/>
  <c r="S38" i="5"/>
  <c r="S24" i="5"/>
  <c r="S53" i="5"/>
  <c r="S49" i="5"/>
  <c r="S50" i="5"/>
  <c r="S51" i="5"/>
  <c r="S58" i="5"/>
  <c r="S57" i="5"/>
  <c r="S56" i="5"/>
  <c r="S52" i="5"/>
  <c r="M35" i="5"/>
  <c r="N28" i="5"/>
  <c r="N26" i="5"/>
  <c r="K63" i="5"/>
  <c r="M73" i="5"/>
  <c r="M71" i="5"/>
  <c r="M72" i="5"/>
  <c r="L72" i="5"/>
  <c r="L71" i="5"/>
  <c r="L73" i="5"/>
  <c r="S7" i="29"/>
  <c r="S13" i="29" s="1"/>
  <c r="G68" i="26"/>
  <c r="M68" i="26"/>
  <c r="I68" i="26"/>
  <c r="T7" i="29"/>
  <c r="T13" i="29" s="1"/>
  <c r="AB6" i="1"/>
  <c r="AA7" i="1"/>
  <c r="AD7" i="1" s="1"/>
  <c r="K13" i="8" a="1"/>
  <c r="K13" i="8" s="1"/>
  <c r="J13" i="8" a="1"/>
  <c r="J13" i="8" s="1"/>
  <c r="AD37" i="29"/>
  <c r="J36" i="29"/>
  <c r="AD40" i="29" s="1"/>
  <c r="T22" i="8"/>
  <c r="U21" i="8"/>
  <c r="R10" i="29"/>
  <c r="R11" i="29"/>
  <c r="R12" i="29"/>
  <c r="H41" i="29"/>
  <c r="J39" i="29"/>
  <c r="J41" i="29" s="1"/>
  <c r="M123" i="5"/>
  <c r="M12" i="5"/>
  <c r="M103" i="5" s="1"/>
  <c r="L68" i="26"/>
  <c r="F69" i="26"/>
  <c r="H69" i="26"/>
  <c r="E69" i="26"/>
  <c r="J70" i="26"/>
  <c r="D69" i="26"/>
  <c r="K58" i="5"/>
  <c r="M91" i="5"/>
  <c r="M86" i="5"/>
  <c r="M78" i="5"/>
  <c r="M66" i="5"/>
  <c r="M50" i="5"/>
  <c r="M41" i="5"/>
  <c r="M39" i="5"/>
  <c r="M46" i="5"/>
  <c r="M45" i="5"/>
  <c r="M37" i="5"/>
  <c r="M128" i="5" s="1"/>
  <c r="M81" i="5"/>
  <c r="M36" i="5"/>
  <c r="M85" i="5"/>
  <c r="M77" i="5"/>
  <c r="M65" i="5"/>
  <c r="M57" i="5"/>
  <c r="M49" i="5"/>
  <c r="M40" i="5"/>
  <c r="M48" i="5"/>
  <c r="M89" i="5"/>
  <c r="M54" i="5"/>
  <c r="M42" i="5"/>
  <c r="M84" i="5"/>
  <c r="M76" i="5"/>
  <c r="M64" i="5"/>
  <c r="M56" i="5"/>
  <c r="M83" i="5"/>
  <c r="M55" i="5"/>
  <c r="M38" i="5"/>
  <c r="M129" i="5" s="1"/>
  <c r="M82" i="5"/>
  <c r="M70" i="5"/>
  <c r="M69" i="5"/>
  <c r="M53" i="5"/>
  <c r="M44" i="5"/>
  <c r="M80" i="5"/>
  <c r="M43" i="5"/>
  <c r="M79" i="5"/>
  <c r="M68" i="5"/>
  <c r="M52" i="5"/>
  <c r="M67" i="5"/>
  <c r="M51" i="5"/>
  <c r="K20" i="5"/>
  <c r="M30" i="5"/>
  <c r="M26" i="5"/>
  <c r="M22" i="5"/>
  <c r="M21" i="5"/>
  <c r="M18" i="5"/>
  <c r="M28" i="5"/>
  <c r="M24" i="5"/>
  <c r="M16" i="5"/>
  <c r="M15" i="5"/>
  <c r="M106" i="5" s="1"/>
  <c r="M14" i="5"/>
  <c r="M105" i="5" s="1"/>
  <c r="M13" i="5"/>
  <c r="M31" i="5"/>
  <c r="M32" i="5"/>
  <c r="I125" i="5"/>
  <c r="M110" i="5"/>
  <c r="M101" i="5"/>
  <c r="M116" i="5"/>
  <c r="M118" i="5"/>
  <c r="M102" i="5"/>
  <c r="M108" i="5"/>
  <c r="K117" i="5"/>
  <c r="K126" i="5"/>
  <c r="I111" i="5"/>
  <c r="K121" i="5"/>
  <c r="K112" i="5"/>
  <c r="K119" i="5"/>
  <c r="K113" i="5"/>
  <c r="K95" i="5"/>
  <c r="K34" i="5"/>
  <c r="K59" i="5" s="1"/>
  <c r="E26" i="6"/>
  <c r="F26" i="6"/>
  <c r="G26" i="6"/>
  <c r="S34" i="5" l="1"/>
  <c r="R125" i="5"/>
  <c r="R59" i="5"/>
  <c r="S59" i="5" s="1"/>
  <c r="M63" i="5"/>
  <c r="N72" i="5"/>
  <c r="N71" i="5"/>
  <c r="N73" i="5"/>
  <c r="T12" i="29"/>
  <c r="S10" i="29"/>
  <c r="S11" i="29"/>
  <c r="T10" i="29"/>
  <c r="S12" i="29"/>
  <c r="T11" i="29"/>
  <c r="G69" i="26"/>
  <c r="M69" i="26"/>
  <c r="I69" i="26"/>
  <c r="AB7" i="1"/>
  <c r="AA8" i="1"/>
  <c r="AD8" i="1" s="1"/>
  <c r="U22" i="8"/>
  <c r="V22" i="8" a="1"/>
  <c r="V22" i="8" s="1"/>
  <c r="AD46" i="29"/>
  <c r="AD43" i="29"/>
  <c r="L69" i="26"/>
  <c r="F70" i="26"/>
  <c r="H70" i="26"/>
  <c r="J71" i="26"/>
  <c r="D70" i="26"/>
  <c r="E70" i="26"/>
  <c r="M58" i="5"/>
  <c r="M20" i="5"/>
  <c r="K125" i="5"/>
  <c r="K111" i="5"/>
  <c r="M112" i="5"/>
  <c r="M113" i="5"/>
  <c r="M117" i="5"/>
  <c r="M121" i="5"/>
  <c r="M119" i="5"/>
  <c r="M126" i="5"/>
  <c r="M34" i="5"/>
  <c r="M59" i="5" s="1"/>
  <c r="N59" i="5" s="1"/>
  <c r="M95" i="5"/>
  <c r="F11" i="6"/>
  <c r="R61" i="5" l="1"/>
  <c r="S61" i="5" s="1"/>
  <c r="G70" i="26"/>
  <c r="M70" i="26"/>
  <c r="I70" i="26"/>
  <c r="AA9" i="1"/>
  <c r="AD9" i="1" s="1"/>
  <c r="AB8" i="1"/>
  <c r="U29" i="8"/>
  <c r="L2" i="8" s="1"/>
  <c r="U28" i="8"/>
  <c r="K2" i="8" s="1"/>
  <c r="U27" i="8"/>
  <c r="J2" i="8" s="1"/>
  <c r="U26" i="8"/>
  <c r="I2" i="8" s="1"/>
  <c r="U25" i="8"/>
  <c r="L70" i="26"/>
  <c r="F71" i="26"/>
  <c r="H71" i="26"/>
  <c r="E71" i="26"/>
  <c r="D71" i="26"/>
  <c r="J72" i="26"/>
  <c r="M125" i="5"/>
  <c r="M111" i="5"/>
  <c r="G11" i="6"/>
  <c r="G71" i="26" l="1"/>
  <c r="M71" i="26"/>
  <c r="I71" i="26"/>
  <c r="AB9" i="1"/>
  <c r="AA10" i="1"/>
  <c r="AD10" i="1" s="1"/>
  <c r="L71" i="26"/>
  <c r="F72" i="26"/>
  <c r="H72" i="26"/>
  <c r="D72" i="26"/>
  <c r="J73" i="26"/>
  <c r="E72" i="26"/>
  <c r="H11" i="6"/>
  <c r="H8" i="9"/>
  <c r="G72" i="26" l="1"/>
  <c r="M72" i="26"/>
  <c r="I72" i="26"/>
  <c r="AA11" i="1"/>
  <c r="AD11" i="1" s="1"/>
  <c r="AB10" i="1"/>
  <c r="L72" i="26"/>
  <c r="F73" i="26"/>
  <c r="H73" i="26"/>
  <c r="J74" i="26"/>
  <c r="E73" i="26"/>
  <c r="D73" i="26"/>
  <c r="J8" i="9"/>
  <c r="I11" i="6"/>
  <c r="D9" i="9"/>
  <c r="D10" i="9"/>
  <c r="G73" i="26" l="1"/>
  <c r="M73" i="26"/>
  <c r="I73" i="26"/>
  <c r="AB11" i="1"/>
  <c r="AA12" i="1"/>
  <c r="AD12" i="1" s="1"/>
  <c r="L73" i="26"/>
  <c r="F74" i="26"/>
  <c r="H74" i="26"/>
  <c r="J75" i="26"/>
  <c r="D74" i="26"/>
  <c r="E74" i="26"/>
  <c r="L8" i="9"/>
  <c r="J11" i="6"/>
  <c r="G74" i="26" l="1"/>
  <c r="M74" i="26"/>
  <c r="I74" i="26"/>
  <c r="AB12" i="1"/>
  <c r="AA13" i="1"/>
  <c r="AD13" i="1" s="1"/>
  <c r="G120" i="33"/>
  <c r="I114" i="28"/>
  <c r="Q114" i="28" s="1"/>
  <c r="I114" i="33"/>
  <c r="G114" i="33"/>
  <c r="I104" i="33"/>
  <c r="I18" i="33"/>
  <c r="G18" i="33"/>
  <c r="G104" i="33"/>
  <c r="I120" i="28"/>
  <c r="Q120" i="28" s="1"/>
  <c r="I120" i="33"/>
  <c r="G120" i="28"/>
  <c r="G114" i="28"/>
  <c r="G18" i="28"/>
  <c r="G104" i="28"/>
  <c r="I18" i="28"/>
  <c r="I104" i="28"/>
  <c r="L74" i="26"/>
  <c r="F75" i="26"/>
  <c r="H75" i="26"/>
  <c r="E75" i="26"/>
  <c r="D75" i="26"/>
  <c r="J76" i="26"/>
  <c r="K114" i="5"/>
  <c r="B39" i="21"/>
  <c r="B35" i="21"/>
  <c r="B41" i="21"/>
  <c r="E19" i="21"/>
  <c r="B30" i="21"/>
  <c r="I114" i="5"/>
  <c r="I120" i="5"/>
  <c r="M120" i="5"/>
  <c r="G120" i="5"/>
  <c r="G104" i="5"/>
  <c r="I104" i="5"/>
  <c r="M104" i="5"/>
  <c r="G75" i="26" l="1"/>
  <c r="M75" i="26"/>
  <c r="I75" i="26"/>
  <c r="AB13" i="1"/>
  <c r="AA14" i="1"/>
  <c r="AD14" i="1" s="1"/>
  <c r="P120" i="33"/>
  <c r="P120" i="28"/>
  <c r="P104" i="33"/>
  <c r="P18" i="33"/>
  <c r="G24" i="33"/>
  <c r="G107" i="33"/>
  <c r="H114" i="33" s="1"/>
  <c r="Q18" i="33"/>
  <c r="Q104" i="33"/>
  <c r="I107" i="33"/>
  <c r="J120" i="33" s="1"/>
  <c r="I24" i="33"/>
  <c r="P114" i="33"/>
  <c r="Q120" i="33"/>
  <c r="Q114" i="33"/>
  <c r="P104" i="28"/>
  <c r="P18" i="28"/>
  <c r="G24" i="28"/>
  <c r="G107" i="28"/>
  <c r="I107" i="28"/>
  <c r="I24" i="28"/>
  <c r="Q104" i="28"/>
  <c r="P114" i="28"/>
  <c r="Q18" i="28"/>
  <c r="L75" i="26"/>
  <c r="F76" i="26"/>
  <c r="H76" i="26"/>
  <c r="E76" i="26"/>
  <c r="D76" i="26"/>
  <c r="M114" i="5"/>
  <c r="K120" i="5"/>
  <c r="G114" i="5"/>
  <c r="B28" i="21"/>
  <c r="I107" i="5"/>
  <c r="I18" i="5"/>
  <c r="K18" i="5"/>
  <c r="K104" i="5"/>
  <c r="M107" i="5"/>
  <c r="G107" i="5"/>
  <c r="H103" i="5" l="1"/>
  <c r="J103" i="5"/>
  <c r="L103" i="5"/>
  <c r="N103" i="5"/>
  <c r="J18" i="28"/>
  <c r="J71" i="28"/>
  <c r="J73" i="28"/>
  <c r="J72" i="28"/>
  <c r="J18" i="33"/>
  <c r="J73" i="33"/>
  <c r="J72" i="33"/>
  <c r="J71" i="33"/>
  <c r="H71" i="28"/>
  <c r="H72" i="28"/>
  <c r="H73" i="28"/>
  <c r="H72" i="33"/>
  <c r="H71" i="33"/>
  <c r="H73" i="33"/>
  <c r="G76" i="26"/>
  <c r="M76" i="26"/>
  <c r="I76" i="26"/>
  <c r="AB14" i="1"/>
  <c r="AA15" i="1"/>
  <c r="AD15" i="1" s="1"/>
  <c r="J77" i="26"/>
  <c r="I109" i="28"/>
  <c r="Q109" i="28" s="1"/>
  <c r="I109" i="33"/>
  <c r="P107" i="33"/>
  <c r="H119" i="33"/>
  <c r="H118" i="33"/>
  <c r="H125" i="33"/>
  <c r="H102" i="33"/>
  <c r="H121" i="33"/>
  <c r="H100" i="33"/>
  <c r="H110" i="33"/>
  <c r="H101" i="33"/>
  <c r="H126" i="33"/>
  <c r="H113" i="33"/>
  <c r="H106" i="33"/>
  <c r="H117" i="33"/>
  <c r="H111" i="33"/>
  <c r="H112" i="33"/>
  <c r="H99" i="33"/>
  <c r="H107" i="33"/>
  <c r="H128" i="33"/>
  <c r="H116" i="33"/>
  <c r="H103" i="33"/>
  <c r="H123" i="33"/>
  <c r="H108" i="33"/>
  <c r="H105" i="33"/>
  <c r="H120" i="33"/>
  <c r="P24" i="33"/>
  <c r="H77" i="33"/>
  <c r="H49" i="33"/>
  <c r="H40" i="33"/>
  <c r="H31" i="33"/>
  <c r="H42" i="33"/>
  <c r="H39" i="33"/>
  <c r="H26" i="33"/>
  <c r="H51" i="33"/>
  <c r="H48" i="33"/>
  <c r="H41" i="33"/>
  <c r="H64" i="33"/>
  <c r="H54" i="33"/>
  <c r="H84" i="33"/>
  <c r="H55" i="33"/>
  <c r="H46" i="33"/>
  <c r="H28" i="33"/>
  <c r="H36" i="33"/>
  <c r="H66" i="33"/>
  <c r="H79" i="33"/>
  <c r="H80" i="33"/>
  <c r="H82" i="33"/>
  <c r="H68" i="33"/>
  <c r="H24" i="33"/>
  <c r="H45" i="33"/>
  <c r="H53" i="33"/>
  <c r="H44" i="33"/>
  <c r="H30" i="33"/>
  <c r="H69" i="33"/>
  <c r="H21" i="33"/>
  <c r="H87" i="33"/>
  <c r="H91" i="33"/>
  <c r="H83" i="33"/>
  <c r="H37" i="33"/>
  <c r="H65" i="33"/>
  <c r="H50" i="33"/>
  <c r="H38" i="33"/>
  <c r="H32" i="33"/>
  <c r="H22" i="33"/>
  <c r="H78" i="33"/>
  <c r="H85" i="33"/>
  <c r="H57" i="33"/>
  <c r="H67" i="33"/>
  <c r="H52" i="33"/>
  <c r="H70" i="33"/>
  <c r="H43" i="33"/>
  <c r="H56" i="33"/>
  <c r="H81" i="33"/>
  <c r="H89" i="33"/>
  <c r="H86" i="33"/>
  <c r="H35" i="33"/>
  <c r="G61" i="33"/>
  <c r="J32" i="33"/>
  <c r="H34" i="33"/>
  <c r="H63" i="33"/>
  <c r="H95" i="33"/>
  <c r="H58" i="33"/>
  <c r="J31" i="33"/>
  <c r="H59" i="33"/>
  <c r="H20" i="33"/>
  <c r="H88" i="33"/>
  <c r="N31" i="33"/>
  <c r="L32" i="33"/>
  <c r="H76" i="33"/>
  <c r="L31" i="33"/>
  <c r="N32" i="33"/>
  <c r="G109" i="33"/>
  <c r="Q24" i="33"/>
  <c r="J45" i="33"/>
  <c r="J69" i="33"/>
  <c r="J89" i="33"/>
  <c r="J53" i="33"/>
  <c r="J35" i="33"/>
  <c r="J85" i="33"/>
  <c r="J52" i="33"/>
  <c r="J65" i="33"/>
  <c r="J46" i="33"/>
  <c r="J80" i="33"/>
  <c r="J78" i="33"/>
  <c r="J91" i="33"/>
  <c r="J42" i="33"/>
  <c r="J38" i="33"/>
  <c r="J50" i="33"/>
  <c r="J55" i="33"/>
  <c r="J87" i="33"/>
  <c r="J81" i="33"/>
  <c r="J28" i="33"/>
  <c r="J48" i="33"/>
  <c r="J68" i="33"/>
  <c r="J67" i="33"/>
  <c r="J56" i="33"/>
  <c r="J30" i="33"/>
  <c r="J79" i="33"/>
  <c r="J83" i="33"/>
  <c r="J49" i="33"/>
  <c r="J22" i="33"/>
  <c r="J77" i="33"/>
  <c r="J86" i="33"/>
  <c r="J70" i="33"/>
  <c r="J82" i="33"/>
  <c r="J44" i="33"/>
  <c r="J84" i="33"/>
  <c r="J24" i="33"/>
  <c r="J43" i="33"/>
  <c r="J26" i="33"/>
  <c r="J36" i="33"/>
  <c r="J21" i="33"/>
  <c r="J64" i="33"/>
  <c r="J39" i="33"/>
  <c r="J40" i="33"/>
  <c r="J57" i="33"/>
  <c r="J41" i="33"/>
  <c r="J37" i="33"/>
  <c r="J54" i="33"/>
  <c r="J51" i="33"/>
  <c r="J66" i="33"/>
  <c r="J58" i="33"/>
  <c r="J59" i="33"/>
  <c r="I61" i="33"/>
  <c r="J95" i="33"/>
  <c r="J34" i="33"/>
  <c r="J20" i="33"/>
  <c r="J63" i="33"/>
  <c r="J88" i="33"/>
  <c r="J76" i="33"/>
  <c r="H18" i="33"/>
  <c r="Q107" i="33"/>
  <c r="J102" i="33"/>
  <c r="J125" i="33"/>
  <c r="J123" i="33"/>
  <c r="J126" i="33"/>
  <c r="J107" i="33"/>
  <c r="J108" i="33"/>
  <c r="J119" i="33"/>
  <c r="J106" i="33"/>
  <c r="J100" i="33"/>
  <c r="J99" i="33"/>
  <c r="J113" i="33"/>
  <c r="J118" i="33"/>
  <c r="J105" i="33"/>
  <c r="J121" i="33"/>
  <c r="J112" i="33"/>
  <c r="J128" i="33"/>
  <c r="J101" i="33"/>
  <c r="J110" i="33"/>
  <c r="J103" i="33"/>
  <c r="J116" i="33"/>
  <c r="J117" i="33"/>
  <c r="J111" i="33"/>
  <c r="J114" i="33"/>
  <c r="J104" i="33"/>
  <c r="H104" i="33"/>
  <c r="J104" i="5"/>
  <c r="J129" i="5"/>
  <c r="J128" i="5"/>
  <c r="H128" i="5"/>
  <c r="H129" i="5"/>
  <c r="N129" i="5"/>
  <c r="N128" i="5"/>
  <c r="J128" i="28"/>
  <c r="H128" i="28"/>
  <c r="J116" i="28"/>
  <c r="J101" i="28"/>
  <c r="J103" i="28"/>
  <c r="J100" i="28"/>
  <c r="J106" i="28"/>
  <c r="J126" i="28"/>
  <c r="J102" i="28"/>
  <c r="J113" i="28"/>
  <c r="J119" i="28"/>
  <c r="J105" i="28"/>
  <c r="J123" i="28"/>
  <c r="J99" i="28"/>
  <c r="J111" i="28"/>
  <c r="J121" i="28"/>
  <c r="J125" i="28"/>
  <c r="J107" i="28"/>
  <c r="J110" i="28"/>
  <c r="J112" i="28"/>
  <c r="J108" i="28"/>
  <c r="J117" i="28"/>
  <c r="J118" i="28"/>
  <c r="Q107" i="28"/>
  <c r="J120" i="28"/>
  <c r="J114" i="28"/>
  <c r="H107" i="28"/>
  <c r="H116" i="28"/>
  <c r="H121" i="28"/>
  <c r="H113" i="28"/>
  <c r="H125" i="28"/>
  <c r="H117" i="28"/>
  <c r="H110" i="28"/>
  <c r="H119" i="28"/>
  <c r="H112" i="28"/>
  <c r="H118" i="28"/>
  <c r="H106" i="28"/>
  <c r="H126" i="28"/>
  <c r="H108" i="28"/>
  <c r="H111" i="28"/>
  <c r="H123" i="28"/>
  <c r="H105" i="28"/>
  <c r="P107" i="28"/>
  <c r="H102" i="28"/>
  <c r="H100" i="28"/>
  <c r="H103" i="28"/>
  <c r="H99" i="28"/>
  <c r="H101" i="28"/>
  <c r="H120" i="28"/>
  <c r="J87" i="28"/>
  <c r="J69" i="28"/>
  <c r="J38" i="28"/>
  <c r="J51" i="28"/>
  <c r="J42" i="28"/>
  <c r="J22" i="28"/>
  <c r="J64" i="28"/>
  <c r="J55" i="28"/>
  <c r="J83" i="28"/>
  <c r="J56" i="28"/>
  <c r="J30" i="28"/>
  <c r="J41" i="28"/>
  <c r="J45" i="28"/>
  <c r="J57" i="28"/>
  <c r="J84" i="28"/>
  <c r="J66" i="28"/>
  <c r="J68" i="28"/>
  <c r="J53" i="28"/>
  <c r="J67" i="28"/>
  <c r="J85" i="28"/>
  <c r="Q24" i="28"/>
  <c r="J36" i="28"/>
  <c r="J28" i="28"/>
  <c r="J80" i="28"/>
  <c r="J77" i="28"/>
  <c r="J46" i="28"/>
  <c r="J78" i="28"/>
  <c r="J65" i="28"/>
  <c r="J37" i="28"/>
  <c r="J24" i="28"/>
  <c r="J43" i="28"/>
  <c r="J81" i="28"/>
  <c r="J54" i="28"/>
  <c r="J49" i="28"/>
  <c r="J50" i="28"/>
  <c r="J79" i="28"/>
  <c r="J40" i="28"/>
  <c r="J82" i="28"/>
  <c r="J26" i="28"/>
  <c r="J70" i="28"/>
  <c r="J39" i="28"/>
  <c r="J52" i="28"/>
  <c r="J48" i="28"/>
  <c r="J44" i="28"/>
  <c r="J91" i="28"/>
  <c r="J21" i="28"/>
  <c r="J89" i="28"/>
  <c r="J35" i="28"/>
  <c r="J86" i="28"/>
  <c r="J95" i="28"/>
  <c r="J34" i="28"/>
  <c r="J88" i="28"/>
  <c r="J20" i="28"/>
  <c r="J63" i="28"/>
  <c r="J58" i="28"/>
  <c r="I61" i="28"/>
  <c r="J59" i="28"/>
  <c r="J76" i="28"/>
  <c r="H83" i="28"/>
  <c r="H32" i="28"/>
  <c r="H89" i="28"/>
  <c r="H51" i="28"/>
  <c r="H86" i="28"/>
  <c r="H54" i="28"/>
  <c r="H35" i="28"/>
  <c r="H44" i="28"/>
  <c r="H85" i="28"/>
  <c r="H87" i="28"/>
  <c r="H78" i="28"/>
  <c r="H36" i="28"/>
  <c r="H30" i="28"/>
  <c r="H66" i="28"/>
  <c r="H55" i="28"/>
  <c r="H22" i="28"/>
  <c r="H26" i="28"/>
  <c r="H80" i="28"/>
  <c r="H65" i="28"/>
  <c r="H67" i="28"/>
  <c r="H49" i="28"/>
  <c r="H84" i="28"/>
  <c r="H91" i="28"/>
  <c r="H41" i="28"/>
  <c r="H81" i="28"/>
  <c r="H45" i="28"/>
  <c r="H28" i="28"/>
  <c r="H56" i="28"/>
  <c r="H69" i="28"/>
  <c r="H64" i="28"/>
  <c r="H21" i="28"/>
  <c r="H68" i="28"/>
  <c r="H53" i="28"/>
  <c r="H43" i="28"/>
  <c r="H40" i="28"/>
  <c r="H24" i="28"/>
  <c r="H57" i="28"/>
  <c r="H31" i="28"/>
  <c r="H37" i="28"/>
  <c r="H70" i="28"/>
  <c r="H79" i="28"/>
  <c r="H46" i="28"/>
  <c r="H38" i="28"/>
  <c r="H82" i="28"/>
  <c r="H77" i="28"/>
  <c r="H52" i="28"/>
  <c r="H48" i="28"/>
  <c r="H39" i="28"/>
  <c r="H50" i="28"/>
  <c r="H42" i="28"/>
  <c r="H95" i="28"/>
  <c r="H20" i="28"/>
  <c r="J32" i="28"/>
  <c r="P24" i="28"/>
  <c r="H58" i="28"/>
  <c r="J31" i="28"/>
  <c r="H63" i="28"/>
  <c r="H88" i="28"/>
  <c r="H34" i="28"/>
  <c r="H76" i="28"/>
  <c r="N31" i="28"/>
  <c r="H59" i="28"/>
  <c r="G61" i="28"/>
  <c r="L31" i="28"/>
  <c r="L32" i="28"/>
  <c r="N32" i="28"/>
  <c r="H114" i="28"/>
  <c r="H18" i="28"/>
  <c r="G109" i="28"/>
  <c r="J104" i="28"/>
  <c r="H104" i="28"/>
  <c r="L76" i="26"/>
  <c r="F77" i="26"/>
  <c r="H77" i="26"/>
  <c r="E77" i="26"/>
  <c r="D77" i="26"/>
  <c r="M109" i="5"/>
  <c r="N109" i="5" s="1"/>
  <c r="H105" i="5"/>
  <c r="H102" i="5"/>
  <c r="H101" i="5"/>
  <c r="H106" i="5"/>
  <c r="N106" i="5"/>
  <c r="N105" i="5"/>
  <c r="N102" i="5"/>
  <c r="N101" i="5"/>
  <c r="J101" i="5"/>
  <c r="J105" i="5"/>
  <c r="J102" i="5"/>
  <c r="J106" i="5"/>
  <c r="H104" i="5"/>
  <c r="N104" i="5"/>
  <c r="N24" i="5"/>
  <c r="N82" i="5"/>
  <c r="N44" i="5"/>
  <c r="N77" i="5"/>
  <c r="N45" i="5"/>
  <c r="N54" i="5"/>
  <c r="N40" i="5"/>
  <c r="N80" i="5"/>
  <c r="N52" i="5"/>
  <c r="N50" i="5"/>
  <c r="N68" i="5"/>
  <c r="N55" i="5"/>
  <c r="N42" i="5"/>
  <c r="N81" i="5"/>
  <c r="N65" i="5"/>
  <c r="N37" i="5"/>
  <c r="N66" i="5"/>
  <c r="N86" i="5"/>
  <c r="N43" i="5"/>
  <c r="N69" i="5"/>
  <c r="N84" i="5"/>
  <c r="N53" i="5"/>
  <c r="N79" i="5"/>
  <c r="N46" i="5"/>
  <c r="N83" i="5"/>
  <c r="N78" i="5"/>
  <c r="N41" i="5"/>
  <c r="N70" i="5"/>
  <c r="N85" i="5"/>
  <c r="N36" i="5"/>
  <c r="N49" i="5"/>
  <c r="N22" i="5"/>
  <c r="N38" i="5"/>
  <c r="N56" i="5"/>
  <c r="N57" i="5"/>
  <c r="N30" i="5"/>
  <c r="N64" i="5"/>
  <c r="N35" i="5"/>
  <c r="N48" i="5"/>
  <c r="N21" i="5"/>
  <c r="N67" i="5"/>
  <c r="N89" i="5"/>
  <c r="N76" i="5"/>
  <c r="N39" i="5"/>
  <c r="N51" i="5"/>
  <c r="N63" i="5"/>
  <c r="N58" i="5"/>
  <c r="N34" i="5"/>
  <c r="N20" i="5"/>
  <c r="N95" i="5"/>
  <c r="N18" i="5"/>
  <c r="I109" i="5"/>
  <c r="J109" i="5" s="1"/>
  <c r="G109" i="5"/>
  <c r="H109" i="5" s="1"/>
  <c r="J18" i="5"/>
  <c r="K107" i="5"/>
  <c r="J107" i="5"/>
  <c r="J108" i="5"/>
  <c r="J118" i="5"/>
  <c r="J110" i="5"/>
  <c r="J116" i="5"/>
  <c r="J119" i="5"/>
  <c r="J123" i="5"/>
  <c r="J121" i="5"/>
  <c r="J113" i="5"/>
  <c r="J126" i="5"/>
  <c r="J125" i="5"/>
  <c r="J112" i="5"/>
  <c r="J117" i="5"/>
  <c r="J111" i="5"/>
  <c r="J114" i="5"/>
  <c r="J120" i="5"/>
  <c r="M61" i="5"/>
  <c r="H107" i="5"/>
  <c r="H113" i="5"/>
  <c r="H118" i="5"/>
  <c r="H110" i="5"/>
  <c r="H108" i="5"/>
  <c r="H112" i="5"/>
  <c r="H116" i="5"/>
  <c r="H125" i="5"/>
  <c r="H126" i="5"/>
  <c r="H121" i="5"/>
  <c r="H123" i="5"/>
  <c r="H117" i="5"/>
  <c r="H119" i="5"/>
  <c r="H111" i="5"/>
  <c r="H120" i="5"/>
  <c r="H114" i="5"/>
  <c r="N107" i="5"/>
  <c r="N110" i="5"/>
  <c r="N118" i="5"/>
  <c r="N116" i="5"/>
  <c r="N108" i="5"/>
  <c r="N126" i="5"/>
  <c r="N121" i="5"/>
  <c r="N112" i="5"/>
  <c r="N125" i="5"/>
  <c r="N113" i="5"/>
  <c r="N119" i="5"/>
  <c r="N117" i="5"/>
  <c r="N123" i="5"/>
  <c r="N111" i="5"/>
  <c r="N120" i="5"/>
  <c r="N114" i="5"/>
  <c r="K109" i="5"/>
  <c r="I115" i="33"/>
  <c r="G77" i="26" l="1"/>
  <c r="I77" i="26"/>
  <c r="AA16" i="1"/>
  <c r="AB16" i="1" s="1"/>
  <c r="AB15" i="1"/>
  <c r="AB19" i="1" s="1" a="1"/>
  <c r="AB19" i="1" s="1"/>
  <c r="AB20" i="1" s="1"/>
  <c r="AB21" i="1" s="1"/>
  <c r="W7" i="8" s="1"/>
  <c r="M77" i="26"/>
  <c r="E78" i="26"/>
  <c r="D78" i="26"/>
  <c r="J78" i="26"/>
  <c r="H78" i="26"/>
  <c r="F78" i="26"/>
  <c r="J109" i="28"/>
  <c r="Q115" i="33"/>
  <c r="I122" i="33"/>
  <c r="J115" i="33"/>
  <c r="P109" i="33"/>
  <c r="H109" i="33"/>
  <c r="P61" i="33"/>
  <c r="G93" i="33"/>
  <c r="H61" i="33"/>
  <c r="G115" i="33"/>
  <c r="I93" i="33"/>
  <c r="Q61" i="33"/>
  <c r="J61" i="33"/>
  <c r="Q109" i="33"/>
  <c r="J109" i="33"/>
  <c r="L13" i="21"/>
  <c r="L38" i="21"/>
  <c r="L39" i="21"/>
  <c r="L128" i="5"/>
  <c r="L129" i="5"/>
  <c r="G115" i="28"/>
  <c r="J61" i="28"/>
  <c r="Q61" i="28"/>
  <c r="I93" i="28"/>
  <c r="G93" i="28"/>
  <c r="H93" i="28" s="1"/>
  <c r="H61" i="28"/>
  <c r="P61" i="28"/>
  <c r="I115" i="28"/>
  <c r="H109" i="28"/>
  <c r="P109" i="28"/>
  <c r="L77" i="26"/>
  <c r="H38" i="5"/>
  <c r="H31" i="5"/>
  <c r="H32" i="5"/>
  <c r="J32" i="5"/>
  <c r="J31" i="5"/>
  <c r="L32" i="5"/>
  <c r="L31" i="5"/>
  <c r="N32" i="5"/>
  <c r="N31" i="5"/>
  <c r="L16" i="21"/>
  <c r="L31" i="21"/>
  <c r="L22" i="21"/>
  <c r="L12" i="21"/>
  <c r="L15" i="21"/>
  <c r="L26" i="21"/>
  <c r="L30" i="21"/>
  <c r="L29" i="21"/>
  <c r="L21" i="21"/>
  <c r="L20" i="21"/>
  <c r="L10" i="21"/>
  <c r="L24" i="21"/>
  <c r="L9" i="21"/>
  <c r="L36" i="21"/>
  <c r="L11" i="21"/>
  <c r="L19" i="21"/>
  <c r="L14" i="21"/>
  <c r="L33" i="21"/>
  <c r="L28" i="21"/>
  <c r="L27" i="21"/>
  <c r="L17" i="21"/>
  <c r="L18" i="21"/>
  <c r="H79" i="5"/>
  <c r="H18" i="5"/>
  <c r="H58" i="5"/>
  <c r="H81" i="5"/>
  <c r="H68" i="5"/>
  <c r="H59" i="5"/>
  <c r="H76" i="5"/>
  <c r="H89" i="5"/>
  <c r="H48" i="5"/>
  <c r="H43" i="5"/>
  <c r="H53" i="5"/>
  <c r="H37" i="5"/>
  <c r="H42" i="5"/>
  <c r="H45" i="5"/>
  <c r="H20" i="5"/>
  <c r="H30" i="5"/>
  <c r="H41" i="5"/>
  <c r="H69" i="5"/>
  <c r="H65" i="5"/>
  <c r="H57" i="5"/>
  <c r="H46" i="5"/>
  <c r="H83" i="5"/>
  <c r="H35" i="5"/>
  <c r="H40" i="5"/>
  <c r="H50" i="5"/>
  <c r="G61" i="5"/>
  <c r="H22" i="5"/>
  <c r="H63" i="5"/>
  <c r="H77" i="5"/>
  <c r="H70" i="5"/>
  <c r="H24" i="5"/>
  <c r="H34" i="5"/>
  <c r="H78" i="5"/>
  <c r="H82" i="5"/>
  <c r="H54" i="5"/>
  <c r="H84" i="5"/>
  <c r="H55" i="5"/>
  <c r="H64" i="5"/>
  <c r="H52" i="5"/>
  <c r="H49" i="5"/>
  <c r="H86" i="5"/>
  <c r="H21" i="5"/>
  <c r="H95" i="5"/>
  <c r="H36" i="5"/>
  <c r="H85" i="5"/>
  <c r="H56" i="5"/>
  <c r="H66" i="5"/>
  <c r="H80" i="5"/>
  <c r="H39" i="5"/>
  <c r="H44" i="5"/>
  <c r="H51" i="5"/>
  <c r="H67" i="5"/>
  <c r="L102" i="5"/>
  <c r="L105" i="5"/>
  <c r="L101" i="5"/>
  <c r="L106" i="5"/>
  <c r="L104" i="5"/>
  <c r="L109" i="5"/>
  <c r="L24" i="5"/>
  <c r="L78" i="5"/>
  <c r="L83" i="5"/>
  <c r="L52" i="5"/>
  <c r="L57" i="5"/>
  <c r="L64" i="5"/>
  <c r="L30" i="5"/>
  <c r="L54" i="5"/>
  <c r="L67" i="5"/>
  <c r="L21" i="5"/>
  <c r="L84" i="5"/>
  <c r="L45" i="5"/>
  <c r="L50" i="5"/>
  <c r="L35" i="5"/>
  <c r="L41" i="5"/>
  <c r="L36" i="5"/>
  <c r="L48" i="5"/>
  <c r="L39" i="5"/>
  <c r="L49" i="5"/>
  <c r="L65" i="5"/>
  <c r="L38" i="5"/>
  <c r="L86" i="5"/>
  <c r="L70" i="5"/>
  <c r="L80" i="5"/>
  <c r="L82" i="5"/>
  <c r="L69" i="5"/>
  <c r="L44" i="5"/>
  <c r="L76" i="5"/>
  <c r="L56" i="5"/>
  <c r="L89" i="5"/>
  <c r="L66" i="5"/>
  <c r="L55" i="5"/>
  <c r="L40" i="5"/>
  <c r="L51" i="5"/>
  <c r="L42" i="5"/>
  <c r="L22" i="5"/>
  <c r="L85" i="5"/>
  <c r="L53" i="5"/>
  <c r="L46" i="5"/>
  <c r="L79" i="5"/>
  <c r="L77" i="5"/>
  <c r="L68" i="5"/>
  <c r="L37" i="5"/>
  <c r="L43" i="5"/>
  <c r="L81" i="5"/>
  <c r="L63" i="5"/>
  <c r="L95" i="5"/>
  <c r="L34" i="5"/>
  <c r="L58" i="5"/>
  <c r="L20" i="5"/>
  <c r="L59" i="5"/>
  <c r="L18" i="5"/>
  <c r="N61" i="5"/>
  <c r="I115" i="5"/>
  <c r="J115" i="5" s="1"/>
  <c r="J24" i="5"/>
  <c r="J70" i="5"/>
  <c r="J68" i="5"/>
  <c r="J22" i="5"/>
  <c r="J57" i="5"/>
  <c r="J86" i="5"/>
  <c r="J48" i="5"/>
  <c r="J37" i="5"/>
  <c r="J89" i="5"/>
  <c r="J67" i="5"/>
  <c r="J49" i="5"/>
  <c r="J30" i="5"/>
  <c r="J83" i="5"/>
  <c r="J53" i="5"/>
  <c r="J41" i="5"/>
  <c r="J39" i="5"/>
  <c r="J81" i="5"/>
  <c r="J44" i="5"/>
  <c r="J84" i="5"/>
  <c r="J50" i="5"/>
  <c r="J54" i="5"/>
  <c r="J82" i="5"/>
  <c r="J76" i="5"/>
  <c r="J55" i="5"/>
  <c r="J46" i="5"/>
  <c r="J38" i="5"/>
  <c r="J21" i="5"/>
  <c r="J80" i="5"/>
  <c r="J36" i="5"/>
  <c r="J79" i="5"/>
  <c r="J52" i="5"/>
  <c r="J35" i="5"/>
  <c r="J56" i="5"/>
  <c r="J78" i="5"/>
  <c r="J65" i="5"/>
  <c r="J69" i="5"/>
  <c r="J42" i="5"/>
  <c r="J45" i="5"/>
  <c r="J40" i="5"/>
  <c r="J66" i="5"/>
  <c r="J43" i="5"/>
  <c r="J51" i="5"/>
  <c r="J85" i="5"/>
  <c r="J77" i="5"/>
  <c r="J64" i="5"/>
  <c r="J58" i="5"/>
  <c r="J63" i="5"/>
  <c r="J95" i="5"/>
  <c r="J20" i="5"/>
  <c r="J34" i="5"/>
  <c r="J59" i="5"/>
  <c r="I61" i="5"/>
  <c r="K61" i="5"/>
  <c r="M115" i="5"/>
  <c r="L107" i="5"/>
  <c r="L108" i="5"/>
  <c r="L118" i="5"/>
  <c r="L116" i="5"/>
  <c r="L110" i="5"/>
  <c r="L117" i="5"/>
  <c r="L119" i="5"/>
  <c r="L126" i="5"/>
  <c r="L125" i="5"/>
  <c r="L113" i="5"/>
  <c r="L123" i="5"/>
  <c r="L121" i="5"/>
  <c r="L112" i="5"/>
  <c r="L111" i="5"/>
  <c r="L114" i="5"/>
  <c r="L120" i="5"/>
  <c r="K115" i="5"/>
  <c r="G78" i="26" l="1"/>
  <c r="I78" i="26"/>
  <c r="AD16" i="1"/>
  <c r="AC21" i="1"/>
  <c r="O5" i="8" s="1"/>
  <c r="S8" i="8" s="1" a="1"/>
  <c r="S8" i="8" s="1"/>
  <c r="M78" i="26"/>
  <c r="L78" i="26"/>
  <c r="D79" i="26"/>
  <c r="E79" i="26"/>
  <c r="J79" i="26"/>
  <c r="H79" i="26"/>
  <c r="F79" i="26"/>
  <c r="O1" i="8"/>
  <c r="P3" i="8" s="1" a="1"/>
  <c r="P3" i="8" s="1"/>
  <c r="P1" i="8"/>
  <c r="P5" i="8"/>
  <c r="W6" i="8"/>
  <c r="P93" i="33"/>
  <c r="H93" i="33"/>
  <c r="Q93" i="33"/>
  <c r="J93" i="33"/>
  <c r="P115" i="33"/>
  <c r="G122" i="33"/>
  <c r="H115" i="33"/>
  <c r="Q122" i="33"/>
  <c r="J122" i="33"/>
  <c r="J115" i="28"/>
  <c r="I122" i="28"/>
  <c r="Q115" i="28"/>
  <c r="P93" i="28"/>
  <c r="J93" i="28"/>
  <c r="Q93" i="28"/>
  <c r="H115" i="28"/>
  <c r="G122" i="28"/>
  <c r="P115" i="28"/>
  <c r="H61" i="5"/>
  <c r="L25" i="21"/>
  <c r="G115" i="5"/>
  <c r="I122" i="5"/>
  <c r="J122" i="5" s="1"/>
  <c r="L61" i="5"/>
  <c r="J61" i="5"/>
  <c r="L115" i="5"/>
  <c r="K122" i="5"/>
  <c r="L122" i="5" s="1"/>
  <c r="N115" i="5"/>
  <c r="M122" i="5"/>
  <c r="N122" i="5" s="1"/>
  <c r="I124" i="33"/>
  <c r="G79" i="26" l="1"/>
  <c r="I79" i="26"/>
  <c r="Z7" i="8" a="1"/>
  <c r="Z7" i="8" s="1"/>
  <c r="Z8" i="8" a="1"/>
  <c r="Z8" i="8" s="1"/>
  <c r="P8" i="8" a="1"/>
  <c r="P8" i="8" s="1"/>
  <c r="Q8" i="8" a="1"/>
  <c r="Q8" i="8" s="1"/>
  <c r="R8" i="8" a="1"/>
  <c r="R8" i="8" s="1"/>
  <c r="T7" i="8" a="1"/>
  <c r="T7" i="8" s="1"/>
  <c r="P7" i="8" a="1"/>
  <c r="P7" i="8" s="1"/>
  <c r="S7" i="8" a="1"/>
  <c r="S7" i="8" s="1"/>
  <c r="Q7" i="8" a="1"/>
  <c r="Q7" i="8" s="1"/>
  <c r="R7" i="8" a="1"/>
  <c r="R7" i="8" s="1"/>
  <c r="T8" i="8" a="1"/>
  <c r="T8" i="8" s="1"/>
  <c r="U7" i="8" a="1"/>
  <c r="U7" i="8" s="1"/>
  <c r="U8" i="8" a="1"/>
  <c r="U8" i="8" s="1"/>
  <c r="M79" i="26"/>
  <c r="E80" i="26"/>
  <c r="D80" i="26"/>
  <c r="H80" i="26"/>
  <c r="J80" i="26"/>
  <c r="F80" i="26"/>
  <c r="L79" i="26"/>
  <c r="Q4" i="8" a="1"/>
  <c r="Q4" i="8" s="1"/>
  <c r="R4" i="8" a="1"/>
  <c r="R4" i="8" s="1"/>
  <c r="S3" i="8" a="1"/>
  <c r="S3" i="8" s="1"/>
  <c r="U3" i="8" a="1"/>
  <c r="U3" i="8" s="1"/>
  <c r="U4" i="8" a="1"/>
  <c r="U4" i="8" s="1"/>
  <c r="Z6" i="8" a="1"/>
  <c r="Z6" i="8" s="1"/>
  <c r="T4" i="8" a="1"/>
  <c r="T4" i="8" s="1"/>
  <c r="S4" i="8" a="1"/>
  <c r="S4" i="8" s="1"/>
  <c r="T3" i="8" a="1"/>
  <c r="T3" i="8" s="1"/>
  <c r="P4" i="8" a="1"/>
  <c r="P4" i="8" s="1"/>
  <c r="Q3" i="8" a="1"/>
  <c r="Q3" i="8" s="1"/>
  <c r="R3" i="8" a="1"/>
  <c r="R3" i="8" s="1"/>
  <c r="G124" i="33"/>
  <c r="P122" i="33"/>
  <c r="H122" i="33"/>
  <c r="Q124" i="33"/>
  <c r="J124" i="33"/>
  <c r="G124" i="28"/>
  <c r="H124" i="28" s="1"/>
  <c r="J122" i="28"/>
  <c r="Q122" i="28"/>
  <c r="I124" i="28"/>
  <c r="H122" i="28"/>
  <c r="P122" i="28"/>
  <c r="G127" i="28"/>
  <c r="L32" i="21"/>
  <c r="H115" i="5"/>
  <c r="G122" i="5"/>
  <c r="H122" i="5" s="1"/>
  <c r="G127" i="33"/>
  <c r="G80" i="26" l="1"/>
  <c r="I80" i="26"/>
  <c r="AD1" i="8"/>
  <c r="AG1" i="8"/>
  <c r="AE1" i="8"/>
  <c r="AH1" i="8"/>
  <c r="AF1" i="8"/>
  <c r="AI1" i="8"/>
  <c r="E82" i="26"/>
  <c r="F82" i="26"/>
  <c r="H82" i="26"/>
  <c r="J82" i="26"/>
  <c r="D82" i="26"/>
  <c r="M80" i="26"/>
  <c r="E81" i="26"/>
  <c r="D81" i="26"/>
  <c r="H81" i="26"/>
  <c r="J81" i="26"/>
  <c r="F81" i="26"/>
  <c r="L80" i="26"/>
  <c r="H127" i="33"/>
  <c r="I127" i="33"/>
  <c r="P124" i="33"/>
  <c r="H124" i="33"/>
  <c r="G129" i="33"/>
  <c r="I127" i="28"/>
  <c r="J127" i="28" s="1"/>
  <c r="J124" i="28"/>
  <c r="Q124" i="28"/>
  <c r="P124" i="28"/>
  <c r="H127" i="28"/>
  <c r="I124" i="5"/>
  <c r="J124" i="5" s="1"/>
  <c r="I127" i="5"/>
  <c r="J127" i="5" s="1"/>
  <c r="L34" i="21"/>
  <c r="G124" i="5"/>
  <c r="H124" i="5" s="1"/>
  <c r="G127" i="5"/>
  <c r="H127" i="5" s="1"/>
  <c r="M124" i="5"/>
  <c r="N124" i="5" s="1"/>
  <c r="K124" i="5"/>
  <c r="L124" i="5" s="1"/>
  <c r="K127" i="5"/>
  <c r="L127" i="5" s="1"/>
  <c r="M127" i="5"/>
  <c r="N127" i="5" s="1"/>
  <c r="G81" i="26" l="1"/>
  <c r="I81" i="26"/>
  <c r="G82" i="26"/>
  <c r="I82" i="26"/>
  <c r="L82" i="26"/>
  <c r="M82" i="26"/>
  <c r="L81" i="26"/>
  <c r="M81" i="26"/>
  <c r="Q127" i="33"/>
  <c r="J127" i="33"/>
  <c r="I129" i="28"/>
  <c r="I129" i="33"/>
  <c r="P129" i="33" s="1"/>
  <c r="H129" i="33"/>
  <c r="P127" i="33"/>
  <c r="G129" i="28"/>
  <c r="P127" i="28"/>
  <c r="Q127" i="28"/>
  <c r="L37" i="21"/>
  <c r="Q129" i="33" l="1"/>
  <c r="J129" i="33"/>
  <c r="Q129" i="28"/>
  <c r="J129" i="28"/>
  <c r="P129" i="28"/>
  <c r="H129" i="28"/>
  <c r="E24" i="21"/>
  <c r="E30" i="21"/>
  <c r="E10" i="9"/>
  <c r="E9" i="9"/>
  <c r="C11" i="9"/>
  <c r="C12" i="9" l="1"/>
  <c r="D12" i="9" s="1"/>
  <c r="D11" i="9"/>
  <c r="E11" i="9"/>
  <c r="E12" i="9" l="1"/>
  <c r="C13" i="9"/>
  <c r="J12" i="9"/>
  <c r="A2" i="9"/>
  <c r="H23" i="6" l="1"/>
  <c r="L3193" i="11"/>
  <c r="C14" i="9"/>
  <c r="F14" i="9" s="1"/>
  <c r="F13" i="9"/>
  <c r="J13" i="9"/>
  <c r="D13" i="9"/>
  <c r="E13" i="9"/>
  <c r="L12" i="9"/>
  <c r="L13" i="9"/>
  <c r="L11" i="9"/>
  <c r="L10" i="9"/>
  <c r="M10" i="9" s="1"/>
  <c r="M3193" i="11" l="1"/>
  <c r="K3160" i="11"/>
  <c r="C15" i="9"/>
  <c r="D15" i="9" s="1"/>
  <c r="J14" i="9"/>
  <c r="L14" i="9"/>
  <c r="E14" i="9"/>
  <c r="D14" i="9"/>
  <c r="M11" i="9"/>
  <c r="M12" i="9"/>
  <c r="M13" i="9"/>
  <c r="C16" i="9" l="1"/>
  <c r="D16" i="9" s="1"/>
  <c r="J15" i="9"/>
  <c r="E15" i="9"/>
  <c r="L15" i="9"/>
  <c r="M15" i="9" s="1"/>
  <c r="M14" i="9"/>
  <c r="A2" i="6"/>
  <c r="S3" i="3"/>
  <c r="S3" i="1"/>
  <c r="L16" i="9" l="1"/>
  <c r="M16" i="9" s="1"/>
  <c r="J16" i="9"/>
  <c r="E16" i="9"/>
  <c r="C17" i="9"/>
  <c r="D17" i="9" s="1"/>
  <c r="L17" i="9" l="1"/>
  <c r="M17" i="9" s="1"/>
  <c r="E17" i="9"/>
  <c r="J17" i="9"/>
  <c r="D18" i="9"/>
  <c r="C19" i="9" l="1"/>
  <c r="D19" i="9" s="1"/>
  <c r="E18" i="9"/>
  <c r="J18" i="9"/>
  <c r="L18" i="9"/>
  <c r="M18" i="9" s="1"/>
  <c r="C20" i="9" l="1"/>
  <c r="D20" i="9" s="1"/>
  <c r="E19" i="9"/>
  <c r="J19" i="9"/>
  <c r="L19" i="9"/>
  <c r="M19" i="9" s="1"/>
  <c r="C21" i="9" l="1"/>
  <c r="D21" i="9" s="1"/>
  <c r="E20" i="9"/>
  <c r="J20" i="9"/>
  <c r="L20" i="9"/>
  <c r="M20" i="9" s="1"/>
  <c r="C22" i="9" l="1"/>
  <c r="D22" i="9" s="1"/>
  <c r="E21" i="9"/>
  <c r="J21" i="9"/>
  <c r="L21" i="9"/>
  <c r="M21" i="9" s="1"/>
  <c r="C23" i="9" l="1"/>
  <c r="D23" i="9" s="1"/>
  <c r="E22" i="9"/>
  <c r="J22" i="9"/>
  <c r="L22" i="9"/>
  <c r="M22" i="9" s="1"/>
  <c r="C24" i="9" l="1"/>
  <c r="D24" i="9" s="1"/>
  <c r="E23" i="9"/>
  <c r="J23" i="9"/>
  <c r="L23" i="9"/>
  <c r="M23" i="9" s="1"/>
  <c r="C25" i="9" l="1"/>
  <c r="D25" i="9" s="1"/>
  <c r="E24" i="9"/>
  <c r="J24" i="9"/>
  <c r="L24" i="9"/>
  <c r="M24" i="9" s="1"/>
  <c r="C26" i="9" l="1"/>
  <c r="D26" i="9" s="1"/>
  <c r="E25" i="9"/>
  <c r="J25" i="9"/>
  <c r="L25" i="9"/>
  <c r="M25" i="9" s="1"/>
  <c r="C27" i="9" l="1"/>
  <c r="D27" i="9" s="1"/>
  <c r="E26" i="9"/>
  <c r="J26" i="9"/>
  <c r="L26" i="9"/>
  <c r="M26" i="9" s="1"/>
  <c r="C28" i="9" l="1"/>
  <c r="D28" i="9" s="1"/>
  <c r="E27" i="9"/>
  <c r="J27" i="9"/>
  <c r="L27" i="9"/>
  <c r="M27" i="9" s="1"/>
  <c r="C29" i="9" l="1"/>
  <c r="D29" i="9" s="1"/>
  <c r="E28" i="9"/>
  <c r="J28" i="9"/>
  <c r="L28" i="9"/>
  <c r="M28" i="9" s="1"/>
  <c r="E29" i="9" l="1"/>
  <c r="C30" i="9"/>
  <c r="D30" i="9" s="1"/>
  <c r="J29" i="9"/>
  <c r="L29" i="9"/>
  <c r="M29" i="9" s="1"/>
  <c r="C31" i="9" l="1"/>
  <c r="D31" i="9" s="1"/>
  <c r="E30" i="9"/>
  <c r="J30" i="9"/>
  <c r="L30" i="9"/>
  <c r="M30" i="9" s="1"/>
  <c r="C32" i="9" l="1"/>
  <c r="D32" i="9" s="1"/>
  <c r="E31" i="9"/>
  <c r="J31" i="9"/>
  <c r="L31" i="9"/>
  <c r="M31" i="9" s="1"/>
  <c r="C33" i="9" l="1"/>
  <c r="D33" i="9" s="1"/>
  <c r="E32" i="9"/>
  <c r="J32" i="9"/>
  <c r="L32" i="9"/>
  <c r="M32" i="9" s="1"/>
  <c r="C34" i="9" l="1"/>
  <c r="D34" i="9" s="1"/>
  <c r="E33" i="9"/>
  <c r="J33" i="9"/>
  <c r="L33" i="9"/>
  <c r="M33" i="9" s="1"/>
  <c r="C35" i="9" l="1"/>
  <c r="D35" i="9" s="1"/>
  <c r="E34" i="9"/>
  <c r="J34" i="9"/>
  <c r="L34" i="9"/>
  <c r="M34" i="9" s="1"/>
  <c r="C36" i="9" l="1"/>
  <c r="D36" i="9" s="1"/>
  <c r="E35" i="9"/>
  <c r="J35" i="9"/>
  <c r="L35" i="9"/>
  <c r="M35" i="9" s="1"/>
  <c r="C37" i="9" l="1"/>
  <c r="D37" i="9" s="1"/>
  <c r="E36" i="9"/>
  <c r="J36" i="9"/>
  <c r="L36" i="9"/>
  <c r="M36" i="9" s="1"/>
  <c r="C38" i="9" l="1"/>
  <c r="D38" i="9" s="1"/>
  <c r="E37" i="9"/>
  <c r="J37" i="9"/>
  <c r="L37" i="9"/>
  <c r="M37" i="9" s="1"/>
  <c r="C39" i="9" l="1"/>
  <c r="D39" i="9" s="1"/>
  <c r="E38" i="9"/>
  <c r="J38" i="9"/>
  <c r="L38" i="9"/>
  <c r="M38" i="9" s="1"/>
  <c r="C40" i="9" l="1"/>
  <c r="D40" i="9" s="1"/>
  <c r="E39" i="9"/>
  <c r="J39" i="9"/>
  <c r="L39" i="9"/>
  <c r="M39" i="9" s="1"/>
  <c r="C41" i="9" l="1"/>
  <c r="D41" i="9" s="1"/>
  <c r="E40" i="9"/>
  <c r="J40" i="9"/>
  <c r="L40" i="9"/>
  <c r="M40" i="9" s="1"/>
  <c r="C42" i="9" l="1"/>
  <c r="D42" i="9" s="1"/>
  <c r="E41" i="9"/>
  <c r="J41" i="9"/>
  <c r="L41" i="9"/>
  <c r="M41" i="9" s="1"/>
  <c r="C43" i="9" l="1"/>
  <c r="D43" i="9" s="1"/>
  <c r="E42" i="9"/>
  <c r="J42" i="9"/>
  <c r="L42" i="9"/>
  <c r="M42" i="9" s="1"/>
  <c r="C44" i="9" l="1"/>
  <c r="D44" i="9" s="1"/>
  <c r="E43" i="9"/>
  <c r="J43" i="9"/>
  <c r="L43" i="9"/>
  <c r="M43" i="9" s="1"/>
  <c r="C45" i="9" l="1"/>
  <c r="D45" i="9" s="1"/>
  <c r="E44" i="9"/>
  <c r="J44" i="9"/>
  <c r="L44" i="9"/>
  <c r="M44" i="9" s="1"/>
  <c r="C46" i="9" l="1"/>
  <c r="D46" i="9" s="1"/>
  <c r="E45" i="9"/>
  <c r="J45" i="9"/>
  <c r="L45" i="9"/>
  <c r="M45" i="9" s="1"/>
  <c r="C47" i="9" l="1"/>
  <c r="D47" i="9" s="1"/>
  <c r="E46" i="9"/>
  <c r="J46" i="9"/>
  <c r="L46" i="9"/>
  <c r="M46" i="9" s="1"/>
  <c r="C48" i="9" l="1"/>
  <c r="D48" i="9" s="1"/>
  <c r="E47" i="9"/>
  <c r="J47" i="9"/>
  <c r="L47" i="9"/>
  <c r="M47" i="9" s="1"/>
  <c r="C49" i="9" l="1"/>
  <c r="D49" i="9" s="1"/>
  <c r="E48" i="9"/>
  <c r="J48" i="9"/>
  <c r="L48" i="9"/>
  <c r="M48" i="9" s="1"/>
  <c r="C50" i="9" l="1"/>
  <c r="D50" i="9" s="1"/>
  <c r="E49" i="9"/>
  <c r="J49" i="9"/>
  <c r="L49" i="9"/>
  <c r="M49" i="9" s="1"/>
  <c r="C51" i="9" l="1"/>
  <c r="D51" i="9" s="1"/>
  <c r="E50" i="9"/>
  <c r="J50" i="9"/>
  <c r="L50" i="9"/>
  <c r="M50" i="9" s="1"/>
  <c r="C52" i="9" l="1"/>
  <c r="D52" i="9" s="1"/>
  <c r="E51" i="9"/>
  <c r="J51" i="9"/>
  <c r="L51" i="9"/>
  <c r="M51" i="9" s="1"/>
  <c r="C53" i="9" l="1"/>
  <c r="D53" i="9" s="1"/>
  <c r="E52" i="9"/>
  <c r="J52" i="9"/>
  <c r="L52" i="9"/>
  <c r="M52" i="9" s="1"/>
  <c r="C54" i="9" l="1"/>
  <c r="D54" i="9" s="1"/>
  <c r="E53" i="9"/>
  <c r="J53" i="9"/>
  <c r="L53" i="9"/>
  <c r="M53" i="9" s="1"/>
  <c r="C55" i="9" l="1"/>
  <c r="D55" i="9" s="1"/>
  <c r="E54" i="9"/>
  <c r="J54" i="9"/>
  <c r="L54" i="9"/>
  <c r="M54" i="9" s="1"/>
  <c r="C56" i="9" l="1"/>
  <c r="D56" i="9" s="1"/>
  <c r="E55" i="9"/>
  <c r="J55" i="9"/>
  <c r="L55" i="9"/>
  <c r="M55" i="9" s="1"/>
  <c r="C57" i="9" l="1"/>
  <c r="D57" i="9" s="1"/>
  <c r="E56" i="9"/>
  <c r="J56" i="9"/>
  <c r="L56" i="9"/>
  <c r="M56" i="9" s="1"/>
  <c r="C58" i="9" l="1"/>
  <c r="D58" i="9" s="1"/>
  <c r="E57" i="9"/>
  <c r="J57" i="9"/>
  <c r="L57" i="9"/>
  <c r="M57" i="9" s="1"/>
  <c r="C59" i="9" l="1"/>
  <c r="D59" i="9" s="1"/>
  <c r="E58" i="9"/>
  <c r="J58" i="9"/>
  <c r="L58" i="9"/>
  <c r="M58" i="9" l="1"/>
  <c r="C60" i="9"/>
  <c r="E59" i="9"/>
  <c r="D60" i="9" l="1"/>
  <c r="C61" i="9"/>
  <c r="D61" i="9" s="1"/>
  <c r="E60" i="9"/>
  <c r="C62" i="9" l="1"/>
  <c r="E61" i="9"/>
  <c r="J61" i="9"/>
  <c r="L61" i="9"/>
  <c r="D62" i="9" l="1"/>
  <c r="C63" i="9"/>
  <c r="E62" i="9"/>
  <c r="J62" i="9"/>
  <c r="L62" i="9"/>
  <c r="F63" i="9" l="1"/>
  <c r="C64" i="9"/>
  <c r="D63" i="9"/>
  <c r="E63" i="9"/>
  <c r="J63" i="9"/>
  <c r="L63" i="9"/>
  <c r="D64" i="9" l="1"/>
  <c r="E64" i="9"/>
  <c r="F64" i="9"/>
  <c r="C65" i="9"/>
  <c r="J64" i="9"/>
  <c r="L64" i="9"/>
  <c r="F26" i="9"/>
  <c r="F62" i="9"/>
  <c r="F17" i="9"/>
  <c r="F24" i="9"/>
  <c r="F12" i="9"/>
  <c r="F30" i="9"/>
  <c r="F37" i="9"/>
  <c r="F31" i="9"/>
  <c r="F58" i="9"/>
  <c r="F36" i="9"/>
  <c r="F41" i="9"/>
  <c r="F40" i="9"/>
  <c r="F51" i="9"/>
  <c r="F43" i="9"/>
  <c r="F18" i="9"/>
  <c r="F47" i="9"/>
  <c r="F48" i="9"/>
  <c r="F46" i="9"/>
  <c r="F25" i="9"/>
  <c r="F15" i="9"/>
  <c r="F35" i="9"/>
  <c r="F34" i="9"/>
  <c r="F52" i="9"/>
  <c r="F23" i="9"/>
  <c r="F21" i="9"/>
  <c r="F29" i="9"/>
  <c r="F44" i="9"/>
  <c r="F32" i="9"/>
  <c r="F33" i="9"/>
  <c r="F39" i="9"/>
  <c r="F22" i="9"/>
  <c r="F57" i="9"/>
  <c r="F49" i="9"/>
  <c r="F27" i="9"/>
  <c r="F38" i="9"/>
  <c r="F19" i="9"/>
  <c r="F45" i="9"/>
  <c r="F28" i="9"/>
  <c r="F61" i="9"/>
  <c r="F50" i="9"/>
  <c r="F54" i="9"/>
  <c r="F56" i="9"/>
  <c r="F55" i="9"/>
  <c r="F20" i="9"/>
  <c r="F42" i="9"/>
  <c r="F53" i="9"/>
  <c r="F16" i="9"/>
  <c r="F65" i="9" l="1"/>
  <c r="E65" i="9"/>
  <c r="C66" i="9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D65" i="9"/>
  <c r="J65" i="9"/>
  <c r="L65" i="9"/>
  <c r="F66" i="9" l="1"/>
  <c r="E66" i="9"/>
  <c r="D66" i="9"/>
  <c r="J66" i="9"/>
  <c r="L66" i="9"/>
  <c r="E67" i="9" l="1"/>
  <c r="D67" i="9"/>
  <c r="F68" i="9" l="1"/>
  <c r="E68" i="9"/>
  <c r="D70" i="9"/>
  <c r="D68" i="9"/>
  <c r="H68" i="9"/>
  <c r="J68" i="9"/>
  <c r="L68" i="9"/>
  <c r="H49" i="9"/>
  <c r="H65" i="9"/>
  <c r="H62" i="9"/>
  <c r="H36" i="9"/>
  <c r="H55" i="9"/>
  <c r="H26" i="6"/>
  <c r="J23" i="6" s="1"/>
  <c r="H33" i="9"/>
  <c r="H45" i="9"/>
  <c r="H53" i="9"/>
  <c r="H38" i="9"/>
  <c r="H23" i="9"/>
  <c r="H20" i="9"/>
  <c r="H57" i="9"/>
  <c r="H44" i="9"/>
  <c r="H32" i="9"/>
  <c r="H54" i="9"/>
  <c r="H58" i="9"/>
  <c r="H17" i="9"/>
  <c r="H24" i="9"/>
  <c r="H30" i="9"/>
  <c r="H48" i="9"/>
  <c r="H18" i="9"/>
  <c r="H50" i="9"/>
  <c r="H52" i="9"/>
  <c r="H22" i="9"/>
  <c r="H43" i="9"/>
  <c r="H14" i="9"/>
  <c r="H61" i="9"/>
  <c r="H34" i="9"/>
  <c r="H16" i="9"/>
  <c r="H39" i="9"/>
  <c r="H27" i="9"/>
  <c r="H63" i="9"/>
  <c r="H66" i="9"/>
  <c r="H26" i="9"/>
  <c r="H29" i="9"/>
  <c r="H37" i="9"/>
  <c r="H19" i="9"/>
  <c r="H35" i="9"/>
  <c r="H46" i="9"/>
  <c r="H42" i="9"/>
  <c r="H64" i="9"/>
  <c r="H15" i="9"/>
  <c r="H12" i="9"/>
  <c r="H56" i="9"/>
  <c r="H40" i="9"/>
  <c r="H41" i="9"/>
  <c r="H47" i="9"/>
  <c r="H31" i="9"/>
  <c r="H13" i="9"/>
  <c r="H28" i="9"/>
  <c r="H21" i="9"/>
  <c r="H51" i="9"/>
  <c r="H25" i="9"/>
  <c r="A13" i="8"/>
  <c r="D71" i="9" l="1"/>
  <c r="E70" i="9"/>
  <c r="F70" i="9"/>
  <c r="H70" i="9"/>
  <c r="J70" i="9"/>
  <c r="L70" i="9"/>
  <c r="F69" i="9"/>
  <c r="D69" i="9"/>
  <c r="E69" i="9"/>
  <c r="H69" i="9"/>
  <c r="J69" i="9"/>
  <c r="L69" i="9"/>
  <c r="C13" i="8"/>
  <c r="E9" i="8"/>
  <c r="D9" i="8"/>
  <c r="B13" i="8"/>
  <c r="D13" i="8"/>
  <c r="F71" i="9" l="1"/>
  <c r="E71" i="9"/>
  <c r="H71" i="9"/>
  <c r="J71" i="9"/>
  <c r="L71" i="9"/>
  <c r="G25" i="8"/>
  <c r="I25" i="8" s="1"/>
  <c r="D72" i="9" l="1"/>
  <c r="F72" i="9"/>
  <c r="H72" i="9"/>
  <c r="J72" i="9"/>
  <c r="L72" i="9"/>
  <c r="E72" i="9"/>
  <c r="D73" i="9" l="1"/>
  <c r="F73" i="9"/>
  <c r="H73" i="9"/>
  <c r="J73" i="9"/>
  <c r="L73" i="9"/>
  <c r="E73" i="9"/>
  <c r="D74" i="9" l="1"/>
  <c r="F74" i="9"/>
  <c r="H74" i="9"/>
  <c r="J74" i="9"/>
  <c r="L74" i="9"/>
  <c r="E74" i="9"/>
  <c r="F75" i="9" l="1"/>
  <c r="D75" i="9"/>
  <c r="H75" i="9"/>
  <c r="J75" i="9"/>
  <c r="L75" i="9"/>
  <c r="E75" i="9"/>
  <c r="N91" i="5"/>
  <c r="L91" i="5"/>
  <c r="G87" i="5"/>
  <c r="H91" i="5"/>
  <c r="I87" i="5"/>
  <c r="I75" i="5" s="1"/>
  <c r="J91" i="5"/>
  <c r="K87" i="5"/>
  <c r="K75" i="5" s="1"/>
  <c r="K93" i="5" s="1"/>
  <c r="L93" i="5" s="1"/>
  <c r="M87" i="5"/>
  <c r="M75" i="5" s="1"/>
  <c r="G75" i="5" l="1"/>
  <c r="G93" i="5" s="1"/>
  <c r="D76" i="9"/>
  <c r="H76" i="9"/>
  <c r="J76" i="9"/>
  <c r="L76" i="9"/>
  <c r="E76" i="9"/>
  <c r="L87" i="5"/>
  <c r="H87" i="5"/>
  <c r="I93" i="5"/>
  <c r="J93" i="5" s="1"/>
  <c r="J75" i="5"/>
  <c r="M93" i="5"/>
  <c r="N93" i="5" s="1"/>
  <c r="N75" i="5"/>
  <c r="J87" i="5"/>
  <c r="N87" i="5"/>
  <c r="L75" i="5"/>
  <c r="D4" i="24"/>
  <c r="H75" i="5" l="1"/>
  <c r="H93" i="5"/>
  <c r="D77" i="9"/>
  <c r="F77" i="9"/>
  <c r="H77" i="9"/>
  <c r="J77" i="9"/>
  <c r="L77" i="9"/>
  <c r="E77" i="9"/>
  <c r="D5" i="24"/>
  <c r="F78" i="9" l="1"/>
  <c r="D78" i="9"/>
  <c r="H78" i="9"/>
  <c r="J78" i="9"/>
  <c r="L78" i="9"/>
  <c r="E78" i="9"/>
  <c r="D6" i="24"/>
  <c r="F79" i="9" l="1"/>
  <c r="D79" i="9"/>
  <c r="H79" i="9"/>
  <c r="J79" i="9"/>
  <c r="L79" i="9"/>
  <c r="E79" i="9"/>
  <c r="D7" i="24"/>
  <c r="F80" i="9" l="1"/>
  <c r="D80" i="9"/>
  <c r="H80" i="9"/>
  <c r="J80" i="9"/>
  <c r="L80" i="9"/>
  <c r="E80" i="9"/>
  <c r="D8" i="24"/>
  <c r="D9" i="24"/>
  <c r="D81" i="9" l="1"/>
  <c r="F81" i="9"/>
  <c r="H81" i="9"/>
  <c r="J81" i="9"/>
  <c r="L81" i="9"/>
  <c r="E81" i="9"/>
  <c r="D10" i="24"/>
  <c r="D11" i="24"/>
  <c r="E82" i="9" l="1"/>
  <c r="D82" i="9"/>
  <c r="F82" i="9"/>
  <c r="H82" i="9"/>
  <c r="J82" i="9"/>
  <c r="L82" i="9"/>
  <c r="D12" i="24"/>
  <c r="L83" i="9" l="1"/>
  <c r="J83" i="9"/>
  <c r="H83" i="9"/>
  <c r="F83" i="9"/>
  <c r="E83" i="9"/>
  <c r="D83" i="9"/>
  <c r="D13" i="24"/>
  <c r="D14" i="24" l="1"/>
  <c r="C14" i="24" s="1"/>
  <c r="C13" i="24" s="1"/>
  <c r="J12" i="6" l="1"/>
  <c r="J13" i="6" s="1"/>
  <c r="C12" i="24"/>
  <c r="E13" i="24"/>
  <c r="F13" i="24" s="1"/>
  <c r="R6" i="24" s="1"/>
  <c r="E14" i="24"/>
  <c r="F14" i="24" s="1"/>
  <c r="R7" i="24" s="1"/>
  <c r="D15" i="24"/>
  <c r="C11" i="24" l="1"/>
  <c r="E12" i="24"/>
  <c r="F12" i="24" s="1"/>
  <c r="R5" i="24" s="1"/>
  <c r="E15" i="24"/>
  <c r="F15" i="24" s="1"/>
  <c r="R8" i="24" s="1"/>
  <c r="I16" i="6" l="1"/>
  <c r="C10" i="24"/>
  <c r="E11" i="24"/>
  <c r="F11" i="24" s="1"/>
  <c r="R4" i="24" s="1"/>
  <c r="I17" i="6" l="1"/>
  <c r="J16" i="6"/>
  <c r="J17" i="6" s="1"/>
  <c r="J14" i="6" s="1"/>
  <c r="C9" i="24"/>
  <c r="E10" i="24"/>
  <c r="F10" i="24" s="1"/>
  <c r="R3" i="24" s="1"/>
  <c r="H12" i="6" l="1"/>
  <c r="H16" i="6"/>
  <c r="C8" i="24"/>
  <c r="E9" i="24"/>
  <c r="F9" i="24" s="1"/>
  <c r="P8" i="24" s="1"/>
  <c r="I12" i="6" l="1"/>
  <c r="I13" i="6" s="1"/>
  <c r="I14" i="6" s="1"/>
  <c r="E12" i="6"/>
  <c r="F12" i="6" s="1"/>
  <c r="H13" i="6"/>
  <c r="E16" i="6"/>
  <c r="F16" i="6" s="1"/>
  <c r="H17" i="6"/>
  <c r="C7" i="24"/>
  <c r="E8" i="24"/>
  <c r="F8" i="24" s="1"/>
  <c r="P7" i="24" s="1"/>
  <c r="F17" i="6" l="1"/>
  <c r="G16" i="6"/>
  <c r="G17" i="6" s="1"/>
  <c r="F13" i="6"/>
  <c r="G12" i="6"/>
  <c r="G13" i="6" s="1"/>
  <c r="H14" i="6"/>
  <c r="C6" i="24"/>
  <c r="E7" i="24"/>
  <c r="F7" i="24" s="1"/>
  <c r="P6" i="24" s="1"/>
  <c r="G14" i="6" l="1"/>
  <c r="F14" i="6"/>
  <c r="C5" i="24"/>
  <c r="E6" i="24"/>
  <c r="F6" i="24" s="1"/>
  <c r="P5" i="24" s="1"/>
  <c r="C4" i="24" l="1"/>
  <c r="E5" i="24"/>
  <c r="F5" i="24" s="1"/>
  <c r="P4" i="24" s="1"/>
  <c r="C3" i="24" l="1"/>
  <c r="E4" i="24"/>
  <c r="F4" i="24" s="1"/>
  <c r="P3" i="24" s="1"/>
  <c r="A1" i="24"/>
  <c r="L3" i="1"/>
  <c r="D25" i="8"/>
  <c r="H12" i="8" s="1"/>
  <c r="H17" i="8" s="1"/>
  <c r="G12" i="8" l="1"/>
  <c r="I12" i="8" s="1"/>
  <c r="J12" i="8" s="1" a="1"/>
  <c r="J12" i="8" s="1"/>
  <c r="P9" i="8"/>
  <c r="B25" i="8"/>
  <c r="G24" i="8"/>
  <c r="P24" i="8"/>
  <c r="A3" i="24"/>
  <c r="E3" i="24"/>
  <c r="F3" i="24" s="1"/>
  <c r="C25" i="8"/>
  <c r="J24" i="8"/>
  <c r="M24" i="8"/>
  <c r="E24" i="8"/>
  <c r="K12" i="8" l="1" a="1"/>
  <c r="K12" i="8" s="1"/>
  <c r="F1" i="8" s="1"/>
  <c r="J3" i="24"/>
  <c r="K3" i="24"/>
  <c r="A4" i="24"/>
  <c r="L3" i="24" l="1"/>
  <c r="K4" i="24"/>
  <c r="A5" i="24"/>
  <c r="J4" i="24"/>
  <c r="L4" i="24" l="1"/>
  <c r="A6" i="24"/>
  <c r="K5" i="24"/>
  <c r="J5" i="24"/>
  <c r="Q3" i="24" l="1"/>
  <c r="L5" i="24"/>
  <c r="Q4" i="24" s="1"/>
  <c r="A7" i="24"/>
  <c r="K6" i="24"/>
  <c r="J6" i="24"/>
  <c r="L6" i="24" l="1"/>
  <c r="J7" i="24"/>
  <c r="A8" i="24"/>
  <c r="K7" i="24"/>
  <c r="Q5" i="24" l="1"/>
  <c r="A9" i="24"/>
  <c r="K8" i="24"/>
  <c r="J8" i="24"/>
  <c r="L7" i="24"/>
  <c r="Q6" i="24" s="1"/>
  <c r="L8" i="24" l="1"/>
  <c r="Q7" i="24" s="1"/>
  <c r="A10" i="24"/>
  <c r="K9" i="24"/>
  <c r="J9" i="24"/>
  <c r="L9" i="24" l="1"/>
  <c r="Q8" i="24" s="1"/>
  <c r="A11" i="24"/>
  <c r="K10" i="24"/>
  <c r="J10" i="24"/>
  <c r="L10" i="24" l="1"/>
  <c r="A12" i="24"/>
  <c r="J11" i="24"/>
  <c r="K11" i="24"/>
  <c r="S3" i="24" l="1"/>
  <c r="L11" i="24"/>
  <c r="S4" i="24" s="1"/>
  <c r="A13" i="24"/>
  <c r="J12" i="24"/>
  <c r="K12" i="24"/>
  <c r="A14" i="24" l="1"/>
  <c r="K13" i="24"/>
  <c r="J13" i="24"/>
  <c r="L12" i="24"/>
  <c r="S5" i="24" s="1"/>
  <c r="L13" i="24" l="1"/>
  <c r="S6" i="24" s="1"/>
  <c r="K14" i="24"/>
  <c r="A15" i="24"/>
  <c r="J14" i="24"/>
  <c r="L14" i="24" l="1"/>
  <c r="S7" i="24" s="1"/>
  <c r="J15" i="24"/>
  <c r="K15" i="24"/>
  <c r="L15" i="24" l="1"/>
  <c r="S9" i="24" s="1"/>
  <c r="S8" i="24" l="1"/>
  <c r="P12" i="5" l="1"/>
  <c r="F25" i="8"/>
  <c r="E50" i="8"/>
  <c r="R128" i="5" l="1"/>
  <c r="R129" i="5"/>
  <c r="P128" i="5"/>
  <c r="P129" i="5"/>
  <c r="R107" i="5"/>
  <c r="S107" i="5" s="1"/>
  <c r="R119" i="5"/>
  <c r="R114" i="5"/>
  <c r="R122" i="5"/>
  <c r="R127" i="5"/>
  <c r="R123" i="5"/>
  <c r="R110" i="5"/>
  <c r="R103" i="5"/>
  <c r="R117" i="5"/>
  <c r="R102" i="5"/>
  <c r="R120" i="5"/>
  <c r="R116" i="5"/>
  <c r="R106" i="5"/>
  <c r="R104" i="5"/>
  <c r="R99" i="5"/>
  <c r="R124" i="5"/>
  <c r="R112" i="5"/>
  <c r="R105" i="5"/>
  <c r="R101" i="5"/>
  <c r="R111" i="5"/>
  <c r="R108" i="5"/>
  <c r="R109" i="5"/>
  <c r="R115" i="5"/>
  <c r="R113" i="5"/>
  <c r="R118" i="5"/>
  <c r="R121" i="5"/>
  <c r="P114" i="5"/>
  <c r="P116" i="5"/>
  <c r="P102" i="5"/>
  <c r="P123" i="5"/>
  <c r="P108" i="5"/>
  <c r="P120" i="5"/>
  <c r="P118" i="5"/>
  <c r="P105" i="5"/>
  <c r="P124" i="5"/>
  <c r="P110" i="5"/>
  <c r="P122" i="5"/>
  <c r="K8" i="21"/>
  <c r="L8" i="21" s="1"/>
  <c r="Q25" i="8"/>
  <c r="H2" i="8" s="1"/>
  <c r="P99" i="5"/>
  <c r="P103" i="5"/>
  <c r="Q79" i="5"/>
  <c r="Q43" i="5"/>
  <c r="Q66" i="5"/>
  <c r="P107" i="5"/>
  <c r="P106" i="5"/>
  <c r="Q89" i="5"/>
  <c r="Q58" i="5"/>
  <c r="Q30" i="5"/>
  <c r="P121" i="5"/>
  <c r="P112" i="5"/>
  <c r="Q21" i="5"/>
  <c r="Q54" i="5"/>
  <c r="Q40" i="5"/>
  <c r="Q22" i="5"/>
  <c r="P113" i="5"/>
  <c r="Q50" i="5"/>
  <c r="Q51" i="5"/>
  <c r="Q35" i="5"/>
  <c r="P34" i="5"/>
  <c r="P125" i="5" s="1"/>
  <c r="Q53" i="5"/>
  <c r="Q37" i="5"/>
  <c r="Q38" i="5"/>
  <c r="Q56" i="5"/>
  <c r="P127" i="5"/>
  <c r="Q36" i="5"/>
  <c r="Q70" i="5"/>
  <c r="Q63" i="5"/>
  <c r="Q64" i="5"/>
  <c r="Q86" i="5"/>
  <c r="Q46" i="5"/>
  <c r="Q84" i="5"/>
  <c r="Q41" i="5"/>
  <c r="Q85" i="5"/>
  <c r="Q45" i="5"/>
  <c r="Q42" i="5"/>
  <c r="Q55" i="5"/>
  <c r="P115" i="5"/>
  <c r="Q48" i="5"/>
  <c r="Q52" i="5"/>
  <c r="Q78" i="5"/>
  <c r="Q69" i="5"/>
  <c r="Q57" i="5"/>
  <c r="Q76" i="5"/>
  <c r="Q24" i="5"/>
  <c r="P109" i="5"/>
  <c r="Q18" i="5"/>
  <c r="Q77" i="5"/>
  <c r="Q68" i="5"/>
  <c r="Q82" i="5"/>
  <c r="P119" i="5"/>
  <c r="Q65" i="5"/>
  <c r="Q39" i="5"/>
  <c r="Q80" i="5"/>
  <c r="Q67" i="5"/>
  <c r="P117" i="5"/>
  <c r="Q83" i="5"/>
  <c r="Q87" i="5"/>
  <c r="Q49" i="5"/>
  <c r="Q91" i="5"/>
  <c r="Q81" i="5"/>
  <c r="Q44" i="5"/>
  <c r="F27" i="8"/>
  <c r="F26" i="8"/>
  <c r="P104" i="5"/>
  <c r="P95" i="5"/>
  <c r="Q95" i="5" s="1"/>
  <c r="P101" i="5"/>
  <c r="P59" i="5" l="1"/>
  <c r="Q59" i="5" s="1"/>
  <c r="Q125" i="5"/>
  <c r="Q103" i="5"/>
  <c r="S103" i="5"/>
  <c r="S112" i="5"/>
  <c r="S115" i="5"/>
  <c r="S117" i="5"/>
  <c r="S113" i="5"/>
  <c r="S121" i="5"/>
  <c r="S118" i="5"/>
  <c r="S126" i="5"/>
  <c r="S125" i="5"/>
  <c r="S124" i="5"/>
  <c r="S109" i="5"/>
  <c r="S108" i="5"/>
  <c r="S111" i="5"/>
  <c r="S116" i="5"/>
  <c r="S120" i="5"/>
  <c r="S110" i="5"/>
  <c r="S123" i="5"/>
  <c r="S127" i="5"/>
  <c r="S122" i="5"/>
  <c r="S128" i="5"/>
  <c r="S114" i="5"/>
  <c r="S119" i="5"/>
  <c r="S129" i="5"/>
  <c r="Q120" i="5"/>
  <c r="Q129" i="5"/>
  <c r="Q128" i="5"/>
  <c r="Q104" i="5"/>
  <c r="Q119" i="5"/>
  <c r="Q117" i="5"/>
  <c r="Q127" i="5"/>
  <c r="Q122" i="5"/>
  <c r="Q109" i="5"/>
  <c r="Q101" i="5"/>
  <c r="Q115" i="5"/>
  <c r="Q107" i="5"/>
  <c r="Q102" i="5"/>
  <c r="S101" i="5"/>
  <c r="P75" i="5"/>
  <c r="Q75" i="5" s="1"/>
  <c r="Q110" i="5"/>
  <c r="S105" i="5"/>
  <c r="Q121" i="5"/>
  <c r="Q118" i="5"/>
  <c r="Q126" i="5"/>
  <c r="Q106" i="5"/>
  <c r="S104" i="5"/>
  <c r="Q113" i="5"/>
  <c r="S102" i="5"/>
  <c r="Q124" i="5"/>
  <c r="Q116" i="5"/>
  <c r="S99" i="5"/>
  <c r="Q114" i="5"/>
  <c r="Q112" i="5"/>
  <c r="Q108" i="5"/>
  <c r="Q123" i="5"/>
  <c r="Q99" i="5"/>
  <c r="Q105" i="5"/>
  <c r="S106" i="5"/>
  <c r="Q34" i="5"/>
  <c r="Q20" i="5"/>
  <c r="P111" i="5"/>
  <c r="Q111" i="5" s="1"/>
  <c r="P61" i="5" l="1"/>
  <c r="P93" i="5" s="1"/>
  <c r="Q61" i="5" l="1"/>
  <c r="Q93" i="5"/>
  <c r="F11" i="9" l="1"/>
  <c r="H11" i="9" l="1"/>
  <c r="J11" i="9"/>
  <c r="H10" i="9" l="1"/>
  <c r="F10" i="9"/>
  <c r="E1437" i="11"/>
  <c r="J10" i="9"/>
  <c r="I19" i="9" l="1"/>
  <c r="I56" i="9"/>
  <c r="I32" i="9"/>
  <c r="I24" i="9"/>
  <c r="I21" i="9"/>
  <c r="I49" i="9"/>
  <c r="I25" i="9"/>
  <c r="I22" i="9"/>
  <c r="I28" i="9"/>
  <c r="I57" i="9"/>
  <c r="I17" i="9"/>
  <c r="I52" i="9"/>
  <c r="I18" i="9"/>
  <c r="I44" i="9"/>
  <c r="I36" i="9"/>
  <c r="I20" i="9"/>
  <c r="I47" i="9"/>
  <c r="I48" i="9"/>
  <c r="I12" i="9"/>
  <c r="I26" i="9"/>
  <c r="I42" i="9"/>
  <c r="I38" i="9"/>
  <c r="I29" i="9"/>
  <c r="I13" i="9"/>
  <c r="I53" i="9"/>
  <c r="I51" i="9"/>
  <c r="I37" i="9"/>
  <c r="I14" i="9"/>
  <c r="I15" i="9"/>
  <c r="I33" i="9"/>
  <c r="I45" i="9"/>
  <c r="I50" i="9"/>
  <c r="I27" i="9"/>
  <c r="I30" i="9"/>
  <c r="I34" i="9"/>
  <c r="I31" i="9"/>
  <c r="I54" i="9"/>
  <c r="I58" i="9"/>
  <c r="I46" i="9"/>
  <c r="I43" i="9"/>
  <c r="I35" i="9"/>
  <c r="I23" i="9"/>
  <c r="I55" i="9"/>
  <c r="I41" i="9"/>
  <c r="I39" i="9"/>
  <c r="I10" i="9"/>
  <c r="I40" i="9"/>
  <c r="I16" i="9"/>
  <c r="I11" i="9"/>
  <c r="G58" i="9"/>
  <c r="G19" i="9"/>
  <c r="G27" i="9"/>
  <c r="G43" i="9"/>
  <c r="G41" i="9"/>
  <c r="G36" i="9"/>
  <c r="G30" i="9"/>
  <c r="G21" i="9"/>
  <c r="G56" i="9"/>
  <c r="G39" i="9"/>
  <c r="G35" i="9"/>
  <c r="G17" i="9"/>
  <c r="G47" i="9"/>
  <c r="G16" i="9"/>
  <c r="G54" i="9"/>
  <c r="G44" i="9"/>
  <c r="G51" i="9"/>
  <c r="G57" i="9"/>
  <c r="G31" i="9"/>
  <c r="G22" i="9"/>
  <c r="G45" i="9"/>
  <c r="G52" i="9"/>
  <c r="G15" i="9"/>
  <c r="G46" i="9"/>
  <c r="G26" i="9"/>
  <c r="G42" i="9"/>
  <c r="G38" i="9"/>
  <c r="G18" i="9"/>
  <c r="G40" i="9"/>
  <c r="G53" i="9"/>
  <c r="G10" i="9"/>
  <c r="G20" i="9"/>
  <c r="G32" i="9"/>
  <c r="G37" i="9"/>
  <c r="G24" i="9"/>
  <c r="G28" i="9"/>
  <c r="G55" i="9"/>
  <c r="G49" i="9"/>
  <c r="G33" i="9"/>
  <c r="G29" i="9"/>
  <c r="G23" i="9"/>
  <c r="G13" i="9"/>
  <c r="G48" i="9"/>
  <c r="G50" i="9"/>
  <c r="G34" i="9"/>
  <c r="G25" i="9"/>
  <c r="G12" i="9"/>
  <c r="G14" i="9"/>
  <c r="G11" i="9"/>
  <c r="K58" i="9"/>
  <c r="K10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11" i="9"/>
  <c r="F67" i="9" l="1"/>
  <c r="E980" i="11"/>
  <c r="E1186" i="11"/>
  <c r="E671" i="11"/>
  <c r="E71" i="11"/>
  <c r="E1083" i="11"/>
  <c r="J60" i="26"/>
  <c r="E774" i="11" l="1"/>
  <c r="J59" i="26"/>
  <c r="K60" i="26" s="1"/>
  <c r="M60" i="26"/>
  <c r="E981" i="11"/>
  <c r="E1187" i="11"/>
  <c r="E672" i="11"/>
  <c r="E72" i="11"/>
  <c r="E1084" i="11"/>
  <c r="H67" i="9" l="1"/>
  <c r="E984" i="11"/>
  <c r="E1190" i="11"/>
  <c r="E675" i="11"/>
  <c r="E75" i="11"/>
  <c r="E1087" i="11"/>
  <c r="E777" i="11"/>
  <c r="E983" i="11"/>
  <c r="E1189" i="11"/>
  <c r="E674" i="11"/>
  <c r="E1086" i="11"/>
  <c r="E74" i="11"/>
  <c r="E775" i="11"/>
  <c r="E982" i="11"/>
  <c r="E1188" i="11"/>
  <c r="E673" i="11"/>
  <c r="E73" i="11"/>
  <c r="E1085" i="11"/>
  <c r="K83" i="26"/>
  <c r="K59" i="26"/>
  <c r="M59" i="26"/>
  <c r="K61" i="26"/>
  <c r="K62" i="26"/>
  <c r="K63" i="26"/>
  <c r="K64" i="26"/>
  <c r="K65" i="26"/>
  <c r="K66" i="26"/>
  <c r="K67" i="26"/>
  <c r="K68" i="26"/>
  <c r="K69" i="26"/>
  <c r="K70" i="26"/>
  <c r="K71" i="26"/>
  <c r="K72" i="26"/>
  <c r="K73" i="26"/>
  <c r="K74" i="26"/>
  <c r="K75" i="26"/>
  <c r="K76" i="26"/>
  <c r="K77" i="26"/>
  <c r="K78" i="26"/>
  <c r="K79" i="26"/>
  <c r="K80" i="26"/>
  <c r="K81" i="26"/>
  <c r="K82" i="26"/>
  <c r="J67" i="9" l="1"/>
  <c r="E776" i="11"/>
  <c r="I25" i="29" l="1"/>
  <c r="I28" i="29" s="1"/>
  <c r="I29" i="29" s="1"/>
  <c r="E778" i="11"/>
  <c r="L67" i="9"/>
  <c r="E985" i="11"/>
  <c r="E1191" i="11"/>
  <c r="E676" i="11"/>
  <c r="E76" i="11"/>
  <c r="E1088" i="11"/>
  <c r="E986" i="11" l="1"/>
  <c r="E1192" i="11"/>
  <c r="E677" i="11"/>
  <c r="E1089" i="11"/>
  <c r="E77" i="11"/>
  <c r="E779" i="11"/>
  <c r="H25" i="29" l="1"/>
  <c r="E782" i="11"/>
  <c r="E1194" i="11"/>
  <c r="E679" i="11"/>
  <c r="E988" i="11"/>
  <c r="E1091" i="11"/>
  <c r="E79" i="11"/>
  <c r="E781" i="11"/>
  <c r="E987" i="11"/>
  <c r="E1193" i="11"/>
  <c r="E678" i="11"/>
  <c r="E78" i="11"/>
  <c r="E1090" i="11"/>
  <c r="E780" i="11"/>
  <c r="J25" i="29" l="1"/>
  <c r="AD26" i="29" s="1" a="1"/>
  <c r="AD26" i="29" s="1"/>
  <c r="H28" i="29"/>
  <c r="E14" i="21"/>
  <c r="E783" i="11"/>
  <c r="E989" i="11"/>
  <c r="E1195" i="11"/>
  <c r="E680" i="11"/>
  <c r="E80" i="11"/>
  <c r="E1092" i="11"/>
  <c r="J28" i="29" l="1"/>
  <c r="H29" i="29"/>
  <c r="AD31" i="29" l="1"/>
  <c r="J29" i="29"/>
  <c r="AD33" i="29" l="1"/>
  <c r="J44" i="29"/>
  <c r="J51" i="29" l="1"/>
  <c r="AC49" i="29"/>
  <c r="B9" i="21"/>
  <c r="B8" i="21"/>
  <c r="B48" i="21"/>
  <c r="C11" i="21" l="1"/>
  <c r="C31" i="21"/>
  <c r="E1438" i="11"/>
  <c r="C8" i="21"/>
  <c r="C36" i="21"/>
  <c r="C9" i="21"/>
  <c r="C37" i="21"/>
  <c r="C39" i="21"/>
  <c r="C42" i="21"/>
  <c r="C35" i="21"/>
  <c r="C48" i="21"/>
  <c r="C30" i="21"/>
  <c r="C12" i="21"/>
  <c r="C28" i="21"/>
  <c r="C20" i="21"/>
  <c r="C41" i="21"/>
  <c r="C22" i="21"/>
  <c r="C17" i="21"/>
  <c r="C15" i="21"/>
  <c r="C16" i="21"/>
  <c r="C26" i="21"/>
  <c r="C24" i="21"/>
  <c r="C21" i="21"/>
  <c r="C23" i="21"/>
  <c r="C19" i="21"/>
  <c r="C45" i="21"/>
  <c r="C14" i="21"/>
  <c r="C43" i="21"/>
  <c r="C13" i="21"/>
  <c r="C18" i="21"/>
  <c r="C25" i="21"/>
  <c r="C32" i="21"/>
  <c r="C33" i="21"/>
  <c r="C10" i="21"/>
  <c r="C44" i="21"/>
  <c r="C46" i="21"/>
  <c r="F60" i="9" l="1"/>
  <c r="H60" i="9" l="1"/>
  <c r="E682" i="11"/>
  <c r="E1197" i="11"/>
  <c r="E991" i="11"/>
  <c r="E82" i="11"/>
  <c r="E1094" i="11"/>
  <c r="H59" i="9" l="1"/>
  <c r="I60" i="9" s="1"/>
  <c r="I72" i="9" l="1"/>
  <c r="I68" i="9"/>
  <c r="I63" i="9"/>
  <c r="I78" i="9"/>
  <c r="I83" i="9"/>
  <c r="I62" i="9"/>
  <c r="I76" i="9"/>
  <c r="I59" i="9"/>
  <c r="I69" i="9"/>
  <c r="I70" i="9"/>
  <c r="I77" i="9"/>
  <c r="I61" i="9"/>
  <c r="I64" i="9"/>
  <c r="I71" i="9"/>
  <c r="I79" i="9"/>
  <c r="I65" i="9"/>
  <c r="I80" i="9"/>
  <c r="I66" i="9"/>
  <c r="I73" i="9"/>
  <c r="I81" i="9"/>
  <c r="I74" i="9"/>
  <c r="I82" i="9"/>
  <c r="I75" i="9"/>
  <c r="I67" i="9"/>
  <c r="AE65" i="10" l="1"/>
  <c r="AE64" i="10" s="1"/>
  <c r="E940" i="11"/>
  <c r="C9" i="8"/>
  <c r="F9" i="8" s="1"/>
  <c r="E1043" i="11" l="1"/>
  <c r="E31" i="11"/>
  <c r="E631" i="11"/>
  <c r="E1146" i="11"/>
  <c r="E734" i="11"/>
  <c r="E837" i="11"/>
  <c r="L60" i="9"/>
  <c r="J60" i="9"/>
  <c r="E993" i="11"/>
  <c r="E1199" i="11"/>
  <c r="E684" i="11"/>
  <c r="E84" i="11"/>
  <c r="E1096" i="11"/>
  <c r="E8" i="21"/>
  <c r="L59" i="9" l="1"/>
  <c r="M76" i="9" s="1"/>
  <c r="J59" i="9"/>
  <c r="K60" i="9" s="1"/>
  <c r="E33" i="21"/>
  <c r="F8" i="21" s="1"/>
  <c r="E787" i="11"/>
  <c r="M60" i="9" l="1"/>
  <c r="M81" i="9"/>
  <c r="M73" i="9"/>
  <c r="M83" i="9"/>
  <c r="M75" i="9"/>
  <c r="M77" i="9"/>
  <c r="M80" i="9"/>
  <c r="M64" i="9"/>
  <c r="M82" i="9"/>
  <c r="M59" i="9"/>
  <c r="M78" i="9"/>
  <c r="M66" i="9"/>
  <c r="M65" i="9"/>
  <c r="M68" i="9"/>
  <c r="M61" i="9"/>
  <c r="M70" i="9"/>
  <c r="M72" i="9"/>
  <c r="M79" i="9"/>
  <c r="M71" i="9"/>
  <c r="M74" i="9"/>
  <c r="M63" i="9"/>
  <c r="M62" i="9"/>
  <c r="M67" i="9"/>
  <c r="M69" i="9"/>
  <c r="K74" i="9"/>
  <c r="K59" i="9"/>
  <c r="K83" i="9"/>
  <c r="K61" i="9"/>
  <c r="K67" i="9"/>
  <c r="K80" i="9"/>
  <c r="K77" i="9"/>
  <c r="K73" i="9"/>
  <c r="K71" i="9"/>
  <c r="K66" i="9"/>
  <c r="K63" i="9"/>
  <c r="K69" i="9"/>
  <c r="K78" i="9"/>
  <c r="K81" i="9"/>
  <c r="K82" i="9"/>
  <c r="K76" i="9"/>
  <c r="K72" i="9"/>
  <c r="K65" i="9"/>
  <c r="K64" i="9"/>
  <c r="K62" i="9"/>
  <c r="K68" i="9"/>
  <c r="K79" i="9"/>
  <c r="K70" i="9"/>
  <c r="K75" i="9"/>
  <c r="F24" i="21"/>
  <c r="F31" i="21"/>
  <c r="F13" i="21"/>
  <c r="F9" i="21"/>
  <c r="F15" i="21"/>
  <c r="F14" i="21"/>
  <c r="F12" i="21"/>
  <c r="F25" i="21"/>
  <c r="F29" i="21"/>
  <c r="F10" i="21"/>
  <c r="F22" i="21"/>
  <c r="F30" i="21"/>
  <c r="F20" i="21"/>
  <c r="F27" i="21"/>
  <c r="F26" i="21"/>
  <c r="F11" i="21"/>
  <c r="F33" i="21"/>
  <c r="F21" i="21"/>
  <c r="F16" i="21"/>
  <c r="F17" i="21"/>
  <c r="F19" i="21"/>
  <c r="F28" i="21"/>
  <c r="F9" i="9"/>
  <c r="H9" i="9" s="1"/>
  <c r="J9" i="9" s="1"/>
  <c r="L9" i="9" s="1"/>
  <c r="G32" i="6" l="1"/>
  <c r="I32" i="6" s="1"/>
  <c r="D32" i="6" s="1"/>
  <c r="E32" i="6" s="1"/>
  <c r="F33" i="6" s="1"/>
  <c r="F35" i="6" s="1"/>
  <c r="I33" i="6" l="1"/>
  <c r="I37" i="6"/>
  <c r="J35" i="6"/>
  <c r="I35" i="6"/>
  <c r="J33" i="6"/>
  <c r="J37" i="6"/>
  <c r="F37" i="6"/>
  <c r="E35" i="6"/>
  <c r="E36" i="6" s="1"/>
  <c r="E37" i="6"/>
  <c r="E33" i="6"/>
  <c r="E34" i="6" s="1"/>
  <c r="H33" i="6"/>
  <c r="G33" i="6"/>
  <c r="G35" i="6" s="1"/>
  <c r="I34" i="6" l="1"/>
  <c r="I38" i="6"/>
  <c r="I36" i="6"/>
  <c r="E38" i="6"/>
  <c r="G34" i="6"/>
  <c r="G37" i="6"/>
  <c r="H37" i="6"/>
  <c r="H35" i="6"/>
  <c r="G36" i="6" s="1"/>
  <c r="G38" i="6" l="1"/>
  <c r="S89" i="5"/>
  <c r="S87" i="5"/>
  <c r="R75" i="5" l="1"/>
  <c r="S75" i="5" l="1"/>
  <c r="R93" i="5"/>
  <c r="S93" i="5" s="1"/>
  <c r="E888" i="11" l="1"/>
  <c r="E579" i="11"/>
  <c r="E2206" i="11"/>
  <c r="E1521" i="11"/>
  <c r="F76" i="9"/>
  <c r="F59" i="9" l="1"/>
  <c r="E785" i="11"/>
  <c r="G66" i="9" l="1"/>
  <c r="G77" i="9"/>
  <c r="G61" i="9"/>
  <c r="G60" i="9"/>
  <c r="G82" i="9"/>
  <c r="G74" i="9"/>
  <c r="G75" i="9"/>
  <c r="G62" i="9"/>
  <c r="G72" i="9"/>
  <c r="G68" i="9"/>
  <c r="G69" i="9"/>
  <c r="G80" i="9"/>
  <c r="G78" i="9"/>
  <c r="G63" i="9"/>
  <c r="G67" i="9"/>
  <c r="G81" i="9"/>
  <c r="G73" i="9"/>
  <c r="G65" i="9"/>
  <c r="G83" i="9"/>
  <c r="G64" i="9"/>
  <c r="G59" i="9"/>
  <c r="G71" i="9"/>
  <c r="G70" i="9"/>
  <c r="G79" i="9"/>
  <c r="G76" i="9"/>
  <c r="E1100" i="11"/>
  <c r="E1203" i="11"/>
  <c r="E3166" i="11" a="1"/>
  <c r="E3166" i="11" s="1"/>
  <c r="E88" i="11"/>
  <c r="E688" i="11" l="1"/>
  <c r="E997" i="11"/>
  <c r="E791" i="11" l="1"/>
  <c r="E894" i="11"/>
  <c r="I9" i="5" l="1"/>
  <c r="I99" i="5" l="1"/>
  <c r="J99" i="5" s="1"/>
  <c r="G9" i="5"/>
  <c r="K9" i="5"/>
  <c r="K99" i="5" s="1"/>
  <c r="L99" i="5" s="1"/>
  <c r="M9" i="5"/>
  <c r="M99" i="5" s="1"/>
  <c r="N99" i="5" s="1"/>
  <c r="I100" i="5" l="1"/>
  <c r="J100" i="5" s="1"/>
  <c r="G100" i="5"/>
  <c r="H100" i="5" s="1"/>
  <c r="K100" i="5"/>
  <c r="L100" i="5" s="1"/>
  <c r="P100" i="5"/>
  <c r="Q100" i="5" s="1"/>
  <c r="M100" i="5"/>
  <c r="N100" i="5" s="1"/>
  <c r="R100" i="5"/>
  <c r="S100" i="5" s="1"/>
  <c r="G99" i="5"/>
  <c r="H9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AGF</author>
  </authors>
  <commentList>
    <comment ref="BB48" authorId="0" shapeId="0" xr:uid="{57EDB75C-8FD4-473A-AC70-4029F5257738}">
      <text>
        <r>
          <rPr>
            <b/>
            <sz val="9"/>
            <color indexed="81"/>
            <rFont val="Segoe UI"/>
            <family val="2"/>
          </rPr>
          <t xml:space="preserve">AGF:correção imoblizado entrada de simples faturamento valor de 30.000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Pedroti</author>
  </authors>
  <commentList>
    <comment ref="B1436" authorId="0" shapeId="0" xr:uid="{38E8F68D-3AAD-4FD4-99DB-D36D8307CF5D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437" authorId="0" shapeId="0" xr:uid="{A17397D5-B864-4AC4-BFA0-07F478B44FF3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438" authorId="0" shapeId="0" xr:uid="{BD3060B8-5B48-4660-B3BC-A434EBDE1317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439" authorId="0" shapeId="0" xr:uid="{2581D87C-718C-496F-9048-DF3539025CFD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440" authorId="0" shapeId="0" xr:uid="{D56D1D51-81CB-42E2-A149-5D8CAB3906D2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441" authorId="0" shapeId="0" xr:uid="{7DB5BAE9-4598-4B55-B642-C0F93C5976EE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554" authorId="0" shapeId="0" xr:uid="{BA3B4A9B-AEFD-4FD9-AC20-D27B84848547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555" authorId="0" shapeId="0" xr:uid="{AB9FDAA0-3D70-4BE2-8521-91197D216996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556" authorId="0" shapeId="0" xr:uid="{BAA25F86-736C-485C-9870-2D91C1AB229A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557" authorId="0" shapeId="0" xr:uid="{100B93C3-F56B-46F5-B66A-1E6C4271C4D5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558" authorId="0" shapeId="0" xr:uid="{E312475D-6773-4328-A582-416F27307346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  <comment ref="B1559" authorId="0" shapeId="0" xr:uid="{B64AEDB8-365A-4D61-AE6B-1023878E7008}">
      <text>
        <r>
          <rPr>
            <sz val="9"/>
            <color indexed="81"/>
            <rFont val="Segoe UI"/>
            <family val="2"/>
          </rPr>
          <t xml:space="preserve">ALTERAR PARA ULTIMO MÊS DO ANO ATUAL. SE FOR O ULTIMO COPIAR FORMULA DE LINHA ACIMA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<sst xmlns="http://schemas.openxmlformats.org/spreadsheetml/2006/main" count="6235" uniqueCount="1184">
  <si>
    <t>Estoques</t>
  </si>
  <si>
    <t>Adiantamentos a Fornecedores</t>
  </si>
  <si>
    <t>REALIZAVEL A LONGO PRAZO</t>
  </si>
  <si>
    <t>INVESTIMENTOS</t>
  </si>
  <si>
    <t>Edificios</t>
  </si>
  <si>
    <t>Aparelhos de Telefonia</t>
  </si>
  <si>
    <t>Benfeitorias em Imoveis de Terceiros</t>
  </si>
  <si>
    <t>Marcas e Patentes</t>
  </si>
  <si>
    <t>Aplicacoes Financeiras</t>
  </si>
  <si>
    <t>Duplicatas a Receber</t>
  </si>
  <si>
    <t>(-)Prov P/Credito de Liquidacao Duvidosa</t>
  </si>
  <si>
    <t>Impostos e Contribuicoes a Recuperar</t>
  </si>
  <si>
    <t>Despesas Exercicio Seguinte</t>
  </si>
  <si>
    <t>Depositos e Caucoes</t>
  </si>
  <si>
    <t>Adiantamento de Viagem</t>
  </si>
  <si>
    <t>Adto a Fornecedores Exterior</t>
  </si>
  <si>
    <t>Outros Adiantamentos</t>
  </si>
  <si>
    <t>IMOBILIZADO TECNICO</t>
  </si>
  <si>
    <t>Moveis e Utensilios</t>
  </si>
  <si>
    <t>Veiculos</t>
  </si>
  <si>
    <t>Veiculos - Leasing Financeiro</t>
  </si>
  <si>
    <t>1.3.3.5.01.00002</t>
  </si>
  <si>
    <t>Equipamentos de Informatica</t>
  </si>
  <si>
    <t>Instalacoes</t>
  </si>
  <si>
    <t>Ferramentas / Moldes</t>
  </si>
  <si>
    <t>Depreciacao/Amortizacao Acumulada</t>
  </si>
  <si>
    <t>1.3.3.5.99</t>
  </si>
  <si>
    <t>Depreciações - Leasing Financeiro</t>
  </si>
  <si>
    <t>INTANGIVEL</t>
  </si>
  <si>
    <t>Modelos, Projetos e Prototipos</t>
  </si>
  <si>
    <t>Direito Uso Software</t>
  </si>
  <si>
    <t>Paginas de Internet / Sites</t>
  </si>
  <si>
    <t>Amortizacao Acumulada</t>
  </si>
  <si>
    <t>ATIVO</t>
  </si>
  <si>
    <t>1</t>
  </si>
  <si>
    <t>1.1</t>
  </si>
  <si>
    <t>1.1.1.1</t>
  </si>
  <si>
    <t>1.1.1.2</t>
  </si>
  <si>
    <t>1.1.1.3.01</t>
  </si>
  <si>
    <t>1.1.1.3.90</t>
  </si>
  <si>
    <t>1.1.1.5</t>
  </si>
  <si>
    <t>1.1.1.6</t>
  </si>
  <si>
    <t>1.1.1.7.01</t>
  </si>
  <si>
    <t>1.1.1.7.04</t>
  </si>
  <si>
    <t>1.1.1.7.05</t>
  </si>
  <si>
    <t>1.1.1.7.90</t>
  </si>
  <si>
    <t>1.1.1.9</t>
  </si>
  <si>
    <t>1.3</t>
  </si>
  <si>
    <t>1.3.1</t>
  </si>
  <si>
    <t>1.3.1.1</t>
  </si>
  <si>
    <t>1.3.2</t>
  </si>
  <si>
    <t>1.3.3</t>
  </si>
  <si>
    <t>1.3.3.1.01.00003</t>
  </si>
  <si>
    <t>1.3.3.1.01.00009</t>
  </si>
  <si>
    <t>1.3.3.1.01.00002</t>
  </si>
  <si>
    <t>1.3.3.1.01.00005</t>
  </si>
  <si>
    <t>1.3.3.1.01.00006</t>
  </si>
  <si>
    <t>1.3.3.1.01.00007</t>
  </si>
  <si>
    <t>1.3.3.1.01.00008</t>
  </si>
  <si>
    <t>1.3.3.1.01.00010</t>
  </si>
  <si>
    <t>1.3.3.1.01.00012</t>
  </si>
  <si>
    <t>1.3.3.1.99</t>
  </si>
  <si>
    <t>1.3.4</t>
  </si>
  <si>
    <t>1.3.4.1.01.00004</t>
  </si>
  <si>
    <t>1.3.4.1.01.00001</t>
  </si>
  <si>
    <t>1.3.4.1.01.00002</t>
  </si>
  <si>
    <t>1.3.4.1.01.00003</t>
  </si>
  <si>
    <t>1.3.4.1.99</t>
  </si>
  <si>
    <t>CONTA CONTABIL</t>
  </si>
  <si>
    <t>DESCRIÇÃO</t>
  </si>
  <si>
    <t>Fornecedores Nacionais</t>
  </si>
  <si>
    <t>Dividendos</t>
  </si>
  <si>
    <t>Capital Social</t>
  </si>
  <si>
    <t>PASSIVO</t>
  </si>
  <si>
    <t>PATRIMONIO LIQUIDO</t>
  </si>
  <si>
    <t>Fornecedores No Exterior</t>
  </si>
  <si>
    <t>Emprestimos E Financimentos - TERCEIROS</t>
  </si>
  <si>
    <t>Salarios e Encargos Sociais</t>
  </si>
  <si>
    <t>Impostos e Contribuicoes</t>
  </si>
  <si>
    <t>Provisao do Imposto de Renda e CSSLL</t>
  </si>
  <si>
    <t>SEM CONTA</t>
  </si>
  <si>
    <t>Lucros Acumulados</t>
  </si>
  <si>
    <t>( - ) Dividendos</t>
  </si>
  <si>
    <t>2</t>
  </si>
  <si>
    <t>2.1.1.1.01</t>
  </si>
  <si>
    <t>2.1.1.1.03</t>
  </si>
  <si>
    <t>2.1.1.2</t>
  </si>
  <si>
    <t>2.1.1.4</t>
  </si>
  <si>
    <t>2.1.1.5</t>
  </si>
  <si>
    <t>2.1.1.6</t>
  </si>
  <si>
    <t>2.1.1.7.01</t>
  </si>
  <si>
    <t>2.3.1</t>
  </si>
  <si>
    <t>2.9</t>
  </si>
  <si>
    <t>2.9.1</t>
  </si>
  <si>
    <t>2.9.8.1.01.00002</t>
  </si>
  <si>
    <t>2.9.9.1.01.00002</t>
  </si>
  <si>
    <t>2.1</t>
  </si>
  <si>
    <t>2.3</t>
  </si>
  <si>
    <t>2.9.9.1.01.00900</t>
  </si>
  <si>
    <t>RECEITA OPERACIONAL BRUTA</t>
  </si>
  <si>
    <t>RECEITA OPERACIONAL LÍQUIDA</t>
  </si>
  <si>
    <t>LUCRO BRUTO</t>
  </si>
  <si>
    <t>Total Despesas Operacionais</t>
  </si>
  <si>
    <t>RESULTADO DAS OPERAÇÕES (E.B.I.T.)</t>
  </si>
  <si>
    <t>Total Efeitos Financeiros Líquidos</t>
  </si>
  <si>
    <t>RESULTADO COM PARTICIP. SOCIETÁRIA</t>
  </si>
  <si>
    <t>LUCRO (PREJUÍZO) OPERACIONAL</t>
  </si>
  <si>
    <t>Outras Receitas e Despesas</t>
  </si>
  <si>
    <t>LUCRO (PREJUÍZO) ANTES IRPJ / CSSL</t>
  </si>
  <si>
    <t>Venda de Produtos</t>
  </si>
  <si>
    <t>Revenda de Mercadorias</t>
  </si>
  <si>
    <t>Prestação de Serviços</t>
  </si>
  <si>
    <t>Locações</t>
  </si>
  <si>
    <t>Exportação</t>
  </si>
  <si>
    <t>(-) Impostos s/ Vendas</t>
  </si>
  <si>
    <t>(-) Devoluções s/ Vendas</t>
  </si>
  <si>
    <t>Custo dos Produtos / Merc. Vendidos</t>
  </si>
  <si>
    <t>Despesas com Vendas</t>
  </si>
  <si>
    <t>Despesas Gerais Administrativas</t>
  </si>
  <si>
    <t>Despesas Tributárias</t>
  </si>
  <si>
    <t>Depreciações / Amortizações</t>
  </si>
  <si>
    <t>Receitas Financeiras</t>
  </si>
  <si>
    <t>Despesas Financeiras</t>
  </si>
  <si>
    <t>Variações Monetárias / Cambiais Líquidas</t>
  </si>
  <si>
    <t>3.1.1.1.01.00003</t>
  </si>
  <si>
    <t>3.1.1.1.01.00004</t>
  </si>
  <si>
    <t>3.1.1.1.01.00006</t>
  </si>
  <si>
    <t>3.1.1.1.01</t>
  </si>
  <si>
    <t>3.1.1.2.01</t>
  </si>
  <si>
    <t>3.1.1.2.02</t>
  </si>
  <si>
    <t>4.1</t>
  </si>
  <si>
    <t>4.2</t>
  </si>
  <si>
    <t>4.2.1.1</t>
  </si>
  <si>
    <t>4.2.1.2.20</t>
  </si>
  <si>
    <t>4.2.1.2.25</t>
  </si>
  <si>
    <t>4.3</t>
  </si>
  <si>
    <t>4.3.1.1.03</t>
  </si>
  <si>
    <t>4.3.1.1.02</t>
  </si>
  <si>
    <t>4.3.1.1.01</t>
  </si>
  <si>
    <t>4.4</t>
  </si>
  <si>
    <t>4.9</t>
  </si>
  <si>
    <t>3.1</t>
  </si>
  <si>
    <t>Provisão IRPJ</t>
  </si>
  <si>
    <t>Provisão CSLL</t>
  </si>
  <si>
    <t>Lucro (Prejuizo) Líquido</t>
  </si>
  <si>
    <t>2.1.1.8</t>
  </si>
  <si>
    <t>Adiantamento Terceiros</t>
  </si>
  <si>
    <t>3.1.1.1.01.00002</t>
  </si>
  <si>
    <t>3.1.1.1.01.00001</t>
  </si>
  <si>
    <t>Adiantamentos - Despachante Aduaneiro</t>
  </si>
  <si>
    <t>Adiantamento - Funcionários</t>
  </si>
  <si>
    <t>Adiantamentos - Partes Relacionadas</t>
  </si>
  <si>
    <t>Máquinas e Equipamentos - Prestação de Serviço</t>
  </si>
  <si>
    <t>Máquinas e Equipamentos - Leasing Financeiro - Serviço</t>
  </si>
  <si>
    <t>FORMULA PROCV</t>
  </si>
  <si>
    <t>RECEITA</t>
  </si>
  <si>
    <t>DESPESA</t>
  </si>
  <si>
    <t>TOTAL COLUNA (MESES)</t>
  </si>
  <si>
    <t>IRPJ</t>
  </si>
  <si>
    <t>CSLL</t>
  </si>
  <si>
    <t>LAIR</t>
  </si>
  <si>
    <t>LIQUIDO</t>
  </si>
  <si>
    <t>Outros Recebíveis</t>
  </si>
  <si>
    <t>Reservas de Capital</t>
  </si>
  <si>
    <t>Títulos de Capitalização</t>
  </si>
  <si>
    <t>Outras Contas</t>
  </si>
  <si>
    <t>Ajustes Financeiros</t>
  </si>
  <si>
    <t>0,00</t>
  </si>
  <si>
    <t>APURAÇÃO (MÊS)</t>
  </si>
  <si>
    <t>RECEITAS VENDA (MÊS)</t>
  </si>
  <si>
    <t>RECEITAS REVENDA (MÊS)</t>
  </si>
  <si>
    <t>RECEITAS SERVIÇO (MÊS)</t>
  </si>
  <si>
    <t>RECEITAS LOCAÇÃO (MÊS)</t>
  </si>
  <si>
    <t>ULITMO MÊS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</si>
  <si>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</si>
  <si>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</si>
  <si>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</si>
  <si>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</si>
  <si>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</si>
  <si>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</si>
  <si>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</si>
  <si>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</si>
  <si>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</si>
  <si>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</si>
  <si>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</si>
  <si>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</si>
  <si>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</si>
  <si>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 Receita</t>
  </si>
  <si>
    <t>ULITMO MÊS -1</t>
  </si>
  <si>
    <t>RECEITAS VENDA (MÊS -1)</t>
  </si>
  <si>
    <t>RECEITAS SERVIÇO (MÊS-1)</t>
  </si>
  <si>
    <t>RECEITAS LOCAÇÃO (MÊS-1)</t>
  </si>
  <si>
    <t>VENDA</t>
  </si>
  <si>
    <t>REVENDA</t>
  </si>
  <si>
    <t>SERVIÇOS</t>
  </si>
  <si>
    <t>LOCAÇÃO</t>
  </si>
  <si>
    <t>F Ó R M U L A S</t>
  </si>
  <si>
    <t xml:space="preserve">  1 - ESTRUTURA DE CAPITAL</t>
  </si>
  <si>
    <t xml:space="preserve">  1.1  -</t>
  </si>
  <si>
    <t>Ativo Circulante - Passivo Circulante</t>
  </si>
  <si>
    <t xml:space="preserve">  1.2  -</t>
  </si>
  <si>
    <t>Patrimônio Líquido - Ativo Permanente</t>
  </si>
  <si>
    <t xml:space="preserve">  1.3  -</t>
  </si>
  <si>
    <t>Passivo Circulante + Exigível a Longo Prazo / Ativo Total</t>
  </si>
  <si>
    <t xml:space="preserve">  1.4  -</t>
  </si>
  <si>
    <t>Capital de Terceiros / Capital Próprio</t>
  </si>
  <si>
    <t xml:space="preserve">  2 - SITUAÇÃO FINANCEIRA</t>
  </si>
  <si>
    <t xml:space="preserve">  2.1  -</t>
  </si>
  <si>
    <t>Ativo Circulante / Passivo Circulante</t>
  </si>
  <si>
    <t xml:space="preserve">  2.2  -</t>
  </si>
  <si>
    <t>Ativo Circulante - Estoques - Despesas de Exerc.Seguintes / Passivo Circulante</t>
  </si>
  <si>
    <t xml:space="preserve">  2.3  -</t>
  </si>
  <si>
    <t>Ativo Circulante + Realizável a Longo Prazo / Passivo Circulante + Exigível a Longo Prazo</t>
  </si>
  <si>
    <t xml:space="preserve">  3 - SITUAÇÃO ECONÔMICA</t>
  </si>
  <si>
    <t xml:space="preserve">  3.1  -</t>
  </si>
  <si>
    <t>Receita Líquida / Total do Ativo</t>
  </si>
  <si>
    <t xml:space="preserve">  3.2  -</t>
  </si>
  <si>
    <t>Lucro Líquido / Total do Ativo</t>
  </si>
  <si>
    <t xml:space="preserve">  3.3  -</t>
  </si>
  <si>
    <t>Lucro Líquido / Patrimônio Líquido</t>
  </si>
  <si>
    <t xml:space="preserve">  3.4  -</t>
  </si>
  <si>
    <t>Resultado das Operações / Receita Bruta</t>
  </si>
  <si>
    <t xml:space="preserve">  5 - CICLO FINANCEIRO</t>
  </si>
  <si>
    <t xml:space="preserve">  5.1   -</t>
  </si>
  <si>
    <t>PMRE = (estoque final / custo produtos vendidos) * dias ano</t>
  </si>
  <si>
    <t xml:space="preserve">  5.2   -</t>
  </si>
  <si>
    <t>PMRV = (contas a receber / receita operacional bruta) *dias ano</t>
  </si>
  <si>
    <t xml:space="preserve">  5.3   -</t>
  </si>
  <si>
    <t>PMPC = (fornecedores / compras ) * dias ano</t>
  </si>
  <si>
    <t xml:space="preserve">  5.4   -</t>
  </si>
  <si>
    <t>CF = PMRE + PMRV - PMPC</t>
  </si>
  <si>
    <t>C O N C E I T O S</t>
  </si>
  <si>
    <t>Indica o valor circulante para atender o objetivo social</t>
  </si>
  <si>
    <t>Demonstra o valor do capital próprio não imobilizado</t>
  </si>
  <si>
    <t xml:space="preserve">Revela o grau de endividamento do Ativo (recursos aplicados pela empresa) </t>
  </si>
  <si>
    <t>Demonstra a relação entre capital de terceiros e o capital próprio</t>
  </si>
  <si>
    <t>Capacidade da Empresa em pagar suas dividas de curto prazo</t>
  </si>
  <si>
    <t>Capacidade da Empresa em pagar suas dividas de curto prazo, usando recursos correntes</t>
  </si>
  <si>
    <t>Capacidade da Empresa em saldar todos os seus compromissos</t>
  </si>
  <si>
    <t>Velocidade da Empresa em girar seus Ativos (recursos aplicados) em função da receita</t>
  </si>
  <si>
    <t>Mede a rentabilidade do Ativo (recursos aplicados)</t>
  </si>
  <si>
    <t>Indica a rentabilidade do Capital investido pelos acionistas</t>
  </si>
  <si>
    <t>Demonstra a margem líquida sobre a receita obtida no exercício</t>
  </si>
  <si>
    <t>Periodo</t>
  </si>
  <si>
    <t>Indicador</t>
  </si>
  <si>
    <t>Valor</t>
  </si>
  <si>
    <t>Média de Valor</t>
  </si>
  <si>
    <t>Média Geral</t>
  </si>
  <si>
    <t>(%)</t>
  </si>
  <si>
    <t>1.SEM CONTA</t>
  </si>
  <si>
    <t>2.SEM CONTA</t>
  </si>
  <si>
    <t>RECEITA MÊS E MÊS ANTERIOR</t>
  </si>
  <si>
    <t>TEXTO PARA MENU</t>
  </si>
  <si>
    <t>DESPESA E CUSTO DO MÊS E MÊS ANTERIOR</t>
  </si>
  <si>
    <t>AUXILIAR</t>
  </si>
  <si>
    <t>FORMULA CALCULOS INDICADORES</t>
  </si>
  <si>
    <t>FORMULA</t>
  </si>
  <si>
    <t>A -</t>
  </si>
  <si>
    <t>B -</t>
  </si>
  <si>
    <t>IMPOSTOS S/ VENDAS E DEVOLUÇÕES</t>
  </si>
  <si>
    <t>C -</t>
  </si>
  <si>
    <t>D -</t>
  </si>
  <si>
    <t>E -</t>
  </si>
  <si>
    <t>F -</t>
  </si>
  <si>
    <t xml:space="preserve">   F.1 - Salários e encargos</t>
  </si>
  <si>
    <t xml:space="preserve">   F.2 - Benefícios e Outros</t>
  </si>
  <si>
    <t>G -</t>
  </si>
  <si>
    <t xml:space="preserve">    G.1 - Material de Uso e Consumo</t>
  </si>
  <si>
    <t xml:space="preserve">    G.2 - Viagens,Estadias e Refeições</t>
  </si>
  <si>
    <t xml:space="preserve">    G.3 - Desp.Veic / Manut./Combust.</t>
  </si>
  <si>
    <t xml:space="preserve">    G.4 - Manutenção Máquinas Equiptos</t>
  </si>
  <si>
    <t xml:space="preserve">    G.5 - Fretes outros</t>
  </si>
  <si>
    <t xml:space="preserve">    G.6 - Aluguel Bens Móveis</t>
  </si>
  <si>
    <t xml:space="preserve">    G.7 - Serviços Terceiros / Industrialização</t>
  </si>
  <si>
    <t>H -</t>
  </si>
  <si>
    <t xml:space="preserve">    H.1 - Salários / Encargos / Beneficios</t>
  </si>
  <si>
    <t xml:space="preserve">    H.2 - Combustivel Máquinas/Equipamentos</t>
  </si>
  <si>
    <t xml:space="preserve">    H.3 - Material de Uso e Consumo</t>
  </si>
  <si>
    <t xml:space="preserve">    H.4 - Manutenção Máquinas Equiptos</t>
  </si>
  <si>
    <t xml:space="preserve">    H.5 - Desp.Veic / Manut./Combust.</t>
  </si>
  <si>
    <t xml:space="preserve">    H.6 - Viagens,Estadias e Refeições</t>
  </si>
  <si>
    <t xml:space="preserve">    H.7 - Aluguel Bens Móveis</t>
  </si>
  <si>
    <t xml:space="preserve">    H.8 - Fretes outros</t>
  </si>
  <si>
    <t xml:space="preserve">    H.9 - Outros</t>
  </si>
  <si>
    <t>I -</t>
  </si>
  <si>
    <t>CUSTO DOS PRODUTOS VENDIDOS</t>
  </si>
  <si>
    <t>J -</t>
  </si>
  <si>
    <t>K -</t>
  </si>
  <si>
    <t xml:space="preserve">   DESPESAS COM VENDAS</t>
  </si>
  <si>
    <t xml:space="preserve">    K.1 - Salários e Encargos</t>
  </si>
  <si>
    <t xml:space="preserve">    K.2 - Comissões / Repres. Coml.</t>
  </si>
  <si>
    <t xml:space="preserve">    K.4 - Viagens e Estadias</t>
  </si>
  <si>
    <t xml:space="preserve">    K.5 - Propaganda / Publicidade / Feiras / Eventos</t>
  </si>
  <si>
    <t>L -</t>
  </si>
  <si>
    <t xml:space="preserve">   DESPESAS ADMINISTRATIVAS</t>
  </si>
  <si>
    <t xml:space="preserve">    L.1 - Salários e Encargos Totais</t>
  </si>
  <si>
    <t xml:space="preserve">    L.2 - Honorários de Terceiros </t>
  </si>
  <si>
    <t xml:space="preserve">    L.4 - Aluguel</t>
  </si>
  <si>
    <t xml:space="preserve">    L.5 - Viagens e Estadias</t>
  </si>
  <si>
    <t xml:space="preserve">    L.7 - Telefone / Internet</t>
  </si>
  <si>
    <t xml:space="preserve">    L.8 - Outras</t>
  </si>
  <si>
    <t>M -</t>
  </si>
  <si>
    <t xml:space="preserve">   DESPESAS TRIBUTÁRIAS</t>
  </si>
  <si>
    <t>N -</t>
  </si>
  <si>
    <t xml:space="preserve">   DEPRECIAÇÕES / AMORTIZAÇÕES</t>
  </si>
  <si>
    <t>O -</t>
  </si>
  <si>
    <t>RESULTADO DAS OPERAÇÕES (EBIT)</t>
  </si>
  <si>
    <t>TOTAL MÃO DE OBRA</t>
  </si>
  <si>
    <t>CUSTO PRODUTO VENDIDO</t>
  </si>
  <si>
    <t>CUSTO MERC REVENDIDAS</t>
  </si>
  <si>
    <t xml:space="preserve">MÃO DE OBRA </t>
  </si>
  <si>
    <t>GASTOS GERAIS  PRODUTOS/MERC REVENDIDAS</t>
  </si>
  <si>
    <t>GASTOS GERAIS PRESTAÇÃO SERVIÇOS</t>
  </si>
  <si>
    <t xml:space="preserve">   Revenda de Mercadorias</t>
  </si>
  <si>
    <t xml:space="preserve">   Prestação de Serviços</t>
  </si>
  <si>
    <t xml:space="preserve">   Locações</t>
  </si>
  <si>
    <t xml:space="preserve">   Exportação </t>
  </si>
  <si>
    <t xml:space="preserve">   Venda de Produtos</t>
  </si>
  <si>
    <t>B.1 - Impostos s/ Vendas</t>
  </si>
  <si>
    <t>B.2 - Devoluções</t>
  </si>
  <si>
    <t>4</t>
  </si>
  <si>
    <t>4.1.1</t>
  </si>
  <si>
    <t>4.1.1.1</t>
  </si>
  <si>
    <t>4.1.1.1.01</t>
  </si>
  <si>
    <t>4.1.1.1.01.00001</t>
  </si>
  <si>
    <t>4.1.1.1.01.00003</t>
  </si>
  <si>
    <t>4.1.1.1.01.00004</t>
  </si>
  <si>
    <t>4.1.1.1.01.00005</t>
  </si>
  <si>
    <t>4.1.1.1.01.00006</t>
  </si>
  <si>
    <t>4.1.1.1.01.00008</t>
  </si>
  <si>
    <t>4.1.1.1.01.00009</t>
  </si>
  <si>
    <t>4.1.1.1.01.00010</t>
  </si>
  <si>
    <t>4.1.1.1.01.00011</t>
  </si>
  <si>
    <t>4.1.1.1.01.00012</t>
  </si>
  <si>
    <t>4.1.1.1.01.00013</t>
  </si>
  <si>
    <t>4.1.1.1.01.00015</t>
  </si>
  <si>
    <t>4.1.1.1.01.00016</t>
  </si>
  <si>
    <t>4.1.1.1.01.00019</t>
  </si>
  <si>
    <t>4.1.1.1.01.00020</t>
  </si>
  <si>
    <t>4.1.1.1.01.00097</t>
  </si>
  <si>
    <t>4.1.1.1.01.00098</t>
  </si>
  <si>
    <t>4.1.1.1.04</t>
  </si>
  <si>
    <t>4.1.1.1.04.00001</t>
  </si>
  <si>
    <t>4.1.1.1.04.00002</t>
  </si>
  <si>
    <t>4.1.1.1.04.00003</t>
  </si>
  <si>
    <t>4.1.1.1.04.00004</t>
  </si>
  <si>
    <t>4.1.1.1.04.00005</t>
  </si>
  <si>
    <t>4.1.1.1.05</t>
  </si>
  <si>
    <t>4.1.1.1.05.00001</t>
  </si>
  <si>
    <t>4.1.1.1.05.00002</t>
  </si>
  <si>
    <t>4.1.1.1.05.00003</t>
  </si>
  <si>
    <t>4.1.1.1.05.00004</t>
  </si>
  <si>
    <t>4.1.1.1.05.00005</t>
  </si>
  <si>
    <t>4.1.1.1.07</t>
  </si>
  <si>
    <t>4.1.1.1.07.00001</t>
  </si>
  <si>
    <t>4.1.1.1.07.00002</t>
  </si>
  <si>
    <t>4.1.1.1.07.00003</t>
  </si>
  <si>
    <t>4.1.1.1.07.00004</t>
  </si>
  <si>
    <t>4.1.1.1.07.00005</t>
  </si>
  <si>
    <t>4.1.1.1.07.00006</t>
  </si>
  <si>
    <t>4.1.1.1.07.00007</t>
  </si>
  <si>
    <t>4.1.1.1.07.00008</t>
  </si>
  <si>
    <t>4.1.1.1.07.00009</t>
  </si>
  <si>
    <t>4.1.1.1.07.00010</t>
  </si>
  <si>
    <t>4.1.1.1.10</t>
  </si>
  <si>
    <t>4.1.1.1.10.00001</t>
  </si>
  <si>
    <t>4.1.1.1.10.00006</t>
  </si>
  <si>
    <t>4.1.1.1.10.00098</t>
  </si>
  <si>
    <t>4.1.1.1.13</t>
  </si>
  <si>
    <t>4.1.1.1.20</t>
  </si>
  <si>
    <t>4.1.1.1.20.00001</t>
  </si>
  <si>
    <t>4.1.1.1.20.00005</t>
  </si>
  <si>
    <t>4.1.1.1.20.00098</t>
  </si>
  <si>
    <t>4.1.1.2</t>
  </si>
  <si>
    <t>4.1.1.2.01</t>
  </si>
  <si>
    <t>4.1.1.2.01.00011</t>
  </si>
  <si>
    <t>4.1.1.2.01.00016</t>
  </si>
  <si>
    <t>4.1.1.2.04</t>
  </si>
  <si>
    <t>4.1.1.2.04.00001</t>
  </si>
  <si>
    <t>4.1.1.2.04.00002</t>
  </si>
  <si>
    <t>4.1.1.2.04.00003</t>
  </si>
  <si>
    <t>4.1.1.2.04.00004</t>
  </si>
  <si>
    <t>4.1.1.2.04.00005</t>
  </si>
  <si>
    <t>4.1.1.2.05</t>
  </si>
  <si>
    <t>4.1.1.2.05.00001</t>
  </si>
  <si>
    <t>4.1.1.2.05.00002</t>
  </si>
  <si>
    <t>4.1.1.2.05.00003</t>
  </si>
  <si>
    <t>4.1.1.2.05.00005</t>
  </si>
  <si>
    <t>4.1.1.2.07</t>
  </si>
  <si>
    <t>4.1.1.2.07.00001</t>
  </si>
  <si>
    <t>4.1.1.2.07.00002</t>
  </si>
  <si>
    <t>4.1.1.2.07.00003</t>
  </si>
  <si>
    <t>4.1.1.2.07.00005</t>
  </si>
  <si>
    <t>4.1.1.2.07.00006</t>
  </si>
  <si>
    <t>4.1.1.2.07.00007</t>
  </si>
  <si>
    <t>4.1.1.2.07.00008</t>
  </si>
  <si>
    <t>4.1.1.2.07.00009</t>
  </si>
  <si>
    <t>4.2.1</t>
  </si>
  <si>
    <t>4.2.1.1.01</t>
  </si>
  <si>
    <t>4.2.1.1.01.00015</t>
  </si>
  <si>
    <t>4.2.1.1.01.00020</t>
  </si>
  <si>
    <t>4.2.1.1.02</t>
  </si>
  <si>
    <t>4.2.1.1.02.00001</t>
  </si>
  <si>
    <t>4.2.1.1.02.00002</t>
  </si>
  <si>
    <t>4.2.1.1.03</t>
  </si>
  <si>
    <t>4.2.1.1.03.00001</t>
  </si>
  <si>
    <t>4.2.1.1.04</t>
  </si>
  <si>
    <t>4.2.1.1.04.00002</t>
  </si>
  <si>
    <t>4.2.1.1.04.00003</t>
  </si>
  <si>
    <t>4.2.1.1.04.00004</t>
  </si>
  <si>
    <t>4.2.1.1.05</t>
  </si>
  <si>
    <t>4.2.1.1.05.00001</t>
  </si>
  <si>
    <t>4.2.1.1.05.00002</t>
  </si>
  <si>
    <t>4.2.1.1.05.00003</t>
  </si>
  <si>
    <t>4.2.1.1.05.00004</t>
  </si>
  <si>
    <t>4.2.1.1.05.00005</t>
  </si>
  <si>
    <t>4.2.1.1.06</t>
  </si>
  <si>
    <t>4.2.1.1.06.00001</t>
  </si>
  <si>
    <t>4.2.1.1.06.00002</t>
  </si>
  <si>
    <t>4.2.1.1.06.00005</t>
  </si>
  <si>
    <t>4.2.1.1.90</t>
  </si>
  <si>
    <t>4.2.1.1.90.00001</t>
  </si>
  <si>
    <t>4.2.1.1.90.00009</t>
  </si>
  <si>
    <t>4.2.1.1.90.00020</t>
  </si>
  <si>
    <t>4.2.1.1.90.00090</t>
  </si>
  <si>
    <t>4.2.1.2</t>
  </si>
  <si>
    <t>4.2.1.2.01</t>
  </si>
  <si>
    <t>4.2.1.2.01.00015</t>
  </si>
  <si>
    <t>4.2.1.2.02</t>
  </si>
  <si>
    <t>4.2.1.2.02.00001</t>
  </si>
  <si>
    <t>4.2.1.2.02.00002</t>
  </si>
  <si>
    <t>4.2.1.2.02.00003</t>
  </si>
  <si>
    <t>4.2.1.2.02.00004</t>
  </si>
  <si>
    <t>4.2.1.2.02.00005</t>
  </si>
  <si>
    <t>4.2.1.2.02.00006</t>
  </si>
  <si>
    <t>4.2.1.2.02.00008</t>
  </si>
  <si>
    <t>4.2.1.2.02.00009</t>
  </si>
  <si>
    <t>4.2.1.2.03</t>
  </si>
  <si>
    <t>4.2.1.2.03.00001</t>
  </si>
  <si>
    <t>4.2.1.2.03.00002</t>
  </si>
  <si>
    <t>4.2.1.2.03.00003</t>
  </si>
  <si>
    <t>4.2.1.2.03.00004</t>
  </si>
  <si>
    <t>4.2.1.2.04</t>
  </si>
  <si>
    <t>4.2.1.2.04.00001</t>
  </si>
  <si>
    <t>4.2.1.2.04.00002</t>
  </si>
  <si>
    <t>4.2.1.2.04.00003</t>
  </si>
  <si>
    <t>4.2.1.2.04.00004</t>
  </si>
  <si>
    <t>4.2.1.2.04.00005</t>
  </si>
  <si>
    <t>4.2.1.2.05</t>
  </si>
  <si>
    <t>4.2.1.2.05.00001</t>
  </si>
  <si>
    <t>4.2.1.2.05.00002</t>
  </si>
  <si>
    <t>4.2.1.2.05.00003</t>
  </si>
  <si>
    <t>4.2.1.2.05.00004</t>
  </si>
  <si>
    <t>4.2.1.2.05.00005</t>
  </si>
  <si>
    <t>4.2.1.2.06</t>
  </si>
  <si>
    <t>4.2.1.2.06.00002</t>
  </si>
  <si>
    <t>4.2.1.2.06.00003</t>
  </si>
  <si>
    <t>4.2.1.2.07</t>
  </si>
  <si>
    <t>4.2.1.2.07.00004</t>
  </si>
  <si>
    <t>4.2.1.2.07.00005</t>
  </si>
  <si>
    <t>4.2.1.2.08</t>
  </si>
  <si>
    <t>4.2.1.2.08.00001</t>
  </si>
  <si>
    <t>4.2.1.2.08.00002</t>
  </si>
  <si>
    <t>4.2.1.2.08.00003</t>
  </si>
  <si>
    <t>4.2.1.2.08.00004</t>
  </si>
  <si>
    <t>4.2.1.2.08.00005</t>
  </si>
  <si>
    <t>4.2.1.2.08.00006</t>
  </si>
  <si>
    <t>4.2.1.2.20.00003</t>
  </si>
  <si>
    <t>4.2.1.2.20.00005</t>
  </si>
  <si>
    <t>4.2.1.2.20.00006</t>
  </si>
  <si>
    <t>4.2.1.2.25.00001</t>
  </si>
  <si>
    <t>4.2.1.2.25.00002</t>
  </si>
  <si>
    <t>4.3.1</t>
  </si>
  <si>
    <t>4.3.1.1</t>
  </si>
  <si>
    <t>4.3.1.1.01.00001</t>
  </si>
  <si>
    <t>4.3.1.1.01.00003</t>
  </si>
  <si>
    <t>4.3.1.1.01.00004</t>
  </si>
  <si>
    <t>4.3.1.1.01.00005</t>
  </si>
  <si>
    <t>4.3.1.1.02.00001</t>
  </si>
  <si>
    <t>4.3.1.1.02.00004</t>
  </si>
  <si>
    <t>4.3.1.1.02.00005</t>
  </si>
  <si>
    <t>4.3.1.1.02.00006</t>
  </si>
  <si>
    <t>4.3.1.1.03.00001</t>
  </si>
  <si>
    <t>4.3.1.1.03.00002</t>
  </si>
  <si>
    <t>4.9.1</t>
  </si>
  <si>
    <t>4.9.1.1</t>
  </si>
  <si>
    <t>4.9.1.1.01</t>
  </si>
  <si>
    <t>4.9.1.1.01.00001</t>
  </si>
  <si>
    <t>4.9.1.1.01.00002</t>
  </si>
  <si>
    <t>CUSTOS E DESPESAS</t>
  </si>
  <si>
    <t>CUSTOS</t>
  </si>
  <si>
    <t>CUSTOS - MATRIZ</t>
  </si>
  <si>
    <t>CUSTOS DE PRODUCAO/COMERCIALIZACAO</t>
  </si>
  <si>
    <t>MAO DE OBRA</t>
  </si>
  <si>
    <t>PRO-LABORE</t>
  </si>
  <si>
    <t>SALARIOS E ORDENADOS</t>
  </si>
  <si>
    <t>FERIAS</t>
  </si>
  <si>
    <t>13O. SALARIO</t>
  </si>
  <si>
    <t>BOLSA ESTAGIO</t>
  </si>
  <si>
    <t>INSS</t>
  </si>
  <si>
    <t>FGTS</t>
  </si>
  <si>
    <t>TRANSPORTE/VALE TRANSPORTE</t>
  </si>
  <si>
    <t>REFEICAO/VALE REFEICAO</t>
  </si>
  <si>
    <t>SERVICO TEMPORARIO/TECEIRIZACAO</t>
  </si>
  <si>
    <t>ASSISTENCIA MEDICA/FARMACIA</t>
  </si>
  <si>
    <t>FORMACAO PROFISSIONAL EMPREGADOS</t>
  </si>
  <si>
    <t>UNIFORMES</t>
  </si>
  <si>
    <t>PREMIOS DE SEGUROS</t>
  </si>
  <si>
    <t>MORADIA EMPREGADO</t>
  </si>
  <si>
    <t>PROVISAO/REVERSAO FERIAS</t>
  </si>
  <si>
    <t>PROVISAO/REVERSAO 13O. SALARIO</t>
  </si>
  <si>
    <t>DESPESAS DE VIAGENS</t>
  </si>
  <si>
    <t>ALUGUEL VEICULOS</t>
  </si>
  <si>
    <t>COMBUSTIVEL E LUBRIFICANTES</t>
  </si>
  <si>
    <t>ESTADIAS E REFEICOES</t>
  </si>
  <si>
    <t>PASSAGENS AEREA</t>
  </si>
  <si>
    <t>PEDAGIOS</t>
  </si>
  <si>
    <t>DESPESAS COM VEICULOS</t>
  </si>
  <si>
    <t>MANUTENCAO DE VEICULOS - SERVICOS</t>
  </si>
  <si>
    <t>MANUTENCAO DE VEICULOS - PECAS</t>
  </si>
  <si>
    <t>SEGURO DE VEICULOS</t>
  </si>
  <si>
    <t>IPVA / LICENCIAMENTO</t>
  </si>
  <si>
    <t>MULTA TRANSITO</t>
  </si>
  <si>
    <t>OUTROS GASTOS GERAIS</t>
  </si>
  <si>
    <t>ALUGUEL BENS MOVEIS</t>
  </si>
  <si>
    <t>FRETES</t>
  </si>
  <si>
    <t>IMOBILIZADO DE BAIXO VALOR</t>
  </si>
  <si>
    <t>LIMPEZA E CONSERVACAO</t>
  </si>
  <si>
    <t>MANUTENCAO MAQUINAS E EQUIPTO - PECAS</t>
  </si>
  <si>
    <t>MANUTENCAO MAQUINAS E EQUIPTO - SERVICOS</t>
  </si>
  <si>
    <t>MATERIAL DE USO E CONSUMO</t>
  </si>
  <si>
    <t>COMBUSTIVEIS</t>
  </si>
  <si>
    <t>OUTROS SERVICOS PJ</t>
  </si>
  <si>
    <t>OUTROS SERVICOS PF</t>
  </si>
  <si>
    <t>MATERIA-PRIMA</t>
  </si>
  <si>
    <t>ESTOQUE INICIAL</t>
  </si>
  <si>
    <t>SERVICOS DE TERCEIROS</t>
  </si>
  <si>
    <t>(-) ESTOQUE FINAL</t>
  </si>
  <si>
    <t>PRODUTOS ACABADOS</t>
  </si>
  <si>
    <t>CUSTO MERCADORIAS REVENDIDAS</t>
  </si>
  <si>
    <t>FRETES S/ COMPRAS</t>
  </si>
  <si>
    <t>CUSTO DA PRESTACAO DE SERVICOS</t>
  </si>
  <si>
    <t>COMBUSTIVEL E LUBRIFICANTE</t>
  </si>
  <si>
    <t>GASTOS GERAIS</t>
  </si>
  <si>
    <t>COMBUSTIVEL E LUBRIFICANTES - MAQUINAS</t>
  </si>
  <si>
    <t>DESPESAS OPERACIONAIS</t>
  </si>
  <si>
    <t>DESPESAS COM VENDAS</t>
  </si>
  <si>
    <t>DESPESAS COM PESSOAL</t>
  </si>
  <si>
    <t>TRANSPORTES S/ VENDAS</t>
  </si>
  <si>
    <t>(-) ICMS S/ FRETES</t>
  </si>
  <si>
    <t>COMISSOES SOBRE VENDAS</t>
  </si>
  <si>
    <t>PROPAGANDA E PUBLICIDADE</t>
  </si>
  <si>
    <t>PROPAGANDA, PUBLICIDADE, ANNCIOS</t>
  </si>
  <si>
    <t>PROMOCOES E EVENTOS</t>
  </si>
  <si>
    <t>MATERIAIS PROMOCIONAIS</t>
  </si>
  <si>
    <t>OUTROS DESPESAS COM VENDAS</t>
  </si>
  <si>
    <t>DUPLICATAS INCOBRAVES</t>
  </si>
  <si>
    <t>outros serviços pj</t>
  </si>
  <si>
    <t>doação</t>
  </si>
  <si>
    <t>PROV P/CREDITO DE LIQUIDACAO DUVIDOSA</t>
  </si>
  <si>
    <t>DESPESAS ADMINSTRATIVAS</t>
  </si>
  <si>
    <t>SERVICOS PROFISSIONAIS E CONTRATADOS PJ</t>
  </si>
  <si>
    <t>ASSESSORIA ADVOCATICIA</t>
  </si>
  <si>
    <t>ASSESSORIA CONTABIL</t>
  </si>
  <si>
    <t>AUDITORIA</t>
  </si>
  <si>
    <t>FRETES - OUTROS</t>
  </si>
  <si>
    <t>MANUTENCAO DE SOFTWARE/HARDWARE</t>
  </si>
  <si>
    <t>MANUTENCOES E REPAROS EQUIPTOS.</t>
  </si>
  <si>
    <t>SEGURANCA E VIGILNCIA</t>
  </si>
  <si>
    <t>OUTROS SERVICOS PRESTA.POR PES.JURIDICA</t>
  </si>
  <si>
    <t>DESPESAS COM OCUPACAO</t>
  </si>
  <si>
    <t>ALUGUEIS</t>
  </si>
  <si>
    <t>LIMPEZA E JARDINAGEM</t>
  </si>
  <si>
    <t>MANUTENCOES E REPAROS PREDIAIS</t>
  </si>
  <si>
    <t>UTILIDADES E SERVICOS</t>
  </si>
  <si>
    <t>AGUA E ESGOTO</t>
  </si>
  <si>
    <t>CORREIO, MALOTES E REMESSAS</t>
  </si>
  <si>
    <t>ENERGIA ELETRICA</t>
  </si>
  <si>
    <t>SEGUROS</t>
  </si>
  <si>
    <t>TELEFONE, INTERNET, TELEGRAMA</t>
  </si>
  <si>
    <t>CONSUMO DE MATERIAIS E PRODUTOS</t>
  </si>
  <si>
    <t>COPA, COZINHA E REFEITRIO</t>
  </si>
  <si>
    <t>HIGIENE E LIMPEZA</t>
  </si>
  <si>
    <t>MATERIAL DE ESCRITRIO</t>
  </si>
  <si>
    <t>MATERIAL DE INFORMATICA</t>
  </si>
  <si>
    <t>MATERIAL DE MANUTENCAO</t>
  </si>
  <si>
    <t>DESPESAS GERAIS</t>
  </si>
  <si>
    <t>ALUGUEL DE BENS MOVEIS</t>
  </si>
  <si>
    <t>ANUNCIOS E PUBLICAÇÕES</t>
  </si>
  <si>
    <t>BENS DE PEQUENO VALOR</t>
  </si>
  <si>
    <t>CONTRIB.A ASSOCIACAO DE CLASSE/SINDICATO</t>
  </si>
  <si>
    <t>DESPESAS LEGAIS E JUDICIAIS/CARTORARIAS</t>
  </si>
  <si>
    <t>FESTAS E CONFRATERNIZACOES</t>
  </si>
  <si>
    <t>DESPESAS TRIBUTARIAS</t>
  </si>
  <si>
    <t>IPTU</t>
  </si>
  <si>
    <t>IMPOSTOS E TAXAS</t>
  </si>
  <si>
    <t>IOF</t>
  </si>
  <si>
    <t>DEPRECIACAO/AMORTIZACAO ADM./VENDAS</t>
  </si>
  <si>
    <t>DEPRECIACAO</t>
  </si>
  <si>
    <t>AMORTIZACAO</t>
  </si>
  <si>
    <t>EFEITOS FINANCEIROS LIQUIDOS</t>
  </si>
  <si>
    <t>RECEITAS E DEPESAS FINANCEIRAS</t>
  </si>
  <si>
    <t>RECEITAS FINANCEIRAS</t>
  </si>
  <si>
    <t>RENDIMENTOS DE APLICACOES</t>
  </si>
  <si>
    <t>JUROS</t>
  </si>
  <si>
    <t>DESCONTOS OBTIDOS</t>
  </si>
  <si>
    <t>OUTRAS RECEITAS</t>
  </si>
  <si>
    <t>DESPESAS FINANCEIRAS</t>
  </si>
  <si>
    <t>JUROS SOBRE EMPRESTIMOS</t>
  </si>
  <si>
    <t>JUROS DE MORA</t>
  </si>
  <si>
    <t>DESCONTOS CONCEDIDOS</t>
  </si>
  <si>
    <t>DESPESAS BANCARIAS</t>
  </si>
  <si>
    <t>VARIACAO CAMBIAL</t>
  </si>
  <si>
    <t>VARIACAO CAMBIAL ATIVA (RECEITAS)</t>
  </si>
  <si>
    <t>VARIACAO CAMBIAL PASSIVA (DESPESAS)</t>
  </si>
  <si>
    <t>OUTRAS RECEITAS E DESPESAS</t>
  </si>
  <si>
    <t>RESULTADO NAO OPERACIONAL</t>
  </si>
  <si>
    <t>RESULTADO - VENDA ATIVO IMOBILIZADO</t>
  </si>
  <si>
    <t>VALOR DE VENDA</t>
  </si>
  <si>
    <t>(-) CUSTO</t>
  </si>
  <si>
    <t>DINAMICA 01</t>
  </si>
  <si>
    <t>DINAMICA 02</t>
  </si>
  <si>
    <t>RECEITAS REVENDA (MÊS-12)</t>
  </si>
  <si>
    <t>ATIVO CIRCULANTE</t>
  </si>
  <si>
    <t>ATIVO NAO CIRCULANTE</t>
  </si>
  <si>
    <t>PASSIVO CIRCULANTE</t>
  </si>
  <si>
    <t>PASSIVO NAO CIRCULANTE</t>
  </si>
  <si>
    <t>CIRCULANTE LÍQUIDO</t>
  </si>
  <si>
    <t>INDICADOR</t>
  </si>
  <si>
    <t>MÊS</t>
  </si>
  <si>
    <t>VALOR</t>
  </si>
  <si>
    <t>VARIAÇÃO</t>
  </si>
  <si>
    <t>ANALISE INDIVIDUAL - CONTAS</t>
  </si>
  <si>
    <t>ANALISE INDIVIDUAL - INDICADORES</t>
  </si>
  <si>
    <t xml:space="preserve">    G.4 - Manutenção Máquinas Equiptos - serviços</t>
  </si>
  <si>
    <t xml:space="preserve">    H.4 - Manutenção Máquinas Equiptos - serviços</t>
  </si>
  <si>
    <t>soma</t>
  </si>
  <si>
    <t>rec - custo</t>
  </si>
  <si>
    <t xml:space="preserve">    K.3 - Fretes / Transportes</t>
  </si>
  <si>
    <t xml:space="preserve">    K.3 - Manut. Veic.</t>
  </si>
  <si>
    <t xml:space="preserve">    L.3 - Correios</t>
  </si>
  <si>
    <t xml:space="preserve">    L.3 - Despesas Cartorias</t>
  </si>
  <si>
    <t xml:space="preserve">    L.3 - Mat. Escritório</t>
  </si>
  <si>
    <t xml:space="preserve">    L.4 - Aluguel Bem Móveis</t>
  </si>
  <si>
    <t xml:space="preserve">    L.6 - Energia Elétrica</t>
  </si>
  <si>
    <t xml:space="preserve">    G.8 - Outros - IMOBILIZADO DE BAIXO VALOR</t>
  </si>
  <si>
    <t xml:space="preserve">    G.8 - Outros - LIMPEZA E CONSERVACAO</t>
  </si>
  <si>
    <t xml:space="preserve">    G.8 - Outros - COMBUSTIVEIS</t>
  </si>
  <si>
    <t xml:space="preserve">    G.8 - Outros - OUTROS SERVICOS PF</t>
  </si>
  <si>
    <t>META</t>
  </si>
  <si>
    <t>META ACUMULADA</t>
  </si>
  <si>
    <t>DESPESA ADMIN (MÊS)</t>
  </si>
  <si>
    <t>DESPESA ADMIN (MÊS-1)</t>
  </si>
  <si>
    <t>DESPESA VENDAS (MÊS-12)</t>
  </si>
  <si>
    <t>AUXILIAR MENU RECEITA</t>
  </si>
  <si>
    <t>CUSTO REVENDAS (MÊS-1)</t>
  </si>
  <si>
    <t>CUSTO VENDAS (MÊS-1)</t>
  </si>
  <si>
    <t>DESPESA VENDAS (MÊS)</t>
  </si>
  <si>
    <t>CUSTO REVENDAS (MÊS)</t>
  </si>
  <si>
    <t>CUSTO VENDAS (MÊS)</t>
  </si>
  <si>
    <t>CUSTO SERVIÇO (MÊS)</t>
  </si>
  <si>
    <t>CUSTO SERVIÇO (MÊS-1)</t>
  </si>
  <si>
    <t>AUXILIAR MENU CUSTO / DESPESA</t>
  </si>
  <si>
    <t>ADM MÊS</t>
  </si>
  <si>
    <t>REVENDAS</t>
  </si>
  <si>
    <t>C VENDAS</t>
  </si>
  <si>
    <t>D VENDAS</t>
  </si>
  <si>
    <t>C SERVIÇO</t>
  </si>
  <si>
    <t>CUSTO</t>
  </si>
  <si>
    <t>DESPESA OPERACIONAL</t>
  </si>
  <si>
    <t>DOLAR</t>
  </si>
  <si>
    <t>EURO</t>
  </si>
  <si>
    <t>IGPM</t>
  </si>
  <si>
    <t>SELIC</t>
  </si>
  <si>
    <t>CAPITAL DE GIRO PRÓPRIO</t>
  </si>
  <si>
    <t>GRAU DE ENDIVIDAMENTO ATIVO</t>
  </si>
  <si>
    <t>1.3.3+1.3.4</t>
  </si>
  <si>
    <t>(2.1+2.3)/1</t>
  </si>
  <si>
    <t xml:space="preserve">  1.3  - GRAU DE ENDIVIDAMENTO ATIVO</t>
  </si>
  <si>
    <t xml:space="preserve">  1.4  - RELACAO C 3° X C P</t>
  </si>
  <si>
    <t>2 / 2.9</t>
  </si>
  <si>
    <t>REL. CAP 3° X CAP. PROPRIO</t>
  </si>
  <si>
    <t>LIQUIDEZ CORRENTE</t>
  </si>
  <si>
    <t>LIQUIDEZ SECA</t>
  </si>
  <si>
    <t>LIQUIDEZ GERAL</t>
  </si>
  <si>
    <t>GIRO DO ATIVO</t>
  </si>
  <si>
    <t>RENTABILIDADE DO ATIVO</t>
  </si>
  <si>
    <t>RENTABILIDADE DO PL</t>
  </si>
  <si>
    <t>MARGEM EBIT</t>
  </si>
  <si>
    <t>PM RENOVAÇÃO DE ESTOQUE</t>
  </si>
  <si>
    <t>PM RECEBIMENTO DE VENDAS</t>
  </si>
  <si>
    <t>PM PAGAMENTO DE COMPRAS</t>
  </si>
  <si>
    <t>CICLO FINANCEIRO</t>
  </si>
  <si>
    <t xml:space="preserve">  2.1  - LIQUIDEZ CORRENTE</t>
  </si>
  <si>
    <t xml:space="preserve">  2.2  - LIQUIDEZ SECA</t>
  </si>
  <si>
    <t xml:space="preserve">  2.3  - LIQUIDEZ GERAL</t>
  </si>
  <si>
    <t>1.1 / 2.1</t>
  </si>
  <si>
    <t>(1.1 - 1.1.1.6 - 1.1.1.9) / 2.1</t>
  </si>
  <si>
    <t>D</t>
  </si>
  <si>
    <t>3.1 / 1</t>
  </si>
  <si>
    <t>(1.1 + 1.3.1) / (2.1 + 2.3)</t>
  </si>
  <si>
    <t>8 / 1</t>
  </si>
  <si>
    <t>8 / 29</t>
  </si>
  <si>
    <t>9 / 3.1</t>
  </si>
  <si>
    <t>1.1.1.6 estoque / (4.1.1.1.20 rev + 4.1.1.1.13 pa) * 30</t>
  </si>
  <si>
    <t>(1.1.1.3.01 / 3.1.1.1.01) * 30</t>
  </si>
  <si>
    <t>Receitas Líquidas</t>
  </si>
  <si>
    <t>Custo</t>
  </si>
  <si>
    <t>RECEITA LÍQUIDA - VENDAS PRODUTOS</t>
  </si>
  <si>
    <t>RECEITA LÍQUIDA - SERVIÇOS E LOCAÇÕES</t>
  </si>
  <si>
    <t>CUSTO - VENDAS PRODUTOS</t>
  </si>
  <si>
    <t>RECEITA LÍQUIDA - REVENDAS MERCADORIAS</t>
  </si>
  <si>
    <t>CUSTO - REVENDAS MERCADORIAS</t>
  </si>
  <si>
    <t>CUSTO - SERVIÇO / LOCAÇÕES</t>
  </si>
  <si>
    <t>DEMONSTRAÇÃO RESULTADO DO EXERCICIO</t>
  </si>
  <si>
    <t>COMPOSIÇÃO</t>
  </si>
  <si>
    <t>DUPLICATAS A RECEBER</t>
  </si>
  <si>
    <t>ESTOQUE</t>
  </si>
  <si>
    <t>Meta</t>
  </si>
  <si>
    <t>Maquinas e Equipamentos - Produção</t>
  </si>
  <si>
    <t>1.1.1.7.06</t>
  </si>
  <si>
    <t>Caixa e Bancos</t>
  </si>
  <si>
    <t xml:space="preserve">    L.6 - Água</t>
  </si>
  <si>
    <t>Média de Meta</t>
  </si>
  <si>
    <t>Soma de Meta</t>
  </si>
  <si>
    <t>Soma de Valor</t>
  </si>
  <si>
    <t xml:space="preserve">CUSTO VENDA / RECEITA </t>
  </si>
  <si>
    <t xml:space="preserve">CUSTO REVENDA / RECEITA </t>
  </si>
  <si>
    <t xml:space="preserve">CUSTO SERVICO / RECEITA </t>
  </si>
  <si>
    <t>PERIODO</t>
  </si>
  <si>
    <t>R$</t>
  </si>
  <si>
    <t>Anual</t>
  </si>
  <si>
    <t>Fornecedores Nacionais LP</t>
  </si>
  <si>
    <t>Emprestimos de Terceiros LP</t>
  </si>
  <si>
    <t>AC. RENTABILIDADE DO ATIVO</t>
  </si>
  <si>
    <t>AC. RENTABILIDADE DO PL</t>
  </si>
  <si>
    <t>DEIXAR DUAS COLUNAS DE ESPAÇO</t>
  </si>
  <si>
    <t>1.1.1.3.03</t>
  </si>
  <si>
    <t>Clientes Exterior</t>
  </si>
  <si>
    <t>1.1.1.7.03</t>
  </si>
  <si>
    <t>LOGADO</t>
  </si>
  <si>
    <t>NEWS</t>
  </si>
  <si>
    <t>NAO</t>
  </si>
  <si>
    <t>1.1.1.7.07</t>
  </si>
  <si>
    <t>Compra - Entrega Futura</t>
  </si>
  <si>
    <t>atualizado até:</t>
  </si>
  <si>
    <t>FATURAMENTO</t>
  </si>
  <si>
    <t>MÊS/ANO</t>
  </si>
  <si>
    <t xml:space="preserve">R$ </t>
  </si>
  <si>
    <t xml:space="preserve">MÊS/ANO </t>
  </si>
  <si>
    <t>FEVEREIRO</t>
  </si>
  <si>
    <t>JANEIRO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</si>
  <si>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</si>
  <si>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</si>
  <si>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</si>
  <si>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</si>
  <si>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</si>
  <si>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</si>
  <si>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</si>
  <si>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</si>
  <si>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</si>
  <si>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</si>
  <si>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3.1.1.2.02.00001</t>
  </si>
  <si>
    <t>Devolucoes - Terceiros</t>
  </si>
  <si>
    <t>TOTAL PERÍODO</t>
  </si>
  <si>
    <t>1.1.1.7.08</t>
  </si>
  <si>
    <t>Programa Apoio Empreendedor</t>
  </si>
  <si>
    <t>ADIANTAMENTO TERCEIRO (CLIENTE)</t>
  </si>
  <si>
    <t>SEGURO DO PREDIO</t>
  </si>
  <si>
    <t>2.9.4.1.01.00001</t>
  </si>
  <si>
    <t>Reserva de Lucros</t>
  </si>
  <si>
    <t>SIM</t>
  </si>
  <si>
    <t>2.1.1.7.02</t>
  </si>
  <si>
    <t>Juros s/ Capital Proprio</t>
  </si>
  <si>
    <t>4.3.1.1.02.00008</t>
  </si>
  <si>
    <t>JUROS S/ CAPITAL PROPRIO</t>
  </si>
  <si>
    <t>Coluna1</t>
  </si>
  <si>
    <t>Coluna2</t>
  </si>
  <si>
    <t>Coluna27</t>
  </si>
  <si>
    <t>Coluna28</t>
  </si>
  <si>
    <t>Coluna29</t>
  </si>
  <si>
    <t>Coluna30</t>
  </si>
  <si>
    <t>Coluna26</t>
  </si>
  <si>
    <t>Coluna3</t>
  </si>
  <si>
    <t>Coluna4</t>
  </si>
  <si>
    <t>Coluna5</t>
  </si>
  <si>
    <t>Coluna6</t>
  </si>
  <si>
    <t>Coluna7</t>
  </si>
  <si>
    <t>Coluna8</t>
  </si>
  <si>
    <t>Coluna9</t>
  </si>
  <si>
    <t>Coluna10</t>
  </si>
  <si>
    <t>Coluna11</t>
  </si>
  <si>
    <t>Coluna12</t>
  </si>
  <si>
    <t>Coluna13</t>
  </si>
  <si>
    <t>Coluna14</t>
  </si>
  <si>
    <t>Coluna33</t>
  </si>
  <si>
    <t>Coluna15</t>
  </si>
  <si>
    <t>Coluna16</t>
  </si>
  <si>
    <t>Coluna17</t>
  </si>
  <si>
    <t>Coluna18</t>
  </si>
  <si>
    <t>Coluna19</t>
  </si>
  <si>
    <t>Coluna20</t>
  </si>
  <si>
    <t>Coluna21</t>
  </si>
  <si>
    <t>Coluna22</t>
  </si>
  <si>
    <t>Coluna23</t>
  </si>
  <si>
    <t>Coluna24</t>
  </si>
  <si>
    <t>Coluna25</t>
  </si>
  <si>
    <t>Coluna31</t>
  </si>
  <si>
    <t>Coluna34</t>
  </si>
  <si>
    <t>Coluna32</t>
  </si>
  <si>
    <t>Coluna35</t>
  </si>
  <si>
    <t>Coluna36</t>
  </si>
  <si>
    <t>Coluna37</t>
  </si>
  <si>
    <t>Coluna38</t>
  </si>
  <si>
    <t>Coluna39</t>
  </si>
  <si>
    <t>Coluna40</t>
  </si>
  <si>
    <t>Coluna41</t>
  </si>
  <si>
    <t>Coluna42</t>
  </si>
  <si>
    <t>Coluna43</t>
  </si>
  <si>
    <t>Coluna44</t>
  </si>
  <si>
    <t>Coluna45</t>
  </si>
  <si>
    <t>Coluna46</t>
  </si>
  <si>
    <t>Coluna47</t>
  </si>
  <si>
    <t>Coluna48</t>
  </si>
  <si>
    <t>Coluna49</t>
  </si>
  <si>
    <t>Coluna50</t>
  </si>
  <si>
    <t>Coluna51</t>
  </si>
  <si>
    <t>Coluna52</t>
  </si>
  <si>
    <t>Coluna53</t>
  </si>
  <si>
    <t>Coluna54</t>
  </si>
  <si>
    <t>Coluna55</t>
  </si>
  <si>
    <t>Coluna56</t>
  </si>
  <si>
    <t>Coluna57</t>
  </si>
  <si>
    <t>Coluna58</t>
  </si>
  <si>
    <t>Coluna59</t>
  </si>
  <si>
    <t>Lucro Antes dos Juros s/ Capital Proprio</t>
  </si>
  <si>
    <t>D16</t>
  </si>
  <si>
    <t>RL10</t>
  </si>
  <si>
    <t>RL11</t>
  </si>
  <si>
    <t>RL12</t>
  </si>
  <si>
    <t>C13</t>
  </si>
  <si>
    <t>C14</t>
  </si>
  <si>
    <t>C15</t>
  </si>
  <si>
    <t>Reversão Juros s/ Capital Proprio</t>
  </si>
  <si>
    <t>_____________________________________________________________</t>
  </si>
  <si>
    <t>DEMONSTRAÇÃO DO FLUXO DE CAIXA - MÉTODO INDIRETO</t>
  </si>
  <si>
    <t>( Em  R$ )</t>
  </si>
  <si>
    <t xml:space="preserve"> </t>
  </si>
  <si>
    <t xml:space="preserve"> A-  ATIVIDADES OPERACIONAIS</t>
  </si>
  <si>
    <t>LUCRO LÍQUIDO AJUSTADO:</t>
  </si>
  <si>
    <t>Equivalencia Patrimonial</t>
  </si>
  <si>
    <t>Ajuste Exercicio Anteriores</t>
  </si>
  <si>
    <t>Total do Lucro Líquido Ajustado</t>
  </si>
  <si>
    <t>(ACRÉSCIMO) / DECRÉSCIMO DO ATIVO:</t>
  </si>
  <si>
    <t>Contas a receber / titulos a receber</t>
  </si>
  <si>
    <t>Tributos a compensar</t>
  </si>
  <si>
    <t>Depósitos e Cauções</t>
  </si>
  <si>
    <t>Adiantamentos</t>
  </si>
  <si>
    <t>Despesas de Exercícios Seguintes</t>
  </si>
  <si>
    <t>Total do (Acréscimo) / Decréscimo do Ativo</t>
  </si>
  <si>
    <t>ACRÉSCIMO / (DECRÉSCIMO) DO PASSIVO:</t>
  </si>
  <si>
    <t>Fornecedores</t>
  </si>
  <si>
    <t>Salários e encargos</t>
  </si>
  <si>
    <t>Tributos a recolher</t>
  </si>
  <si>
    <t>Adiantamentos de Terceiros</t>
  </si>
  <si>
    <t>Outras</t>
  </si>
  <si>
    <t>Total do Acréscimo / (Decréscimo) do Passivo</t>
  </si>
  <si>
    <t>Total das atividades operacionais</t>
  </si>
  <si>
    <t xml:space="preserve"> B-  ATIVIDADES DE INVESTIMENTO </t>
  </si>
  <si>
    <t>Investimentos - Participação Societária</t>
  </si>
  <si>
    <t>(Aquisições) / vendas de imobilizado</t>
  </si>
  <si>
    <t>Total das atividades de investimento</t>
  </si>
  <si>
    <t xml:space="preserve"> C-  ATIVIDADES DE FINANCIAMENTO </t>
  </si>
  <si>
    <t>Dividendos propostos e pagos e juros sobre capital próprio</t>
  </si>
  <si>
    <t>Captação (pagamento) de empréstimos</t>
  </si>
  <si>
    <t>Total das atividades de financiamento</t>
  </si>
  <si>
    <t>D- TOTAL DOS EFEITOS NO CAIXA (A+B+C)</t>
  </si>
  <si>
    <t>Saldo inicial do caixa</t>
  </si>
  <si>
    <t>Saldo final do caixa</t>
  </si>
  <si>
    <t>Variação no caixa</t>
  </si>
  <si>
    <t>TIPO</t>
  </si>
  <si>
    <t>MENSAL</t>
  </si>
  <si>
    <t>ANUAL</t>
  </si>
  <si>
    <t>DATA REFERENCIA</t>
  </si>
  <si>
    <t>TRIMESTRAL</t>
  </si>
  <si>
    <t>DATA FORM</t>
  </si>
  <si>
    <t>COLUNA BANCO</t>
  </si>
  <si>
    <t>2.1.SEM CONTA</t>
  </si>
  <si>
    <t>DFC</t>
  </si>
  <si>
    <t>LAYOUT DFC</t>
  </si>
  <si>
    <t>TESTE ANUAL</t>
  </si>
  <si>
    <t>LINHA</t>
  </si>
  <si>
    <t>COLUNA</t>
  </si>
  <si>
    <t>QUANTIDADE</t>
  </si>
  <si>
    <t>MÊS REF</t>
  </si>
  <si>
    <t>COLUNA ANUAL</t>
  </si>
  <si>
    <t>COLUNA ATUAL</t>
  </si>
  <si>
    <t>Equivalencia Patrimonial Atual</t>
  </si>
  <si>
    <t>Equivalencia Patrimonial Anterior</t>
  </si>
  <si>
    <t>DIVIDENDOS ANUAL</t>
  </si>
  <si>
    <t>VALORES EM (R$)</t>
  </si>
  <si>
    <t>TRIMESTRE FORM</t>
  </si>
  <si>
    <t>TESTE TRIMESTRAL</t>
  </si>
  <si>
    <t>TRIMESTRE</t>
  </si>
  <si>
    <t>COLUNA INICIAL</t>
  </si>
  <si>
    <t>COLUNA FINAL</t>
  </si>
  <si>
    <t>COLUNA REF INI</t>
  </si>
  <si>
    <t>COLUNA REF FIN</t>
  </si>
  <si>
    <t>COLUNA 2</t>
  </si>
  <si>
    <t>COLUNA R</t>
  </si>
  <si>
    <t>COLUNA S</t>
  </si>
  <si>
    <t>COLUNA T</t>
  </si>
  <si>
    <t>Trimestral</t>
  </si>
  <si>
    <t>Lucro (Prejuizo) Líquido (Reversão Juros s/ Capital Proprio)</t>
  </si>
  <si>
    <t>2.1.1.1.02</t>
  </si>
  <si>
    <t>Fornecedor - Compras para Entrega Futura</t>
  </si>
  <si>
    <t>1T 2021</t>
  </si>
  <si>
    <t>2T 2021</t>
  </si>
  <si>
    <t>3T 2021</t>
  </si>
  <si>
    <t>4T 2021</t>
  </si>
  <si>
    <t>1T 2022</t>
  </si>
  <si>
    <t>2T 2022</t>
  </si>
  <si>
    <t>1T</t>
  </si>
  <si>
    <t>2T</t>
  </si>
  <si>
    <t>3T</t>
  </si>
  <si>
    <t>Liquidez corrente</t>
  </si>
  <si>
    <t>1.1/2.1</t>
  </si>
  <si>
    <t>4T</t>
  </si>
  <si>
    <t>9 + 4.2.1.2.25</t>
  </si>
  <si>
    <t>9/3.1</t>
  </si>
  <si>
    <t>8/3.1</t>
  </si>
  <si>
    <t>8/2.9</t>
  </si>
  <si>
    <t>8/1</t>
  </si>
  <si>
    <t>valores /1000 - WEG https://valor.globo.com/empresas/valor-empresas-360/weg/</t>
  </si>
  <si>
    <t>valores /1000 - AGF</t>
  </si>
  <si>
    <t>% Lucro operacional (Ebit)</t>
  </si>
  <si>
    <t>% Custo</t>
  </si>
  <si>
    <t>% Ebitda</t>
  </si>
  <si>
    <t>% Lucro Liquido</t>
  </si>
  <si>
    <t>% Margem operacional (Ebit)</t>
  </si>
  <si>
    <t>% Margem líq. dos acionistas</t>
  </si>
  <si>
    <t>% Retorno sobre o PL</t>
  </si>
  <si>
    <t>% Retorno sobre bens e direitos</t>
  </si>
  <si>
    <t xml:space="preserve">(Evolução) % Ativo </t>
  </si>
  <si>
    <t>(Evolução) % Passivo</t>
  </si>
  <si>
    <t xml:space="preserve">(Evolução) % Patrimonio Liquido </t>
  </si>
  <si>
    <t xml:space="preserve">(Evolução) % Receita líquida </t>
  </si>
  <si>
    <t>EXPORTACÃO</t>
  </si>
  <si>
    <t>FIM</t>
  </si>
  <si>
    <t>INICIO</t>
  </si>
  <si>
    <t>https://sicalc.receita.economia.gov.br/sicalc/selic/consulta</t>
  </si>
  <si>
    <t>https://www.mobills.com.br/tabelas/igp-m/</t>
  </si>
  <si>
    <t>https://www.bcb.gov.br/estabilidadefinanceira/historicocotacoes</t>
  </si>
  <si>
    <t>DEMONSTRAÇÃO DO RESULTADO DO EXERCICIO - MENSAL</t>
  </si>
  <si>
    <t>DEMONSTRAÇÃO DO RESULTADO DO EXERCICIO - TRIMESTRE</t>
  </si>
  <si>
    <t>DEMONSTRAÇÃO DO RESULTADO DO EXERCICIO - SEMESTRE</t>
  </si>
  <si>
    <t>BALANÇO PATRIMONIAL - MENSAL</t>
  </si>
  <si>
    <t>BALANÇO PATRIMONIAL - TRIMESTRAL</t>
  </si>
  <si>
    <t>BALANÇO PATRIMONIAL - SEMESTRAL</t>
  </si>
  <si>
    <t>ICMS</t>
  </si>
  <si>
    <t>IPI</t>
  </si>
  <si>
    <t>PIS</t>
  </si>
  <si>
    <t>COFINS</t>
  </si>
  <si>
    <t>2.1.1.5.01.00002</t>
  </si>
  <si>
    <t>2.1.1.5.01.00001</t>
  </si>
  <si>
    <t>2.1.1.5.02.00002</t>
  </si>
  <si>
    <t>2.1.1.5.02.00001</t>
  </si>
  <si>
    <t>Recolher</t>
  </si>
  <si>
    <t>1.1.1.5.01.00005</t>
  </si>
  <si>
    <t>1.1.1.5.01.00007</t>
  </si>
  <si>
    <t>1.1.1.5.02.00002</t>
  </si>
  <si>
    <t>1.1.1.5.02.00001</t>
  </si>
  <si>
    <t>Recuperar</t>
  </si>
  <si>
    <t>IPI a Recolher</t>
  </si>
  <si>
    <t>ICMS a Recolher</t>
  </si>
  <si>
    <t>Cofins a Recolher</t>
  </si>
  <si>
    <t>Pis a Recolher</t>
  </si>
  <si>
    <t>IPI a Recuperar</t>
  </si>
  <si>
    <t>ICMS a Recuperar</t>
  </si>
  <si>
    <t>Cofins a Recuperar</t>
  </si>
  <si>
    <t>Pis a Recuperar</t>
  </si>
  <si>
    <t>1.1.1.5.03</t>
  </si>
  <si>
    <t>1.1.1.5.04</t>
  </si>
  <si>
    <t>Impostos com Pedido de Ressarcimento</t>
  </si>
  <si>
    <t>Ciap Credito ICMS</t>
  </si>
  <si>
    <t>AUXILIAR IMPOSTOS</t>
  </si>
  <si>
    <t>CIAP</t>
  </si>
  <si>
    <t>PED COMPESACAO</t>
  </si>
  <si>
    <t>4.2.1.2.90</t>
  </si>
  <si>
    <t>DOACAO/PATROCINIO COM INCENTIVOS FISCAIS</t>
  </si>
  <si>
    <t>CULTURAL E ARTISTICO (LEI NO 8.313/1991)</t>
  </si>
  <si>
    <t>4.2.1.2.90.00001</t>
  </si>
  <si>
    <t>Doação/Patrocinio com Incetivos Fiscais</t>
  </si>
  <si>
    <t>Lucro do Exercício</t>
  </si>
  <si>
    <t>1.3.2.2</t>
  </si>
  <si>
    <t>1.3.2.3</t>
  </si>
  <si>
    <t>Participações Societaria</t>
  </si>
  <si>
    <t>Aplicações Financeiras LP</t>
  </si>
  <si>
    <t>COLUNA 1º MÊS DO ANO</t>
  </si>
  <si>
    <t>SOMAR ATE</t>
  </si>
  <si>
    <t>SOMAR PERIODO ANUAL ANO ANTERIOR</t>
  </si>
  <si>
    <t>Aplicações Longo Prazo</t>
  </si>
  <si>
    <t>3T 2022</t>
  </si>
  <si>
    <t>valores /1000 - ARMAC https://valor.globo.com/empresas/valor-empresas-360/armac/</t>
  </si>
  <si>
    <t>valores /1000 - KEPLER - https://valor.globo.com/empresas/valor-empresas-360/kepler-weber/</t>
  </si>
  <si>
    <t>valores /1000 - SCHULZ - https://valor.globo.com/empresas/valor-empresas-360/schulz/</t>
  </si>
  <si>
    <t>WACC</t>
  </si>
  <si>
    <t>JUROS SOBRE CAPITAL PROPRIO</t>
  </si>
  <si>
    <t>PL</t>
  </si>
  <si>
    <t>DIVIDENDOS MÊS ATUAL - MÊS ANTERIOR</t>
  </si>
  <si>
    <t>CUSTO CAPITAL PROPRIO</t>
  </si>
  <si>
    <t>CUSTO CAPITAL TERCEIRO</t>
  </si>
  <si>
    <t>EMPRESTIMOS/FINANCIAMENTO CP</t>
  </si>
  <si>
    <t>EMPRESTIMOS/FINANCIAMENTO LP</t>
  </si>
  <si>
    <t>JUROS S EMPRESTIMOS + MULTAS</t>
  </si>
  <si>
    <t>SELIC REFERENTE AO MÊS</t>
  </si>
  <si>
    <t>V</t>
  </si>
  <si>
    <t>E</t>
  </si>
  <si>
    <t>TC</t>
  </si>
  <si>
    <t>CUSTO MEDIO PONDERADO (WACC)</t>
  </si>
  <si>
    <t>X12</t>
  </si>
  <si>
    <t>RETORNO (LUCRO LIQUIDO)</t>
  </si>
  <si>
    <t>X1</t>
  </si>
  <si>
    <t>EVA</t>
  </si>
  <si>
    <t>RECEITA LIQUIDO</t>
  </si>
  <si>
    <t>LUCRO LIQUIDO</t>
  </si>
  <si>
    <t>EBIT</t>
  </si>
  <si>
    <t>CAPITAL TOTAL</t>
  </si>
  <si>
    <t>ROI</t>
  </si>
  <si>
    <t>DADOS DRE METAS</t>
  </si>
  <si>
    <t>AC. EBIT ANUAL</t>
  </si>
  <si>
    <t>%</t>
  </si>
  <si>
    <t>AUXILIAR MENU EBIT</t>
  </si>
  <si>
    <t>Aplicação Longo Prazo</t>
  </si>
  <si>
    <t>Doações Com Incetivos</t>
  </si>
  <si>
    <t>2.9.8.1.01.00007</t>
  </si>
  <si>
    <t>Ajustes Exercicios Anteriores</t>
  </si>
  <si>
    <t>JSCP ANUAL</t>
  </si>
  <si>
    <t>JSCP Atual</t>
  </si>
  <si>
    <t>4.2.1.2.08.00011</t>
  </si>
  <si>
    <t>DOACOES A ENTIDADES CIVIS</t>
  </si>
  <si>
    <t>1.1.1.8</t>
  </si>
  <si>
    <t>Imobilizado em Andamento</t>
  </si>
  <si>
    <t>1.3.3.1.03</t>
  </si>
  <si>
    <t>1.1.1.5.01.00011</t>
  </si>
  <si>
    <t>ICMS Destino</t>
  </si>
  <si>
    <t>ICMS Difal Restituição</t>
  </si>
  <si>
    <t>TRIBUTOS LUCRO REAL X LUCRO ESTIMATIVA</t>
  </si>
  <si>
    <t>TRIBUTO LUCRO REAL</t>
  </si>
  <si>
    <t>TRIBUTO LUCRO ESTIMATIVA</t>
  </si>
  <si>
    <t>1.1.1.5.01.00015</t>
  </si>
  <si>
    <t>1.1.1.5.02.00015</t>
  </si>
  <si>
    <t>IRPJ Recolhido por Estimativa</t>
  </si>
  <si>
    <t>CSLL Recolhido por Estimativa</t>
  </si>
  <si>
    <t xml:space="preserve">    K.7- Outros Servicos PJ</t>
  </si>
  <si>
    <t xml:space="preserve">    K.6- Duplicatas Incobraveis</t>
  </si>
  <si>
    <t xml:space="preserve">    K.8- Doação</t>
  </si>
  <si>
    <t xml:space="preserve">    K.9- Prov p/ Credito de Liquidação Duvidosa</t>
  </si>
  <si>
    <t xml:space="preserve">    K.4 - Manut. Veic.</t>
  </si>
  <si>
    <t xml:space="preserve">    K.5 - Viagens e Estadias</t>
  </si>
  <si>
    <t xml:space="preserve">    K.6 - Propaganda / Publicidade / Feiras / Eventos</t>
  </si>
  <si>
    <t xml:space="preserve">    K.7 - Duplicatas Incobraveis</t>
  </si>
  <si>
    <t xml:space="preserve">    K.8 - Outros Servicos PJ</t>
  </si>
  <si>
    <t xml:space="preserve">    K.9 - Doação</t>
  </si>
  <si>
    <t xml:space="preserve">    K.10 - Prov p/ Credito de Liquidação Duvidosa</t>
  </si>
  <si>
    <t>FORNECEDORES NACIONAIS</t>
  </si>
  <si>
    <t>FORNECEDORES EXTERIOR</t>
  </si>
  <si>
    <t>Coluna116</t>
  </si>
  <si>
    <t>Coluna117</t>
  </si>
  <si>
    <t>Coluna118</t>
  </si>
  <si>
    <t>Coluna119</t>
  </si>
  <si>
    <t>Coluna120</t>
  </si>
  <si>
    <t>Coluna121</t>
  </si>
  <si>
    <t>Coluna122</t>
  </si>
  <si>
    <t>Coluna123</t>
  </si>
  <si>
    <t>Coluna124</t>
  </si>
  <si>
    <t>Coluna125</t>
  </si>
  <si>
    <t>Coluna126</t>
  </si>
  <si>
    <t>Coluna127</t>
  </si>
  <si>
    <t>Coluna128</t>
  </si>
  <si>
    <t>REL. ESTOQUE/FATURAMENTO</t>
  </si>
  <si>
    <t>TESTE ULTIMO 12 MESES</t>
  </si>
  <si>
    <t>DATA</t>
  </si>
  <si>
    <t>DE</t>
  </si>
  <si>
    <t>ATÉ</t>
  </si>
  <si>
    <t>12 MESES</t>
  </si>
  <si>
    <t>Balancete Junho 2023</t>
  </si>
  <si>
    <t>Demonstração Resultado Acumulado 2023</t>
  </si>
  <si>
    <t>DEMONSTRAÇÃO FLUXO DE CAIXA INDIRETO TRIMESTRAL JUNHO 2023</t>
  </si>
  <si>
    <t>REFERENTE A VARIAÇÃO DO PERIODO 03/2023 À 06/2023</t>
  </si>
  <si>
    <t>RELAÇÃO DE FATURAMENTO ATÉ AGOSTO 2023</t>
  </si>
  <si>
    <t>SETEMBRO 2022</t>
  </si>
  <si>
    <t>MARÇO 2023</t>
  </si>
  <si>
    <t>OUTUBRO 2022</t>
  </si>
  <si>
    <t>ABRIL 2023</t>
  </si>
  <si>
    <t>NOVEMBRO 2022</t>
  </si>
  <si>
    <t>MAIO 2023</t>
  </si>
  <si>
    <t>DEZEMBRO 2022</t>
  </si>
  <si>
    <t>JUNHO 2023</t>
  </si>
  <si>
    <t>JANEIRO 2023</t>
  </si>
  <si>
    <t>JULHO 2023</t>
  </si>
  <si>
    <t>FEVEREIRO 2023</t>
  </si>
  <si>
    <t>AGOSTO 2023</t>
  </si>
  <si>
    <t>FORNECEDOR NACIONAL</t>
  </si>
  <si>
    <t>1.1.1.7.02</t>
  </si>
  <si>
    <t>Coluna170</t>
  </si>
  <si>
    <t>Coluna171</t>
  </si>
  <si>
    <t>Coluna172</t>
  </si>
  <si>
    <t>Coluna173</t>
  </si>
  <si>
    <t>Coluna174</t>
  </si>
  <si>
    <t>Coluna175</t>
  </si>
  <si>
    <t>Coluna176</t>
  </si>
  <si>
    <t>Coluna177</t>
  </si>
  <si>
    <t>Coluna178</t>
  </si>
  <si>
    <t>Coluna179</t>
  </si>
  <si>
    <t>Coluna180</t>
  </si>
  <si>
    <t>Coluna181</t>
  </si>
  <si>
    <t>Coluna182</t>
  </si>
  <si>
    <t>PRODUCAO</t>
  </si>
  <si>
    <t>PRESTAÇAO SERVIÇO</t>
  </si>
  <si>
    <t>COMERCIAL</t>
  </si>
  <si>
    <t>ADMINISTRATIVO</t>
  </si>
  <si>
    <t>EVOLUÇÃO MAO DE OBRA</t>
  </si>
  <si>
    <t>RECEITA LIQUIDA</t>
  </si>
  <si>
    <t>TOTAL MO</t>
  </si>
  <si>
    <t>2024</t>
  </si>
  <si>
    <t>4T 2022</t>
  </si>
  <si>
    <t>1T 2023</t>
  </si>
  <si>
    <t>2T 2023</t>
  </si>
  <si>
    <t>3T 2023</t>
  </si>
  <si>
    <t>4T 2023</t>
  </si>
  <si>
    <t>1T 2024</t>
  </si>
  <si>
    <t>PL (%)</t>
  </si>
  <si>
    <t>,</t>
  </si>
  <si>
    <t>Verificar</t>
  </si>
  <si>
    <t>META 2025</t>
  </si>
  <si>
    <t>NEC CAPITAL GIRO - PRAZOS MEDIOS</t>
  </si>
  <si>
    <t>Coluna237</t>
  </si>
  <si>
    <t>Coluna238</t>
  </si>
  <si>
    <t>Coluna239</t>
  </si>
  <si>
    <t>Coluna240</t>
  </si>
  <si>
    <t>Coluna241</t>
  </si>
  <si>
    <t>Coluna242</t>
  </si>
  <si>
    <t>Coluna243</t>
  </si>
  <si>
    <t>Coluna244</t>
  </si>
  <si>
    <t>Coluna245</t>
  </si>
  <si>
    <t>Coluna246</t>
  </si>
  <si>
    <t>Coluna247</t>
  </si>
  <si>
    <t>Coluna248</t>
  </si>
  <si>
    <t>Coluna249</t>
  </si>
  <si>
    <t>Rótulos de Linha</t>
  </si>
  <si>
    <t>ESTOQUE Total</t>
  </si>
  <si>
    <t>Total Geral</t>
  </si>
  <si>
    <t>#REF</t>
  </si>
  <si>
    <t>GASTOS GERAIS PROD E MERC REV</t>
  </si>
  <si>
    <t>GASTOS GERAIS PRESTACAO SERVIÇO</t>
  </si>
  <si>
    <t>DESPESAS ADMINISTRATIVAS</t>
  </si>
  <si>
    <t>Faturamento</t>
  </si>
  <si>
    <t>Valor R$</t>
  </si>
  <si>
    <t>Faturamento R$</t>
  </si>
  <si>
    <t>2.3.6.1</t>
  </si>
  <si>
    <t>Dividendos Longo Prazo</t>
  </si>
  <si>
    <t>1.3.1.3</t>
  </si>
  <si>
    <t>Clientes Longo Prazo</t>
  </si>
  <si>
    <t>Coluna287</t>
  </si>
  <si>
    <t>Coluna288</t>
  </si>
  <si>
    <t>Coluna289</t>
  </si>
  <si>
    <t>Coluna290</t>
  </si>
  <si>
    <t>Coluna291</t>
  </si>
  <si>
    <t>Coluna292</t>
  </si>
  <si>
    <t>Coluna293</t>
  </si>
  <si>
    <t>Coluna294</t>
  </si>
  <si>
    <t>Coluna295</t>
  </si>
  <si>
    <t>Coluna296</t>
  </si>
  <si>
    <t>Coluna297</t>
  </si>
  <si>
    <t>Coluna298</t>
  </si>
  <si>
    <t>2025</t>
  </si>
  <si>
    <t>Coluna299</t>
  </si>
  <si>
    <t>Coluna300</t>
  </si>
  <si>
    <t>Coluna301</t>
  </si>
  <si>
    <t>Coluna302</t>
  </si>
  <si>
    <t>Coluna303</t>
  </si>
  <si>
    <t>Coluna60</t>
  </si>
  <si>
    <t>Coluna61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</si>
</sst>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416]mmm\-yy;@"/>
    <numFmt numFmtId="167" formatCode=";;;"/>
    <numFmt numFmtId="168" formatCode="&quot;R$&quot;\ * #,##0.00;&quot;R$&quot;\ * \(\ #,##0.00\)"/>
    <numFmt numFmtId="169" formatCode="0.00%;\(0.00%\)"/>
    <numFmt numFmtId="170" formatCode="_-\ * #,##0.00_-;\-\ * #,##0.00_-;_-\ * &quot;-&quot;??_-;_-@_-"/>
    <numFmt numFmtId="171" formatCode="_-&quot;R$&quot;* #,##0.00_-;\-&quot;R$&quot;* #,##0.00_-;_-&quot;R$&quot;* &quot;-&quot;??_-;_-@_-"/>
    <numFmt numFmtId="172" formatCode="mmmm\,\ yyyy;@"/>
    <numFmt numFmtId="173" formatCode="dd\ &quot;de&quot;\ mmmm\ &quot;de&quot;\ yyyy"/>
    <numFmt numFmtId="174" formatCode="mm/yyyy"/>
    <numFmt numFmtId="175" formatCode="&quot;R$&quot;\ \ #,##0.00;&quot;R$&quot;\ \ \(\ #,##0.00\)"/>
    <numFmt numFmtId="176" formatCode="0.0000"/>
    <numFmt numFmtId="177" formatCode="[$-416]yyyy;@"/>
    <numFmt numFmtId="178" formatCode="&quot;R$&quot;\ #,##0.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rgb="FF000000"/>
      <name val="Roboto"/>
    </font>
    <font>
      <b/>
      <sz val="16"/>
      <color theme="0"/>
      <name val="Roboto"/>
    </font>
    <font>
      <b/>
      <sz val="9"/>
      <color indexed="81"/>
      <name val="Segoe UI"/>
      <family val="2"/>
    </font>
    <font>
      <sz val="11"/>
      <color theme="1"/>
      <name val="Arial"/>
      <family val="2"/>
    </font>
    <font>
      <sz val="16"/>
      <color theme="1"/>
      <name val="Calibri"/>
      <family val="2"/>
      <scheme val="minor"/>
    </font>
    <font>
      <sz val="16"/>
      <color theme="1"/>
      <name val="Bahnschrift Light"/>
      <family val="2"/>
    </font>
    <font>
      <sz val="11"/>
      <color rgb="FF333333"/>
      <name val="Segoe UI"/>
      <family val="2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0"/>
      <name val="Bahnschrift Light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11"/>
      <color theme="0"/>
      <name val="Bahnschrift Light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AC62A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4833E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double">
        <color rgb="FFFF8001"/>
      </top>
      <bottom/>
      <diagonal/>
    </border>
    <border>
      <left/>
      <right/>
      <top style="thin">
        <color theme="4"/>
      </top>
      <bottom style="double">
        <color indexed="64"/>
      </bottom>
      <diagonal/>
    </border>
    <border>
      <left/>
      <right style="thick">
        <color rgb="FFFF8001"/>
      </right>
      <top/>
      <bottom style="double">
        <color rgb="FFFF8001"/>
      </bottom>
      <diagonal/>
    </border>
    <border>
      <left style="thick">
        <color rgb="FFFF8001"/>
      </left>
      <right style="thick">
        <color rgb="FFFF8001"/>
      </right>
      <top/>
      <bottom style="double">
        <color rgb="FFFF8001"/>
      </bottom>
      <diagonal/>
    </border>
    <border>
      <left style="thick">
        <color rgb="FFFF8001"/>
      </left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4" borderId="3" applyNumberFormat="0" applyAlignment="0" applyProtection="0"/>
    <xf numFmtId="0" fontId="8" fillId="0" borderId="4" applyNumberFormat="0" applyFill="0" applyAlignment="0" applyProtection="0"/>
    <xf numFmtId="0" fontId="1" fillId="5" borderId="0" applyNumberFormat="0" applyBorder="0" applyAlignment="0" applyProtection="0"/>
    <xf numFmtId="171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30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1" applyFont="1"/>
    <xf numFmtId="164" fontId="3" fillId="0" borderId="0" xfId="1" applyFont="1"/>
    <xf numFmtId="167" fontId="0" fillId="0" borderId="0" xfId="0" applyNumberFormat="1"/>
    <xf numFmtId="0" fontId="0" fillId="0" borderId="0" xfId="0" applyAlignment="1">
      <alignment horizontal="left"/>
    </xf>
    <xf numFmtId="164" fontId="1" fillId="0" borderId="0" xfId="1" applyFont="1"/>
    <xf numFmtId="164" fontId="0" fillId="0" borderId="0" xfId="0" applyNumberFormat="1"/>
    <xf numFmtId="10" fontId="0" fillId="0" borderId="0" xfId="2" applyNumberFormat="1" applyFont="1"/>
    <xf numFmtId="164" fontId="0" fillId="0" borderId="0" xfId="1" applyFont="1" applyAlignment="1">
      <alignment horizontal="left"/>
    </xf>
    <xf numFmtId="0" fontId="0" fillId="0" borderId="2" xfId="0" applyBorder="1"/>
    <xf numFmtId="164" fontId="0" fillId="0" borderId="2" xfId="1" applyFont="1" applyBorder="1"/>
    <xf numFmtId="10" fontId="0" fillId="0" borderId="0" xfId="2" applyNumberFormat="1" applyFont="1" applyFill="1" applyAlignment="1">
      <alignment horizontal="left"/>
    </xf>
    <xf numFmtId="0" fontId="0" fillId="0" borderId="0" xfId="0" pivotButton="1"/>
    <xf numFmtId="164" fontId="0" fillId="0" borderId="0" xfId="1" applyFont="1" applyAlignment="1">
      <alignment horizontal="center"/>
    </xf>
    <xf numFmtId="0" fontId="0" fillId="0" borderId="0" xfId="0" applyAlignment="1">
      <alignment horizontal="left" indent="2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1" fillId="5" borderId="0" xfId="5"/>
    <xf numFmtId="0" fontId="0" fillId="0" borderId="1" xfId="0" applyBorder="1"/>
    <xf numFmtId="168" fontId="0" fillId="0" borderId="0" xfId="1" applyNumberFormat="1" applyFont="1" applyFill="1" applyAlignment="1">
      <alignment horizontal="left"/>
    </xf>
    <xf numFmtId="169" fontId="4" fillId="0" borderId="0" xfId="2" applyNumberFormat="1" applyFont="1" applyFill="1" applyAlignment="1">
      <alignment horizontal="center"/>
    </xf>
    <xf numFmtId="170" fontId="0" fillId="0" borderId="1" xfId="0" applyNumberFormat="1" applyBorder="1" applyAlignment="1">
      <alignment horizontal="center" vertical="center"/>
    </xf>
    <xf numFmtId="0" fontId="0" fillId="7" borderId="0" xfId="0" applyFill="1"/>
    <xf numFmtId="10" fontId="2" fillId="0" borderId="0" xfId="2" applyNumberFormat="1" applyFont="1" applyFill="1" applyBorder="1" applyAlignment="1">
      <alignment horizontal="center"/>
    </xf>
    <xf numFmtId="14" fontId="0" fillId="0" borderId="0" xfId="0" applyNumberFormat="1"/>
    <xf numFmtId="164" fontId="5" fillId="0" borderId="0" xfId="1" applyFont="1" applyFill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1" applyFont="1" applyBorder="1"/>
    <xf numFmtId="10" fontId="0" fillId="0" borderId="0" xfId="2" applyNumberFormat="1" applyFont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0" borderId="0" xfId="0" applyNumberFormat="1"/>
    <xf numFmtId="10" fontId="1" fillId="0" borderId="0" xfId="2" applyNumberFormat="1" applyFont="1" applyFill="1" applyAlignment="1">
      <alignment vertical="center"/>
    </xf>
    <xf numFmtId="14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2" applyNumberFormat="1" applyFont="1" applyAlignment="1">
      <alignment horizontal="center"/>
    </xf>
    <xf numFmtId="49" fontId="0" fillId="0" borderId="0" xfId="0" applyNumberFormat="1"/>
    <xf numFmtId="1" fontId="0" fillId="0" borderId="0" xfId="2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Protection="1">
      <protection locked="0"/>
    </xf>
    <xf numFmtId="167" fontId="2" fillId="0" borderId="0" xfId="0" applyNumberFormat="1" applyFont="1" applyAlignment="1" applyProtection="1">
      <alignment horizontal="center"/>
      <protection locked="0"/>
    </xf>
    <xf numFmtId="10" fontId="0" fillId="8" borderId="0" xfId="2" applyNumberFormat="1" applyFont="1" applyFill="1" applyAlignment="1">
      <alignment horizontal="center"/>
    </xf>
    <xf numFmtId="169" fontId="4" fillId="8" borderId="0" xfId="2" applyNumberFormat="1" applyFont="1" applyFill="1" applyAlignment="1">
      <alignment horizontal="center"/>
    </xf>
    <xf numFmtId="0" fontId="0" fillId="9" borderId="0" xfId="0" applyFill="1"/>
    <xf numFmtId="22" fontId="0" fillId="9" borderId="0" xfId="0" applyNumberFormat="1" applyFill="1"/>
    <xf numFmtId="167" fontId="0" fillId="9" borderId="0" xfId="0" applyNumberFormat="1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horizontal="center"/>
    </xf>
    <xf numFmtId="10" fontId="0" fillId="9" borderId="0" xfId="2" applyNumberFormat="1" applyFont="1" applyFill="1" applyAlignment="1">
      <alignment horizontal="center"/>
    </xf>
    <xf numFmtId="22" fontId="0" fillId="10" borderId="0" xfId="0" applyNumberFormat="1" applyFill="1"/>
    <xf numFmtId="0" fontId="0" fillId="10" borderId="0" xfId="0" applyFill="1"/>
    <xf numFmtId="4" fontId="0" fillId="0" borderId="0" xfId="0" applyNumberFormat="1"/>
    <xf numFmtId="0" fontId="9" fillId="11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 indent="1"/>
    </xf>
    <xf numFmtId="168" fontId="0" fillId="0" borderId="0" xfId="1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wrapText="1"/>
    </xf>
    <xf numFmtId="164" fontId="5" fillId="0" borderId="2" xfId="1" applyFont="1" applyFill="1" applyBorder="1" applyAlignment="1">
      <alignment horizontal="center"/>
    </xf>
    <xf numFmtId="0" fontId="16" fillId="6" borderId="0" xfId="0" applyFont="1" applyFill="1"/>
    <xf numFmtId="164" fontId="16" fillId="6" borderId="0" xfId="1" applyFont="1" applyFill="1"/>
    <xf numFmtId="0" fontId="16" fillId="6" borderId="0" xfId="1" applyNumberFormat="1" applyFont="1" applyFill="1" applyAlignment="1">
      <alignment horizontal="left"/>
    </xf>
    <xf numFmtId="0" fontId="17" fillId="3" borderId="0" xfId="0" applyFont="1" applyFill="1" applyAlignment="1">
      <alignment horizontal="left"/>
    </xf>
    <xf numFmtId="0" fontId="16" fillId="6" borderId="2" xfId="1" applyNumberFormat="1" applyFont="1" applyFill="1" applyBorder="1" applyAlignment="1">
      <alignment horizontal="left"/>
    </xf>
    <xf numFmtId="164" fontId="16" fillId="6" borderId="2" xfId="1" applyFont="1" applyFill="1" applyBorder="1"/>
    <xf numFmtId="164" fontId="16" fillId="6" borderId="0" xfId="1" applyFont="1" applyFill="1" applyAlignment="1">
      <alignment horizontal="left"/>
    </xf>
    <xf numFmtId="166" fontId="0" fillId="0" borderId="0" xfId="0" applyNumberFormat="1" applyAlignment="1">
      <alignment horizontal="left"/>
    </xf>
    <xf numFmtId="0" fontId="16" fillId="6" borderId="0" xfId="0" applyFont="1" applyFill="1" applyAlignment="1">
      <alignment horizontal="left"/>
    </xf>
    <xf numFmtId="0" fontId="0" fillId="0" borderId="2" xfId="0" applyBorder="1" applyAlignment="1">
      <alignment horizontal="left"/>
    </xf>
    <xf numFmtId="172" fontId="21" fillId="0" borderId="0" xfId="0" applyNumberFormat="1" applyFont="1"/>
    <xf numFmtId="172" fontId="0" fillId="0" borderId="0" xfId="0" applyNumberFormat="1" applyAlignment="1">
      <alignment horizontal="left"/>
    </xf>
    <xf numFmtId="172" fontId="0" fillId="0" borderId="0" xfId="0" applyNumberFormat="1"/>
    <xf numFmtId="173" fontId="0" fillId="0" borderId="0" xfId="0" applyNumberFormat="1"/>
    <xf numFmtId="0" fontId="23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72" fontId="23" fillId="0" borderId="11" xfId="0" applyNumberFormat="1" applyFont="1" applyBorder="1" applyAlignment="1">
      <alignment horizontal="center" vertical="center"/>
    </xf>
    <xf numFmtId="164" fontId="23" fillId="0" borderId="10" xfId="0" applyNumberFormat="1" applyFont="1" applyBorder="1" applyAlignment="1">
      <alignment horizontal="center" vertical="center"/>
    </xf>
    <xf numFmtId="172" fontId="23" fillId="0" borderId="10" xfId="0" applyNumberFormat="1" applyFont="1" applyBorder="1" applyAlignment="1">
      <alignment horizontal="center" vertical="center"/>
    </xf>
    <xf numFmtId="164" fontId="23" fillId="0" borderId="12" xfId="0" applyNumberFormat="1" applyFont="1" applyBorder="1" applyAlignment="1">
      <alignment horizontal="center" vertical="center"/>
    </xf>
    <xf numFmtId="0" fontId="24" fillId="0" borderId="0" xfId="0" applyFont="1"/>
    <xf numFmtId="166" fontId="0" fillId="0" borderId="0" xfId="1" applyNumberFormat="1" applyFont="1"/>
    <xf numFmtId="164" fontId="0" fillId="0" borderId="0" xfId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1" applyFont="1" applyFill="1" applyAlignment="1">
      <alignment horizontal="center"/>
    </xf>
    <xf numFmtId="169" fontId="0" fillId="0" borderId="0" xfId="2" applyNumberFormat="1" applyFont="1" applyAlignment="1">
      <alignment horizontal="center"/>
    </xf>
    <xf numFmtId="169" fontId="0" fillId="0" borderId="0" xfId="2" applyNumberFormat="1" applyFont="1" applyFill="1" applyAlignment="1">
      <alignment horizontal="center"/>
    </xf>
    <xf numFmtId="164" fontId="25" fillId="6" borderId="0" xfId="1" applyFont="1" applyFill="1"/>
    <xf numFmtId="164" fontId="0" fillId="0" borderId="0" xfId="7" applyFont="1"/>
    <xf numFmtId="0" fontId="9" fillId="12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applyFill="1" applyAlignment="1" applyProtection="1">
      <alignment horizontal="center"/>
      <protection locked="0"/>
    </xf>
    <xf numFmtId="0" fontId="0" fillId="9" borderId="0" xfId="0" applyFill="1" applyAlignment="1">
      <alignment horizontal="center" vertical="center"/>
    </xf>
    <xf numFmtId="0" fontId="2" fillId="9" borderId="1" xfId="0" applyFont="1" applyFill="1" applyBorder="1" applyAlignment="1">
      <alignment horizontal="left" indent="1"/>
    </xf>
    <xf numFmtId="168" fontId="0" fillId="9" borderId="1" xfId="1" applyNumberFormat="1" applyFont="1" applyFill="1" applyBorder="1" applyAlignment="1">
      <alignment horizontal="left"/>
    </xf>
    <xf numFmtId="169" fontId="4" fillId="9" borderId="1" xfId="2" applyNumberFormat="1" applyFont="1" applyFill="1" applyBorder="1" applyAlignment="1">
      <alignment horizontal="center"/>
    </xf>
    <xf numFmtId="168" fontId="0" fillId="9" borderId="0" xfId="1" applyNumberFormat="1" applyFont="1" applyFill="1" applyAlignment="1">
      <alignment horizontal="left"/>
    </xf>
    <xf numFmtId="169" fontId="4" fillId="9" borderId="0" xfId="2" applyNumberFormat="1" applyFont="1" applyFill="1" applyAlignment="1">
      <alignment horizontal="center"/>
    </xf>
    <xf numFmtId="9" fontId="0" fillId="9" borderId="0" xfId="2" applyFont="1" applyFill="1" applyAlignment="1">
      <alignment horizontal="center"/>
    </xf>
    <xf numFmtId="0" fontId="2" fillId="9" borderId="1" xfId="0" applyFont="1" applyFill="1" applyBorder="1"/>
    <xf numFmtId="0" fontId="27" fillId="0" borderId="0" xfId="4" applyFont="1" applyFill="1" applyBorder="1" applyAlignment="1">
      <alignment horizontal="center"/>
    </xf>
    <xf numFmtId="0" fontId="26" fillId="0" borderId="0" xfId="0" applyFont="1" applyAlignment="1">
      <alignment horizontal="center"/>
    </xf>
    <xf numFmtId="0" fontId="8" fillId="0" borderId="4" xfId="4" applyAlignment="1">
      <alignment horizontal="center"/>
    </xf>
    <xf numFmtId="0" fontId="16" fillId="6" borderId="20" xfId="1" applyNumberFormat="1" applyFont="1" applyFill="1" applyBorder="1" applyAlignment="1">
      <alignment horizontal="left"/>
    </xf>
    <xf numFmtId="164" fontId="16" fillId="6" borderId="20" xfId="1" applyFont="1" applyFill="1" applyBorder="1"/>
    <xf numFmtId="0" fontId="0" fillId="0" borderId="20" xfId="0" applyBorder="1"/>
    <xf numFmtId="164" fontId="5" fillId="0" borderId="20" xfId="1" applyFont="1" applyFill="1" applyBorder="1" applyAlignment="1">
      <alignment horizontal="center"/>
    </xf>
    <xf numFmtId="0" fontId="15" fillId="12" borderId="0" xfId="0" applyFont="1" applyFill="1"/>
    <xf numFmtId="164" fontId="15" fillId="12" borderId="0" xfId="1" applyFont="1" applyFill="1"/>
    <xf numFmtId="17" fontId="2" fillId="0" borderId="0" xfId="0" applyNumberFormat="1" applyFont="1" applyAlignment="1">
      <alignment horizontal="center"/>
    </xf>
    <xf numFmtId="174" fontId="2" fillId="0" borderId="0" xfId="0" applyNumberFormat="1" applyFont="1" applyAlignment="1">
      <alignment horizontal="center"/>
    </xf>
    <xf numFmtId="0" fontId="9" fillId="13" borderId="0" xfId="0" applyFont="1" applyFill="1" applyAlignment="1">
      <alignment horizontal="center"/>
    </xf>
    <xf numFmtId="0" fontId="0" fillId="3" borderId="0" xfId="0" applyFill="1"/>
    <xf numFmtId="164" fontId="9" fillId="13" borderId="0" xfId="1" applyFont="1" applyFill="1"/>
    <xf numFmtId="17" fontId="0" fillId="0" borderId="0" xfId="0" applyNumberFormat="1" applyAlignment="1">
      <alignment horizontal="center"/>
    </xf>
    <xf numFmtId="0" fontId="9" fillId="7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9" fillId="17" borderId="0" xfId="0" applyFont="1" applyFill="1"/>
    <xf numFmtId="0" fontId="9" fillId="17" borderId="0" xfId="0" applyFont="1" applyFill="1" applyAlignment="1">
      <alignment horizontal="right"/>
    </xf>
    <xf numFmtId="0" fontId="9" fillId="16" borderId="0" xfId="0" applyFont="1" applyFill="1" applyAlignment="1">
      <alignment horizontal="right"/>
    </xf>
    <xf numFmtId="164" fontId="9" fillId="17" borderId="0" xfId="0" applyNumberFormat="1" applyFont="1" applyFill="1"/>
    <xf numFmtId="164" fontId="9" fillId="18" borderId="0" xfId="0" applyNumberFormat="1" applyFont="1" applyFill="1"/>
    <xf numFmtId="0" fontId="0" fillId="3" borderId="0" xfId="0" applyFill="1" applyAlignment="1">
      <alignment horizontal="center"/>
    </xf>
    <xf numFmtId="167" fontId="9" fillId="1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0" fontId="29" fillId="0" borderId="0" xfId="0" applyFont="1"/>
    <xf numFmtId="0" fontId="2" fillId="0" borderId="21" xfId="0" applyFont="1" applyBorder="1" applyAlignment="1">
      <alignment horizontal="center"/>
    </xf>
    <xf numFmtId="164" fontId="0" fillId="0" borderId="21" xfId="0" applyNumberFormat="1" applyBorder="1"/>
    <xf numFmtId="0" fontId="30" fillId="0" borderId="0" xfId="0" applyFont="1" applyAlignment="1">
      <alignment horizontal="left" vertical="center"/>
    </xf>
    <xf numFmtId="0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left"/>
    </xf>
    <xf numFmtId="22" fontId="0" fillId="0" borderId="0" xfId="0" applyNumberFormat="1"/>
    <xf numFmtId="0" fontId="0" fillId="19" borderId="0" xfId="0" applyFill="1"/>
    <xf numFmtId="10" fontId="0" fillId="0" borderId="0" xfId="2" applyNumberFormat="1" applyFont="1" applyFill="1" applyAlignment="1">
      <alignment horizontal="center"/>
    </xf>
    <xf numFmtId="167" fontId="15" fillId="0" borderId="0" xfId="0" applyNumberFormat="1" applyFont="1"/>
    <xf numFmtId="0" fontId="9" fillId="19" borderId="0" xfId="0" applyFont="1" applyFill="1" applyAlignment="1" applyProtection="1">
      <alignment horizontal="center" vertical="center"/>
      <protection locked="0"/>
    </xf>
    <xf numFmtId="0" fontId="9" fillId="19" borderId="0" xfId="0" applyFont="1" applyFill="1" applyAlignment="1">
      <alignment horizontal="center" vertical="center"/>
    </xf>
    <xf numFmtId="10" fontId="31" fillId="0" borderId="0" xfId="2" applyNumberFormat="1" applyFont="1" applyFill="1" applyAlignment="1">
      <alignment horizontal="center" vertic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20" borderId="16" xfId="0" applyFill="1" applyBorder="1"/>
    <xf numFmtId="0" fontId="0" fillId="20" borderId="17" xfId="0" applyFill="1" applyBorder="1"/>
    <xf numFmtId="172" fontId="32" fillId="20" borderId="17" xfId="0" applyNumberFormat="1" applyFont="1" applyFill="1" applyBorder="1" applyAlignment="1">
      <alignment horizontal="center" vertical="center"/>
    </xf>
    <xf numFmtId="164" fontId="32" fillId="20" borderId="19" xfId="0" applyNumberFormat="1" applyFont="1" applyFill="1" applyBorder="1" applyAlignment="1">
      <alignment horizontal="center" vertical="center"/>
    </xf>
    <xf numFmtId="167" fontId="25" fillId="0" borderId="0" xfId="0" applyNumberFormat="1" applyFont="1"/>
    <xf numFmtId="167" fontId="25" fillId="0" borderId="0" xfId="0" applyNumberFormat="1" applyFont="1" applyProtection="1">
      <protection locked="0"/>
    </xf>
    <xf numFmtId="167" fontId="25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10" fontId="0" fillId="0" borderId="0" xfId="2" applyNumberFormat="1" applyFont="1" applyFill="1" applyBorder="1" applyAlignment="1">
      <alignment horizontal="right"/>
    </xf>
    <xf numFmtId="164" fontId="0" fillId="0" borderId="10" xfId="1" applyFont="1" applyBorder="1"/>
    <xf numFmtId="0" fontId="0" fillId="0" borderId="10" xfId="0" applyBorder="1" applyAlignment="1">
      <alignment horizontal="left"/>
    </xf>
    <xf numFmtId="0" fontId="2" fillId="4" borderId="0" xfId="3" applyFont="1" applyBorder="1"/>
    <xf numFmtId="168" fontId="2" fillId="4" borderId="0" xfId="3" applyNumberFormat="1" applyFont="1" applyBorder="1" applyAlignment="1">
      <alignment horizontal="left"/>
    </xf>
    <xf numFmtId="169" fontId="2" fillId="4" borderId="0" xfId="2" applyNumberFormat="1" applyFont="1" applyFill="1" applyBorder="1" applyAlignment="1">
      <alignment horizontal="center"/>
    </xf>
    <xf numFmtId="0" fontId="2" fillId="0" borderId="4" xfId="4" applyFont="1"/>
    <xf numFmtId="168" fontId="2" fillId="0" borderId="4" xfId="4" applyNumberFormat="1" applyFont="1" applyFill="1" applyAlignment="1">
      <alignment horizontal="left"/>
    </xf>
    <xf numFmtId="169" fontId="2" fillId="0" borderId="4" xfId="2" applyNumberFormat="1" applyFont="1" applyFill="1" applyBorder="1" applyAlignment="1">
      <alignment horizontal="center"/>
    </xf>
    <xf numFmtId="0" fontId="2" fillId="0" borderId="4" xfId="4" applyFont="1" applyFill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left" indent="2"/>
    </xf>
    <xf numFmtId="168" fontId="2" fillId="0" borderId="0" xfId="1" applyNumberFormat="1" applyFont="1" applyFill="1" applyAlignment="1">
      <alignment horizontal="left"/>
    </xf>
    <xf numFmtId="169" fontId="33" fillId="0" borderId="0" xfId="2" applyNumberFormat="1" applyFont="1" applyFill="1" applyAlignment="1">
      <alignment horizontal="center"/>
    </xf>
    <xf numFmtId="169" fontId="0" fillId="0" borderId="4" xfId="2" applyNumberFormat="1" applyFont="1" applyFill="1" applyBorder="1" applyAlignment="1">
      <alignment horizontal="center"/>
    </xf>
    <xf numFmtId="0" fontId="25" fillId="0" borderId="0" xfId="0" applyFont="1"/>
    <xf numFmtId="0" fontId="2" fillId="0" borderId="4" xfId="4" applyFont="1" applyFill="1" applyAlignment="1">
      <alignment horizontal="center"/>
    </xf>
    <xf numFmtId="0" fontId="2" fillId="0" borderId="4" xfId="4" applyFont="1" applyFill="1" applyAlignment="1"/>
    <xf numFmtId="168" fontId="2" fillId="0" borderId="4" xfId="4" applyNumberFormat="1" applyFont="1" applyFill="1" applyAlignment="1">
      <alignment horizontal="center"/>
    </xf>
    <xf numFmtId="168" fontId="0" fillId="0" borderId="4" xfId="4" applyNumberFormat="1" applyFont="1" applyFill="1" applyAlignment="1">
      <alignment horizontal="center"/>
    </xf>
    <xf numFmtId="169" fontId="2" fillId="8" borderId="0" xfId="2" applyNumberFormat="1" applyFont="1" applyFill="1" applyBorder="1" applyAlignment="1">
      <alignment horizontal="center"/>
    </xf>
    <xf numFmtId="169" fontId="0" fillId="8" borderId="0" xfId="2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7" fontId="0" fillId="0" borderId="0" xfId="0" applyNumberFormat="1" applyAlignment="1" applyProtection="1">
      <alignment horizontal="left"/>
      <protection locked="0"/>
    </xf>
    <xf numFmtId="0" fontId="2" fillId="0" borderId="4" xfId="4" applyFont="1" applyFill="1" applyAlignment="1">
      <alignment horizontal="left"/>
    </xf>
    <xf numFmtId="0" fontId="0" fillId="0" borderId="4" xfId="4" applyFont="1" applyFill="1" applyAlignment="1">
      <alignment horizontal="left"/>
    </xf>
    <xf numFmtId="0" fontId="25" fillId="0" borderId="0" xfId="0" applyFont="1" applyAlignment="1">
      <alignment horizontal="left"/>
    </xf>
    <xf numFmtId="0" fontId="25" fillId="0" borderId="0" xfId="0" applyFont="1" applyAlignment="1">
      <alignment horizontal="center"/>
    </xf>
    <xf numFmtId="10" fontId="25" fillId="0" borderId="0" xfId="2" applyNumberFormat="1" applyFont="1" applyFill="1" applyAlignment="1">
      <alignment horizontal="center"/>
    </xf>
    <xf numFmtId="0" fontId="25" fillId="9" borderId="0" xfId="0" applyFont="1" applyFill="1" applyAlignment="1">
      <alignment horizontal="left"/>
    </xf>
    <xf numFmtId="0" fontId="25" fillId="9" borderId="0" xfId="0" applyFont="1" applyFill="1" applyAlignment="1">
      <alignment horizontal="center"/>
    </xf>
    <xf numFmtId="10" fontId="25" fillId="9" borderId="0" xfId="2" applyNumberFormat="1" applyFont="1" applyFill="1" applyAlignment="1">
      <alignment horizontal="center"/>
    </xf>
    <xf numFmtId="167" fontId="25" fillId="0" borderId="0" xfId="0" applyNumberFormat="1" applyFont="1" applyAlignment="1" applyProtection="1">
      <alignment horizontal="left"/>
      <protection locked="0"/>
    </xf>
    <xf numFmtId="167" fontId="25" fillId="0" borderId="0" xfId="2" applyNumberFormat="1" applyFont="1" applyAlignment="1">
      <alignment horizontal="center"/>
    </xf>
    <xf numFmtId="0" fontId="34" fillId="0" borderId="0" xfId="0" applyFont="1" applyAlignment="1">
      <alignment horizontal="left"/>
    </xf>
    <xf numFmtId="166" fontId="34" fillId="0" borderId="0" xfId="0" applyNumberFormat="1" applyFont="1" applyAlignment="1">
      <alignment horizontal="center"/>
    </xf>
    <xf numFmtId="10" fontId="34" fillId="0" borderId="0" xfId="2" applyNumberFormat="1" applyFont="1" applyFill="1" applyBorder="1" applyAlignment="1">
      <alignment horizontal="center"/>
    </xf>
    <xf numFmtId="10" fontId="25" fillId="8" borderId="0" xfId="2" applyNumberFormat="1" applyFont="1" applyFill="1" applyAlignment="1">
      <alignment horizontal="center"/>
    </xf>
    <xf numFmtId="0" fontId="34" fillId="0" borderId="4" xfId="4" applyFont="1" applyFill="1" applyAlignment="1">
      <alignment horizontal="center"/>
    </xf>
    <xf numFmtId="0" fontId="34" fillId="0" borderId="4" xfId="4" applyFont="1" applyFill="1" applyAlignment="1"/>
    <xf numFmtId="10" fontId="25" fillId="0" borderId="0" xfId="2" applyNumberFormat="1" applyFont="1" applyAlignment="1">
      <alignment horizontal="center"/>
    </xf>
    <xf numFmtId="164" fontId="25" fillId="0" borderId="0" xfId="1" applyFont="1" applyAlignment="1">
      <alignment horizontal="center"/>
    </xf>
    <xf numFmtId="169" fontId="25" fillId="0" borderId="0" xfId="2" applyNumberFormat="1" applyFont="1" applyAlignment="1">
      <alignment horizontal="center"/>
    </xf>
    <xf numFmtId="0" fontId="34" fillId="0" borderId="4" xfId="4" applyFont="1" applyFill="1" applyAlignment="1">
      <alignment horizontal="left"/>
    </xf>
    <xf numFmtId="168" fontId="34" fillId="0" borderId="4" xfId="4" applyNumberFormat="1" applyFont="1" applyFill="1" applyAlignment="1">
      <alignment horizontal="center"/>
    </xf>
    <xf numFmtId="169" fontId="34" fillId="0" borderId="4" xfId="2" applyNumberFormat="1" applyFont="1" applyFill="1" applyBorder="1" applyAlignment="1">
      <alignment horizontal="center"/>
    </xf>
    <xf numFmtId="169" fontId="34" fillId="8" borderId="0" xfId="2" applyNumberFormat="1" applyFont="1" applyFill="1" applyBorder="1" applyAlignment="1">
      <alignment horizontal="center"/>
    </xf>
    <xf numFmtId="0" fontId="25" fillId="0" borderId="4" xfId="4" applyFont="1" applyFill="1" applyAlignment="1">
      <alignment horizontal="left"/>
    </xf>
    <xf numFmtId="168" fontId="25" fillId="0" borderId="4" xfId="4" applyNumberFormat="1" applyFont="1" applyFill="1" applyAlignment="1">
      <alignment horizontal="center"/>
    </xf>
    <xf numFmtId="169" fontId="25" fillId="0" borderId="4" xfId="2" applyNumberFormat="1" applyFont="1" applyFill="1" applyBorder="1" applyAlignment="1">
      <alignment horizontal="center"/>
    </xf>
    <xf numFmtId="168" fontId="25" fillId="0" borderId="0" xfId="1" applyNumberFormat="1" applyFont="1" applyFill="1" applyAlignment="1">
      <alignment horizontal="center"/>
    </xf>
    <xf numFmtId="169" fontId="35" fillId="0" borderId="0" xfId="2" applyNumberFormat="1" applyFont="1" applyFill="1" applyAlignment="1">
      <alignment horizontal="center"/>
    </xf>
    <xf numFmtId="169" fontId="35" fillId="8" borderId="0" xfId="2" applyNumberFormat="1" applyFont="1" applyFill="1" applyAlignment="1">
      <alignment horizontal="center"/>
    </xf>
    <xf numFmtId="169" fontId="25" fillId="0" borderId="0" xfId="2" applyNumberFormat="1" applyFont="1" applyFill="1" applyAlignment="1">
      <alignment horizontal="center"/>
    </xf>
    <xf numFmtId="169" fontId="25" fillId="8" borderId="0" xfId="2" applyNumberFormat="1" applyFont="1" applyFill="1" applyBorder="1" applyAlignment="1">
      <alignment horizontal="center"/>
    </xf>
    <xf numFmtId="164" fontId="25" fillId="0" borderId="0" xfId="1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2" fillId="0" borderId="9" xfId="4" applyFont="1" applyFill="1" applyBorder="1" applyAlignment="1">
      <alignment horizontal="center"/>
    </xf>
    <xf numFmtId="0" fontId="2" fillId="0" borderId="8" xfId="4" applyFont="1" applyFill="1" applyBorder="1" applyAlignment="1">
      <alignment horizontal="center"/>
    </xf>
    <xf numFmtId="164" fontId="1" fillId="0" borderId="7" xfId="4" applyNumberFormat="1" applyFont="1" applyBorder="1"/>
    <xf numFmtId="164" fontId="1" fillId="0" borderId="8" xfId="4" applyNumberFormat="1" applyFont="1" applyBorder="1"/>
    <xf numFmtId="164" fontId="1" fillId="0" borderId="4" xfId="4" applyNumberFormat="1" applyFont="1"/>
    <xf numFmtId="0" fontId="0" fillId="0" borderId="0" xfId="0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36" fillId="0" borderId="0" xfId="8"/>
    <xf numFmtId="0" fontId="23" fillId="0" borderId="16" xfId="0" applyFont="1" applyBorder="1" applyAlignment="1">
      <alignment horizontal="center" vertical="center"/>
    </xf>
    <xf numFmtId="164" fontId="23" fillId="0" borderId="17" xfId="1" applyFont="1" applyBorder="1" applyAlignment="1">
      <alignment vertical="center"/>
    </xf>
    <xf numFmtId="9" fontId="0" fillId="0" borderId="0" xfId="0" applyNumberFormat="1" applyAlignment="1">
      <alignment horizontal="center"/>
    </xf>
    <xf numFmtId="0" fontId="9" fillId="12" borderId="0" xfId="0" applyFont="1" applyFill="1"/>
    <xf numFmtId="10" fontId="9" fillId="12" borderId="0" xfId="2" applyNumberFormat="1" applyFont="1" applyFill="1"/>
    <xf numFmtId="164" fontId="9" fillId="12" borderId="0" xfId="1" applyFont="1" applyFill="1"/>
    <xf numFmtId="176" fontId="0" fillId="0" borderId="0" xfId="2" applyNumberFormat="1" applyFont="1"/>
    <xf numFmtId="9" fontId="0" fillId="0" borderId="0" xfId="2" applyFont="1" applyAlignment="1">
      <alignment horizontal="center"/>
    </xf>
    <xf numFmtId="177" fontId="0" fillId="0" borderId="0" xfId="0" applyNumberFormat="1" applyAlignment="1">
      <alignment horizontal="center"/>
    </xf>
    <xf numFmtId="164" fontId="38" fillId="0" borderId="0" xfId="1" applyFont="1"/>
    <xf numFmtId="164" fontId="38" fillId="0" borderId="0" xfId="0" applyNumberFormat="1" applyFont="1"/>
    <xf numFmtId="0" fontId="9" fillId="7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9" fillId="14" borderId="0" xfId="0" applyFont="1" applyFill="1" applyAlignment="1">
      <alignment vertical="center"/>
    </xf>
    <xf numFmtId="169" fontId="2" fillId="4" borderId="0" xfId="3" applyNumberFormat="1" applyFont="1" applyBorder="1" applyAlignment="1">
      <alignment horizontal="center"/>
    </xf>
    <xf numFmtId="169" fontId="2" fillId="0" borderId="4" xfId="4" applyNumberFormat="1" applyFont="1" applyAlignment="1">
      <alignment horizontal="center"/>
    </xf>
    <xf numFmtId="169" fontId="2" fillId="0" borderId="0" xfId="2" applyNumberFormat="1" applyFont="1" applyAlignment="1">
      <alignment horizontal="center"/>
    </xf>
    <xf numFmtId="178" fontId="0" fillId="0" borderId="0" xfId="0" applyNumberFormat="1"/>
    <xf numFmtId="0" fontId="0" fillId="0" borderId="0" xfId="1" applyNumberFormat="1" applyFont="1"/>
    <xf numFmtId="0" fontId="9" fillId="7" borderId="0" xfId="0" applyFont="1" applyFill="1" applyAlignment="1">
      <alignment horizontal="center" vertical="center"/>
    </xf>
    <xf numFmtId="175" fontId="2" fillId="0" borderId="2" xfId="0" applyNumberFormat="1" applyFont="1" applyBorder="1" applyAlignment="1">
      <alignment horizontal="center"/>
    </xf>
    <xf numFmtId="0" fontId="9" fillId="15" borderId="0" xfId="0" applyFont="1" applyFill="1" applyAlignment="1">
      <alignment horizontal="center"/>
    </xf>
    <xf numFmtId="164" fontId="39" fillId="0" borderId="10" xfId="0" applyNumberFormat="1" applyFont="1" applyBorder="1" applyAlignment="1">
      <alignment horizontal="center" vertical="center"/>
    </xf>
    <xf numFmtId="172" fontId="39" fillId="0" borderId="10" xfId="0" applyNumberFormat="1" applyFont="1" applyBorder="1" applyAlignment="1">
      <alignment horizontal="center" vertical="center"/>
    </xf>
    <xf numFmtId="0" fontId="4" fillId="0" borderId="0" xfId="0" applyFont="1"/>
    <xf numFmtId="0" fontId="39" fillId="0" borderId="10" xfId="0" applyFont="1" applyBorder="1" applyAlignment="1">
      <alignment horizontal="center" vertical="center"/>
    </xf>
    <xf numFmtId="164" fontId="39" fillId="0" borderId="10" xfId="1" applyFont="1" applyBorder="1" applyAlignment="1">
      <alignment vertical="center"/>
    </xf>
    <xf numFmtId="164" fontId="40" fillId="22" borderId="19" xfId="0" applyNumberFormat="1" applyFont="1" applyFill="1" applyBorder="1" applyAlignment="1">
      <alignment horizontal="center" vertical="center"/>
    </xf>
    <xf numFmtId="14" fontId="0" fillId="0" borderId="0" xfId="2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23" xfId="0" applyFont="1" applyBorder="1" applyAlignment="1">
      <alignment horizontal="center"/>
    </xf>
    <xf numFmtId="14" fontId="0" fillId="0" borderId="24" xfId="0" applyNumberFormat="1" applyBorder="1"/>
    <xf numFmtId="14" fontId="0" fillId="0" borderId="0" xfId="0" applyNumberFormat="1" applyAlignment="1">
      <alignment horizontal="left" indent="1"/>
    </xf>
    <xf numFmtId="10" fontId="0" fillId="0" borderId="0" xfId="2" applyNumberFormat="1" applyFont="1" applyBorder="1" applyAlignment="1">
      <alignment horizontal="center"/>
    </xf>
    <xf numFmtId="164" fontId="0" fillId="0" borderId="0" xfId="1" applyNumberFormat="1" applyFont="1"/>
    <xf numFmtId="164" fontId="0" fillId="0" borderId="0" xfId="1" applyNumberFormat="1" applyFont="1" applyAlignment="1">
      <alignment horizontal="left"/>
    </xf>
    <xf numFmtId="164" fontId="0" fillId="0" borderId="0" xfId="1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6" borderId="0" xfId="1" applyNumberFormat="1" applyFont="1" applyFill="1"/>
    <xf numFmtId="0" fontId="19" fillId="19" borderId="0" xfId="0" applyFont="1" applyFill="1" applyAlignment="1">
      <alignment horizontal="center" vertical="center"/>
    </xf>
    <xf numFmtId="0" fontId="2" fillId="0" borderId="4" xfId="4" applyFont="1" applyFill="1" applyAlignment="1">
      <alignment horizontal="center"/>
    </xf>
    <xf numFmtId="0" fontId="7" fillId="0" borderId="4" xfId="4" applyFont="1" applyFill="1" applyAlignment="1">
      <alignment horizontal="center"/>
    </xf>
    <xf numFmtId="0" fontId="34" fillId="0" borderId="4" xfId="4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10" fontId="11" fillId="0" borderId="0" xfId="2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10" fontId="10" fillId="0" borderId="0" xfId="2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66" fontId="2" fillId="0" borderId="0" xfId="0" applyNumberFormat="1" applyFont="1" applyAlignment="1">
      <alignment horizontal="center"/>
    </xf>
    <xf numFmtId="0" fontId="9" fillId="21" borderId="0" xfId="0" applyFont="1" applyFill="1" applyAlignment="1">
      <alignment horizontal="center"/>
    </xf>
    <xf numFmtId="10" fontId="2" fillId="19" borderId="5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173" fontId="22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9" fillId="12" borderId="0" xfId="0" applyFont="1" applyFill="1" applyAlignment="1">
      <alignment horizontal="center"/>
    </xf>
    <xf numFmtId="175" fontId="2" fillId="0" borderId="2" xfId="0" applyNumberFormat="1" applyFont="1" applyBorder="1" applyAlignment="1">
      <alignment horizontal="center"/>
    </xf>
    <xf numFmtId="0" fontId="9" fillId="13" borderId="0" xfId="0" applyFont="1" applyFill="1" applyAlignment="1">
      <alignment horizontal="center"/>
    </xf>
    <xf numFmtId="0" fontId="9" fillId="15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2" borderId="10" xfId="0" applyFill="1" applyBorder="1" applyAlignment="1">
      <alignment horizontal="center"/>
    </xf>
    <xf numFmtId="0" fontId="1" fillId="5" borderId="0" xfId="5" applyAlignment="1">
      <alignment horizontal="center"/>
    </xf>
    <xf numFmtId="164" fontId="0" fillId="0" borderId="0" xfId="1" applyFont="1" applyAlignment="1">
      <alignment horizontal="center"/>
    </xf>
    <xf numFmtId="10" fontId="37" fillId="0" borderId="0" xfId="2" applyNumberFormat="1" applyFont="1" applyAlignment="1">
      <alignment horizontal="right" vertical="center"/>
    </xf>
    <xf numFmtId="0" fontId="0" fillId="2" borderId="12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0" fillId="2" borderId="0" xfId="1" applyFont="1" applyFill="1" applyAlignment="1">
      <alignment horizontal="center"/>
    </xf>
    <xf numFmtId="0" fontId="40" fillId="22" borderId="12" xfId="0" applyFont="1" applyFill="1" applyBorder="1" applyAlignment="1">
      <alignment horizontal="center" vertical="center"/>
    </xf>
    <xf numFmtId="0" fontId="40" fillId="22" borderId="18" xfId="0" applyFont="1" applyFill="1" applyBorder="1" applyAlignment="1">
      <alignment horizontal="center" vertical="center"/>
    </xf>
    <xf numFmtId="0" fontId="40" fillId="22" borderId="11" xfId="0" applyFont="1" applyFill="1" applyBorder="1" applyAlignment="1">
      <alignment horizontal="center" vertical="center"/>
    </xf>
    <xf numFmtId="172" fontId="40" fillId="22" borderId="22" xfId="0" applyNumberFormat="1" applyFont="1" applyFill="1" applyBorder="1" applyAlignment="1">
      <alignment horizontal="center" vertical="center"/>
    </xf>
    <xf numFmtId="172" fontId="40" fillId="22" borderId="16" xfId="0" applyNumberFormat="1" applyFont="1" applyFill="1" applyBorder="1" applyAlignment="1">
      <alignment horizontal="center" vertical="center"/>
    </xf>
  </cellXfs>
  <cellStyles count="9">
    <cellStyle name="20% - Ênfase2" xfId="5" builtinId="34"/>
    <cellStyle name="Cálculo" xfId="3" builtinId="22"/>
    <cellStyle name="Célula Vinculada" xfId="4" builtinId="24"/>
    <cellStyle name="Hiperlink" xfId="8" builtinId="8"/>
    <cellStyle name="Moeda" xfId="1" builtinId="4"/>
    <cellStyle name="Moeda 2" xfId="6" xr:uid="{17486A31-D557-4AEC-BB58-5BA5FCC4361B}"/>
    <cellStyle name="Moeda 3" xfId="7" xr:uid="{024F3F57-051E-45EB-8174-C2AD5D320228}"/>
    <cellStyle name="Normal" xfId="0" builtinId="0"/>
    <cellStyle name="Porcentagem" xfId="2" builtinId="5"/>
  </cellStyles>
  <dxfs count="1497"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</dxf>
    <dxf>
      <numFmt numFmtId="179" formatCode="m/d/yyyy"/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</dxf>
    <dxf>
      <numFmt numFmtId="179" formatCode="m/d/yyyy"/>
    </dxf>
    <dxf>
      <numFmt numFmtId="179" formatCode="m/d/yyyy"/>
    </dxf>
    <dxf>
      <numFmt numFmtId="179" formatCode="m/d/yyyy"/>
    </dxf>
    <dxf>
      <numFmt numFmtId="179" formatCode="m/d/yyyy"/>
    </dxf>
    <dxf>
      <numFmt numFmtId="179" formatCode="m/d/yyyy"/>
      <alignment horizontal="center" vertical="bottom" textRotation="0" wrapText="0" indent="0" justifyLastLine="0" shrinkToFit="0" readingOrder="0"/>
    </dxf>
    <dxf>
      <numFmt numFmtId="179" formatCode="m/d/yyyy"/>
      <alignment horizontal="center" vertical="bottom" textRotation="0" wrapText="0" indent="0" justifyLastLine="0" shrinkToFit="0" readingOrder="0"/>
    </dxf>
    <dxf>
      <numFmt numFmtId="179" formatCode="m/d/yyyy"/>
      <alignment horizontal="center" vertical="bottom" textRotation="0" wrapText="0" indent="0" justifyLastLine="0" shrinkToFit="0" readingOrder="0"/>
    </dxf>
    <dxf>
      <numFmt numFmtId="179" formatCode="m/d/yyyy"/>
      <alignment horizontal="center" vertical="bottom" textRotation="0" wrapText="0" indent="0" justifyLastLine="0" shrinkToFit="0" readingOrder="0"/>
    </dxf>
    <dxf>
      <numFmt numFmtId="179" formatCode="m/d/yyyy"/>
      <alignment horizontal="center" vertical="bottom" textRotation="0" wrapText="0" indent="0" justifyLastLine="0" shrinkToFit="0" readingOrder="0"/>
    </dxf>
    <dxf>
      <numFmt numFmtId="179" formatCode="m/d/yyyy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numFmt numFmtId="179" formatCode="m/d/yyyy"/>
    </dxf>
    <dxf>
      <numFmt numFmtId="17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</dxf>
    <dxf>
      <numFmt numFmtId="179" formatCode="m/d/yyyy"/>
    </dxf>
    <dxf>
      <numFmt numFmtId="179" formatCode="m/d/yyyy"/>
    </dxf>
    <dxf>
      <numFmt numFmtId="179" formatCode="m/d/yyyy"/>
    </dxf>
    <dxf>
      <numFmt numFmtId="17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</dxf>
    <dxf>
      <numFmt numFmtId="179" formatCode="m/d/yyyy"/>
    </dxf>
    <dxf>
      <numFmt numFmtId="179" formatCode="m/d/yyyy"/>
    </dxf>
    <dxf>
      <numFmt numFmtId="179" formatCode="m/d/yyyy"/>
    </dxf>
    <dxf>
      <numFmt numFmtId="17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m/d/yyyy"/>
      <alignment horizontal="center" vertical="bottom" textRotation="0" wrapText="0" indent="0" justifyLastLine="0" shrinkToFit="0" readingOrder="0"/>
    </dxf>
    <dxf>
      <numFmt numFmtId="179" formatCode="m/d/yyyy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79" formatCode="m/d/yyyy"/>
    </dxf>
    <dxf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9" formatCode="m/d/yyyy"/>
    </dxf>
    <dxf>
      <font>
        <strike val="0"/>
        <outline val="0"/>
        <shadow val="0"/>
        <u val="none"/>
        <vertAlign val="baseline"/>
        <sz val="16"/>
        <color theme="1"/>
        <name val="Bahnschrift Light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Bahnschrift Light"/>
        <family val="2"/>
        <scheme val="none"/>
      </font>
      <numFmt numFmtId="172" formatCode="mmmm\,\ 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Bahnschrift Light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Bahnschrift Light"/>
        <family val="2"/>
        <scheme val="none"/>
      </font>
      <numFmt numFmtId="172" formatCode="mmmm\,\ 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4" formatCode="0.00%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</dxf>
    <dxf>
      <numFmt numFmtId="179" formatCode="m/d/yyyy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5" formatCode="_(* #,##0.00_);_(* \(#,##0.00\);_(* &quot;-&quot;??_);_(@_)"/>
    </dxf>
    <dxf>
      <numFmt numFmtId="2" formatCode="0.0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[$-416]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-416]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FFFF"/>
      <color rgb="FFF4833E"/>
      <color rgb="FF000000"/>
      <color rgb="FFFAC62A"/>
      <color rgb="FFFF9933"/>
      <color rgb="FFFF9900"/>
      <color rgb="FFDF9707"/>
      <color rgb="FFFFCD06"/>
      <color rgb="FFBF9000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microsoft.com/office/2007/relationships/slicerCache" Target="slicerCaches/slicerCache7.xml"/><Relationship Id="rId21" Type="http://schemas.openxmlformats.org/officeDocument/2006/relationships/worksheet" Target="worksheets/sheet21.xml"/><Relationship Id="rId34" Type="http://schemas.microsoft.com/office/2011/relationships/timelineCache" Target="timelineCaches/timelineCache2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3.xml"/><Relationship Id="rId37" Type="http://schemas.microsoft.com/office/2007/relationships/slicerCache" Target="slicerCaches/slicerCache5.xml"/><Relationship Id="rId40" Type="http://schemas.microsoft.com/office/2007/relationships/slicerCache" Target="slicerCaches/slicerCache8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07/relationships/slicerCache" Target="slicerCaches/slicerCache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2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microsoft.com/office/2007/relationships/slicerCache" Target="slicerCaches/slicerCache1.xml"/><Relationship Id="rId35" Type="http://schemas.microsoft.com/office/2011/relationships/timelineCache" Target="timelineCaches/timelineCache3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1/relationships/timelineCache" Target="timelineCaches/timelineCache1.xml"/><Relationship Id="rId38" Type="http://schemas.microsoft.com/office/2007/relationships/slicerCache" Target="slicerCaches/slicerCache6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strRef>
          <c:f>FORMULAS!$E$24</c:f>
          <c:strCache>
            <c:ptCount val="1"/>
            <c:pt idx="0">
              <c:v> Acumulados 2026 </c:v>
            </c:pt>
          </c:strCache>
        </c:strRef>
      </c:tx>
      <c:layout>
        <c:manualLayout>
          <c:xMode val="edge"/>
          <c:yMode val="edge"/>
          <c:x val="0.28297049674346264"/>
          <c:y val="2.9629641150827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65000"/>
                  <a:alpha val="90000"/>
                </a:schemeClr>
              </a:solidFill>
              <a:ln w="19050">
                <a:solidFill>
                  <a:schemeClr val="accent3">
                    <a:tint val="65000"/>
                    <a:lumMod val="75000"/>
                  </a:schemeClr>
                </a:solidFill>
              </a:ln>
              <a:effectLst>
                <a:innerShdw blurRad="114300">
                  <a:schemeClr val="accent3">
                    <a:tint val="65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tint val="65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61A-4ACD-B753-590EC3C820B4}"/>
              </c:ext>
            </c:extLst>
          </c:dPt>
          <c:dPt>
            <c:idx val="1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61A-4ACD-B753-590EC3C820B4}"/>
              </c:ext>
            </c:extLst>
          </c:dPt>
          <c:dPt>
            <c:idx val="2"/>
            <c:bubble3D val="0"/>
            <c:spPr>
              <a:solidFill>
                <a:schemeClr val="accent3">
                  <a:shade val="65000"/>
                  <a:alpha val="90000"/>
                </a:schemeClr>
              </a:solidFill>
              <a:ln w="19050">
                <a:solidFill>
                  <a:schemeClr val="accent3">
                    <a:shade val="65000"/>
                    <a:lumMod val="75000"/>
                  </a:schemeClr>
                </a:solidFill>
              </a:ln>
              <a:effectLst>
                <a:innerShdw blurRad="114300">
                  <a:schemeClr val="accent3">
                    <a:shade val="65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shade val="65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61A-4ACD-B753-590EC3C820B4}"/>
              </c:ext>
            </c:extLst>
          </c:dPt>
          <c:dLbls>
            <c:dLbl>
              <c:idx val="0"/>
              <c:layout>
                <c:manualLayout>
                  <c:x val="-1.6040663946933854E-2"/>
                  <c:y val="0.1352921882782134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2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14B9E33A-0C75-4D87-9E44-02ABA77651FA}" type="CATEGORYNAME">
                      <a:rPr lang="en-US"/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[NOME DA CATEGORIA]</a:t>
                    </a:fld>
                    <a:r>
                      <a:rPr lang="en-US" baseline="0"/>
                      <a:t>;</a:t>
                    </a:r>
                  </a:p>
                  <a:p>
                    <a:pPr>
                      <a:defRPr>
                        <a:solidFill>
                          <a:schemeClr val="accent2"/>
                        </a:solidFill>
                      </a:defRPr>
                    </a:pPr>
                    <a:r>
                      <a:rPr lang="en-US" baseline="0"/>
                      <a:t> </a:t>
                    </a:r>
                    <a:fld id="{8C233B69-34E9-48D3-B987-C9735071F2C3}" type="VALUE">
                      <a:rPr lang="en-US" baseline="0"/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[VALOR]</a:t>
                    </a:fld>
                    <a:endParaRPr lang="en-US" baseline="0"/>
                  </a:p>
                </c:rich>
              </c:tx>
              <c:numFmt formatCode="&quot;R$&quot;\ #,##0.00" sourceLinked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tint val="65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tint val="65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929783998792483"/>
                      <c:h val="0.23906169947476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61A-4ACD-B753-590EC3C820B4}"/>
                </c:ext>
              </c:extLst>
            </c:dLbl>
            <c:dLbl>
              <c:idx val="1"/>
              <c:layout>
                <c:manualLayout>
                  <c:x val="2.1311422719284379E-2"/>
                  <c:y val="-4.6056149280070645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1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D2A7381B-912D-434F-9170-2EDDB3158EFC}" type="CATEGORYNAME">
                      <a:rPr lang="en-US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[NOME DA CATEGORIA]</a:t>
                    </a:fld>
                    <a:r>
                      <a:rPr lang="en-US" baseline="0"/>
                      <a:t>;         </a:t>
                    </a:r>
                    <a:fld id="{D510A59D-D1C5-4CD4-9C6A-08C660DE30C1}" type="VALU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[VALOR]</a:t>
                    </a:fld>
                    <a:endParaRPr lang="en-US" baseline="0"/>
                  </a:p>
                </c:rich>
              </c:tx>
              <c:numFmt formatCode="&quot;R$&quot;\ #,##0.00" sourceLinked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241627403777161"/>
                      <c:h val="0.23614840797839484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61A-4ACD-B753-590EC3C820B4}"/>
                </c:ext>
              </c:extLst>
            </c:dLbl>
            <c:dLbl>
              <c:idx val="2"/>
              <c:layout>
                <c:manualLayout>
                  <c:x val="5.2339123027091899E-2"/>
                  <c:y val="-7.100073313101074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1"/>
                        </a:solidFill>
                        <a:effectLst/>
                        <a:latin typeface="+mn-lt"/>
                        <a:ea typeface="+mn-ea"/>
                        <a:cs typeface="+mn-cs"/>
                      </a:defRPr>
                    </a:pPr>
                    <a:fld id="{DB360548-EA27-4136-8D87-57C727D44196}" type="CATEGORYNAME">
                      <a:rPr lang="en-US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[NOME DA CATEGORIA]</a:t>
                    </a:fld>
                    <a:r>
                      <a:rPr lang="en-US" baseline="0"/>
                      <a:t>;             </a:t>
                    </a:r>
                  </a:p>
                  <a:p>
                    <a:pPr>
                      <a:defRPr>
                        <a:solidFill>
                          <a:schemeClr val="accent1"/>
                        </a:solidFill>
                      </a:defRPr>
                    </a:pPr>
                    <a:r>
                      <a:rPr lang="en-US" baseline="0"/>
                      <a:t> </a:t>
                    </a:r>
                    <a:fld id="{DC19D74F-866E-45AE-B9DA-2775FB72FCFB}" type="VALU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[VALOR]</a:t>
                    </a:fld>
                    <a:endParaRPr lang="en-US" baseline="0"/>
                  </a:p>
                </c:rich>
              </c:tx>
              <c:numFmt formatCode="&quot;R$&quot;\ #,##0.00" sourceLinked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shade val="65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shade val="65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274935522109347"/>
                      <c:h val="0.2291852938908303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61A-4ACD-B753-590EC3C820B4}"/>
                </c:ext>
              </c:extLst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FORMULAS!$E$25:$E$27</c:f>
              <c:strCache>
                <c:ptCount val="3"/>
                <c:pt idx="0">
                  <c:v>RECEITA</c:v>
                </c:pt>
                <c:pt idx="1">
                  <c:v>DESPESA OPERACIONAL</c:v>
                </c:pt>
                <c:pt idx="2">
                  <c:v>CUSTO</c:v>
                </c:pt>
              </c:strCache>
            </c:strRef>
          </c:cat>
          <c:val>
            <c:numRef>
              <c:f>FORMULAS!$F$25:$F$27</c:f>
              <c:numCache>
                <c:formatCode>_("R$"* #,##0.00_);_("R$"* \(#,##0.00\);_("R$"* "-"??_);_(@_)</c:formatCode>
                <c:ptCount val="3"/>
                <c:pt idx="0">
                  <c:v>57261561.039999992</c:v>
                </c:pt>
                <c:pt idx="1">
                  <c:v>-9635455.629999999</c:v>
                </c:pt>
                <c:pt idx="2">
                  <c:v>-42476223.149999999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A-4ACD-B753-590EC3C820B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E.B.I.T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BDINDICADORES!$B$3118:$B$3130</c:f>
              <c:numCache>
                <c:formatCode>[$-416]yyyy;@</c:formatCode>
                <c:ptCount val="13"/>
                <c:pt idx="0">
                  <c:v>41609</c:v>
                </c:pt>
                <c:pt idx="1">
                  <c:v>41974</c:v>
                </c:pt>
                <c:pt idx="2">
                  <c:v>42339</c:v>
                </c:pt>
                <c:pt idx="3">
                  <c:v>42705</c:v>
                </c:pt>
                <c:pt idx="4">
                  <c:v>43070</c:v>
                </c:pt>
                <c:pt idx="5">
                  <c:v>43435</c:v>
                </c:pt>
                <c:pt idx="6">
                  <c:v>43800</c:v>
                </c:pt>
                <c:pt idx="7">
                  <c:v>44166</c:v>
                </c:pt>
                <c:pt idx="8">
                  <c:v>44531</c:v>
                </c:pt>
                <c:pt idx="9">
                  <c:v>44896</c:v>
                </c:pt>
                <c:pt idx="10">
                  <c:v>45261</c:v>
                </c:pt>
                <c:pt idx="11">
                  <c:v>45627</c:v>
                </c:pt>
                <c:pt idx="12">
                  <c:v>45992</c:v>
                </c:pt>
              </c:numCache>
            </c:numRef>
          </c:cat>
          <c:val>
            <c:numRef>
              <c:f>BDINDICADORES!$D$3118:$D$3130</c:f>
              <c:numCache>
                <c:formatCode>General</c:formatCode>
                <c:ptCount val="1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  <c:pt idx="11">
                  <c:v>2024</c:v>
                </c:pt>
                <c:pt idx="12">
                  <c:v>2025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69D-43B5-B3DC-8C0B933161FE}"/>
            </c:ext>
          </c:extLst>
        </c:ser>
        <c:ser>
          <c:idx val="1"/>
          <c:order val="1"/>
          <c:tx>
            <c:v>VALORES (R$)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numRef>
              <c:f>BDINDICADORES!$B$3118:$B$3130</c:f>
              <c:numCache>
                <c:formatCode>[$-416]yyyy;@</c:formatCode>
                <c:ptCount val="13"/>
                <c:pt idx="0">
                  <c:v>41609</c:v>
                </c:pt>
                <c:pt idx="1">
                  <c:v>41974</c:v>
                </c:pt>
                <c:pt idx="2">
                  <c:v>42339</c:v>
                </c:pt>
                <c:pt idx="3">
                  <c:v>42705</c:v>
                </c:pt>
                <c:pt idx="4">
                  <c:v>43070</c:v>
                </c:pt>
                <c:pt idx="5">
                  <c:v>43435</c:v>
                </c:pt>
                <c:pt idx="6">
                  <c:v>43800</c:v>
                </c:pt>
                <c:pt idx="7">
                  <c:v>44166</c:v>
                </c:pt>
                <c:pt idx="8">
                  <c:v>44531</c:v>
                </c:pt>
                <c:pt idx="9">
                  <c:v>44896</c:v>
                </c:pt>
                <c:pt idx="10">
                  <c:v>45261</c:v>
                </c:pt>
                <c:pt idx="11">
                  <c:v>45627</c:v>
                </c:pt>
                <c:pt idx="12">
                  <c:v>45992</c:v>
                </c:pt>
              </c:numCache>
            </c:numRef>
          </c:cat>
          <c:val>
            <c:numRef>
              <c:f>BDINDICADORES!$E$3118:$E$3130</c:f>
              <c:numCache>
                <c:formatCode>_("R$"* #,##0.00_);_("R$"* \(#,##0.00\);_("R$"* "-"??_);_(@_)</c:formatCode>
                <c:ptCount val="13"/>
                <c:pt idx="0">
                  <c:v>5350959.6900000004</c:v>
                </c:pt>
                <c:pt idx="1">
                  <c:v>5828201.7899999944</c:v>
                </c:pt>
                <c:pt idx="2">
                  <c:v>7377310.2499999963</c:v>
                </c:pt>
                <c:pt idx="3">
                  <c:v>4895566.6700000037</c:v>
                </c:pt>
                <c:pt idx="4">
                  <c:v>4112129.2599999974</c:v>
                </c:pt>
                <c:pt idx="5">
                  <c:v>6298506.8000000007</c:v>
                </c:pt>
                <c:pt idx="6">
                  <c:v>7265246.4799999995</c:v>
                </c:pt>
                <c:pt idx="7">
                  <c:v>13098541.830000004</c:v>
                </c:pt>
                <c:pt idx="8">
                  <c:v>27058280.669999983</c:v>
                </c:pt>
                <c:pt idx="9">
                  <c:v>21049602.920000009</c:v>
                </c:pt>
                <c:pt idx="10">
                  <c:v>16417300.729999991</c:v>
                </c:pt>
                <c:pt idx="11">
                  <c:v>21564784.65000001</c:v>
                </c:pt>
                <c:pt idx="12">
                  <c:v>12714823.559999995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69D-43B5-B3DC-8C0B933161FE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BDINDICADORES!$B$3118:$B$3130</c:f>
              <c:numCache>
                <c:formatCode>[$-416]yyyy;@</c:formatCode>
                <c:ptCount val="13"/>
                <c:pt idx="0">
                  <c:v>41609</c:v>
                </c:pt>
                <c:pt idx="1">
                  <c:v>41974</c:v>
                </c:pt>
                <c:pt idx="2">
                  <c:v>42339</c:v>
                </c:pt>
                <c:pt idx="3">
                  <c:v>42705</c:v>
                </c:pt>
                <c:pt idx="4">
                  <c:v>43070</c:v>
                </c:pt>
                <c:pt idx="5">
                  <c:v>43435</c:v>
                </c:pt>
                <c:pt idx="6">
                  <c:v>43800</c:v>
                </c:pt>
                <c:pt idx="7">
                  <c:v>44166</c:v>
                </c:pt>
                <c:pt idx="8">
                  <c:v>44531</c:v>
                </c:pt>
                <c:pt idx="9">
                  <c:v>44896</c:v>
                </c:pt>
                <c:pt idx="10">
                  <c:v>45261</c:v>
                </c:pt>
                <c:pt idx="11">
                  <c:v>45627</c:v>
                </c:pt>
                <c:pt idx="12">
                  <c:v>45992</c:v>
                </c:pt>
              </c:numCache>
            </c:numRef>
          </c:cat>
          <c:val>
            <c:numRef>
              <c:f>BDINDICADORES!$F$3118:$F$3126</c:f>
              <c:numCache>
                <c:formatCode>General</c:formatCode>
                <c:ptCount val="9"/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69D-43B5-B3DC-8C0B93316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2274720"/>
        <c:axId val="1522266816"/>
        <c:extLst/>
      </c:lineChart>
      <c:lineChart>
        <c:grouping val="standard"/>
        <c:varyColors val="0"/>
        <c:ser>
          <c:idx val="3"/>
          <c:order val="3"/>
          <c:tx>
            <c:v>(%)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BDINDICADORES!$A$3118:$C$3126</c:f>
              <c:multiLvlStrCache>
                <c:ptCount val="9"/>
                <c:lvl>
                  <c:pt idx="0">
                    <c:v>Dezembro</c:v>
                  </c:pt>
                  <c:pt idx="1">
                    <c:v>Dezembro</c:v>
                  </c:pt>
                  <c:pt idx="2">
                    <c:v>Dezembro</c:v>
                  </c:pt>
                  <c:pt idx="3">
                    <c:v>Dezembro</c:v>
                  </c:pt>
                  <c:pt idx="4">
                    <c:v>Dezembro</c:v>
                  </c:pt>
                  <c:pt idx="5">
                    <c:v>Dezembro</c:v>
                  </c:pt>
                  <c:pt idx="6">
                    <c:v>Dezembro</c:v>
                  </c:pt>
                  <c:pt idx="7">
                    <c:v>Dezembro</c:v>
                  </c:pt>
                  <c:pt idx="8">
                    <c:v>Dezembro</c:v>
                  </c:pt>
                </c:lvl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2017</c:v>
                  </c:pt>
                  <c:pt idx="5">
                    <c:v>2018</c:v>
                  </c:pt>
                  <c:pt idx="6">
                    <c:v>2019</c:v>
                  </c:pt>
                  <c:pt idx="7">
                    <c:v>2020</c:v>
                  </c:pt>
                  <c:pt idx="8">
                    <c:v>2021</c:v>
                  </c:pt>
                </c:lvl>
                <c:lvl>
                  <c:pt idx="0">
                    <c:v>AC. EBIT ANUAL</c:v>
                  </c:pt>
                  <c:pt idx="1">
                    <c:v>AC. EBIT ANUAL</c:v>
                  </c:pt>
                  <c:pt idx="2">
                    <c:v>AC. EBIT ANUAL</c:v>
                  </c:pt>
                  <c:pt idx="3">
                    <c:v>AC. EBIT ANUAL</c:v>
                  </c:pt>
                  <c:pt idx="4">
                    <c:v>AC. EBIT ANUAL</c:v>
                  </c:pt>
                  <c:pt idx="5">
                    <c:v>AC. EBIT ANUAL</c:v>
                  </c:pt>
                  <c:pt idx="6">
                    <c:v>AC. EBIT ANUAL</c:v>
                  </c:pt>
                  <c:pt idx="7">
                    <c:v>AC. EBIT ANUAL</c:v>
                  </c:pt>
                  <c:pt idx="8">
                    <c:v>AC. EBIT ANUAL</c:v>
                  </c:pt>
                </c:lvl>
              </c:multiLvlStrCache>
            </c:multiLvlStrRef>
          </c:cat>
          <c:val>
            <c:numRef>
              <c:f>BDINDICADORES!$G$3118:$G$3130</c:f>
              <c:numCache>
                <c:formatCode>0.00%</c:formatCode>
                <c:ptCount val="13"/>
                <c:pt idx="0">
                  <c:v>0.39009028107230537</c:v>
                </c:pt>
                <c:pt idx="1">
                  <c:v>0.32707179320348573</c:v>
                </c:pt>
                <c:pt idx="2">
                  <c:v>0.2975135483613397</c:v>
                </c:pt>
                <c:pt idx="3">
                  <c:v>0.22708613187782928</c:v>
                </c:pt>
                <c:pt idx="4">
                  <c:v>0.19180692088600215</c:v>
                </c:pt>
                <c:pt idx="5">
                  <c:v>0.23640079624191143</c:v>
                </c:pt>
                <c:pt idx="6">
                  <c:v>0.22628218581330165</c:v>
                </c:pt>
                <c:pt idx="7">
                  <c:v>0.30119061956019594</c:v>
                </c:pt>
                <c:pt idx="8">
                  <c:v>0.31477831872097317</c:v>
                </c:pt>
                <c:pt idx="9">
                  <c:v>0.2461457237620214</c:v>
                </c:pt>
                <c:pt idx="10">
                  <c:v>0.20008507273276885</c:v>
                </c:pt>
                <c:pt idx="11">
                  <c:v>0.17895754390880447</c:v>
                </c:pt>
                <c:pt idx="12">
                  <c:v>0.114059084360842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69D-43B5-B3DC-8C0B93316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115504"/>
        <c:axId val="1532117584"/>
      </c:lineChart>
      <c:dateAx>
        <c:axId val="15222747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$-416]yy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266816"/>
        <c:crosses val="autoZero"/>
        <c:auto val="0"/>
        <c:lblOffset val="100"/>
        <c:baseTimeUnit val="years"/>
        <c:majorUnit val="1"/>
        <c:majorTimeUnit val="years"/>
      </c:dateAx>
      <c:valAx>
        <c:axId val="152226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274720"/>
        <c:crosses val="autoZero"/>
        <c:crossBetween val="between"/>
      </c:valAx>
      <c:valAx>
        <c:axId val="1532117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2115504"/>
        <c:crosses val="max"/>
        <c:crossBetween val="between"/>
      </c:valAx>
      <c:catAx>
        <c:axId val="1532115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2117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[INDICADORES.xlsm]dinInd!Tabela dinâmica9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34925" cap="rnd">
            <a:solidFill>
              <a:schemeClr val="accent4"/>
            </a:solidFill>
            <a:round/>
          </a:ln>
          <a:effectLst>
            <a:glow rad="63500">
              <a:schemeClr val="accent2">
                <a:satMod val="175000"/>
                <a:alpha val="40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dinInd!$B$3</c:f>
              <c:strCache>
                <c:ptCount val="1"/>
                <c:pt idx="0">
                  <c:v>Média de Valor</c:v>
                </c:pt>
              </c:strCache>
            </c:strRef>
          </c:tx>
          <c:spPr>
            <a:ln w="34925" cap="rnd">
              <a:solidFill>
                <a:schemeClr val="accent4">
                  <a:shade val="76000"/>
                </a:schemeClr>
              </a:solidFill>
              <a:round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multiLvlStrRef>
              <c:f>dinInd!$A$4:$A$18</c:f>
              <c:multiLvlStrCache>
                <c:ptCount val="13"/>
                <c:lvl>
                  <c:pt idx="0">
                    <c:v>jan-25</c:v>
                  </c:pt>
                  <c:pt idx="1">
                    <c:v>fev-25</c:v>
                  </c:pt>
                  <c:pt idx="2">
                    <c:v>mar-25</c:v>
                  </c:pt>
                  <c:pt idx="3">
                    <c:v>abr-25</c:v>
                  </c:pt>
                  <c:pt idx="4">
                    <c:v>mai-25</c:v>
                  </c:pt>
                  <c:pt idx="5">
                    <c:v>jun-25</c:v>
                  </c:pt>
                  <c:pt idx="6">
                    <c:v>jul-25</c:v>
                  </c:pt>
                  <c:pt idx="7">
                    <c:v>ago-25</c:v>
                  </c:pt>
                  <c:pt idx="8">
                    <c:v>set-25</c:v>
                  </c:pt>
                  <c:pt idx="9">
                    <c:v>out-25</c:v>
                  </c:pt>
                  <c:pt idx="10">
                    <c:v>nov-25</c:v>
                  </c:pt>
                  <c:pt idx="11">
                    <c:v>dez-25</c:v>
                  </c:pt>
                  <c:pt idx="12">
                    <c:v>jan-26</c:v>
                  </c:pt>
                </c:lvl>
                <c:lvl>
                  <c:pt idx="0">
                    <c:v>ESTOQUE</c:v>
                  </c:pt>
                </c:lvl>
              </c:multiLvlStrCache>
            </c:multiLvlStrRef>
          </c:cat>
          <c:val>
            <c:numRef>
              <c:f>dinInd!$B$4:$B$18</c:f>
              <c:numCache>
                <c:formatCode>_(* #.##000_);_(* \(#.##000\);_(* "-"??_);_(@_)</c:formatCode>
                <c:ptCount val="13"/>
                <c:pt idx="0">
                  <c:v>30759078.059999999</c:v>
                </c:pt>
                <c:pt idx="1">
                  <c:v>30039837.460000001</c:v>
                </c:pt>
                <c:pt idx="2">
                  <c:v>29892099.329999998</c:v>
                </c:pt>
                <c:pt idx="3">
                  <c:v>26769339.100000001</c:v>
                </c:pt>
                <c:pt idx="4">
                  <c:v>24196604.489999998</c:v>
                </c:pt>
                <c:pt idx="5">
                  <c:v>26459292.190000001</c:v>
                </c:pt>
                <c:pt idx="6">
                  <c:v>27046476.670000002</c:v>
                </c:pt>
                <c:pt idx="7">
                  <c:v>25938993.82</c:v>
                </c:pt>
                <c:pt idx="8">
                  <c:v>25996087.539999999</c:v>
                </c:pt>
                <c:pt idx="9">
                  <c:v>26673539.030000001</c:v>
                </c:pt>
                <c:pt idx="10">
                  <c:v>26032272.02</c:v>
                </c:pt>
                <c:pt idx="11">
                  <c:v>27287289.27</c:v>
                </c:pt>
                <c:pt idx="12">
                  <c:v>26922318.800000001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8D-403F-A47A-945FAE90DABA}"/>
            </c:ext>
          </c:extLst>
        </c:ser>
        <c:ser>
          <c:idx val="1"/>
          <c:order val="1"/>
          <c:tx>
            <c:strRef>
              <c:f>dinInd!$C$3</c:f>
              <c:strCache>
                <c:ptCount val="1"/>
                <c:pt idx="0">
                  <c:v>Média de Meta</c:v>
                </c:pt>
              </c:strCache>
            </c:strRef>
          </c:tx>
          <c:spPr>
            <a:ln w="34925" cap="rnd">
              <a:solidFill>
                <a:schemeClr val="accent4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dinInd!$A$4:$A$18</c:f>
              <c:multiLvlStrCache>
                <c:ptCount val="13"/>
                <c:lvl>
                  <c:pt idx="0">
                    <c:v>jan-25</c:v>
                  </c:pt>
                  <c:pt idx="1">
                    <c:v>fev-25</c:v>
                  </c:pt>
                  <c:pt idx="2">
                    <c:v>mar-25</c:v>
                  </c:pt>
                  <c:pt idx="3">
                    <c:v>abr-25</c:v>
                  </c:pt>
                  <c:pt idx="4">
                    <c:v>mai-25</c:v>
                  </c:pt>
                  <c:pt idx="5">
                    <c:v>jun-25</c:v>
                  </c:pt>
                  <c:pt idx="6">
                    <c:v>jul-25</c:v>
                  </c:pt>
                  <c:pt idx="7">
                    <c:v>ago-25</c:v>
                  </c:pt>
                  <c:pt idx="8">
                    <c:v>set-25</c:v>
                  </c:pt>
                  <c:pt idx="9">
                    <c:v>out-25</c:v>
                  </c:pt>
                  <c:pt idx="10">
                    <c:v>nov-25</c:v>
                  </c:pt>
                  <c:pt idx="11">
                    <c:v>dez-25</c:v>
                  </c:pt>
                  <c:pt idx="12">
                    <c:v>jan-26</c:v>
                  </c:pt>
                </c:lvl>
                <c:lvl>
                  <c:pt idx="0">
                    <c:v>ESTOQUE</c:v>
                  </c:pt>
                </c:lvl>
              </c:multiLvlStrCache>
            </c:multiLvlStrRef>
          </c:cat>
          <c:val>
            <c:numRef>
              <c:f>dinInd!$C$4:$C$18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B-46C3-A258-893344747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0129152"/>
        <c:axId val="752121632"/>
      </c:lineChart>
      <c:catAx>
        <c:axId val="113012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2121632"/>
        <c:crosses val="autoZero"/>
        <c:auto val="0"/>
        <c:lblAlgn val="ctr"/>
        <c:lblOffset val="100"/>
        <c:noMultiLvlLbl val="0"/>
      </c:catAx>
      <c:valAx>
        <c:axId val="75212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012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[INDICADORES.xlsm]dinInd!Tabela dinâmica13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4"/>
            </a:solidFill>
            <a:round/>
          </a:ln>
          <a:effectLst>
            <a:glow rad="63500">
              <a:schemeClr val="accent2">
                <a:satMod val="175000"/>
                <a:alpha val="40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dinInd!$R$3</c:f>
              <c:strCache>
                <c:ptCount val="1"/>
                <c:pt idx="0">
                  <c:v>Soma de Valor</c:v>
                </c:pt>
              </c:strCache>
            </c:strRef>
          </c:tx>
          <c:spPr>
            <a:ln w="34925" cap="rnd">
              <a:solidFill>
                <a:schemeClr val="accent4">
                  <a:shade val="76000"/>
                </a:schemeClr>
              </a:solidFill>
              <a:round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multiLvlStrRef>
              <c:f>dinInd!$Q$4:$Q$42</c:f>
              <c:multiLvlStrCache>
                <c:ptCount val="36"/>
                <c:lvl>
                  <c:pt idx="0">
                    <c:v>jan-23</c:v>
                  </c:pt>
                  <c:pt idx="1">
                    <c:v>fev-23</c:v>
                  </c:pt>
                  <c:pt idx="2">
                    <c:v>mar-23</c:v>
                  </c:pt>
                  <c:pt idx="3">
                    <c:v>abr-23</c:v>
                  </c:pt>
                  <c:pt idx="4">
                    <c:v>mai-23</c:v>
                  </c:pt>
                  <c:pt idx="5">
                    <c:v>jun-23</c:v>
                  </c:pt>
                  <c:pt idx="6">
                    <c:v>jul-23</c:v>
                  </c:pt>
                  <c:pt idx="7">
                    <c:v>ago-23</c:v>
                  </c:pt>
                  <c:pt idx="8">
                    <c:v>set-23</c:v>
                  </c:pt>
                  <c:pt idx="9">
                    <c:v>out-23</c:v>
                  </c:pt>
                  <c:pt idx="10">
                    <c:v>nov-23</c:v>
                  </c:pt>
                  <c:pt idx="11">
                    <c:v>dez-23</c:v>
                  </c:pt>
                  <c:pt idx="12">
                    <c:v>jan-24</c:v>
                  </c:pt>
                  <c:pt idx="13">
                    <c:v>fev-24</c:v>
                  </c:pt>
                  <c:pt idx="14">
                    <c:v>mar-24</c:v>
                  </c:pt>
                  <c:pt idx="15">
                    <c:v>abr-24</c:v>
                  </c:pt>
                  <c:pt idx="16">
                    <c:v>mai-24</c:v>
                  </c:pt>
                  <c:pt idx="17">
                    <c:v>jun-24</c:v>
                  </c:pt>
                  <c:pt idx="18">
                    <c:v>jul-24</c:v>
                  </c:pt>
                  <c:pt idx="19">
                    <c:v>ago-24</c:v>
                  </c:pt>
                  <c:pt idx="20">
                    <c:v>set-24</c:v>
                  </c:pt>
                  <c:pt idx="21">
                    <c:v>out-24</c:v>
                  </c:pt>
                  <c:pt idx="22">
                    <c:v>nov-24</c:v>
                  </c:pt>
                  <c:pt idx="23">
                    <c:v>dez-24</c:v>
                  </c:pt>
                  <c:pt idx="24">
                    <c:v>jan-25</c:v>
                  </c:pt>
                  <c:pt idx="25">
                    <c:v>fev-25</c:v>
                  </c:pt>
                  <c:pt idx="26">
                    <c:v>mar-25</c:v>
                  </c:pt>
                  <c:pt idx="27">
                    <c:v>abr-25</c:v>
                  </c:pt>
                  <c:pt idx="28">
                    <c:v>mai-25</c:v>
                  </c:pt>
                  <c:pt idx="29">
                    <c:v>jun-25</c:v>
                  </c:pt>
                  <c:pt idx="30">
                    <c:v>jul-25</c:v>
                  </c:pt>
                  <c:pt idx="31">
                    <c:v>ago-25</c:v>
                  </c:pt>
                  <c:pt idx="32">
                    <c:v>set-25</c:v>
                  </c:pt>
                  <c:pt idx="33">
                    <c:v>out-25</c:v>
                  </c:pt>
                  <c:pt idx="34">
                    <c:v>nov-25</c:v>
                  </c:pt>
                  <c:pt idx="35">
                    <c:v>dez-25</c:v>
                  </c:pt>
                </c:lvl>
                <c:lvl>
                  <c:pt idx="0">
                    <c:v>ESTOQUE</c:v>
                  </c:pt>
                </c:lvl>
              </c:multiLvlStrCache>
            </c:multiLvlStrRef>
          </c:cat>
          <c:val>
            <c:numRef>
              <c:f>dinInd!$R$4:$R$42</c:f>
              <c:numCache>
                <c:formatCode>_(* #.##000_);_(* \(#.##000\);_(* "-"??_);_(@_)</c:formatCode>
                <c:ptCount val="36"/>
                <c:pt idx="0">
                  <c:v>22886998.16</c:v>
                </c:pt>
                <c:pt idx="1">
                  <c:v>22837277.98</c:v>
                </c:pt>
                <c:pt idx="2">
                  <c:v>24261870.949999999</c:v>
                </c:pt>
                <c:pt idx="3">
                  <c:v>23475597.420000002</c:v>
                </c:pt>
                <c:pt idx="4">
                  <c:v>23509849.280000001</c:v>
                </c:pt>
                <c:pt idx="5">
                  <c:v>22842595.829999998</c:v>
                </c:pt>
                <c:pt idx="6">
                  <c:v>24746789.890000001</c:v>
                </c:pt>
                <c:pt idx="7">
                  <c:v>23579720.16</c:v>
                </c:pt>
                <c:pt idx="8">
                  <c:v>24817492.75</c:v>
                </c:pt>
                <c:pt idx="9">
                  <c:v>24654821.489999998</c:v>
                </c:pt>
                <c:pt idx="10">
                  <c:v>25539862.07</c:v>
                </c:pt>
                <c:pt idx="11">
                  <c:v>25926588.920000002</c:v>
                </c:pt>
                <c:pt idx="12">
                  <c:v>26849770.09</c:v>
                </c:pt>
                <c:pt idx="13">
                  <c:v>27094835.489999998</c:v>
                </c:pt>
                <c:pt idx="14">
                  <c:v>27292852</c:v>
                </c:pt>
                <c:pt idx="15">
                  <c:v>27463235.559999999</c:v>
                </c:pt>
                <c:pt idx="16">
                  <c:v>27271151.850000001</c:v>
                </c:pt>
                <c:pt idx="17">
                  <c:v>28533292.890000001</c:v>
                </c:pt>
                <c:pt idx="18">
                  <c:v>26991904.280000001</c:v>
                </c:pt>
                <c:pt idx="19">
                  <c:v>27685161.27</c:v>
                </c:pt>
                <c:pt idx="20">
                  <c:v>27895759.57</c:v>
                </c:pt>
                <c:pt idx="21">
                  <c:v>29722285.210000001</c:v>
                </c:pt>
                <c:pt idx="22">
                  <c:v>30488788.850000001</c:v>
                </c:pt>
                <c:pt idx="23">
                  <c:v>28358377.210000001</c:v>
                </c:pt>
                <c:pt idx="24">
                  <c:v>30759078.059999999</c:v>
                </c:pt>
                <c:pt idx="25">
                  <c:v>30039837.460000001</c:v>
                </c:pt>
                <c:pt idx="26">
                  <c:v>29892099.329999998</c:v>
                </c:pt>
                <c:pt idx="27">
                  <c:v>26769339.100000001</c:v>
                </c:pt>
                <c:pt idx="28">
                  <c:v>24196604.489999998</c:v>
                </c:pt>
                <c:pt idx="29">
                  <c:v>26459292.190000001</c:v>
                </c:pt>
                <c:pt idx="30">
                  <c:v>27046476.670000002</c:v>
                </c:pt>
                <c:pt idx="31">
                  <c:v>25938993.82</c:v>
                </c:pt>
                <c:pt idx="32">
                  <c:v>25996087.539999999</c:v>
                </c:pt>
                <c:pt idx="33">
                  <c:v>26673539.030000001</c:v>
                </c:pt>
                <c:pt idx="34">
                  <c:v>26032272.02</c:v>
                </c:pt>
                <c:pt idx="35">
                  <c:v>27287289.27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503-44F9-981B-271124596EAA}"/>
            </c:ext>
          </c:extLst>
        </c:ser>
        <c:ser>
          <c:idx val="1"/>
          <c:order val="1"/>
          <c:tx>
            <c:strRef>
              <c:f>dinInd!$S$3</c:f>
              <c:strCache>
                <c:ptCount val="1"/>
                <c:pt idx="0">
                  <c:v>Soma de Meta</c:v>
                </c:pt>
              </c:strCache>
            </c:strRef>
          </c:tx>
          <c:spPr>
            <a:ln w="34925" cap="rnd">
              <a:solidFill>
                <a:schemeClr val="accent4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dinInd!$Q$4:$Q$42</c:f>
              <c:multiLvlStrCache>
                <c:ptCount val="36"/>
                <c:lvl>
                  <c:pt idx="0">
                    <c:v>jan-23</c:v>
                  </c:pt>
                  <c:pt idx="1">
                    <c:v>fev-23</c:v>
                  </c:pt>
                  <c:pt idx="2">
                    <c:v>mar-23</c:v>
                  </c:pt>
                  <c:pt idx="3">
                    <c:v>abr-23</c:v>
                  </c:pt>
                  <c:pt idx="4">
                    <c:v>mai-23</c:v>
                  </c:pt>
                  <c:pt idx="5">
                    <c:v>jun-23</c:v>
                  </c:pt>
                  <c:pt idx="6">
                    <c:v>jul-23</c:v>
                  </c:pt>
                  <c:pt idx="7">
                    <c:v>ago-23</c:v>
                  </c:pt>
                  <c:pt idx="8">
                    <c:v>set-23</c:v>
                  </c:pt>
                  <c:pt idx="9">
                    <c:v>out-23</c:v>
                  </c:pt>
                  <c:pt idx="10">
                    <c:v>nov-23</c:v>
                  </c:pt>
                  <c:pt idx="11">
                    <c:v>dez-23</c:v>
                  </c:pt>
                  <c:pt idx="12">
                    <c:v>jan-24</c:v>
                  </c:pt>
                  <c:pt idx="13">
                    <c:v>fev-24</c:v>
                  </c:pt>
                  <c:pt idx="14">
                    <c:v>mar-24</c:v>
                  </c:pt>
                  <c:pt idx="15">
                    <c:v>abr-24</c:v>
                  </c:pt>
                  <c:pt idx="16">
                    <c:v>mai-24</c:v>
                  </c:pt>
                  <c:pt idx="17">
                    <c:v>jun-24</c:v>
                  </c:pt>
                  <c:pt idx="18">
                    <c:v>jul-24</c:v>
                  </c:pt>
                  <c:pt idx="19">
                    <c:v>ago-24</c:v>
                  </c:pt>
                  <c:pt idx="20">
                    <c:v>set-24</c:v>
                  </c:pt>
                  <c:pt idx="21">
                    <c:v>out-24</c:v>
                  </c:pt>
                  <c:pt idx="22">
                    <c:v>nov-24</c:v>
                  </c:pt>
                  <c:pt idx="23">
                    <c:v>dez-24</c:v>
                  </c:pt>
                  <c:pt idx="24">
                    <c:v>jan-25</c:v>
                  </c:pt>
                  <c:pt idx="25">
                    <c:v>fev-25</c:v>
                  </c:pt>
                  <c:pt idx="26">
                    <c:v>mar-25</c:v>
                  </c:pt>
                  <c:pt idx="27">
                    <c:v>abr-25</c:v>
                  </c:pt>
                  <c:pt idx="28">
                    <c:v>mai-25</c:v>
                  </c:pt>
                  <c:pt idx="29">
                    <c:v>jun-25</c:v>
                  </c:pt>
                  <c:pt idx="30">
                    <c:v>jul-25</c:v>
                  </c:pt>
                  <c:pt idx="31">
                    <c:v>ago-25</c:v>
                  </c:pt>
                  <c:pt idx="32">
                    <c:v>set-25</c:v>
                  </c:pt>
                  <c:pt idx="33">
                    <c:v>out-25</c:v>
                  </c:pt>
                  <c:pt idx="34">
                    <c:v>nov-25</c:v>
                  </c:pt>
                  <c:pt idx="35">
                    <c:v>dez-25</c:v>
                  </c:pt>
                </c:lvl>
                <c:lvl>
                  <c:pt idx="0">
                    <c:v>ESTOQUE</c:v>
                  </c:pt>
                </c:lvl>
              </c:multiLvlStrCache>
            </c:multiLvlStrRef>
          </c:cat>
          <c:val>
            <c:numRef>
              <c:f>dinInd!$S$4:$S$42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A-4582-B7E4-C30815B19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9399360"/>
        <c:axId val="1054225904"/>
      </c:lineChart>
      <c:catAx>
        <c:axId val="123939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4225904"/>
        <c:crosses val="autoZero"/>
        <c:auto val="1"/>
        <c:lblAlgn val="ctr"/>
        <c:lblOffset val="100"/>
        <c:noMultiLvlLbl val="0"/>
      </c:catAx>
      <c:valAx>
        <c:axId val="105422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.##000_);_(* \(#.##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939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[INDICADORES.xlsm]dinDRE!Tabela dinâmica1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CUSTOS X FATURAMENTO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dinDRE!$B$1</c:f>
              <c:strCache>
                <c:ptCount val="1"/>
                <c:pt idx="0">
                  <c:v>Valor R$</c:v>
                </c:pt>
              </c:strCache>
            </c:strRef>
          </c:tx>
          <c:spPr>
            <a:ln w="34925" cap="rnd">
              <a:solidFill>
                <a:schemeClr val="accent2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dinDRE!$A$2:$A$23</c:f>
              <c:multiLvlStrCache>
                <c:ptCount val="20"/>
                <c:lvl>
                  <c:pt idx="0">
                    <c:v>01/01/2024</c:v>
                  </c:pt>
                  <c:pt idx="1">
                    <c:v>01/02/2024</c:v>
                  </c:pt>
                  <c:pt idx="2">
                    <c:v>01/03/2024</c:v>
                  </c:pt>
                  <c:pt idx="3">
                    <c:v>01/04/2024</c:v>
                  </c:pt>
                  <c:pt idx="4">
                    <c:v>01/05/2024</c:v>
                  </c:pt>
                  <c:pt idx="5">
                    <c:v>01/06/2024</c:v>
                  </c:pt>
                  <c:pt idx="6">
                    <c:v>01/07/2024</c:v>
                  </c:pt>
                  <c:pt idx="7">
                    <c:v>01/08/2024</c:v>
                  </c:pt>
                  <c:pt idx="8">
                    <c:v>01/09/2024</c:v>
                  </c:pt>
                  <c:pt idx="9">
                    <c:v>01/10/2024</c:v>
                  </c:pt>
                  <c:pt idx="10">
                    <c:v>01/11/2024</c:v>
                  </c:pt>
                  <c:pt idx="11">
                    <c:v>01/12/2024</c:v>
                  </c:pt>
                  <c:pt idx="12">
                    <c:v>01/01/2025</c:v>
                  </c:pt>
                  <c:pt idx="13">
                    <c:v>01/02/2025</c:v>
                  </c:pt>
                  <c:pt idx="14">
                    <c:v>01/03/2025</c:v>
                  </c:pt>
                  <c:pt idx="15">
                    <c:v>01/04/2025</c:v>
                  </c:pt>
                  <c:pt idx="16">
                    <c:v>01/05/2025</c:v>
                  </c:pt>
                  <c:pt idx="17">
                    <c:v>01/06/2025</c:v>
                  </c:pt>
                  <c:pt idx="18">
                    <c:v>01/07/2025</c:v>
                  </c:pt>
                  <c:pt idx="19">
                    <c:v>01/08/2025</c:v>
                  </c:pt>
                </c:lvl>
                <c:lvl>
                  <c:pt idx="0">
                    <c:v>DESPESAS COM VENDAS</c:v>
                  </c:pt>
                </c:lvl>
              </c:multiLvlStrCache>
            </c:multiLvlStrRef>
          </c:cat>
          <c:val>
            <c:numRef>
              <c:f>dinDRE!$B$2:$B$23</c:f>
              <c:numCache>
                <c:formatCode>General</c:formatCode>
                <c:ptCount val="20"/>
                <c:pt idx="0">
                  <c:v>627478.37</c:v>
                </c:pt>
                <c:pt idx="1">
                  <c:v>859391.47</c:v>
                </c:pt>
                <c:pt idx="2">
                  <c:v>520725.27</c:v>
                </c:pt>
                <c:pt idx="3">
                  <c:v>685851.9</c:v>
                </c:pt>
                <c:pt idx="4">
                  <c:v>1060078.29</c:v>
                </c:pt>
                <c:pt idx="5">
                  <c:v>640447.78</c:v>
                </c:pt>
                <c:pt idx="6">
                  <c:v>859830.96</c:v>
                </c:pt>
                <c:pt idx="7">
                  <c:v>1071337.53</c:v>
                </c:pt>
                <c:pt idx="8">
                  <c:v>867341.60000000009</c:v>
                </c:pt>
                <c:pt idx="9">
                  <c:v>890390.29</c:v>
                </c:pt>
                <c:pt idx="10">
                  <c:v>932718.02</c:v>
                </c:pt>
                <c:pt idx="11">
                  <c:v>688740.6</c:v>
                </c:pt>
                <c:pt idx="12">
                  <c:v>689982.46</c:v>
                </c:pt>
                <c:pt idx="13">
                  <c:v>853253.07000000007</c:v>
                </c:pt>
                <c:pt idx="14">
                  <c:v>834594.84</c:v>
                </c:pt>
                <c:pt idx="15">
                  <c:v>691158.21000000008</c:v>
                </c:pt>
                <c:pt idx="16">
                  <c:v>850821.51</c:v>
                </c:pt>
                <c:pt idx="17">
                  <c:v>1115937.8199999998</c:v>
                </c:pt>
                <c:pt idx="18">
                  <c:v>784905.47</c:v>
                </c:pt>
                <c:pt idx="19">
                  <c:v>1020714.7000000001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61C-4797-A165-64435BCC5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387200"/>
        <c:axId val="189388640"/>
      </c:lineChart>
      <c:lineChart>
        <c:grouping val="standard"/>
        <c:varyColors val="0"/>
        <c:ser>
          <c:idx val="1"/>
          <c:order val="1"/>
          <c:tx>
            <c:strRef>
              <c:f>dinDRE!$C$1</c:f>
              <c:strCache>
                <c:ptCount val="1"/>
                <c:pt idx="0">
                  <c:v>Faturamento R$</c:v>
                </c:pt>
              </c:strCache>
            </c:strRef>
          </c:tx>
          <c:spPr>
            <a:ln w="34925" cap="rnd">
              <a:solidFill>
                <a:schemeClr val="accent2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dinDRE!$A$2:$A$23</c:f>
              <c:multiLvlStrCache>
                <c:ptCount val="20"/>
                <c:lvl>
                  <c:pt idx="0">
                    <c:v>01/01/2024</c:v>
                  </c:pt>
                  <c:pt idx="1">
                    <c:v>01/02/2024</c:v>
                  </c:pt>
                  <c:pt idx="2">
                    <c:v>01/03/2024</c:v>
                  </c:pt>
                  <c:pt idx="3">
                    <c:v>01/04/2024</c:v>
                  </c:pt>
                  <c:pt idx="4">
                    <c:v>01/05/2024</c:v>
                  </c:pt>
                  <c:pt idx="5">
                    <c:v>01/06/2024</c:v>
                  </c:pt>
                  <c:pt idx="6">
                    <c:v>01/07/2024</c:v>
                  </c:pt>
                  <c:pt idx="7">
                    <c:v>01/08/2024</c:v>
                  </c:pt>
                  <c:pt idx="8">
                    <c:v>01/09/2024</c:v>
                  </c:pt>
                  <c:pt idx="9">
                    <c:v>01/10/2024</c:v>
                  </c:pt>
                  <c:pt idx="10">
                    <c:v>01/11/2024</c:v>
                  </c:pt>
                  <c:pt idx="11">
                    <c:v>01/12/2024</c:v>
                  </c:pt>
                  <c:pt idx="12">
                    <c:v>01/01/2025</c:v>
                  </c:pt>
                  <c:pt idx="13">
                    <c:v>01/02/2025</c:v>
                  </c:pt>
                  <c:pt idx="14">
                    <c:v>01/03/2025</c:v>
                  </c:pt>
                  <c:pt idx="15">
                    <c:v>01/04/2025</c:v>
                  </c:pt>
                  <c:pt idx="16">
                    <c:v>01/05/2025</c:v>
                  </c:pt>
                  <c:pt idx="17">
                    <c:v>01/06/2025</c:v>
                  </c:pt>
                  <c:pt idx="18">
                    <c:v>01/07/2025</c:v>
                  </c:pt>
                  <c:pt idx="19">
                    <c:v>01/08/2025</c:v>
                  </c:pt>
                </c:lvl>
                <c:lvl>
                  <c:pt idx="0">
                    <c:v>DESPESAS COM VENDAS</c:v>
                  </c:pt>
                </c:lvl>
              </c:multiLvlStrCache>
            </c:multiLvlStrRef>
          </c:cat>
          <c:val>
            <c:numRef>
              <c:f>dinDRE!$C$2:$C$23</c:f>
              <c:numCache>
                <c:formatCode>General</c:formatCode>
                <c:ptCount val="20"/>
                <c:pt idx="0">
                  <c:v>7481410.8899999997</c:v>
                </c:pt>
                <c:pt idx="1">
                  <c:v>8407937.3199999984</c:v>
                </c:pt>
                <c:pt idx="2">
                  <c:v>7671402.7999999998</c:v>
                </c:pt>
                <c:pt idx="3">
                  <c:v>10589146.889999999</c:v>
                </c:pt>
                <c:pt idx="4">
                  <c:v>11809586.859999999</c:v>
                </c:pt>
                <c:pt idx="5">
                  <c:v>10610189.169999998</c:v>
                </c:pt>
                <c:pt idx="6">
                  <c:v>11950053.750000002</c:v>
                </c:pt>
                <c:pt idx="7">
                  <c:v>9379852.1500000004</c:v>
                </c:pt>
                <c:pt idx="8">
                  <c:v>10391320.409999998</c:v>
                </c:pt>
                <c:pt idx="9">
                  <c:v>10922850.24</c:v>
                </c:pt>
                <c:pt idx="10">
                  <c:v>8432311.2100000028</c:v>
                </c:pt>
                <c:pt idx="11">
                  <c:v>12856176.879999999</c:v>
                </c:pt>
                <c:pt idx="12">
                  <c:v>8086735.4699999988</c:v>
                </c:pt>
                <c:pt idx="13">
                  <c:v>9319159.459999999</c:v>
                </c:pt>
                <c:pt idx="14">
                  <c:v>9258463.5699999984</c:v>
                </c:pt>
                <c:pt idx="15">
                  <c:v>13169292.220000001</c:v>
                </c:pt>
                <c:pt idx="16">
                  <c:v>13970252.15</c:v>
                </c:pt>
                <c:pt idx="17">
                  <c:v>7596376.8400000008</c:v>
                </c:pt>
                <c:pt idx="18">
                  <c:v>8551090.5799999963</c:v>
                </c:pt>
                <c:pt idx="19">
                  <c:v>8945909.8300000019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61C-4797-A165-64435BCC5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60640"/>
        <c:axId val="189457760"/>
      </c:lineChart>
      <c:catAx>
        <c:axId val="189387200"/>
        <c:scaling>
          <c:orientation val="minMax"/>
        </c:scaling>
        <c:delete val="0"/>
        <c:axPos val="b"/>
        <c:numFmt formatCode="[$-416]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388640"/>
        <c:crosses val="autoZero"/>
        <c:auto val="1"/>
        <c:lblAlgn val="ctr"/>
        <c:lblOffset val="100"/>
        <c:tickLblSkip val="3"/>
        <c:noMultiLvlLbl val="0"/>
      </c:catAx>
      <c:valAx>
        <c:axId val="189388640"/>
        <c:scaling>
          <c:orientation val="minMax"/>
        </c:scaling>
        <c:delete val="0"/>
        <c:axPos val="l"/>
        <c:majorGridlines>
          <c:spPr>
            <a:ln w="25400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387200"/>
        <c:crosses val="autoZero"/>
        <c:crossBetween val="between"/>
      </c:valAx>
      <c:valAx>
        <c:axId val="189457760"/>
        <c:scaling>
          <c:orientation val="minMax"/>
        </c:scaling>
        <c:delete val="0"/>
        <c:axPos val="r"/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60640"/>
        <c:crosses val="max"/>
        <c:crossBetween val="between"/>
      </c:valAx>
      <c:catAx>
        <c:axId val="189460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9457760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1.0881188160658643E-2"/>
          <c:y val="7.5105596963584306E-2"/>
          <c:w val="0.28491110742304754"/>
          <c:h val="5.56383716130439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VALOREMPRESAS!$A$3</c:f>
              <c:strCache>
                <c:ptCount val="1"/>
              </c:strCache>
            </c:strRef>
          </c:tx>
          <c:invertIfNegative val="0"/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VALOREMPRESAS!$B$3:$N$3</c:f>
            </c:numRef>
          </c:val>
          <c:extLst>
            <c:ext xmlns:c16="http://schemas.microsoft.com/office/drawing/2014/chart" uri="{C3380CC4-5D6E-409C-BE32-E72D297353CC}">
              <c16:uniqueId val="{00000000-8F9A-4220-B0B8-EA290F9A23D4}"/>
            </c:ext>
          </c:extLst>
        </c:ser>
        <c:ser>
          <c:idx val="1"/>
          <c:order val="1"/>
          <c:tx>
            <c:strRef>
              <c:f>VALOREMPRESAS!$A$4</c:f>
              <c:strCache>
                <c:ptCount val="1"/>
              </c:strCache>
            </c:strRef>
          </c:tx>
          <c:invertIfNegative val="0"/>
          <c:dLbls>
            <c:numFmt formatCode="&quot;R$&quot;#,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VALOREMPRESAS!$B$4:$N$4</c:f>
            </c:numRef>
          </c:val>
          <c:extLst>
            <c:ext xmlns:c16="http://schemas.microsoft.com/office/drawing/2014/chart" uri="{C3380CC4-5D6E-409C-BE32-E72D297353CC}">
              <c16:uniqueId val="{00000001-8F9A-4220-B0B8-EA290F9A23D4}"/>
            </c:ext>
          </c:extLst>
        </c:ser>
        <c:ser>
          <c:idx val="2"/>
          <c:order val="2"/>
          <c:tx>
            <c:strRef>
              <c:f>VALOREMPRESAS!$A$5</c:f>
              <c:strCache>
                <c:ptCount val="1"/>
                <c:pt idx="0">
                  <c:v>(Evolução) % Ativo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VALOREMPRESAS!$B$5:$N$5</c:f>
            </c:numRef>
          </c:val>
          <c:extLst>
            <c:ext xmlns:c16="http://schemas.microsoft.com/office/drawing/2014/chart" uri="{C3380CC4-5D6E-409C-BE32-E72D297353CC}">
              <c16:uniqueId val="{00000002-8F9A-4220-B0B8-EA290F9A23D4}"/>
            </c:ext>
          </c:extLst>
        </c:ser>
        <c:ser>
          <c:idx val="3"/>
          <c:order val="3"/>
          <c:tx>
            <c:strRef>
              <c:f>VALOREMPRESAS!$A$6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VALOREMPRESAS!$B$6:$N$6</c:f>
            </c:numRef>
          </c:val>
          <c:extLst>
            <c:ext xmlns:c16="http://schemas.microsoft.com/office/drawing/2014/chart" uri="{C3380CC4-5D6E-409C-BE32-E72D297353CC}">
              <c16:uniqueId val="{00000003-8F9A-4220-B0B8-EA290F9A23D4}"/>
            </c:ext>
          </c:extLst>
        </c:ser>
        <c:ser>
          <c:idx val="5"/>
          <c:order val="5"/>
          <c:tx>
            <c:strRef>
              <c:f>VALOREMPRESAS!$A$8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VALOREMPRESAS!$B$8:$N$8</c:f>
            </c:numRef>
          </c:val>
          <c:extLst>
            <c:ext xmlns:c16="http://schemas.microsoft.com/office/drawing/2014/chart" uri="{C3380CC4-5D6E-409C-BE32-E72D297353CC}">
              <c16:uniqueId val="{00000004-8F9A-4220-B0B8-EA290F9A23D4}"/>
            </c:ext>
          </c:extLst>
        </c:ser>
        <c:ser>
          <c:idx val="6"/>
          <c:order val="6"/>
          <c:tx>
            <c:strRef>
              <c:f>VALOREMPRESAS!$A$9</c:f>
              <c:strCache>
                <c:ptCount val="1"/>
                <c:pt idx="0">
                  <c:v>(Evolução) % Patrimonio Liquido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VALOREMPRESAS!$B$9:$N$9</c:f>
            </c:numRef>
          </c:val>
          <c:extLst>
            <c:ext xmlns:c16="http://schemas.microsoft.com/office/drawing/2014/chart" uri="{C3380CC4-5D6E-409C-BE32-E72D297353CC}">
              <c16:uniqueId val="{00000005-8F9A-4220-B0B8-EA290F9A23D4}"/>
            </c:ext>
          </c:extLst>
        </c:ser>
        <c:ser>
          <c:idx val="7"/>
          <c:order val="7"/>
          <c:tx>
            <c:strRef>
              <c:f>VALOREMPRESAS!$A$10</c:f>
              <c:strCache>
                <c:ptCount val="1"/>
                <c:pt idx="0">
                  <c:v>Liquidez corrente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VALOREMPRESAS!$B$10:$N$10</c:f>
            </c:numRef>
          </c:val>
          <c:extLst>
            <c:ext xmlns:c16="http://schemas.microsoft.com/office/drawing/2014/chart" uri="{C3380CC4-5D6E-409C-BE32-E72D297353CC}">
              <c16:uniqueId val="{00000006-8F9A-4220-B0B8-EA290F9A23D4}"/>
            </c:ext>
          </c:extLst>
        </c:ser>
        <c:ser>
          <c:idx val="8"/>
          <c:order val="8"/>
          <c:tx>
            <c:strRef>
              <c:f>VALOREMPRESAS!$A$11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VALOREMPRESAS!$B$11:$N$11</c:f>
            </c:numRef>
          </c:val>
          <c:extLst>
            <c:ext xmlns:c16="http://schemas.microsoft.com/office/drawing/2014/chart" uri="{C3380CC4-5D6E-409C-BE32-E72D297353CC}">
              <c16:uniqueId val="{00000007-8F9A-4220-B0B8-EA290F9A23D4}"/>
            </c:ext>
          </c:extLst>
        </c:ser>
        <c:ser>
          <c:idx val="9"/>
          <c:order val="9"/>
          <c:tx>
            <c:strRef>
              <c:f>VALOREMPRESAS!$A$12</c:f>
              <c:strCache>
                <c:ptCount val="1"/>
                <c:pt idx="0">
                  <c:v>(Evolução) % Receita líquida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VALOREMPRESAS!$B$12:$N$12</c:f>
            </c:numRef>
          </c:val>
          <c:extLst>
            <c:ext xmlns:c16="http://schemas.microsoft.com/office/drawing/2014/chart" uri="{C3380CC4-5D6E-409C-BE32-E72D297353CC}">
              <c16:uniqueId val="{00000008-8F9A-4220-B0B8-EA290F9A23D4}"/>
            </c:ext>
          </c:extLst>
        </c:ser>
        <c:ser>
          <c:idx val="10"/>
          <c:order val="10"/>
          <c:tx>
            <c:strRef>
              <c:f>VALOREMPRESAS!$A$13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VALOREMPRESAS!$B$13:$N$13</c:f>
            </c:numRef>
          </c:val>
          <c:extLst>
            <c:ext xmlns:c16="http://schemas.microsoft.com/office/drawing/2014/chart" uri="{C3380CC4-5D6E-409C-BE32-E72D297353CC}">
              <c16:uniqueId val="{00000009-8F9A-4220-B0B8-EA290F9A23D4}"/>
            </c:ext>
          </c:extLst>
        </c:ser>
        <c:ser>
          <c:idx val="11"/>
          <c:order val="11"/>
          <c:tx>
            <c:strRef>
              <c:f>VALOREMPRESAS!$A$14</c:f>
              <c:strCache>
                <c:ptCount val="1"/>
                <c:pt idx="0">
                  <c:v>% Lucro operacional (Ebit)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VALOREMPRESAS!$B$14:$N$14</c:f>
            </c:numRef>
          </c:val>
          <c:extLst>
            <c:ext xmlns:c16="http://schemas.microsoft.com/office/drawing/2014/chart" uri="{C3380CC4-5D6E-409C-BE32-E72D297353CC}">
              <c16:uniqueId val="{0000000A-8F9A-4220-B0B8-EA290F9A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9294576"/>
        <c:axId val="649295408"/>
      </c:barChart>
      <c:barChart>
        <c:barDir val="col"/>
        <c:grouping val="clustered"/>
        <c:varyColors val="0"/>
        <c:ser>
          <c:idx val="4"/>
          <c:order val="4"/>
          <c:tx>
            <c:strRef>
              <c:f>VALOREMPRESAS!$A$7</c:f>
              <c:strCache>
                <c:ptCount val="1"/>
                <c:pt idx="0">
                  <c:v>(Evolução) % Passivo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VALOREMPRESAS!$B$7:$N$7</c:f>
            </c:numRef>
          </c:val>
          <c:extLst>
            <c:ext xmlns:c16="http://schemas.microsoft.com/office/drawing/2014/chart" uri="{C3380CC4-5D6E-409C-BE32-E72D297353CC}">
              <c16:uniqueId val="{0000000B-8F9A-4220-B0B8-EA290F9A23D4}"/>
            </c:ext>
          </c:extLst>
        </c:ser>
        <c:ser>
          <c:idx val="12"/>
          <c:order val="12"/>
          <c:tx>
            <c:strRef>
              <c:f>VALOREMPRESAS!$A$15</c:f>
              <c:strCache>
                <c:ptCount val="1"/>
                <c:pt idx="0">
                  <c:v>% Custo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VALOREMPRESAS!$B$15:$N$15</c:f>
            </c:numRef>
          </c:val>
          <c:extLst>
            <c:ext xmlns:c16="http://schemas.microsoft.com/office/drawing/2014/chart" uri="{C3380CC4-5D6E-409C-BE32-E72D297353CC}">
              <c16:uniqueId val="{0000000C-8F9A-4220-B0B8-EA290F9A23D4}"/>
            </c:ext>
          </c:extLst>
        </c:ser>
        <c:ser>
          <c:idx val="13"/>
          <c:order val="13"/>
          <c:tx>
            <c:strRef>
              <c:f>VALOREMPRESAS!$A$16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VALOREMPRESAS!$B$16:$N$16</c:f>
            </c:numRef>
          </c:val>
          <c:extLst>
            <c:ext xmlns:c16="http://schemas.microsoft.com/office/drawing/2014/chart" uri="{C3380CC4-5D6E-409C-BE32-E72D297353CC}">
              <c16:uniqueId val="{0000000D-8F9A-4220-B0B8-EA290F9A23D4}"/>
            </c:ext>
          </c:extLst>
        </c:ser>
        <c:ser>
          <c:idx val="14"/>
          <c:order val="14"/>
          <c:tx>
            <c:strRef>
              <c:f>VALOREMPRESAS!$A$17</c:f>
              <c:strCache>
                <c:ptCount val="1"/>
                <c:pt idx="0">
                  <c:v>% Ebitda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VALOREMPRESAS!$B$17:$N$17</c:f>
              <c:numCache>
                <c:formatCode>0.00%</c:formatCode>
                <c:ptCount val="13"/>
                <c:pt idx="0">
                  <c:v>0.2776223533703347</c:v>
                </c:pt>
                <c:pt idx="1">
                  <c:v>0.35016365185612397</c:v>
                </c:pt>
                <c:pt idx="2">
                  <c:v>0.3454921310320857</c:v>
                </c:pt>
                <c:pt idx="3">
                  <c:v>0.2311003309246617</c:v>
                </c:pt>
                <c:pt idx="4">
                  <c:v>0.23333251296555532</c:v>
                </c:pt>
                <c:pt idx="5">
                  <c:v>0.27553581041151071</c:v>
                </c:pt>
                <c:pt idx="6">
                  <c:v>0.26624413095609789</c:v>
                </c:pt>
                <c:pt idx="7">
                  <c:v>0.15139145794786452</c:v>
                </c:pt>
                <c:pt idx="8">
                  <c:v>9.0903493361744914E-2</c:v>
                </c:pt>
                <c:pt idx="9">
                  <c:v>0.26936749621829431</c:v>
                </c:pt>
                <c:pt idx="10">
                  <c:v>0.1531842535257201</c:v>
                </c:pt>
                <c:pt idx="11">
                  <c:v>0.20132629715819178</c:v>
                </c:pt>
                <c:pt idx="12">
                  <c:v>0.15231560354238463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F9A-4220-B0B8-EA290F9A23D4}"/>
            </c:ext>
          </c:extLst>
        </c:ser>
        <c:ser>
          <c:idx val="15"/>
          <c:order val="15"/>
          <c:tx>
            <c:strRef>
              <c:f>VALOREMPRESAS!$A$18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VALOREMPRESAS!$B$18:$N$18</c:f>
            </c:numRef>
          </c:val>
          <c:extLst>
            <c:ext xmlns:c16="http://schemas.microsoft.com/office/drawing/2014/chart" uri="{C3380CC4-5D6E-409C-BE32-E72D297353CC}">
              <c16:uniqueId val="{0000000F-8F9A-4220-B0B8-EA290F9A23D4}"/>
            </c:ext>
          </c:extLst>
        </c:ser>
        <c:ser>
          <c:idx val="16"/>
          <c:order val="16"/>
          <c:tx>
            <c:strRef>
              <c:f>VALOREMPRESAS!$A$19</c:f>
              <c:strCache>
                <c:ptCount val="1"/>
                <c:pt idx="0">
                  <c:v>% Lucro Liquido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VALOREMPRESAS!$B$19:$N$19</c:f>
            </c:numRef>
          </c:val>
          <c:extLst>
            <c:ext xmlns:c16="http://schemas.microsoft.com/office/drawing/2014/chart" uri="{C3380CC4-5D6E-409C-BE32-E72D297353CC}">
              <c16:uniqueId val="{00000001-8A00-4D82-9B39-8FB2D96162D0}"/>
            </c:ext>
          </c:extLst>
        </c:ser>
        <c:ser>
          <c:idx val="17"/>
          <c:order val="17"/>
          <c:tx>
            <c:strRef>
              <c:f>VALOREMPRESAS!$A$20</c:f>
              <c:strCache>
                <c:ptCount val="1"/>
                <c:pt idx="0">
                  <c:v>% Margem operacional (Ebit)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VALOREMPRESAS!$B$20:$N$20</c:f>
            </c:numRef>
          </c:val>
          <c:extLst>
            <c:ext xmlns:c16="http://schemas.microsoft.com/office/drawing/2014/chart" uri="{C3380CC4-5D6E-409C-BE32-E72D297353CC}">
              <c16:uniqueId val="{00000001-AA96-4F23-BC4C-8341729456D6}"/>
            </c:ext>
          </c:extLst>
        </c:ser>
        <c:ser>
          <c:idx val="18"/>
          <c:order val="18"/>
          <c:tx>
            <c:strRef>
              <c:f>VALOREMPRESAS!$A$21</c:f>
              <c:strCache>
                <c:ptCount val="1"/>
                <c:pt idx="0">
                  <c:v>% Margem líq. dos acionistas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VALOREMPRESAS!$B$21:$N$21</c:f>
            </c:numRef>
          </c:val>
          <c:extLst>
            <c:ext xmlns:c16="http://schemas.microsoft.com/office/drawing/2014/chart" uri="{C3380CC4-5D6E-409C-BE32-E72D297353CC}">
              <c16:uniqueId val="{00000002-AA96-4F23-BC4C-8341729456D6}"/>
            </c:ext>
          </c:extLst>
        </c:ser>
        <c:ser>
          <c:idx val="19"/>
          <c:order val="19"/>
          <c:tx>
            <c:strRef>
              <c:f>VALOREMPRESAS!$A$22</c:f>
              <c:strCache>
                <c:ptCount val="1"/>
                <c:pt idx="0">
                  <c:v>% Retorno sobre o PL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VALOREMPRESAS!$B$22:$N$22</c:f>
            </c:numRef>
          </c:val>
          <c:extLst>
            <c:ext xmlns:c16="http://schemas.microsoft.com/office/drawing/2014/chart" uri="{C3380CC4-5D6E-409C-BE32-E72D297353CC}">
              <c16:uniqueId val="{00000003-AA96-4F23-BC4C-8341729456D6}"/>
            </c:ext>
          </c:extLst>
        </c:ser>
        <c:ser>
          <c:idx val="20"/>
          <c:order val="20"/>
          <c:tx>
            <c:strRef>
              <c:f>VALOREMPRESAS!$A$23</c:f>
              <c:strCache>
                <c:ptCount val="1"/>
                <c:pt idx="0">
                  <c:v>% Retorno sobre bens e direitos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VALOREMPRESAS!$B$2:$N$2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VALOREMPRESAS!$B$23:$N$23</c:f>
            </c:numRef>
          </c:val>
          <c:extLst>
            <c:ext xmlns:c16="http://schemas.microsoft.com/office/drawing/2014/chart" uri="{C3380CC4-5D6E-409C-BE32-E72D297353CC}">
              <c16:uniqueId val="{00000004-AA96-4F23-BC4C-83417294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3889792"/>
        <c:axId val="1403895200"/>
      </c:barChart>
      <c:catAx>
        <c:axId val="64929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95408"/>
        <c:crosses val="autoZero"/>
        <c:auto val="1"/>
        <c:lblAlgn val="ctr"/>
        <c:lblOffset val="100"/>
        <c:noMultiLvlLbl val="0"/>
      </c:catAx>
      <c:valAx>
        <c:axId val="649295408"/>
        <c:scaling>
          <c:orientation val="minMax"/>
        </c:scaling>
        <c:delete val="1"/>
        <c:axPos val="l"/>
        <c:numFmt formatCode="m/d/yyyy" sourceLinked="1"/>
        <c:majorTickMark val="none"/>
        <c:minorTickMark val="none"/>
        <c:tickLblPos val="nextTo"/>
        <c:crossAx val="649294576"/>
        <c:crosses val="autoZero"/>
        <c:crossBetween val="between"/>
      </c:valAx>
      <c:valAx>
        <c:axId val="1403895200"/>
        <c:scaling>
          <c:orientation val="minMax"/>
        </c:scaling>
        <c:delete val="1"/>
        <c:axPos val="r"/>
        <c:numFmt formatCode="0.00%" sourceLinked="1"/>
        <c:majorTickMark val="none"/>
        <c:minorTickMark val="none"/>
        <c:tickLblPos val="nextTo"/>
        <c:crossAx val="1403889792"/>
        <c:crosses val="max"/>
        <c:crossBetween val="between"/>
      </c:valAx>
      <c:catAx>
        <c:axId val="14038897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3895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VALOREMPRESAS!$A$27</c:f>
              <c:strCache>
                <c:ptCount val="1"/>
              </c:strCache>
            </c:strRef>
          </c:tx>
          <c:invertIfNegative val="0"/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VALOREMPRESAS!$B$27:$N$27</c:f>
            </c:numRef>
          </c:val>
          <c:extLst>
            <c:ext xmlns:c16="http://schemas.microsoft.com/office/drawing/2014/chart" uri="{C3380CC4-5D6E-409C-BE32-E72D297353CC}">
              <c16:uniqueId val="{00000000-AFA0-4D61-9917-2C311E45E5C6}"/>
            </c:ext>
          </c:extLst>
        </c:ser>
        <c:ser>
          <c:idx val="1"/>
          <c:order val="1"/>
          <c:tx>
            <c:strRef>
              <c:f>VALOREMPRESAS!$A$28</c:f>
              <c:strCache>
                <c:ptCount val="1"/>
              </c:strCache>
            </c:strRef>
          </c:tx>
          <c:invertIfNegative val="0"/>
          <c:dLbls>
            <c:numFmt formatCode="&quot;R$&quot;#,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VALOREMPRESAS!$B$28:$N$28</c:f>
            </c:numRef>
          </c:val>
          <c:extLst>
            <c:ext xmlns:c16="http://schemas.microsoft.com/office/drawing/2014/chart" uri="{C3380CC4-5D6E-409C-BE32-E72D297353CC}">
              <c16:uniqueId val="{00000001-AFA0-4D61-9917-2C311E45E5C6}"/>
            </c:ext>
          </c:extLst>
        </c:ser>
        <c:ser>
          <c:idx val="2"/>
          <c:order val="2"/>
          <c:tx>
            <c:strRef>
              <c:f>VALOREMPRESAS!$A$29</c:f>
              <c:strCache>
                <c:ptCount val="1"/>
                <c:pt idx="0">
                  <c:v>(Evolução) % Ativo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VALOREMPRESAS!$B$29:$N$29</c:f>
            </c:numRef>
          </c:val>
          <c:extLst>
            <c:ext xmlns:c16="http://schemas.microsoft.com/office/drawing/2014/chart" uri="{C3380CC4-5D6E-409C-BE32-E72D297353CC}">
              <c16:uniqueId val="{00000002-AFA0-4D61-9917-2C311E45E5C6}"/>
            </c:ext>
          </c:extLst>
        </c:ser>
        <c:ser>
          <c:idx val="3"/>
          <c:order val="3"/>
          <c:tx>
            <c:strRef>
              <c:f>VALOREMPRESAS!$A$30</c:f>
              <c:strCache>
                <c:ptCount val="1"/>
              </c:strCache>
            </c:strRef>
          </c:tx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VALOREMPRESAS!$B$30:$N$30</c:f>
            </c:numRef>
          </c:val>
          <c:extLst>
            <c:ext xmlns:c16="http://schemas.microsoft.com/office/drawing/2014/chart" uri="{C3380CC4-5D6E-409C-BE32-E72D297353CC}">
              <c16:uniqueId val="{00000003-AFA0-4D61-9917-2C311E45E5C6}"/>
            </c:ext>
          </c:extLst>
        </c:ser>
        <c:ser>
          <c:idx val="5"/>
          <c:order val="5"/>
          <c:tx>
            <c:strRef>
              <c:f>VALOREMPRESAS!$A$32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VALOREMPRESAS!$B$32:$N$32</c:f>
            </c:numRef>
          </c:val>
          <c:extLst>
            <c:ext xmlns:c16="http://schemas.microsoft.com/office/drawing/2014/chart" uri="{C3380CC4-5D6E-409C-BE32-E72D297353CC}">
              <c16:uniqueId val="{00000004-AFA0-4D61-9917-2C311E45E5C6}"/>
            </c:ext>
          </c:extLst>
        </c:ser>
        <c:ser>
          <c:idx val="6"/>
          <c:order val="6"/>
          <c:tx>
            <c:strRef>
              <c:f>VALOREMPRESAS!$A$33</c:f>
              <c:strCache>
                <c:ptCount val="1"/>
                <c:pt idx="0">
                  <c:v>(Evolução) % Patrimonio Liquido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44000" rIns="38100" bIns="144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VALOREMPRESAS!$B$33:$N$33</c:f>
            </c:numRef>
          </c:val>
          <c:extLst>
            <c:ext xmlns:c16="http://schemas.microsoft.com/office/drawing/2014/chart" uri="{C3380CC4-5D6E-409C-BE32-E72D297353CC}">
              <c16:uniqueId val="{00000005-AFA0-4D61-9917-2C311E45E5C6}"/>
            </c:ext>
          </c:extLst>
        </c:ser>
        <c:ser>
          <c:idx val="7"/>
          <c:order val="7"/>
          <c:tx>
            <c:strRef>
              <c:f>VALOREMPRESAS!$A$34</c:f>
              <c:strCache>
                <c:ptCount val="1"/>
                <c:pt idx="0">
                  <c:v>Liquidez corrente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VALOREMPRESAS!$B$34:$N$34</c:f>
            </c:numRef>
          </c:val>
          <c:extLst>
            <c:ext xmlns:c16="http://schemas.microsoft.com/office/drawing/2014/chart" uri="{C3380CC4-5D6E-409C-BE32-E72D297353CC}">
              <c16:uniqueId val="{00000006-AFA0-4D61-9917-2C311E45E5C6}"/>
            </c:ext>
          </c:extLst>
        </c:ser>
        <c:ser>
          <c:idx val="8"/>
          <c:order val="8"/>
          <c:tx>
            <c:strRef>
              <c:f>VALOREMPRESAS!$A$35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VALOREMPRESAS!$B$35:$N$35</c:f>
            </c:numRef>
          </c:val>
          <c:extLst>
            <c:ext xmlns:c16="http://schemas.microsoft.com/office/drawing/2014/chart" uri="{C3380CC4-5D6E-409C-BE32-E72D297353CC}">
              <c16:uniqueId val="{00000007-AFA0-4D61-9917-2C311E45E5C6}"/>
            </c:ext>
          </c:extLst>
        </c:ser>
        <c:ser>
          <c:idx val="9"/>
          <c:order val="9"/>
          <c:tx>
            <c:strRef>
              <c:f>VALOREMPRESAS!$A$36</c:f>
              <c:strCache>
                <c:ptCount val="1"/>
                <c:pt idx="0">
                  <c:v>(Evolução) % Receita líquida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VALOREMPRESAS!$B$36:$N$36</c:f>
            </c:numRef>
          </c:val>
          <c:extLst>
            <c:ext xmlns:c16="http://schemas.microsoft.com/office/drawing/2014/chart" uri="{C3380CC4-5D6E-409C-BE32-E72D297353CC}">
              <c16:uniqueId val="{00000008-AFA0-4D61-9917-2C311E45E5C6}"/>
            </c:ext>
          </c:extLst>
        </c:ser>
        <c:ser>
          <c:idx val="10"/>
          <c:order val="10"/>
          <c:tx>
            <c:strRef>
              <c:f>VALOREMPRESAS!$A$37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VALOREMPRESAS!$B$37:$N$37</c:f>
            </c:numRef>
          </c:val>
          <c:extLst>
            <c:ext xmlns:c16="http://schemas.microsoft.com/office/drawing/2014/chart" uri="{C3380CC4-5D6E-409C-BE32-E72D297353CC}">
              <c16:uniqueId val="{00000009-AFA0-4D61-9917-2C311E45E5C6}"/>
            </c:ext>
          </c:extLst>
        </c:ser>
        <c:ser>
          <c:idx val="11"/>
          <c:order val="11"/>
          <c:tx>
            <c:strRef>
              <c:f>VALOREMPRESAS!$A$38</c:f>
              <c:strCache>
                <c:ptCount val="1"/>
                <c:pt idx="0">
                  <c:v>% Lucro operacional (Ebit)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VALOREMPRESAS!$B$38:$N$38</c:f>
            </c:numRef>
          </c:val>
          <c:extLst>
            <c:ext xmlns:c16="http://schemas.microsoft.com/office/drawing/2014/chart" uri="{C3380CC4-5D6E-409C-BE32-E72D297353CC}">
              <c16:uniqueId val="{0000000A-AFA0-4D61-9917-2C311E45E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5163328"/>
        <c:axId val="1515150432"/>
      </c:barChart>
      <c:barChart>
        <c:barDir val="col"/>
        <c:grouping val="clustered"/>
        <c:varyColors val="0"/>
        <c:ser>
          <c:idx val="4"/>
          <c:order val="4"/>
          <c:tx>
            <c:strRef>
              <c:f>VALOREMPRESAS!$A$31</c:f>
              <c:strCache>
                <c:ptCount val="1"/>
                <c:pt idx="0">
                  <c:v>(Evolução) % Passivo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VALOREMPRESAS!$B$31:$N$31</c:f>
            </c:numRef>
          </c:val>
          <c:extLst>
            <c:ext xmlns:c16="http://schemas.microsoft.com/office/drawing/2014/chart" uri="{C3380CC4-5D6E-409C-BE32-E72D297353CC}">
              <c16:uniqueId val="{0000000B-AFA0-4D61-9917-2C311E45E5C6}"/>
            </c:ext>
          </c:extLst>
        </c:ser>
        <c:ser>
          <c:idx val="12"/>
          <c:order val="12"/>
          <c:tx>
            <c:strRef>
              <c:f>VALOREMPRESAS!$A$39</c:f>
              <c:strCache>
                <c:ptCount val="1"/>
                <c:pt idx="0">
                  <c:v>% Custo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VALOREMPRESAS!$B$39:$N$39</c:f>
            </c:numRef>
          </c:val>
          <c:extLst>
            <c:ext xmlns:c16="http://schemas.microsoft.com/office/drawing/2014/chart" uri="{C3380CC4-5D6E-409C-BE32-E72D297353CC}">
              <c16:uniqueId val="{0000000C-AFA0-4D61-9917-2C311E45E5C6}"/>
            </c:ext>
          </c:extLst>
        </c:ser>
        <c:ser>
          <c:idx val="13"/>
          <c:order val="13"/>
          <c:tx>
            <c:strRef>
              <c:f>VALOREMPRESAS!$A$40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VALOREMPRESAS!$B$40:$N$40</c:f>
            </c:numRef>
          </c:val>
          <c:extLst>
            <c:ext xmlns:c16="http://schemas.microsoft.com/office/drawing/2014/chart" uri="{C3380CC4-5D6E-409C-BE32-E72D297353CC}">
              <c16:uniqueId val="{0000000D-AFA0-4D61-9917-2C311E45E5C6}"/>
            </c:ext>
          </c:extLst>
        </c:ser>
        <c:ser>
          <c:idx val="14"/>
          <c:order val="14"/>
          <c:tx>
            <c:strRef>
              <c:f>VALOREMPRESAS!$A$41</c:f>
              <c:strCache>
                <c:ptCount val="1"/>
                <c:pt idx="0">
                  <c:v>% Ebitda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VALOREMPRESAS!$B$41:$N$41</c:f>
              <c:numCache>
                <c:formatCode>0.00%</c:formatCode>
                <c:ptCount val="13"/>
                <c:pt idx="0">
                  <c:v>0.20030022381860982</c:v>
                </c:pt>
                <c:pt idx="1">
                  <c:v>0.24228428835013915</c:v>
                </c:pt>
                <c:pt idx="2">
                  <c:v>0.1845684333447398</c:v>
                </c:pt>
                <c:pt idx="3">
                  <c:v>0.17200585320205933</c:v>
                </c:pt>
                <c:pt idx="4">
                  <c:v>0.1805625161648047</c:v>
                </c:pt>
                <c:pt idx="5">
                  <c:v>0.17488689826180487</c:v>
                </c:pt>
                <c:pt idx="6">
                  <c:v>0.19821286096962379</c:v>
                </c:pt>
                <c:pt idx="7">
                  <c:v>0.19542743611018898</c:v>
                </c:pt>
                <c:pt idx="8">
                  <c:v>0.21947642180376517</c:v>
                </c:pt>
                <c:pt idx="9">
                  <c:v>0.22433310056805986</c:v>
                </c:pt>
                <c:pt idx="10">
                  <c:v>0.21533190081731682</c:v>
                </c:pt>
                <c:pt idx="11">
                  <c:v>0.21365647797030468</c:v>
                </c:pt>
                <c:pt idx="12">
                  <c:v>0.22032030656377499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FA0-4D61-9917-2C311E45E5C6}"/>
            </c:ext>
          </c:extLst>
        </c:ser>
        <c:ser>
          <c:idx val="15"/>
          <c:order val="15"/>
          <c:tx>
            <c:strRef>
              <c:f>VALOREMPRESAS!$A$42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VALOREMPRESAS!$B$42:$N$42</c:f>
            </c:numRef>
          </c:val>
          <c:extLst>
            <c:ext xmlns:c16="http://schemas.microsoft.com/office/drawing/2014/chart" uri="{C3380CC4-5D6E-409C-BE32-E72D297353CC}">
              <c16:uniqueId val="{0000000F-AFA0-4D61-9917-2C311E45E5C6}"/>
            </c:ext>
          </c:extLst>
        </c:ser>
        <c:ser>
          <c:idx val="16"/>
          <c:order val="16"/>
          <c:tx>
            <c:strRef>
              <c:f>VALOREMPRESAS!$A$43</c:f>
              <c:strCache>
                <c:ptCount val="1"/>
                <c:pt idx="0">
                  <c:v>% Lucro Liquido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VALOREMPRESAS!$B$43:$N$43</c:f>
            </c:numRef>
          </c:val>
          <c:extLst>
            <c:ext xmlns:c16="http://schemas.microsoft.com/office/drawing/2014/chart" uri="{C3380CC4-5D6E-409C-BE32-E72D297353CC}">
              <c16:uniqueId val="{00000001-0212-414A-8004-87CDCBD56189}"/>
            </c:ext>
          </c:extLst>
        </c:ser>
        <c:ser>
          <c:idx val="17"/>
          <c:order val="17"/>
          <c:tx>
            <c:strRef>
              <c:f>VALOREMPRESAS!$A$44</c:f>
              <c:strCache>
                <c:ptCount val="1"/>
                <c:pt idx="0">
                  <c:v>% Margem operacional (Ebit)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80000" rIns="38100" bIns="36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VALOREMPRESAS!$B$44:$N$44</c:f>
            </c:numRef>
          </c:val>
          <c:extLst>
            <c:ext xmlns:c16="http://schemas.microsoft.com/office/drawing/2014/chart" uri="{C3380CC4-5D6E-409C-BE32-E72D297353CC}">
              <c16:uniqueId val="{00000001-C105-402F-9853-738113921DA2}"/>
            </c:ext>
          </c:extLst>
        </c:ser>
        <c:ser>
          <c:idx val="18"/>
          <c:order val="18"/>
          <c:tx>
            <c:strRef>
              <c:f>VALOREMPRESAS!$A$45</c:f>
              <c:strCache>
                <c:ptCount val="1"/>
                <c:pt idx="0">
                  <c:v>% Margem líq. dos acionistas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VALOREMPRESAS!$B$45:$N$45</c:f>
            </c:numRef>
          </c:val>
          <c:extLst>
            <c:ext xmlns:c16="http://schemas.microsoft.com/office/drawing/2014/chart" uri="{C3380CC4-5D6E-409C-BE32-E72D297353CC}">
              <c16:uniqueId val="{00000002-C105-402F-9853-738113921DA2}"/>
            </c:ext>
          </c:extLst>
        </c:ser>
        <c:ser>
          <c:idx val="19"/>
          <c:order val="19"/>
          <c:tx>
            <c:strRef>
              <c:f>VALOREMPRESAS!$A$46</c:f>
              <c:strCache>
                <c:ptCount val="1"/>
                <c:pt idx="0">
                  <c:v>% Retorno sobre o PL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VALOREMPRESAS!$B$46:$N$46</c:f>
            </c:numRef>
          </c:val>
          <c:extLst>
            <c:ext xmlns:c16="http://schemas.microsoft.com/office/drawing/2014/chart" uri="{C3380CC4-5D6E-409C-BE32-E72D297353CC}">
              <c16:uniqueId val="{00000003-C105-402F-9853-738113921DA2}"/>
            </c:ext>
          </c:extLst>
        </c:ser>
        <c:ser>
          <c:idx val="20"/>
          <c:order val="20"/>
          <c:tx>
            <c:strRef>
              <c:f>VALOREMPRESAS!$A$47</c:f>
              <c:strCache>
                <c:ptCount val="1"/>
                <c:pt idx="0">
                  <c:v>% Retorno sobre bens e direitos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VALOREMPRESAS!$B$26:$N$26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VALOREMPRESAS!$B$47:$N$47</c:f>
            </c:numRef>
          </c:val>
          <c:extLst>
            <c:ext xmlns:c16="http://schemas.microsoft.com/office/drawing/2014/chart" uri="{C3380CC4-5D6E-409C-BE32-E72D297353CC}">
              <c16:uniqueId val="{00000004-C105-402F-9853-738113921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5195360"/>
        <c:axId val="1515194528"/>
      </c:barChart>
      <c:catAx>
        <c:axId val="151516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5150432"/>
        <c:crosses val="autoZero"/>
        <c:auto val="1"/>
        <c:lblAlgn val="ctr"/>
        <c:lblOffset val="100"/>
        <c:noMultiLvlLbl val="0"/>
      </c:catAx>
      <c:valAx>
        <c:axId val="1515150432"/>
        <c:scaling>
          <c:orientation val="minMax"/>
        </c:scaling>
        <c:delete val="1"/>
        <c:axPos val="l"/>
        <c:numFmt formatCode="m/d/yyyy" sourceLinked="1"/>
        <c:majorTickMark val="none"/>
        <c:minorTickMark val="none"/>
        <c:tickLblPos val="nextTo"/>
        <c:crossAx val="1515163328"/>
        <c:crosses val="autoZero"/>
        <c:crossBetween val="between"/>
      </c:valAx>
      <c:valAx>
        <c:axId val="1515194528"/>
        <c:scaling>
          <c:orientation val="minMax"/>
        </c:scaling>
        <c:delete val="1"/>
        <c:axPos val="r"/>
        <c:numFmt formatCode="0.00%" sourceLinked="1"/>
        <c:majorTickMark val="none"/>
        <c:minorTickMark val="none"/>
        <c:tickLblPos val="nextTo"/>
        <c:crossAx val="1515195360"/>
        <c:crosses val="max"/>
        <c:crossBetween val="between"/>
      </c:valAx>
      <c:catAx>
        <c:axId val="15151953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5194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VALOREMPRESAS!$A$51</c:f>
              <c:strCache>
                <c:ptCount val="1"/>
              </c:strCache>
            </c:strRef>
          </c:tx>
          <c:invertIfNegative val="0"/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VALOREMPRESAS!$B$51:$N$51</c:f>
            </c:numRef>
          </c:val>
          <c:extLst>
            <c:ext xmlns:c16="http://schemas.microsoft.com/office/drawing/2014/chart" uri="{C3380CC4-5D6E-409C-BE32-E72D297353CC}">
              <c16:uniqueId val="{00000005-73EF-4968-A1FB-135596F5C417}"/>
            </c:ext>
          </c:extLst>
        </c:ser>
        <c:ser>
          <c:idx val="1"/>
          <c:order val="1"/>
          <c:tx>
            <c:strRef>
              <c:f>VALOREMPRESAS!$A$52</c:f>
              <c:strCache>
                <c:ptCount val="1"/>
              </c:strCache>
            </c:strRef>
          </c:tx>
          <c:invertIfNegative val="0"/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VALOREMPRESAS!$B$52:$N$52</c:f>
            </c:numRef>
          </c:val>
          <c:extLst>
            <c:ext xmlns:c16="http://schemas.microsoft.com/office/drawing/2014/chart" uri="{C3380CC4-5D6E-409C-BE32-E72D297353CC}">
              <c16:uniqueId val="{00000000-73EF-4968-A1FB-135596F5C417}"/>
            </c:ext>
          </c:extLst>
        </c:ser>
        <c:ser>
          <c:idx val="2"/>
          <c:order val="2"/>
          <c:tx>
            <c:strRef>
              <c:f>VALOREMPRESAS!$A$53</c:f>
              <c:strCache>
                <c:ptCount val="1"/>
                <c:pt idx="0">
                  <c:v>(Evolução) % Ativo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44000" rIns="38100" bIns="144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VALOREMPRESAS!$B$53:$N$53</c:f>
            </c:numRef>
          </c:val>
          <c:extLst>
            <c:ext xmlns:c16="http://schemas.microsoft.com/office/drawing/2014/chart" uri="{C3380CC4-5D6E-409C-BE32-E72D297353CC}">
              <c16:uniqueId val="{00000001-73EF-4968-A1FB-135596F5C417}"/>
            </c:ext>
          </c:extLst>
        </c:ser>
        <c:ser>
          <c:idx val="3"/>
          <c:order val="3"/>
          <c:tx>
            <c:strRef>
              <c:f>VALOREMPRESAS!$A$54</c:f>
              <c:strCache>
                <c:ptCount val="1"/>
              </c:strCache>
            </c:strRef>
          </c:tx>
          <c:invertIfNegative val="0"/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VALOREMPRESAS!$B$54:$N$54</c:f>
            </c:numRef>
          </c:val>
          <c:extLst>
            <c:ext xmlns:c16="http://schemas.microsoft.com/office/drawing/2014/chart" uri="{C3380CC4-5D6E-409C-BE32-E72D297353CC}">
              <c16:uniqueId val="{00000002-73EF-4968-A1FB-135596F5C417}"/>
            </c:ext>
          </c:extLst>
        </c:ser>
        <c:ser>
          <c:idx val="5"/>
          <c:order val="5"/>
          <c:tx>
            <c:strRef>
              <c:f>VALOREMPRESAS!$A$56</c:f>
              <c:strCache>
                <c:ptCount val="1"/>
              </c:strCache>
            </c:strRef>
          </c:tx>
          <c:invertIfNegative val="0"/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VALOREMPRESAS!$B$56:$N$56</c:f>
            </c:numRef>
          </c:val>
          <c:extLst>
            <c:ext xmlns:c16="http://schemas.microsoft.com/office/drawing/2014/chart" uri="{C3380CC4-5D6E-409C-BE32-E72D297353CC}">
              <c16:uniqueId val="{00000004-73EF-4968-A1FB-135596F5C417}"/>
            </c:ext>
          </c:extLst>
        </c:ser>
        <c:ser>
          <c:idx val="6"/>
          <c:order val="6"/>
          <c:tx>
            <c:strRef>
              <c:f>VALOREMPRESAS!$A$57</c:f>
              <c:strCache>
                <c:ptCount val="1"/>
                <c:pt idx="0">
                  <c:v>(Evolução) % Patrimonio Liquido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VALOREMPRESAS!$B$57:$N$57</c:f>
            </c:numRef>
          </c:val>
          <c:extLst>
            <c:ext xmlns:c16="http://schemas.microsoft.com/office/drawing/2014/chart" uri="{C3380CC4-5D6E-409C-BE32-E72D297353CC}">
              <c16:uniqueId val="{00000006-73EF-4968-A1FB-135596F5C417}"/>
            </c:ext>
          </c:extLst>
        </c:ser>
        <c:ser>
          <c:idx val="7"/>
          <c:order val="7"/>
          <c:tx>
            <c:strRef>
              <c:f>VALOREMPRESAS!$A$58</c:f>
              <c:strCache>
                <c:ptCount val="1"/>
                <c:pt idx="0">
                  <c:v>Liquidez corrente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VALOREMPRESAS!$B$58:$N$58</c:f>
            </c:numRef>
          </c:val>
          <c:extLst>
            <c:ext xmlns:c16="http://schemas.microsoft.com/office/drawing/2014/chart" uri="{C3380CC4-5D6E-409C-BE32-E72D297353CC}">
              <c16:uniqueId val="{00000007-73EF-4968-A1FB-135596F5C417}"/>
            </c:ext>
          </c:extLst>
        </c:ser>
        <c:ser>
          <c:idx val="8"/>
          <c:order val="8"/>
          <c:tx>
            <c:strRef>
              <c:f>VALOREMPRESAS!$A$59</c:f>
              <c:strCache>
                <c:ptCount val="1"/>
              </c:strCache>
            </c:strRef>
          </c:tx>
          <c:invertIfNegative val="0"/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VALOREMPRESAS!$B$59:$N$59</c:f>
            </c:numRef>
          </c:val>
          <c:extLst>
            <c:ext xmlns:c16="http://schemas.microsoft.com/office/drawing/2014/chart" uri="{C3380CC4-5D6E-409C-BE32-E72D297353CC}">
              <c16:uniqueId val="{00000008-73EF-4968-A1FB-135596F5C417}"/>
            </c:ext>
          </c:extLst>
        </c:ser>
        <c:ser>
          <c:idx val="9"/>
          <c:order val="9"/>
          <c:tx>
            <c:strRef>
              <c:f>VALOREMPRESAS!$A$60</c:f>
              <c:strCache>
                <c:ptCount val="1"/>
                <c:pt idx="0">
                  <c:v>(Evolução) % Receita líquida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VALOREMPRESAS!$B$60:$N$60</c:f>
            </c:numRef>
          </c:val>
          <c:extLst>
            <c:ext xmlns:c16="http://schemas.microsoft.com/office/drawing/2014/chart" uri="{C3380CC4-5D6E-409C-BE32-E72D297353CC}">
              <c16:uniqueId val="{00000009-73EF-4968-A1FB-135596F5C417}"/>
            </c:ext>
          </c:extLst>
        </c:ser>
        <c:ser>
          <c:idx val="10"/>
          <c:order val="10"/>
          <c:tx>
            <c:strRef>
              <c:f>VALOREMPRESAS!$A$61</c:f>
              <c:strCache>
                <c:ptCount val="1"/>
              </c:strCache>
            </c:strRef>
          </c:tx>
          <c:invertIfNegative val="0"/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VALOREMPRESAS!$B$61:$N$61</c:f>
            </c:numRef>
          </c:val>
          <c:extLst>
            <c:ext xmlns:c16="http://schemas.microsoft.com/office/drawing/2014/chart" uri="{C3380CC4-5D6E-409C-BE32-E72D297353CC}">
              <c16:uniqueId val="{0000000A-73EF-4968-A1FB-135596F5C417}"/>
            </c:ext>
          </c:extLst>
        </c:ser>
        <c:ser>
          <c:idx val="11"/>
          <c:order val="11"/>
          <c:tx>
            <c:strRef>
              <c:f>VALOREMPRESAS!$A$62</c:f>
              <c:strCache>
                <c:ptCount val="1"/>
                <c:pt idx="0">
                  <c:v>% Lucro operacional (Ebit)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VALOREMPRESAS!$B$62:$N$62</c:f>
            </c:numRef>
          </c:val>
          <c:extLst>
            <c:ext xmlns:c16="http://schemas.microsoft.com/office/drawing/2014/chart" uri="{C3380CC4-5D6E-409C-BE32-E72D297353CC}">
              <c16:uniqueId val="{0000000B-73EF-4968-A1FB-135596F5C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3926816"/>
        <c:axId val="1403930144"/>
      </c:barChart>
      <c:barChart>
        <c:barDir val="col"/>
        <c:grouping val="clustered"/>
        <c:varyColors val="0"/>
        <c:ser>
          <c:idx val="4"/>
          <c:order val="4"/>
          <c:tx>
            <c:strRef>
              <c:f>VALOREMPRESAS!$A$55</c:f>
              <c:strCache>
                <c:ptCount val="1"/>
                <c:pt idx="0">
                  <c:v>(Evolução) % Passivo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VALOREMPRESAS!$B$55:$N$55</c:f>
            </c:numRef>
          </c:val>
          <c:extLst>
            <c:ext xmlns:c16="http://schemas.microsoft.com/office/drawing/2014/chart" uri="{C3380CC4-5D6E-409C-BE32-E72D297353CC}">
              <c16:uniqueId val="{00000003-73EF-4968-A1FB-135596F5C417}"/>
            </c:ext>
          </c:extLst>
        </c:ser>
        <c:ser>
          <c:idx val="12"/>
          <c:order val="12"/>
          <c:tx>
            <c:strRef>
              <c:f>VALOREMPRESAS!$A$63</c:f>
              <c:strCache>
                <c:ptCount val="1"/>
                <c:pt idx="0">
                  <c:v>% Custo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VALOREMPRESAS!$B$63:$N$63</c:f>
            </c:numRef>
          </c:val>
          <c:extLst>
            <c:ext xmlns:c16="http://schemas.microsoft.com/office/drawing/2014/chart" uri="{C3380CC4-5D6E-409C-BE32-E72D297353CC}">
              <c16:uniqueId val="{0000000C-73EF-4968-A1FB-135596F5C417}"/>
            </c:ext>
          </c:extLst>
        </c:ser>
        <c:ser>
          <c:idx val="13"/>
          <c:order val="13"/>
          <c:tx>
            <c:strRef>
              <c:f>VALOREMPRESAS!$A$64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VALOREMPRESAS!$B$64:$N$64</c:f>
            </c:numRef>
          </c:val>
          <c:extLst>
            <c:ext xmlns:c16="http://schemas.microsoft.com/office/drawing/2014/chart" uri="{C3380CC4-5D6E-409C-BE32-E72D297353CC}">
              <c16:uniqueId val="{0000000D-73EF-4968-A1FB-135596F5C417}"/>
            </c:ext>
          </c:extLst>
        </c:ser>
        <c:ser>
          <c:idx val="14"/>
          <c:order val="14"/>
          <c:tx>
            <c:strRef>
              <c:f>VALOREMPRESAS!$A$65</c:f>
              <c:strCache>
                <c:ptCount val="1"/>
                <c:pt idx="0">
                  <c:v>% Ebitda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VALOREMPRESAS!$B$65:$N$65</c:f>
              <c:numCache>
                <c:formatCode>0.00%</c:formatCode>
                <c:ptCount val="13"/>
                <c:pt idx="0">
                  <c:v>0.15422370012419068</c:v>
                </c:pt>
                <c:pt idx="1">
                  <c:v>0.13418686519742623</c:v>
                </c:pt>
                <c:pt idx="2">
                  <c:v>0.16664667929868324</c:v>
                </c:pt>
                <c:pt idx="3">
                  <c:v>0.22525712060328193</c:v>
                </c:pt>
                <c:pt idx="4">
                  <c:v>0.17319447588861217</c:v>
                </c:pt>
                <c:pt idx="5">
                  <c:v>0.16815999335273438</c:v>
                </c:pt>
                <c:pt idx="6">
                  <c:v>0.24727241177363729</c:v>
                </c:pt>
                <c:pt idx="7">
                  <c:v>0.17563177694180129</c:v>
                </c:pt>
                <c:pt idx="8">
                  <c:v>0.21771894093686353</c:v>
                </c:pt>
                <c:pt idx="9">
                  <c:v>0.17902560683507421</c:v>
                </c:pt>
                <c:pt idx="10">
                  <c:v>0.18933844246590781</c:v>
                </c:pt>
                <c:pt idx="11">
                  <c:v>0.17633157044544268</c:v>
                </c:pt>
                <c:pt idx="12">
                  <c:v>0.17814831066257131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EF-4968-A1FB-135596F5C417}"/>
            </c:ext>
          </c:extLst>
        </c:ser>
        <c:ser>
          <c:idx val="15"/>
          <c:order val="15"/>
          <c:tx>
            <c:strRef>
              <c:f>VALOREMPRESAS!$A$66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VALOREMPRESAS!$B$66:$N$66</c:f>
            </c:numRef>
          </c:val>
          <c:extLst>
            <c:ext xmlns:c16="http://schemas.microsoft.com/office/drawing/2014/chart" uri="{C3380CC4-5D6E-409C-BE32-E72D297353CC}">
              <c16:uniqueId val="{0000000F-73EF-4968-A1FB-135596F5C417}"/>
            </c:ext>
          </c:extLst>
        </c:ser>
        <c:ser>
          <c:idx val="16"/>
          <c:order val="16"/>
          <c:tx>
            <c:strRef>
              <c:f>VALOREMPRESAS!$A$67</c:f>
              <c:strCache>
                <c:ptCount val="1"/>
                <c:pt idx="0">
                  <c:v>% Lucro Liquido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VALOREMPRESAS!$B$67:$N$67</c:f>
            </c:numRef>
          </c:val>
          <c:extLst>
            <c:ext xmlns:c16="http://schemas.microsoft.com/office/drawing/2014/chart" uri="{C3380CC4-5D6E-409C-BE32-E72D297353CC}">
              <c16:uniqueId val="{00000001-E9F5-44AF-8E1B-ECD9994481E2}"/>
            </c:ext>
          </c:extLst>
        </c:ser>
        <c:ser>
          <c:idx val="17"/>
          <c:order val="17"/>
          <c:tx>
            <c:strRef>
              <c:f>VALOREMPRESAS!$A$68</c:f>
              <c:strCache>
                <c:ptCount val="1"/>
                <c:pt idx="0">
                  <c:v>% Margem operacional (Ebit)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VALOREMPRESAS!$B$68:$N$68</c:f>
            </c:numRef>
          </c:val>
          <c:extLst>
            <c:ext xmlns:c16="http://schemas.microsoft.com/office/drawing/2014/chart" uri="{C3380CC4-5D6E-409C-BE32-E72D297353CC}">
              <c16:uniqueId val="{00000002-E9F5-44AF-8E1B-ECD9994481E2}"/>
            </c:ext>
          </c:extLst>
        </c:ser>
        <c:ser>
          <c:idx val="18"/>
          <c:order val="18"/>
          <c:tx>
            <c:strRef>
              <c:f>VALOREMPRESAS!$A$69</c:f>
              <c:strCache>
                <c:ptCount val="1"/>
                <c:pt idx="0">
                  <c:v>% Margem líq. dos acionistas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VALOREMPRESAS!$B$69:$N$69</c:f>
            </c:numRef>
          </c:val>
          <c:extLst>
            <c:ext xmlns:c16="http://schemas.microsoft.com/office/drawing/2014/chart" uri="{C3380CC4-5D6E-409C-BE32-E72D297353CC}">
              <c16:uniqueId val="{00000003-E9F5-44AF-8E1B-ECD9994481E2}"/>
            </c:ext>
          </c:extLst>
        </c:ser>
        <c:ser>
          <c:idx val="19"/>
          <c:order val="19"/>
          <c:tx>
            <c:strRef>
              <c:f>VALOREMPRESAS!$A$70</c:f>
              <c:strCache>
                <c:ptCount val="1"/>
                <c:pt idx="0">
                  <c:v>% Retorno sobre o PL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VALOREMPRESAS!$B$70:$N$70</c:f>
            </c:numRef>
          </c:val>
          <c:extLst>
            <c:ext xmlns:c16="http://schemas.microsoft.com/office/drawing/2014/chart" uri="{C3380CC4-5D6E-409C-BE32-E72D297353CC}">
              <c16:uniqueId val="{00000004-E9F5-44AF-8E1B-ECD9994481E2}"/>
            </c:ext>
          </c:extLst>
        </c:ser>
        <c:ser>
          <c:idx val="20"/>
          <c:order val="20"/>
          <c:tx>
            <c:strRef>
              <c:f>VALOREMPRESAS!$A$71</c:f>
              <c:strCache>
                <c:ptCount val="1"/>
                <c:pt idx="0">
                  <c:v>% Retorno sobre bens e direitos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VALOREMPRESAS!$B$50:$N$50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VALOREMPRESAS!$B$71:$N$71</c:f>
            </c:numRef>
          </c:val>
          <c:extLst>
            <c:ext xmlns:c16="http://schemas.microsoft.com/office/drawing/2014/chart" uri="{C3380CC4-5D6E-409C-BE32-E72D297353CC}">
              <c16:uniqueId val="{00000001-65DC-42AE-881F-65E08D441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3931392"/>
        <c:axId val="1403915168"/>
      </c:barChart>
      <c:catAx>
        <c:axId val="140392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930144"/>
        <c:crosses val="autoZero"/>
        <c:auto val="1"/>
        <c:lblAlgn val="ctr"/>
        <c:lblOffset val="100"/>
        <c:noMultiLvlLbl val="0"/>
      </c:catAx>
      <c:valAx>
        <c:axId val="1403930144"/>
        <c:scaling>
          <c:orientation val="minMax"/>
        </c:scaling>
        <c:delete val="1"/>
        <c:axPos val="l"/>
        <c:numFmt formatCode="m/d/yyyy" sourceLinked="1"/>
        <c:majorTickMark val="none"/>
        <c:minorTickMark val="none"/>
        <c:tickLblPos val="nextTo"/>
        <c:crossAx val="1403926816"/>
        <c:crosses val="autoZero"/>
        <c:crossBetween val="between"/>
      </c:valAx>
      <c:valAx>
        <c:axId val="1403915168"/>
        <c:scaling>
          <c:orientation val="minMax"/>
        </c:scaling>
        <c:delete val="1"/>
        <c:axPos val="r"/>
        <c:numFmt formatCode="0.00%" sourceLinked="1"/>
        <c:majorTickMark val="none"/>
        <c:minorTickMark val="none"/>
        <c:tickLblPos val="nextTo"/>
        <c:crossAx val="1403931392"/>
        <c:crosses val="max"/>
        <c:crossBetween val="between"/>
      </c:valAx>
      <c:catAx>
        <c:axId val="14039313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3915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VALOREMPRESAS!$A$75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VALOREMPRESAS!$B$75:$N$75</c:f>
            </c:numRef>
          </c:val>
          <c:extLst>
            <c:ext xmlns:c16="http://schemas.microsoft.com/office/drawing/2014/chart" uri="{C3380CC4-5D6E-409C-BE32-E72D297353CC}">
              <c16:uniqueId val="{00000000-E586-4F6F-BFF2-5AAFDBB4F91F}"/>
            </c:ext>
          </c:extLst>
        </c:ser>
        <c:ser>
          <c:idx val="1"/>
          <c:order val="1"/>
          <c:tx>
            <c:strRef>
              <c:f>VALOREMPRESAS!$A$76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dk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VALOREMPRESAS!$B$76:$N$76</c:f>
            </c:numRef>
          </c:val>
          <c:extLst>
            <c:ext xmlns:c16="http://schemas.microsoft.com/office/drawing/2014/chart" uri="{C3380CC4-5D6E-409C-BE32-E72D297353CC}">
              <c16:uniqueId val="{00000001-E586-4F6F-BFF2-5AAFDBB4F91F}"/>
            </c:ext>
          </c:extLst>
        </c:ser>
        <c:ser>
          <c:idx val="2"/>
          <c:order val="2"/>
          <c:tx>
            <c:strRef>
              <c:f>VALOREMPRESAS!$A$77</c:f>
              <c:strCache>
                <c:ptCount val="1"/>
                <c:pt idx="0">
                  <c:v>(Evolução) % Ativo 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VALOREMPRESAS!$B$77:$N$77</c:f>
            </c:numRef>
          </c:val>
          <c:extLst>
            <c:ext xmlns:c16="http://schemas.microsoft.com/office/drawing/2014/chart" uri="{C3380CC4-5D6E-409C-BE32-E72D297353CC}">
              <c16:uniqueId val="{00000002-E586-4F6F-BFF2-5AAFDBB4F91F}"/>
            </c:ext>
          </c:extLst>
        </c:ser>
        <c:ser>
          <c:idx val="3"/>
          <c:order val="3"/>
          <c:tx>
            <c:strRef>
              <c:f>VALOREMPRESAS!$A$78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dk1">
                    <a:tint val="9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9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9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VALOREMPRESAS!$B$78:$N$78</c:f>
            </c:numRef>
          </c:val>
          <c:extLst>
            <c:ext xmlns:c16="http://schemas.microsoft.com/office/drawing/2014/chart" uri="{C3380CC4-5D6E-409C-BE32-E72D297353CC}">
              <c16:uniqueId val="{00000003-E586-4F6F-BFF2-5AAFDBB4F91F}"/>
            </c:ext>
          </c:extLst>
        </c:ser>
        <c:ser>
          <c:idx val="5"/>
          <c:order val="5"/>
          <c:tx>
            <c:strRef>
              <c:f>VALOREMPRESAS!$A$80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dk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VALOREMPRESAS!$B$80:$N$80</c:f>
            </c:numRef>
          </c:val>
          <c:extLst>
            <c:ext xmlns:c16="http://schemas.microsoft.com/office/drawing/2014/chart" uri="{C3380CC4-5D6E-409C-BE32-E72D297353CC}">
              <c16:uniqueId val="{00000005-E586-4F6F-BFF2-5AAFDBB4F91F}"/>
            </c:ext>
          </c:extLst>
        </c:ser>
        <c:ser>
          <c:idx val="6"/>
          <c:order val="6"/>
          <c:tx>
            <c:strRef>
              <c:f>VALOREMPRESAS!$A$81</c:f>
              <c:strCache>
                <c:ptCount val="1"/>
                <c:pt idx="0">
                  <c:v>(Evolução) % Patrimonio Liquido 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VALOREMPRESAS!$B$81:$N$81</c:f>
            </c:numRef>
          </c:val>
          <c:extLst>
            <c:ext xmlns:c16="http://schemas.microsoft.com/office/drawing/2014/chart" uri="{C3380CC4-5D6E-409C-BE32-E72D297353CC}">
              <c16:uniqueId val="{00000006-E586-4F6F-BFF2-5AAFDBB4F91F}"/>
            </c:ext>
          </c:extLst>
        </c:ser>
        <c:ser>
          <c:idx val="7"/>
          <c:order val="7"/>
          <c:tx>
            <c:strRef>
              <c:f>VALOREMPRESAS!$A$82</c:f>
              <c:strCache>
                <c:ptCount val="1"/>
                <c:pt idx="0">
                  <c:v>Liquidez corrente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VALOREMPRESAS!$B$82:$N$82</c:f>
            </c:numRef>
          </c:val>
          <c:extLst>
            <c:ext xmlns:c16="http://schemas.microsoft.com/office/drawing/2014/chart" uri="{C3380CC4-5D6E-409C-BE32-E72D297353CC}">
              <c16:uniqueId val="{00000007-E586-4F6F-BFF2-5AAFDBB4F91F}"/>
            </c:ext>
          </c:extLst>
        </c:ser>
        <c:ser>
          <c:idx val="8"/>
          <c:order val="8"/>
          <c:tx>
            <c:strRef>
              <c:f>VALOREMPRESAS!$A$83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dk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VALOREMPRESAS!$B$83:$N$83</c:f>
            </c:numRef>
          </c:val>
          <c:extLst>
            <c:ext xmlns:c16="http://schemas.microsoft.com/office/drawing/2014/chart" uri="{C3380CC4-5D6E-409C-BE32-E72D297353CC}">
              <c16:uniqueId val="{00000008-E586-4F6F-BFF2-5AAFDBB4F91F}"/>
            </c:ext>
          </c:extLst>
        </c:ser>
        <c:ser>
          <c:idx val="9"/>
          <c:order val="9"/>
          <c:tx>
            <c:strRef>
              <c:f>VALOREMPRESAS!$A$84</c:f>
              <c:strCache>
                <c:ptCount val="1"/>
                <c:pt idx="0">
                  <c:v>(Evolução) % Receita líquida 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VALOREMPRESAS!$B$84:$N$84</c:f>
            </c:numRef>
          </c:val>
          <c:extLst>
            <c:ext xmlns:c16="http://schemas.microsoft.com/office/drawing/2014/chart" uri="{C3380CC4-5D6E-409C-BE32-E72D297353CC}">
              <c16:uniqueId val="{00000009-E586-4F6F-BFF2-5AAFDBB4F91F}"/>
            </c:ext>
          </c:extLst>
        </c:ser>
        <c:ser>
          <c:idx val="10"/>
          <c:order val="10"/>
          <c:tx>
            <c:strRef>
              <c:f>VALOREMPRESAS!$A$85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dk1">
                    <a:tint val="9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9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9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VALOREMPRESAS!$B$85:$N$85</c:f>
            </c:numRef>
          </c:val>
          <c:extLst>
            <c:ext xmlns:c16="http://schemas.microsoft.com/office/drawing/2014/chart" uri="{C3380CC4-5D6E-409C-BE32-E72D297353CC}">
              <c16:uniqueId val="{0000000A-E586-4F6F-BFF2-5AAFDBB4F91F}"/>
            </c:ext>
          </c:extLst>
        </c:ser>
        <c:ser>
          <c:idx val="11"/>
          <c:order val="11"/>
          <c:tx>
            <c:strRef>
              <c:f>VALOREMPRESAS!$A$86</c:f>
              <c:strCache>
                <c:ptCount val="1"/>
                <c:pt idx="0">
                  <c:v>% Lucro operacional (Ebit)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3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3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VALOREMPRESAS!$B$86:$N$86</c:f>
            </c:numRef>
          </c:val>
          <c:extLst>
            <c:ext xmlns:c16="http://schemas.microsoft.com/office/drawing/2014/chart" uri="{C3380CC4-5D6E-409C-BE32-E72D297353CC}">
              <c16:uniqueId val="{0000000B-E586-4F6F-BFF2-5AAFDBB4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3886048"/>
        <c:axId val="1403868576"/>
      </c:barChart>
      <c:barChart>
        <c:barDir val="col"/>
        <c:grouping val="clustered"/>
        <c:varyColors val="0"/>
        <c:ser>
          <c:idx val="4"/>
          <c:order val="4"/>
          <c:tx>
            <c:strRef>
              <c:f>VALOREMPRESAS!$A$79</c:f>
              <c:strCache>
                <c:ptCount val="1"/>
                <c:pt idx="0">
                  <c:v>(Evolução) % Passivo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3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3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VALOREMPRESAS!$B$79:$N$79</c:f>
            </c:numRef>
          </c:val>
          <c:extLst>
            <c:ext xmlns:c16="http://schemas.microsoft.com/office/drawing/2014/chart" uri="{C3380CC4-5D6E-409C-BE32-E72D297353CC}">
              <c16:uniqueId val="{00000004-E586-4F6F-BFF2-5AAFDBB4F91F}"/>
            </c:ext>
          </c:extLst>
        </c:ser>
        <c:ser>
          <c:idx val="12"/>
          <c:order val="12"/>
          <c:tx>
            <c:strRef>
              <c:f>VALOREMPRESAS!$A$87</c:f>
              <c:strCache>
                <c:ptCount val="1"/>
                <c:pt idx="0">
                  <c:v>% Custo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VALOREMPRESAS!$B$87:$N$87</c:f>
            </c:numRef>
          </c:val>
          <c:extLst>
            <c:ext xmlns:c16="http://schemas.microsoft.com/office/drawing/2014/chart" uri="{C3380CC4-5D6E-409C-BE32-E72D297353CC}">
              <c16:uniqueId val="{0000000C-E586-4F6F-BFF2-5AAFDBB4F91F}"/>
            </c:ext>
          </c:extLst>
        </c:ser>
        <c:ser>
          <c:idx val="13"/>
          <c:order val="13"/>
          <c:tx>
            <c:strRef>
              <c:f>VALOREMPRESAS!$A$88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dk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VALOREMPRESAS!$B$88:$N$88</c:f>
            </c:numRef>
          </c:val>
          <c:extLst>
            <c:ext xmlns:c16="http://schemas.microsoft.com/office/drawing/2014/chart" uri="{C3380CC4-5D6E-409C-BE32-E72D297353CC}">
              <c16:uniqueId val="{00000001-E80A-4189-B2C2-1229B6C9305D}"/>
            </c:ext>
          </c:extLst>
        </c:ser>
        <c:ser>
          <c:idx val="14"/>
          <c:order val="14"/>
          <c:tx>
            <c:strRef>
              <c:f>VALOREMPRESAS!$A$89</c:f>
              <c:strCache>
                <c:ptCount val="1"/>
                <c:pt idx="0">
                  <c:v>% Ebitda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VALOREMPRESAS!$B$89:$N$89</c:f>
              <c:numCache>
                <c:formatCode>0.00%</c:formatCode>
                <c:ptCount val="13"/>
                <c:pt idx="0">
                  <c:v>0.13930053349140487</c:v>
                </c:pt>
                <c:pt idx="1">
                  <c:v>9.8887515451174288E-2</c:v>
                </c:pt>
                <c:pt idx="2">
                  <c:v>0.18117694051145802</c:v>
                </c:pt>
                <c:pt idx="3">
                  <c:v>0.27923959772762169</c:v>
                </c:pt>
                <c:pt idx="4">
                  <c:v>0.33821227390623748</c:v>
                </c:pt>
                <c:pt idx="5">
                  <c:v>0.26189061137432862</c:v>
                </c:pt>
                <c:pt idx="6">
                  <c:v>0.30208200033349231</c:v>
                </c:pt>
                <c:pt idx="7">
                  <c:v>0.31215139442231077</c:v>
                </c:pt>
                <c:pt idx="8">
                  <c:v>0.23955431754874651</c:v>
                </c:pt>
                <c:pt idx="9">
                  <c:v>0.19132290184921763</c:v>
                </c:pt>
                <c:pt idx="10">
                  <c:v>0.1830371670594732</c:v>
                </c:pt>
                <c:pt idx="11">
                  <c:v>0.26140866497015169</c:v>
                </c:pt>
                <c:pt idx="12">
                  <c:v>0.23770707336313437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A-4189-B2C2-1229B6C9305D}"/>
            </c:ext>
          </c:extLst>
        </c:ser>
        <c:ser>
          <c:idx val="15"/>
          <c:order val="15"/>
          <c:tx>
            <c:strRef>
              <c:f>VALOREMPRESAS!$A$90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dk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VALOREMPRESAS!$B$90:$N$90</c:f>
            </c:numRef>
          </c:val>
          <c:extLst>
            <c:ext xmlns:c16="http://schemas.microsoft.com/office/drawing/2014/chart" uri="{C3380CC4-5D6E-409C-BE32-E72D297353CC}">
              <c16:uniqueId val="{00000003-E80A-4189-B2C2-1229B6C9305D}"/>
            </c:ext>
          </c:extLst>
        </c:ser>
        <c:ser>
          <c:idx val="16"/>
          <c:order val="16"/>
          <c:tx>
            <c:strRef>
              <c:f>VALOREMPRESAS!$A$91</c:f>
              <c:strCache>
                <c:ptCount val="1"/>
                <c:pt idx="0">
                  <c:v>% Lucro Liquido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VALOREMPRESAS!$B$91:$N$91</c:f>
            </c:numRef>
          </c:val>
          <c:extLst>
            <c:ext xmlns:c16="http://schemas.microsoft.com/office/drawing/2014/chart" uri="{C3380CC4-5D6E-409C-BE32-E72D297353CC}">
              <c16:uniqueId val="{00000004-E80A-4189-B2C2-1229B6C9305D}"/>
            </c:ext>
          </c:extLst>
        </c:ser>
        <c:ser>
          <c:idx val="17"/>
          <c:order val="17"/>
          <c:tx>
            <c:strRef>
              <c:f>VALOREMPRESAS!$A$92</c:f>
              <c:strCache>
                <c:ptCount val="1"/>
                <c:pt idx="0">
                  <c:v>% Margem operacional (Ebit)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9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9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9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VALOREMPRESAS!$B$92:$N$92</c:f>
            </c:numRef>
          </c:val>
          <c:extLst>
            <c:ext xmlns:c16="http://schemas.microsoft.com/office/drawing/2014/chart" uri="{C3380CC4-5D6E-409C-BE32-E72D297353CC}">
              <c16:uniqueId val="{00000005-E80A-4189-B2C2-1229B6C9305D}"/>
            </c:ext>
          </c:extLst>
        </c:ser>
        <c:ser>
          <c:idx val="18"/>
          <c:order val="18"/>
          <c:tx>
            <c:strRef>
              <c:f>VALOREMPRESAS!$A$93</c:f>
              <c:strCache>
                <c:ptCount val="1"/>
                <c:pt idx="0">
                  <c:v>% Margem líq. dos acionistas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3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3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VALOREMPRESAS!$B$93:$N$93</c:f>
            </c:numRef>
          </c:val>
          <c:extLst>
            <c:ext xmlns:c16="http://schemas.microsoft.com/office/drawing/2014/chart" uri="{C3380CC4-5D6E-409C-BE32-E72D297353CC}">
              <c16:uniqueId val="{00000006-E80A-4189-B2C2-1229B6C9305D}"/>
            </c:ext>
          </c:extLst>
        </c:ser>
        <c:ser>
          <c:idx val="19"/>
          <c:order val="19"/>
          <c:tx>
            <c:strRef>
              <c:f>VALOREMPRESAS!$A$94</c:f>
              <c:strCache>
                <c:ptCount val="1"/>
                <c:pt idx="0">
                  <c:v>% Retorno sobre o PL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VALOREMPRESAS!$B$94:$N$94</c:f>
            </c:numRef>
          </c:val>
          <c:extLst>
            <c:ext xmlns:c16="http://schemas.microsoft.com/office/drawing/2014/chart" uri="{C3380CC4-5D6E-409C-BE32-E72D297353CC}">
              <c16:uniqueId val="{00000007-E80A-4189-B2C2-1229B6C9305D}"/>
            </c:ext>
          </c:extLst>
        </c:ser>
        <c:ser>
          <c:idx val="20"/>
          <c:order val="20"/>
          <c:tx>
            <c:strRef>
              <c:f>VALOREMPRESAS!$A$95</c:f>
              <c:strCache>
                <c:ptCount val="1"/>
                <c:pt idx="0">
                  <c:v>% Retorno sobre bens e direitos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VALOREMPRESAS!$B$74:$N$74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VALOREMPRESAS!$B$95:$N$95</c:f>
            </c:numRef>
          </c:val>
          <c:extLst>
            <c:ext xmlns:c16="http://schemas.microsoft.com/office/drawing/2014/chart" uri="{C3380CC4-5D6E-409C-BE32-E72D297353CC}">
              <c16:uniqueId val="{00000008-E80A-4189-B2C2-1229B6C93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5087200"/>
        <c:axId val="1515089280"/>
      </c:barChart>
      <c:catAx>
        <c:axId val="140388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868576"/>
        <c:crosses val="autoZero"/>
        <c:auto val="1"/>
        <c:lblAlgn val="ctr"/>
        <c:lblOffset val="100"/>
        <c:noMultiLvlLbl val="0"/>
      </c:catAx>
      <c:valAx>
        <c:axId val="1403868576"/>
        <c:scaling>
          <c:orientation val="minMax"/>
        </c:scaling>
        <c:delete val="1"/>
        <c:axPos val="l"/>
        <c:numFmt formatCode="m/d/yyyy" sourceLinked="1"/>
        <c:majorTickMark val="none"/>
        <c:minorTickMark val="none"/>
        <c:tickLblPos val="nextTo"/>
        <c:crossAx val="1403886048"/>
        <c:crosses val="autoZero"/>
        <c:crossBetween val="between"/>
      </c:valAx>
      <c:valAx>
        <c:axId val="151508928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1515087200"/>
        <c:crosses val="max"/>
        <c:crossBetween val="between"/>
      </c:valAx>
      <c:catAx>
        <c:axId val="1515087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15089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VALOREMPRESAS!$A$99</c:f>
              <c:strCache>
                <c:ptCount val="1"/>
              </c:strCache>
            </c:strRef>
          </c:tx>
          <c:invertIfNegative val="0"/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VALOREMPRESAS!$B$99:$N$99</c:f>
            </c:numRef>
          </c:val>
          <c:extLst>
            <c:ext xmlns:c16="http://schemas.microsoft.com/office/drawing/2014/chart" uri="{C3380CC4-5D6E-409C-BE32-E72D297353CC}">
              <c16:uniqueId val="{00000000-5E8A-4B6D-B38C-9C29615E9225}"/>
            </c:ext>
          </c:extLst>
        </c:ser>
        <c:ser>
          <c:idx val="1"/>
          <c:order val="1"/>
          <c:tx>
            <c:strRef>
              <c:f>VALOREMPRESAS!$A$100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VALOREMPRESAS!$B$100:$N$100</c:f>
            </c:numRef>
          </c:val>
          <c:extLst>
            <c:ext xmlns:c16="http://schemas.microsoft.com/office/drawing/2014/chart" uri="{C3380CC4-5D6E-409C-BE32-E72D297353CC}">
              <c16:uniqueId val="{00000001-5E8A-4B6D-B38C-9C29615E9225}"/>
            </c:ext>
          </c:extLst>
        </c:ser>
        <c:ser>
          <c:idx val="2"/>
          <c:order val="2"/>
          <c:tx>
            <c:strRef>
              <c:f>VALOREMPRESAS!$A$101</c:f>
              <c:strCache>
                <c:ptCount val="1"/>
                <c:pt idx="0">
                  <c:v>(Evolução) % Ativo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72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VALOREMPRESAS!$B$101:$N$101</c:f>
            </c:numRef>
          </c:val>
          <c:extLst>
            <c:ext xmlns:c16="http://schemas.microsoft.com/office/drawing/2014/chart" uri="{C3380CC4-5D6E-409C-BE32-E72D297353CC}">
              <c16:uniqueId val="{00000002-5E8A-4B6D-B38C-9C29615E9225}"/>
            </c:ext>
          </c:extLst>
        </c:ser>
        <c:ser>
          <c:idx val="3"/>
          <c:order val="3"/>
          <c:tx>
            <c:strRef>
              <c:f>VALOREMPRESAS!$A$102</c:f>
              <c:strCache>
                <c:ptCount val="1"/>
              </c:strCache>
            </c:strRef>
          </c:tx>
          <c:invertIfNegative val="0"/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VALOREMPRESAS!$B$102:$N$102</c:f>
            </c:numRef>
          </c:val>
          <c:extLst>
            <c:ext xmlns:c16="http://schemas.microsoft.com/office/drawing/2014/chart" uri="{C3380CC4-5D6E-409C-BE32-E72D297353CC}">
              <c16:uniqueId val="{00000003-5E8A-4B6D-B38C-9C29615E9225}"/>
            </c:ext>
          </c:extLst>
        </c:ser>
        <c:ser>
          <c:idx val="4"/>
          <c:order val="4"/>
          <c:tx>
            <c:strRef>
              <c:f>VALOREMPRESAS!$A$103</c:f>
              <c:strCache>
                <c:ptCount val="1"/>
                <c:pt idx="0">
                  <c:v>(Evolução) % Passivo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VALOREMPRESAS!$B$103:$N$103</c:f>
            </c:numRef>
          </c:val>
          <c:extLst>
            <c:ext xmlns:c16="http://schemas.microsoft.com/office/drawing/2014/chart" uri="{C3380CC4-5D6E-409C-BE32-E72D297353CC}">
              <c16:uniqueId val="{00000004-5E8A-4B6D-B38C-9C29615E9225}"/>
            </c:ext>
          </c:extLst>
        </c:ser>
        <c:ser>
          <c:idx val="5"/>
          <c:order val="5"/>
          <c:tx>
            <c:strRef>
              <c:f>VALOREMPRESAS!$A$104</c:f>
              <c:strCache>
                <c:ptCount val="1"/>
              </c:strCache>
            </c:strRef>
          </c:tx>
          <c:invertIfNegative val="0"/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VALOREMPRESAS!$B$104:$N$104</c:f>
            </c:numRef>
          </c:val>
          <c:extLst>
            <c:ext xmlns:c16="http://schemas.microsoft.com/office/drawing/2014/chart" uri="{C3380CC4-5D6E-409C-BE32-E72D297353CC}">
              <c16:uniqueId val="{00000005-5E8A-4B6D-B38C-9C29615E9225}"/>
            </c:ext>
          </c:extLst>
        </c:ser>
        <c:ser>
          <c:idx val="6"/>
          <c:order val="6"/>
          <c:tx>
            <c:strRef>
              <c:f>VALOREMPRESAS!$A$105</c:f>
              <c:strCache>
                <c:ptCount val="1"/>
                <c:pt idx="0">
                  <c:v>(Evolução) % Patrimonio Liquido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VALOREMPRESAS!$B$105:$N$105</c:f>
            </c:numRef>
          </c:val>
          <c:extLst>
            <c:ext xmlns:c16="http://schemas.microsoft.com/office/drawing/2014/chart" uri="{C3380CC4-5D6E-409C-BE32-E72D297353CC}">
              <c16:uniqueId val="{00000007-5E8A-4B6D-B38C-9C29615E9225}"/>
            </c:ext>
          </c:extLst>
        </c:ser>
        <c:ser>
          <c:idx val="7"/>
          <c:order val="7"/>
          <c:tx>
            <c:strRef>
              <c:f>VALOREMPRESAS!$A$106</c:f>
              <c:strCache>
                <c:ptCount val="1"/>
                <c:pt idx="0">
                  <c:v>Liquidez corrente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VALOREMPRESAS!$B$106:$N$106</c:f>
            </c:numRef>
          </c:val>
          <c:extLst>
            <c:ext xmlns:c16="http://schemas.microsoft.com/office/drawing/2014/chart" uri="{C3380CC4-5D6E-409C-BE32-E72D297353CC}">
              <c16:uniqueId val="{00000008-5E8A-4B6D-B38C-9C29615E9225}"/>
            </c:ext>
          </c:extLst>
        </c:ser>
        <c:ser>
          <c:idx val="8"/>
          <c:order val="8"/>
          <c:tx>
            <c:strRef>
              <c:f>VALOREMPRESAS!$A$107</c:f>
              <c:strCache>
                <c:ptCount val="1"/>
              </c:strCache>
            </c:strRef>
          </c:tx>
          <c:invertIfNegative val="0"/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VALOREMPRESAS!$B$107:$N$107</c:f>
            </c:numRef>
          </c:val>
          <c:extLst>
            <c:ext xmlns:c16="http://schemas.microsoft.com/office/drawing/2014/chart" uri="{C3380CC4-5D6E-409C-BE32-E72D297353CC}">
              <c16:uniqueId val="{00000009-5E8A-4B6D-B38C-9C29615E9225}"/>
            </c:ext>
          </c:extLst>
        </c:ser>
        <c:ser>
          <c:idx val="9"/>
          <c:order val="9"/>
          <c:tx>
            <c:strRef>
              <c:f>VALOREMPRESAS!$A$108</c:f>
              <c:strCache>
                <c:ptCount val="1"/>
                <c:pt idx="0">
                  <c:v>(Evolução) % Receita líquida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VALOREMPRESAS!$B$108:$N$108</c:f>
            </c:numRef>
          </c:val>
          <c:extLst>
            <c:ext xmlns:c16="http://schemas.microsoft.com/office/drawing/2014/chart" uri="{C3380CC4-5D6E-409C-BE32-E72D297353CC}">
              <c16:uniqueId val="{0000000A-5E8A-4B6D-B38C-9C29615E9225}"/>
            </c:ext>
          </c:extLst>
        </c:ser>
        <c:ser>
          <c:idx val="10"/>
          <c:order val="10"/>
          <c:tx>
            <c:strRef>
              <c:f>VALOREMPRESAS!$A$109</c:f>
              <c:strCache>
                <c:ptCount val="1"/>
              </c:strCache>
            </c:strRef>
          </c:tx>
          <c:invertIfNegative val="0"/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VALOREMPRESAS!$B$109:$N$109</c:f>
            </c:numRef>
          </c:val>
          <c:extLst>
            <c:ext xmlns:c16="http://schemas.microsoft.com/office/drawing/2014/chart" uri="{C3380CC4-5D6E-409C-BE32-E72D297353CC}">
              <c16:uniqueId val="{0000000B-5E8A-4B6D-B38C-9C29615E9225}"/>
            </c:ext>
          </c:extLst>
        </c:ser>
        <c:ser>
          <c:idx val="11"/>
          <c:order val="11"/>
          <c:tx>
            <c:strRef>
              <c:f>VALOREMPRESAS!$A$110</c:f>
              <c:strCache>
                <c:ptCount val="1"/>
                <c:pt idx="0">
                  <c:v>% Lucro operacional (Ebit)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VALOREMPRESAS!$B$110:$N$110</c:f>
            </c:numRef>
          </c:val>
          <c:extLst>
            <c:ext xmlns:c16="http://schemas.microsoft.com/office/drawing/2014/chart" uri="{C3380CC4-5D6E-409C-BE32-E72D297353CC}">
              <c16:uniqueId val="{0000000C-5E8A-4B6D-B38C-9C29615E9225}"/>
            </c:ext>
          </c:extLst>
        </c:ser>
        <c:ser>
          <c:idx val="12"/>
          <c:order val="12"/>
          <c:tx>
            <c:strRef>
              <c:f>VALOREMPRESAS!$A$111</c:f>
              <c:strCache>
                <c:ptCount val="1"/>
                <c:pt idx="0">
                  <c:v>% Custo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VALOREMPRESAS!$B$111:$N$111</c:f>
            </c:numRef>
          </c:val>
          <c:extLst>
            <c:ext xmlns:c16="http://schemas.microsoft.com/office/drawing/2014/chart" uri="{C3380CC4-5D6E-409C-BE32-E72D297353CC}">
              <c16:uniqueId val="{0000000D-5E8A-4B6D-B38C-9C29615E9225}"/>
            </c:ext>
          </c:extLst>
        </c:ser>
        <c:ser>
          <c:idx val="13"/>
          <c:order val="13"/>
          <c:tx>
            <c:strRef>
              <c:f>VALOREMPRESAS!$A$112</c:f>
              <c:strCache>
                <c:ptCount val="1"/>
              </c:strCache>
            </c:strRef>
          </c:tx>
          <c:invertIfNegative val="0"/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VALOREMPRESAS!$B$112:$N$112</c:f>
            </c:numRef>
          </c:val>
          <c:extLst>
            <c:ext xmlns:c16="http://schemas.microsoft.com/office/drawing/2014/chart" uri="{C3380CC4-5D6E-409C-BE32-E72D297353CC}">
              <c16:uniqueId val="{0000000E-5E8A-4B6D-B38C-9C29615E9225}"/>
            </c:ext>
          </c:extLst>
        </c:ser>
        <c:ser>
          <c:idx val="14"/>
          <c:order val="14"/>
          <c:tx>
            <c:strRef>
              <c:f>VALOREMPRESAS!$A$113</c:f>
              <c:strCache>
                <c:ptCount val="1"/>
                <c:pt idx="0">
                  <c:v>% Ebitda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VALOREMPRESAS!$B$113:$N$113</c:f>
              <c:numCache>
                <c:formatCode>0.00%</c:formatCode>
                <c:ptCount val="13"/>
                <c:pt idx="0">
                  <c:v>0.52362090619263835</c:v>
                </c:pt>
                <c:pt idx="1">
                  <c:v>0.53638027126314758</c:v>
                </c:pt>
                <c:pt idx="2">
                  <c:v>0.53348901817888994</c:v>
                </c:pt>
                <c:pt idx="3">
                  <c:v>0.46150530940608875</c:v>
                </c:pt>
                <c:pt idx="4">
                  <c:v>0.44878617922790354</c:v>
                </c:pt>
                <c:pt idx="5">
                  <c:v>0.56757637159688823</c:v>
                </c:pt>
                <c:pt idx="6">
                  <c:v>0.47047650211295428</c:v>
                </c:pt>
                <c:pt idx="7">
                  <c:v>0.63193765817234204</c:v>
                </c:pt>
                <c:pt idx="8">
                  <c:v>0.41133345454919706</c:v>
                </c:pt>
                <c:pt idx="9">
                  <c:v>0.5001608234158893</c:v>
                </c:pt>
                <c:pt idx="10">
                  <c:v>0.48595271210013907</c:v>
                </c:pt>
                <c:pt idx="11">
                  <c:v>0.41721376379436498</c:v>
                </c:pt>
                <c:pt idx="12">
                  <c:v>0.45953061861279515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8A-4B6D-B38C-9C29615E9225}"/>
            </c:ext>
          </c:extLst>
        </c:ser>
        <c:ser>
          <c:idx val="15"/>
          <c:order val="15"/>
          <c:tx>
            <c:strRef>
              <c:f>VALOREMPRESAS!$A$114</c:f>
              <c:strCache>
                <c:ptCount val="1"/>
              </c:strCache>
            </c:strRef>
          </c:tx>
          <c:invertIfNegative val="0"/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VALOREMPRESAS!$B$114:$N$114</c:f>
            </c:numRef>
          </c:val>
          <c:extLst>
            <c:ext xmlns:c16="http://schemas.microsoft.com/office/drawing/2014/chart" uri="{C3380CC4-5D6E-409C-BE32-E72D297353CC}">
              <c16:uniqueId val="{00000010-5E8A-4B6D-B38C-9C29615E9225}"/>
            </c:ext>
          </c:extLst>
        </c:ser>
        <c:ser>
          <c:idx val="16"/>
          <c:order val="16"/>
          <c:tx>
            <c:strRef>
              <c:f>VALOREMPRESAS!$A$115</c:f>
              <c:strCache>
                <c:ptCount val="1"/>
                <c:pt idx="0">
                  <c:v>% Lucro Liquido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VALOREMPRESAS!$B$115:$N$115</c:f>
            </c:numRef>
          </c:val>
          <c:extLst>
            <c:ext xmlns:c16="http://schemas.microsoft.com/office/drawing/2014/chart" uri="{C3380CC4-5D6E-409C-BE32-E72D297353CC}">
              <c16:uniqueId val="{00000011-5E8A-4B6D-B38C-9C29615E9225}"/>
            </c:ext>
          </c:extLst>
        </c:ser>
        <c:ser>
          <c:idx val="17"/>
          <c:order val="17"/>
          <c:tx>
            <c:strRef>
              <c:f>VALOREMPRESAS!$A$116</c:f>
              <c:strCache>
                <c:ptCount val="1"/>
                <c:pt idx="0">
                  <c:v>% Margem operacional (Ebit)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VALOREMPRESAS!$B$116:$N$116</c:f>
            </c:numRef>
          </c:val>
          <c:extLst>
            <c:ext xmlns:c16="http://schemas.microsoft.com/office/drawing/2014/chart" uri="{C3380CC4-5D6E-409C-BE32-E72D297353CC}">
              <c16:uniqueId val="{00000012-5E8A-4B6D-B38C-9C29615E9225}"/>
            </c:ext>
          </c:extLst>
        </c:ser>
        <c:ser>
          <c:idx val="18"/>
          <c:order val="18"/>
          <c:tx>
            <c:strRef>
              <c:f>VALOREMPRESAS!$A$117</c:f>
              <c:strCache>
                <c:ptCount val="1"/>
                <c:pt idx="0">
                  <c:v>% Margem líq. dos acionistas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VALOREMPRESAS!$B$117:$N$117</c:f>
            </c:numRef>
          </c:val>
          <c:extLst>
            <c:ext xmlns:c16="http://schemas.microsoft.com/office/drawing/2014/chart" uri="{C3380CC4-5D6E-409C-BE32-E72D297353CC}">
              <c16:uniqueId val="{00000013-5E8A-4B6D-B38C-9C29615E9225}"/>
            </c:ext>
          </c:extLst>
        </c:ser>
        <c:ser>
          <c:idx val="19"/>
          <c:order val="19"/>
          <c:tx>
            <c:strRef>
              <c:f>VALOREMPRESAS!$A$118</c:f>
              <c:strCache>
                <c:ptCount val="1"/>
                <c:pt idx="0">
                  <c:v>% Retorno sobre o PL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VALOREMPRESAS!$B$118:$N$118</c:f>
            </c:numRef>
          </c:val>
          <c:extLst>
            <c:ext xmlns:c16="http://schemas.microsoft.com/office/drawing/2014/chart" uri="{C3380CC4-5D6E-409C-BE32-E72D297353CC}">
              <c16:uniqueId val="{00000014-5E8A-4B6D-B38C-9C29615E9225}"/>
            </c:ext>
          </c:extLst>
        </c:ser>
        <c:ser>
          <c:idx val="20"/>
          <c:order val="20"/>
          <c:tx>
            <c:strRef>
              <c:f>VALOREMPRESAS!$A$119</c:f>
              <c:strCache>
                <c:ptCount val="1"/>
                <c:pt idx="0">
                  <c:v>% Retorno sobre bens e direitos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VALOREMPRESAS!$B$98:$N$98</c:f>
              <c:strCache>
                <c:ptCount val="13"/>
                <c:pt idx="0">
                  <c:v>1T 2021</c:v>
                </c:pt>
                <c:pt idx="1">
                  <c:v>2T 2021</c:v>
                </c:pt>
                <c:pt idx="2">
                  <c:v>3T 2021</c:v>
                </c:pt>
                <c:pt idx="3">
                  <c:v>4T 2021</c:v>
                </c:pt>
                <c:pt idx="4">
                  <c:v>1T 2022</c:v>
                </c:pt>
                <c:pt idx="5">
                  <c:v>2T 2022</c:v>
                </c:pt>
                <c:pt idx="6">
                  <c:v>3T 2022</c:v>
                </c:pt>
                <c:pt idx="7">
                  <c:v>4T 2022</c:v>
                </c:pt>
                <c:pt idx="8">
                  <c:v>1T 2023</c:v>
                </c:pt>
                <c:pt idx="9">
                  <c:v>2T 2023</c:v>
                </c:pt>
                <c:pt idx="10">
                  <c:v>3T 2023</c:v>
                </c:pt>
                <c:pt idx="11">
                  <c:v>4T 2023</c:v>
                </c:pt>
                <c:pt idx="12">
                  <c:v>1T 2024</c:v>
                </c:pt>
              </c:strCache>
            </c:strRef>
          </c:cat>
          <c:val>
            <c:numRef>
              <c:f>VALOREMPRESAS!$B$119:$N$119</c:f>
            </c:numRef>
          </c:val>
          <c:extLst>
            <c:ext xmlns:c16="http://schemas.microsoft.com/office/drawing/2014/chart" uri="{C3380CC4-5D6E-409C-BE32-E72D297353CC}">
              <c16:uniqueId val="{00000001-4C48-4A42-BE8A-CBD7F572C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8230191"/>
        <c:axId val="1898228943"/>
      </c:barChart>
      <c:catAx>
        <c:axId val="189823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8228943"/>
        <c:crosses val="autoZero"/>
        <c:auto val="1"/>
        <c:lblAlgn val="ctr"/>
        <c:lblOffset val="100"/>
        <c:noMultiLvlLbl val="0"/>
      </c:catAx>
      <c:valAx>
        <c:axId val="189822894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89823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ESTIMATIVA</c:v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numFmt formatCode="&quot;R$&quot;\ #,##0.00" sourceLinked="0"/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BDINDICADORES!$B$3133:$B$3139</c:f>
              <c:numCache>
                <c:formatCode>[$-416]mmm\-yy;@</c:formatCode>
                <c:ptCount val="7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</c:numCache>
            </c:numRef>
          </c:cat>
          <c:val>
            <c:numRef>
              <c:f>BDINDICADORES!$E$3133:$E$3165</c:f>
              <c:numCache>
                <c:formatCode>_("R$"* #,##0.00_);_("R$"* \(#,##0.00\);_("R$"* "-"??_);_(@_)</c:formatCode>
                <c:ptCount val="33"/>
                <c:pt idx="0">
                  <c:v>337940.54000000004</c:v>
                </c:pt>
                <c:pt idx="1">
                  <c:v>695435.89</c:v>
                </c:pt>
                <c:pt idx="2">
                  <c:v>1036445.41</c:v>
                </c:pt>
                <c:pt idx="3">
                  <c:v>1482323.15</c:v>
                </c:pt>
                <c:pt idx="4">
                  <c:v>1975157.94</c:v>
                </c:pt>
                <c:pt idx="5">
                  <c:v>2422162.2000000002</c:v>
                </c:pt>
                <c:pt idx="6">
                  <c:v>2908793.64</c:v>
                </c:pt>
                <c:pt idx="7">
                  <c:v>3313171.5300000003</c:v>
                </c:pt>
                <c:pt idx="8">
                  <c:v>3723149.24</c:v>
                </c:pt>
                <c:pt idx="9">
                  <c:v>4216078.0199999996</c:v>
                </c:pt>
                <c:pt idx="10">
                  <c:v>4546496.33</c:v>
                </c:pt>
                <c:pt idx="11">
                  <c:v>4546496.33</c:v>
                </c:pt>
                <c:pt idx="12">
                  <c:v>350750.4</c:v>
                </c:pt>
                <c:pt idx="13">
                  <c:v>758508.92</c:v>
                </c:pt>
                <c:pt idx="14">
                  <c:v>1150784.6599999999</c:v>
                </c:pt>
                <c:pt idx="15">
                  <c:v>1706646.4699999997</c:v>
                </c:pt>
                <c:pt idx="16">
                  <c:v>2239853.9500000002</c:v>
                </c:pt>
                <c:pt idx="17">
                  <c:v>2577269.44</c:v>
                </c:pt>
                <c:pt idx="18">
                  <c:v>2969971.75</c:v>
                </c:pt>
                <c:pt idx="19">
                  <c:v>3361460.3500000006</c:v>
                </c:pt>
                <c:pt idx="20">
                  <c:v>3740372.0999999996</c:v>
                </c:pt>
                <c:pt idx="21">
                  <c:v>3740372.0999999996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6">
                  <c:v>350821.66580000002</c:v>
                </c:pt>
                <c:pt idx="27">
                  <c:v>973241.51900000009</c:v>
                </c:pt>
                <c:pt idx="28">
                  <c:v>1293777.1776000001</c:v>
                </c:pt>
                <c:pt idx="29">
                  <c:v>2310013.4649999999</c:v>
                </c:pt>
                <c:pt idx="30">
                  <c:v>3364668.1033999999</c:v>
                </c:pt>
                <c:pt idx="31">
                  <c:v>4114817.4558999995</c:v>
                </c:pt>
                <c:pt idx="32">
                  <c:v>4792620.7358999988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4-49F7-B08F-7F6E5B5FFA91}"/>
            </c:ext>
          </c:extLst>
        </c:ser>
        <c:ser>
          <c:idx val="1"/>
          <c:order val="1"/>
          <c:tx>
            <c:v>REAL</c:v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numFmt formatCode="&quot;R$&quot;\ #,##0.00" sourceLinked="0"/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BDINDICADORES!$B$3133:$B$3139</c:f>
              <c:numCache>
                <c:formatCode>[$-416]mmm\-yy;@</c:formatCode>
                <c:ptCount val="7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</c:numCache>
            </c:numRef>
          </c:cat>
          <c:val>
            <c:numRef>
              <c:f>BDINDICADORES!$E$3159:$E$3165</c:f>
              <c:numCache>
                <c:formatCode>_("R$"* #,##0.00_);_("R$"* \(#,##0.00\);_("R$"* "-"??_);_(@_)</c:formatCode>
                <c:ptCount val="7"/>
                <c:pt idx="0">
                  <c:v>350821.66580000002</c:v>
                </c:pt>
                <c:pt idx="1">
                  <c:v>973241.51900000009</c:v>
                </c:pt>
                <c:pt idx="2">
                  <c:v>1293777.1776000001</c:v>
                </c:pt>
                <c:pt idx="3">
                  <c:v>2310013.4649999999</c:v>
                </c:pt>
                <c:pt idx="4">
                  <c:v>3364668.1033999999</c:v>
                </c:pt>
                <c:pt idx="5">
                  <c:v>4114817.4558999995</c:v>
                </c:pt>
                <c:pt idx="6">
                  <c:v>4792620.7358999988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4-49F7-B08F-7F6E5B5FFA91}"/>
            </c:ext>
          </c:extLst>
        </c:ser>
        <c:ser>
          <c:idx val="2"/>
          <c:order val="2"/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numRef>
              <c:f>BDINDICADORES!$B$3133:$B$3139</c:f>
              <c:numCache>
                <c:formatCode>[$-416]mmm\-yy;@</c:formatCode>
                <c:ptCount val="7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</c:numCache>
            </c:numRef>
          </c:cat>
          <c:val>
            <c:numRef>
              <c:f>BDINDICADORES!$F$3133:$F$3160</c:f>
              <c:numCache>
                <c:formatCode>General</c:formatCode>
                <c:ptCount val="28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FC4-49F7-B08F-7F6E5B5FFA91}"/>
            </c:ext>
          </c:extLst>
        </c:ser>
        <c:ser>
          <c:idx val="3"/>
          <c:order val="3"/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numRef>
              <c:f>BDINDICADORES!$B$3133:$B$3139</c:f>
              <c:numCache>
                <c:formatCode>[$-416]mmm\-yy;@</c:formatCode>
                <c:ptCount val="7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</c:numCache>
            </c:numRef>
          </c:cat>
          <c:val>
            <c:numRef>
              <c:f>BDINDICADORES!$G$3133:$G$3160</c:f>
              <c:numCache>
                <c:formatCode>0%</c:formatCode>
                <c:ptCount val="28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FC4-49F7-B08F-7F6E5B5FF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443679"/>
        <c:axId val="1705445343"/>
        <c:extLst/>
      </c:lineChart>
      <c:dateAx>
        <c:axId val="1705443679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5445343"/>
        <c:crosses val="autoZero"/>
        <c:auto val="1"/>
        <c:lblOffset val="100"/>
        <c:baseTimeUnit val="months"/>
      </c:dateAx>
      <c:valAx>
        <c:axId val="170544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544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rgbClr val="FFC000">
            <a:tint val="66000"/>
            <a:satMod val="160000"/>
          </a:srgbClr>
        </a:gs>
        <a:gs pos="50000">
          <a:srgbClr val="FFC000">
            <a:tint val="44500"/>
            <a:satMod val="160000"/>
          </a:srgbClr>
        </a:gs>
        <a:gs pos="100000">
          <a:srgbClr val="FFC000">
            <a:tint val="23500"/>
            <a:satMod val="160000"/>
          </a:srgbClr>
        </a:gs>
      </a:gsLst>
      <a:lin ang="27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MO PRODUTIVA (%) RECEITA LIQUIDA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'EVOLUCAO MO'!$B$2</c:f>
              <c:strCache>
                <c:ptCount val="1"/>
                <c:pt idx="0">
                  <c:v>RECEITA LIQUIDA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vert="horz" wrap="square" lIns="38100" tIns="19050" rIns="3810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'EVOLUCAO MO'!$A$3:$A$69</c:f>
              <c:numCache>
                <c:formatCode>m/d/yyyy</c:formatCode>
                <c:ptCount val="6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  <c:pt idx="60">
                  <c:v>45658</c:v>
                </c:pt>
                <c:pt idx="61">
                  <c:v>45689</c:v>
                </c:pt>
                <c:pt idx="62">
                  <c:v>45717</c:v>
                </c:pt>
                <c:pt idx="63">
                  <c:v>45748</c:v>
                </c:pt>
                <c:pt idx="64">
                  <c:v>45778</c:v>
                </c:pt>
                <c:pt idx="65">
                  <c:v>45809</c:v>
                </c:pt>
                <c:pt idx="66">
                  <c:v>45839</c:v>
                </c:pt>
              </c:numCache>
            </c:numRef>
          </c:cat>
          <c:val>
            <c:numRef>
              <c:f>'EVOLUCAO MO'!$B$3:$B$69</c:f>
              <c:numCache>
                <c:formatCode>_("R$"* #,##0.00_);_("R$"* \(#,##0.00\);_("R$"* "-"??_);_(@_)</c:formatCode>
                <c:ptCount val="67"/>
                <c:pt idx="0">
                  <c:v>2941337.78</c:v>
                </c:pt>
                <c:pt idx="1">
                  <c:v>2349456.3899999997</c:v>
                </c:pt>
                <c:pt idx="2">
                  <c:v>1776143.5799999998</c:v>
                </c:pt>
                <c:pt idx="3">
                  <c:v>1758110.85</c:v>
                </c:pt>
                <c:pt idx="4">
                  <c:v>2559944.39</c:v>
                </c:pt>
                <c:pt idx="5">
                  <c:v>3887509.5300000003</c:v>
                </c:pt>
                <c:pt idx="6">
                  <c:v>4143176.64</c:v>
                </c:pt>
                <c:pt idx="7">
                  <c:v>4467793.6800000006</c:v>
                </c:pt>
                <c:pt idx="8">
                  <c:v>4802256.0000000009</c:v>
                </c:pt>
                <c:pt idx="9">
                  <c:v>5685928.0300000003</c:v>
                </c:pt>
                <c:pt idx="10">
                  <c:v>4644331.2300000004</c:v>
                </c:pt>
                <c:pt idx="11">
                  <c:v>4473220.9900000012</c:v>
                </c:pt>
                <c:pt idx="12">
                  <c:v>4944925.6000000015</c:v>
                </c:pt>
                <c:pt idx="13">
                  <c:v>5234248.620000001</c:v>
                </c:pt>
                <c:pt idx="14">
                  <c:v>6030259.7299999995</c:v>
                </c:pt>
                <c:pt idx="15">
                  <c:v>7105290.3500000006</c:v>
                </c:pt>
                <c:pt idx="16">
                  <c:v>7918709.8200000003</c:v>
                </c:pt>
                <c:pt idx="17">
                  <c:v>8868518.3300000001</c:v>
                </c:pt>
                <c:pt idx="18">
                  <c:v>9403531.2600000016</c:v>
                </c:pt>
                <c:pt idx="19">
                  <c:v>8700462.6600000001</c:v>
                </c:pt>
                <c:pt idx="20">
                  <c:v>8607862.3599999994</c:v>
                </c:pt>
                <c:pt idx="21">
                  <c:v>7463338.209999999</c:v>
                </c:pt>
                <c:pt idx="22">
                  <c:v>6165662.4399999995</c:v>
                </c:pt>
                <c:pt idx="23">
                  <c:v>5516988.5500000007</c:v>
                </c:pt>
                <c:pt idx="24">
                  <c:v>5346830.53</c:v>
                </c:pt>
                <c:pt idx="25">
                  <c:v>6667938.8199999994</c:v>
                </c:pt>
                <c:pt idx="26">
                  <c:v>10398348.879999999</c:v>
                </c:pt>
                <c:pt idx="27">
                  <c:v>7242034.71</c:v>
                </c:pt>
                <c:pt idx="28">
                  <c:v>7832280.7899999982</c:v>
                </c:pt>
                <c:pt idx="29">
                  <c:v>7871509.620000001</c:v>
                </c:pt>
                <c:pt idx="30">
                  <c:v>7133374.0699999994</c:v>
                </c:pt>
                <c:pt idx="31">
                  <c:v>7753457.120000002</c:v>
                </c:pt>
                <c:pt idx="32">
                  <c:v>7901820.9700000007</c:v>
                </c:pt>
                <c:pt idx="33">
                  <c:v>5212976.3499999996</c:v>
                </c:pt>
                <c:pt idx="34">
                  <c:v>6633932.3399999989</c:v>
                </c:pt>
                <c:pt idx="35">
                  <c:v>5522329.4800000004</c:v>
                </c:pt>
                <c:pt idx="36">
                  <c:v>4523362.28</c:v>
                </c:pt>
                <c:pt idx="37">
                  <c:v>5020605.1399999997</c:v>
                </c:pt>
                <c:pt idx="38">
                  <c:v>6163399.0099999998</c:v>
                </c:pt>
                <c:pt idx="39">
                  <c:v>5450287.8899999997</c:v>
                </c:pt>
                <c:pt idx="40">
                  <c:v>9087903.75</c:v>
                </c:pt>
                <c:pt idx="41">
                  <c:v>8277075.1100000013</c:v>
                </c:pt>
                <c:pt idx="42">
                  <c:v>5198444.16</c:v>
                </c:pt>
                <c:pt idx="43">
                  <c:v>7988986.9099999983</c:v>
                </c:pt>
                <c:pt idx="44">
                  <c:v>7305588.3999999994</c:v>
                </c:pt>
                <c:pt idx="45">
                  <c:v>8831749.629999999</c:v>
                </c:pt>
                <c:pt idx="46">
                  <c:v>5971298.0200000005</c:v>
                </c:pt>
                <c:pt idx="47">
                  <c:v>8232901.5800000001</c:v>
                </c:pt>
                <c:pt idx="48">
                  <c:v>7481410.8899999997</c:v>
                </c:pt>
                <c:pt idx="49">
                  <c:v>8407937.3199999984</c:v>
                </c:pt>
                <c:pt idx="50">
                  <c:v>7671402.7999999998</c:v>
                </c:pt>
                <c:pt idx="51">
                  <c:v>10589146.889999999</c:v>
                </c:pt>
                <c:pt idx="52">
                  <c:v>11809586.859999999</c:v>
                </c:pt>
                <c:pt idx="53">
                  <c:v>10610189.169999998</c:v>
                </c:pt>
                <c:pt idx="54">
                  <c:v>11950053.750000002</c:v>
                </c:pt>
                <c:pt idx="55">
                  <c:v>9379852.1500000004</c:v>
                </c:pt>
                <c:pt idx="56">
                  <c:v>10391320.409999998</c:v>
                </c:pt>
                <c:pt idx="57">
                  <c:v>10922850.24</c:v>
                </c:pt>
                <c:pt idx="58">
                  <c:v>8432311.2100000028</c:v>
                </c:pt>
                <c:pt idx="59">
                  <c:v>12856176.879999999</c:v>
                </c:pt>
                <c:pt idx="60">
                  <c:v>8076456.3199999984</c:v>
                </c:pt>
                <c:pt idx="61">
                  <c:v>9308880.3099999987</c:v>
                </c:pt>
                <c:pt idx="62">
                  <c:v>9248184.4199999981</c:v>
                </c:pt>
                <c:pt idx="63">
                  <c:v>13159013.07</c:v>
                </c:pt>
                <c:pt idx="64">
                  <c:v>13959973</c:v>
                </c:pt>
                <c:pt idx="65">
                  <c:v>7586097.6900000004</c:v>
                </c:pt>
                <c:pt idx="66">
                  <c:v>8540811.4299999978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3-49E8-9478-06B8AA5E5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91890495"/>
        <c:axId val="791887135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'EVOLUCAO MO'!$D$2</c15:sqref>
                        </c15:formulaRef>
                      </c:ext>
                    </c:extLst>
                    <c:strCache>
                      <c:ptCount val="1"/>
                      <c:pt idx="0">
                        <c:v>PRESTAÇAO SERVIÇO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'EVOLUCAO MO'!$D$3:$D$69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2.9070826404711675E-2</c:v>
                      </c:pt>
                      <c:pt idx="1">
                        <c:v>2.6703947460799651E-2</c:v>
                      </c:pt>
                      <c:pt idx="2">
                        <c:v>3.8151864952269236E-2</c:v>
                      </c:pt>
                      <c:pt idx="3">
                        <c:v>3.8162081759520461E-2</c:v>
                      </c:pt>
                      <c:pt idx="4">
                        <c:v>2.2526868249665374E-2</c:v>
                      </c:pt>
                      <c:pt idx="5">
                        <c:v>1.7405341254558931E-2</c:v>
                      </c:pt>
                      <c:pt idx="6">
                        <c:v>1.5212112703937238E-2</c:v>
                      </c:pt>
                      <c:pt idx="7">
                        <c:v>1.7730397971286803E-2</c:v>
                      </c:pt>
                      <c:pt idx="8">
                        <c:v>2.0462318127146901E-2</c:v>
                      </c:pt>
                      <c:pt idx="9">
                        <c:v>1.236089687192189E-2</c:v>
                      </c:pt>
                      <c:pt idx="10">
                        <c:v>1.5460912765259424E-2</c:v>
                      </c:pt>
                      <c:pt idx="11">
                        <c:v>1.5709507792504566E-2</c:v>
                      </c:pt>
                      <c:pt idx="12">
                        <c:v>1.6877105289511328E-2</c:v>
                      </c:pt>
                      <c:pt idx="13">
                        <c:v>1.3111711915587222E-2</c:v>
                      </c:pt>
                      <c:pt idx="14">
                        <c:v>1.0221801839371188E-2</c:v>
                      </c:pt>
                      <c:pt idx="15">
                        <c:v>8.1335887983803486E-3</c:v>
                      </c:pt>
                      <c:pt idx="16">
                        <c:v>9.9729907769243141E-3</c:v>
                      </c:pt>
                      <c:pt idx="17">
                        <c:v>7.942385343189565E-3</c:v>
                      </c:pt>
                      <c:pt idx="18">
                        <c:v>8.7742920950315412E-3</c:v>
                      </c:pt>
                      <c:pt idx="19">
                        <c:v>1.009737567220362E-2</c:v>
                      </c:pt>
                      <c:pt idx="20">
                        <c:v>8.7585136526276905E-3</c:v>
                      </c:pt>
                      <c:pt idx="21">
                        <c:v>1.4357037961435223E-2</c:v>
                      </c:pt>
                      <c:pt idx="22">
                        <c:v>1.9556043032417456E-2</c:v>
                      </c:pt>
                      <c:pt idx="23">
                        <c:v>1.5589697027738074E-2</c:v>
                      </c:pt>
                      <c:pt idx="24">
                        <c:v>1.8088989253975847E-2</c:v>
                      </c:pt>
                      <c:pt idx="25">
                        <c:v>1.1262850789023888E-4</c:v>
                      </c:pt>
                      <c:pt idx="26">
                        <c:v>1.6156411170539608E-5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1.3471964733494156E-3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2-D333-49E8-9478-06B8AA5E5FC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'EVOLUCAO MO'!$E$2</c15:sqref>
                        </c15:formulaRef>
                      </c:ext>
                    </c:extLst>
                    <c:strCache>
                      <c:ptCount val="1"/>
                      <c:pt idx="0">
                        <c:v>COMERCIAL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MO'!$E$3:$E$69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7.9491822255110065E-3</c:v>
                      </c:pt>
                      <c:pt idx="1">
                        <c:v>1.2774767868749421E-2</c:v>
                      </c:pt>
                      <c:pt idx="2">
                        <c:v>7.7852827641332915E-3</c:v>
                      </c:pt>
                      <c:pt idx="3">
                        <c:v>1.0968307260034258E-2</c:v>
                      </c:pt>
                      <c:pt idx="4">
                        <c:v>6.4960590804083824E-3</c:v>
                      </c:pt>
                      <c:pt idx="5">
                        <c:v>4.5872119058187879E-3</c:v>
                      </c:pt>
                      <c:pt idx="6">
                        <c:v>4.6974415264129316E-3</c:v>
                      </c:pt>
                      <c:pt idx="7">
                        <c:v>4.9313669291908748E-3</c:v>
                      </c:pt>
                      <c:pt idx="8">
                        <c:v>4.4504978493441405E-3</c:v>
                      </c:pt>
                      <c:pt idx="9">
                        <c:v>3.4177692537553984E-3</c:v>
                      </c:pt>
                      <c:pt idx="10">
                        <c:v>4.4861808876624837E-3</c:v>
                      </c:pt>
                      <c:pt idx="11">
                        <c:v>2.6222871676187848E-3</c:v>
                      </c:pt>
                      <c:pt idx="12">
                        <c:v>4.1144198408162086E-3</c:v>
                      </c:pt>
                      <c:pt idx="13">
                        <c:v>3.7279390828783366E-3</c:v>
                      </c:pt>
                      <c:pt idx="14">
                        <c:v>3.3168936157912392E-3</c:v>
                      </c:pt>
                      <c:pt idx="15">
                        <c:v>3.4896096821715383E-3</c:v>
                      </c:pt>
                      <c:pt idx="16">
                        <c:v>2.9093274692063411E-3</c:v>
                      </c:pt>
                      <c:pt idx="17">
                        <c:v>2.1743451704632154E-3</c:v>
                      </c:pt>
                      <c:pt idx="18">
                        <c:v>2.8719477027611853E-3</c:v>
                      </c:pt>
                      <c:pt idx="19">
                        <c:v>2.3618870401542528E-3</c:v>
                      </c:pt>
                      <c:pt idx="20">
                        <c:v>1.8766029618531217E-3</c:v>
                      </c:pt>
                      <c:pt idx="21">
                        <c:v>2.1741986686678642E-3</c:v>
                      </c:pt>
                      <c:pt idx="22">
                        <c:v>3.7503253259515128E-3</c:v>
                      </c:pt>
                      <c:pt idx="23">
                        <c:v>2.54090975048335E-3</c:v>
                      </c:pt>
                      <c:pt idx="24">
                        <c:v>3.7756629627084884E-3</c:v>
                      </c:pt>
                      <c:pt idx="25">
                        <c:v>3.9575903007460405E-3</c:v>
                      </c:pt>
                      <c:pt idx="26">
                        <c:v>2.3643696017246921E-3</c:v>
                      </c:pt>
                      <c:pt idx="27">
                        <c:v>3.0816698474509245E-3</c:v>
                      </c:pt>
                      <c:pt idx="28">
                        <c:v>2.9087491384485985E-3</c:v>
                      </c:pt>
                      <c:pt idx="29">
                        <c:v>2.8402480692134371E-3</c:v>
                      </c:pt>
                      <c:pt idx="30">
                        <c:v>3.3693424407785196E-3</c:v>
                      </c:pt>
                      <c:pt idx="31">
                        <c:v>2.9041561269381204E-3</c:v>
                      </c:pt>
                      <c:pt idx="32">
                        <c:v>3.9144306252233401E-3</c:v>
                      </c:pt>
                      <c:pt idx="33">
                        <c:v>4.7414276107352769E-3</c:v>
                      </c:pt>
                      <c:pt idx="34">
                        <c:v>4.0363721888667927E-3</c:v>
                      </c:pt>
                      <c:pt idx="35">
                        <c:v>4.1804858046970419E-3</c:v>
                      </c:pt>
                      <c:pt idx="36">
                        <c:v>5.7614774998742749E-3</c:v>
                      </c:pt>
                      <c:pt idx="37">
                        <c:v>6.6750439569521706E-3</c:v>
                      </c:pt>
                      <c:pt idx="38">
                        <c:v>3.7142492256070896E-3</c:v>
                      </c:pt>
                      <c:pt idx="39">
                        <c:v>3.6805578723291999E-3</c:v>
                      </c:pt>
                      <c:pt idx="40">
                        <c:v>3.0583488519010777E-3</c:v>
                      </c:pt>
                      <c:pt idx="41">
                        <c:v>3.0998848819193568E-3</c:v>
                      </c:pt>
                      <c:pt idx="42">
                        <c:v>5.1047888912978141E-3</c:v>
                      </c:pt>
                      <c:pt idx="43">
                        <c:v>3.6135658156936454E-3</c:v>
                      </c:pt>
                      <c:pt idx="44">
                        <c:v>3.4095145573763779E-3</c:v>
                      </c:pt>
                      <c:pt idx="45">
                        <c:v>3.4559788579513894E-3</c:v>
                      </c:pt>
                      <c:pt idx="46">
                        <c:v>4.6592164562571934E-3</c:v>
                      </c:pt>
                      <c:pt idx="47">
                        <c:v>3.4922499340748828E-3</c:v>
                      </c:pt>
                      <c:pt idx="48">
                        <c:v>4.5879113585218416E-3</c:v>
                      </c:pt>
                      <c:pt idx="49">
                        <c:v>3.8832330400864609E-3</c:v>
                      </c:pt>
                      <c:pt idx="50">
                        <c:v>3.5139492349430534E-3</c:v>
                      </c:pt>
                      <c:pt idx="51">
                        <c:v>3.7020810464930675E-3</c:v>
                      </c:pt>
                      <c:pt idx="52">
                        <c:v>3.3837288699191635E-3</c:v>
                      </c:pt>
                      <c:pt idx="53">
                        <c:v>2.7177366527575309E-3</c:v>
                      </c:pt>
                      <c:pt idx="54">
                        <c:v>3.2977734514374039E-3</c:v>
                      </c:pt>
                      <c:pt idx="55">
                        <c:v>3.692356707349592E-3</c:v>
                      </c:pt>
                      <c:pt idx="56">
                        <c:v>4.3994476347784953E-3</c:v>
                      </c:pt>
                      <c:pt idx="57">
                        <c:v>3.602754696378589E-3</c:v>
                      </c:pt>
                      <c:pt idx="58">
                        <c:v>5.9150188789106588E-3</c:v>
                      </c:pt>
                      <c:pt idx="59">
                        <c:v>2.4896017143161775E-3</c:v>
                      </c:pt>
                      <c:pt idx="60">
                        <c:v>5.8556560112740146E-3</c:v>
                      </c:pt>
                      <c:pt idx="61">
                        <c:v>4.326453736518179E-3</c:v>
                      </c:pt>
                      <c:pt idx="62">
                        <c:v>4.4237147684388425E-3</c:v>
                      </c:pt>
                      <c:pt idx="63">
                        <c:v>3.5925224595889853E-3</c:v>
                      </c:pt>
                      <c:pt idx="64">
                        <c:v>3.3269620220612172E-3</c:v>
                      </c:pt>
                      <c:pt idx="65">
                        <c:v>6.2608579457932084E-3</c:v>
                      </c:pt>
                      <c:pt idx="66">
                        <c:v>5.635073481536872E-3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333-49E8-9478-06B8AA5E5FC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'EVOLUCAO MO'!$F$2</c15:sqref>
                        </c15:formulaRef>
                      </c:ext>
                    </c:extLst>
                    <c:strCache>
                      <c:ptCount val="1"/>
                      <c:pt idx="0">
                        <c:v>ADMINISTRATIVO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MO'!$F$3:$F$69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1.0722053146850751E-2</c:v>
                      </c:pt>
                      <c:pt idx="1">
                        <c:v>1.0996109614956506E-2</c:v>
                      </c:pt>
                      <c:pt idx="2">
                        <c:v>1.4096636264056987E-2</c:v>
                      </c:pt>
                      <c:pt idx="3">
                        <c:v>1.0766454231256238E-2</c:v>
                      </c:pt>
                      <c:pt idx="4">
                        <c:v>7.3215692001809465E-3</c:v>
                      </c:pt>
                      <c:pt idx="5">
                        <c:v>9.1426579731111301E-3</c:v>
                      </c:pt>
                      <c:pt idx="6">
                        <c:v>7.327727644264764E-3</c:v>
                      </c:pt>
                      <c:pt idx="7">
                        <c:v>7.9528761945873907E-3</c:v>
                      </c:pt>
                      <c:pt idx="8">
                        <c:v>6.1331174348056398E-3</c:v>
                      </c:pt>
                      <c:pt idx="9">
                        <c:v>6.9793109920879524E-3</c:v>
                      </c:pt>
                      <c:pt idx="10">
                        <c:v>7.6991214082721641E-3</c:v>
                      </c:pt>
                      <c:pt idx="11">
                        <c:v>1.1189111852933514E-2</c:v>
                      </c:pt>
                      <c:pt idx="12">
                        <c:v>8.1517606655194148E-3</c:v>
                      </c:pt>
                      <c:pt idx="13">
                        <c:v>4.9610711842724801E-3</c:v>
                      </c:pt>
                      <c:pt idx="14">
                        <c:v>5.6382712391063131E-3</c:v>
                      </c:pt>
                      <c:pt idx="15">
                        <c:v>5.4886511428769401E-3</c:v>
                      </c:pt>
                      <c:pt idx="16">
                        <c:v>6.152583073185525E-3</c:v>
                      </c:pt>
                      <c:pt idx="17">
                        <c:v>7.4487560990359938E-3</c:v>
                      </c:pt>
                      <c:pt idx="18">
                        <c:v>4.2291888972781477E-3</c:v>
                      </c:pt>
                      <c:pt idx="19">
                        <c:v>4.6184325558613452E-3</c:v>
                      </c:pt>
                      <c:pt idx="20">
                        <c:v>5.3377537974480345E-3</c:v>
                      </c:pt>
                      <c:pt idx="21">
                        <c:v>7.2690515254031354E-3</c:v>
                      </c:pt>
                      <c:pt idx="22">
                        <c:v>9.3561884974033716E-3</c:v>
                      </c:pt>
                      <c:pt idx="23">
                        <c:v>6.6524354124316591E-3</c:v>
                      </c:pt>
                      <c:pt idx="24">
                        <c:v>1.0574851715002831E-2</c:v>
                      </c:pt>
                      <c:pt idx="25">
                        <c:v>1.1195227193161322E-2</c:v>
                      </c:pt>
                      <c:pt idx="26">
                        <c:v>6.6586302112994697E-3</c:v>
                      </c:pt>
                      <c:pt idx="27">
                        <c:v>8.8339924567967174E-3</c:v>
                      </c:pt>
                      <c:pt idx="28">
                        <c:v>1.0697236507017519E-2</c:v>
                      </c:pt>
                      <c:pt idx="29">
                        <c:v>9.2595440415659414E-3</c:v>
                      </c:pt>
                      <c:pt idx="30">
                        <c:v>1.0059960307114526E-2</c:v>
                      </c:pt>
                      <c:pt idx="31">
                        <c:v>9.339012117990533E-3</c:v>
                      </c:pt>
                      <c:pt idx="32">
                        <c:v>9.5709837374359039E-3</c:v>
                      </c:pt>
                      <c:pt idx="33">
                        <c:v>1.4287920182104797E-2</c:v>
                      </c:pt>
                      <c:pt idx="34">
                        <c:v>9.623837978425932E-3</c:v>
                      </c:pt>
                      <c:pt idx="35">
                        <c:v>1.108998480112418E-2</c:v>
                      </c:pt>
                      <c:pt idx="36">
                        <c:v>1.5509018658571827E-2</c:v>
                      </c:pt>
                      <c:pt idx="37">
                        <c:v>1.4235220258727617E-2</c:v>
                      </c:pt>
                      <c:pt idx="38">
                        <c:v>1.2281517045575799E-2</c:v>
                      </c:pt>
                      <c:pt idx="39">
                        <c:v>1.1680538952227716E-2</c:v>
                      </c:pt>
                      <c:pt idx="40">
                        <c:v>9.6773428085657268E-3</c:v>
                      </c:pt>
                      <c:pt idx="41">
                        <c:v>8.8014822907653903E-3</c:v>
                      </c:pt>
                      <c:pt idx="42">
                        <c:v>1.5624496003050268E-2</c:v>
                      </c:pt>
                      <c:pt idx="43">
                        <c:v>9.6691484001943384E-3</c:v>
                      </c:pt>
                      <c:pt idx="44">
                        <c:v>1.063866121995047E-2</c:v>
                      </c:pt>
                      <c:pt idx="45">
                        <c:v>8.9382685546080202E-3</c:v>
                      </c:pt>
                      <c:pt idx="46">
                        <c:v>1.4823040100081956E-2</c:v>
                      </c:pt>
                      <c:pt idx="47">
                        <c:v>1.0438744975255735E-2</c:v>
                      </c:pt>
                      <c:pt idx="48">
                        <c:v>1.0570431321410821E-2</c:v>
                      </c:pt>
                      <c:pt idx="49">
                        <c:v>9.4538644824245684E-3</c:v>
                      </c:pt>
                      <c:pt idx="50">
                        <c:v>1.0553009939720545E-2</c:v>
                      </c:pt>
                      <c:pt idx="51">
                        <c:v>7.9998248093052938E-3</c:v>
                      </c:pt>
                      <c:pt idx="52">
                        <c:v>7.0787836180071081E-3</c:v>
                      </c:pt>
                      <c:pt idx="53">
                        <c:v>8.4789223414006316E-3</c:v>
                      </c:pt>
                      <c:pt idx="54">
                        <c:v>8.3912133031200792E-3</c:v>
                      </c:pt>
                      <c:pt idx="55">
                        <c:v>9.5652136691728121E-3</c:v>
                      </c:pt>
                      <c:pt idx="56">
                        <c:v>8.2041363980999617E-3</c:v>
                      </c:pt>
                      <c:pt idx="57">
                        <c:v>8.5536666664029985E-3</c:v>
                      </c:pt>
                      <c:pt idx="58">
                        <c:v>1.0504166389750689E-2</c:v>
                      </c:pt>
                      <c:pt idx="59">
                        <c:v>6.2991129288196288E-3</c:v>
                      </c:pt>
                      <c:pt idx="60">
                        <c:v>1.8061143925062421E-2</c:v>
                      </c:pt>
                      <c:pt idx="61">
                        <c:v>1.4783964925637766E-2</c:v>
                      </c:pt>
                      <c:pt idx="62">
                        <c:v>1.4395615826181807E-2</c:v>
                      </c:pt>
                      <c:pt idx="63">
                        <c:v>1.030257962955272E-2</c:v>
                      </c:pt>
                      <c:pt idx="64">
                        <c:v>7.485212901199737E-3</c:v>
                      </c:pt>
                      <c:pt idx="65">
                        <c:v>2.1019204670959097E-2</c:v>
                      </c:pt>
                      <c:pt idx="66">
                        <c:v>1.6938287560342501E-2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333-49E8-9478-06B8AA5E5FC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'EVOLUCAO MO'!$C$2</c:f>
              <c:strCache>
                <c:ptCount val="1"/>
                <c:pt idx="0">
                  <c:v>PRODUCAO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3.6429872495446331E-3"/>
                  <c:y val="2.99145349475964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33-49E8-9478-06B8AA5E5FC9}"/>
                </c:ext>
              </c:extLst>
            </c:dLbl>
            <c:dLbl>
              <c:idx val="1"/>
              <c:layout>
                <c:manualLayout>
                  <c:x val="7.2859744990892532E-4"/>
                  <c:y val="-4.05982974288810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33-49E8-9478-06B8AA5E5FC9}"/>
                </c:ext>
              </c:extLst>
            </c:dLbl>
            <c:dLbl>
              <c:idx val="2"/>
              <c:layout>
                <c:manualLayout>
                  <c:x val="1.4571948998178506E-3"/>
                  <c:y val="2.99145349475964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33-49E8-9478-06B8AA5E5FC9}"/>
                </c:ext>
              </c:extLst>
            </c:dLbl>
            <c:dLbl>
              <c:idx val="3"/>
              <c:layout>
                <c:manualLayout>
                  <c:x val="1.7486338797814194E-2"/>
                  <c:y val="-4.273504992513795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33-49E8-9478-06B8AA5E5FC9}"/>
                </c:ext>
              </c:extLst>
            </c:dLbl>
            <c:dLbl>
              <c:idx val="4"/>
              <c:layout>
                <c:manualLayout>
                  <c:x val="1.092896174863388E-2"/>
                  <c:y val="-3.41880399401103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33-49E8-9478-06B8AA5E5FC9}"/>
                </c:ext>
              </c:extLst>
            </c:dLbl>
            <c:dLbl>
              <c:idx val="5"/>
              <c:layout>
                <c:manualLayout>
                  <c:x val="-8.0145719489982045E-3"/>
                  <c:y val="5.1282059910165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333-49E8-9478-06B8AA5E5FC9}"/>
                </c:ext>
              </c:extLst>
            </c:dLbl>
            <c:dLbl>
              <c:idx val="6"/>
              <c:layout>
                <c:manualLayout>
                  <c:x val="7.2859744990892532E-3"/>
                  <c:y val="3.6324792436367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33-49E8-9478-06B8AA5E5FC9}"/>
                </c:ext>
              </c:extLst>
            </c:dLbl>
            <c:dLbl>
              <c:idx val="7"/>
              <c:layout>
                <c:manualLayout>
                  <c:x val="-1.4571948998178506E-3"/>
                  <c:y val="-3.6324792436367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333-49E8-9478-06B8AA5E5FC9}"/>
                </c:ext>
              </c:extLst>
            </c:dLbl>
            <c:dLbl>
              <c:idx val="8"/>
              <c:layout>
                <c:manualLayout>
                  <c:x val="2.185792349726776E-3"/>
                  <c:y val="-4.48718024213948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333-49E8-9478-06B8AA5E5FC9}"/>
                </c:ext>
              </c:extLst>
            </c:dLbl>
            <c:dLbl>
              <c:idx val="9"/>
              <c:layout>
                <c:manualLayout>
                  <c:x val="4.3715846994535519E-3"/>
                  <c:y val="3.41880399401103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333-49E8-9478-06B8AA5E5FC9}"/>
                </c:ext>
              </c:extLst>
            </c:dLbl>
            <c:dLbl>
              <c:idx val="10"/>
              <c:layout>
                <c:manualLayout>
                  <c:x val="7.2859744990892263E-3"/>
                  <c:y val="-5.1282059910165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33-49E8-9478-06B8AA5E5FC9}"/>
                </c:ext>
              </c:extLst>
            </c:dLbl>
            <c:dLbl>
              <c:idx val="11"/>
              <c:layout>
                <c:manualLayout>
                  <c:x val="1.238615664845173E-2"/>
                  <c:y val="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333-49E8-9478-06B8AA5E5FC9}"/>
                </c:ext>
              </c:extLst>
            </c:dLbl>
            <c:dLbl>
              <c:idx val="12"/>
              <c:layout>
                <c:manualLayout>
                  <c:x val="1.4571948998178506E-3"/>
                  <c:y val="3.6324792436367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333-49E8-9478-06B8AA5E5FC9}"/>
                </c:ext>
              </c:extLst>
            </c:dLbl>
            <c:dLbl>
              <c:idx val="13"/>
              <c:layout>
                <c:manualLayout>
                  <c:x val="1.5300546448087432E-2"/>
                  <c:y val="-3.41880399401103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333-49E8-9478-06B8AA5E5FC9}"/>
                </c:ext>
              </c:extLst>
            </c:dLbl>
            <c:dLbl>
              <c:idx val="14"/>
              <c:layout>
                <c:manualLayout>
                  <c:x val="6.5573770491802741E-3"/>
                  <c:y val="-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333-49E8-9478-06B8AA5E5FC9}"/>
                </c:ext>
              </c:extLst>
            </c:dLbl>
            <c:dLbl>
              <c:idx val="15"/>
              <c:layout>
                <c:manualLayout>
                  <c:x val="-1.457194899817904E-3"/>
                  <c:y val="2.56410299550827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333-49E8-9478-06B8AA5E5FC9}"/>
                </c:ext>
              </c:extLst>
            </c:dLbl>
            <c:dLbl>
              <c:idx val="16"/>
              <c:layout>
                <c:manualLayout>
                  <c:x val="3.6429872495446266E-3"/>
                  <c:y val="-2.56410299550827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333-49E8-9478-06B8AA5E5FC9}"/>
                </c:ext>
              </c:extLst>
            </c:dLbl>
            <c:dLbl>
              <c:idx val="17"/>
              <c:layout>
                <c:manualLayout>
                  <c:x val="-5.1001821493624772E-3"/>
                  <c:y val="2.77777824513395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333-49E8-9478-06B8AA5E5FC9}"/>
                </c:ext>
              </c:extLst>
            </c:dLbl>
            <c:dLbl>
              <c:idx val="18"/>
              <c:layout>
                <c:manualLayout>
                  <c:x val="1.4571948998178506E-3"/>
                  <c:y val="2.99145349475964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333-49E8-9478-06B8AA5E5FC9}"/>
                </c:ext>
              </c:extLst>
            </c:dLbl>
            <c:dLbl>
              <c:idx val="19"/>
              <c:layout>
                <c:manualLayout>
                  <c:x val="-5.3429862433657673E-17"/>
                  <c:y val="-2.99145349475965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333-49E8-9478-06B8AA5E5FC9}"/>
                </c:ext>
              </c:extLst>
            </c:dLbl>
            <c:dLbl>
              <c:idx val="20"/>
              <c:layout>
                <c:manualLayout>
                  <c:x val="8.0145719489981247E-3"/>
                  <c:y val="2.77777824513395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333-49E8-9478-06B8AA5E5FC9}"/>
                </c:ext>
              </c:extLst>
            </c:dLbl>
            <c:dLbl>
              <c:idx val="21"/>
              <c:layout>
                <c:manualLayout>
                  <c:x val="1.0200364298724847E-2"/>
                  <c:y val="1.4957267473798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333-49E8-9478-06B8AA5E5FC9}"/>
                </c:ext>
              </c:extLst>
            </c:dLbl>
            <c:dLbl>
              <c:idx val="22"/>
              <c:layout>
                <c:manualLayout>
                  <c:x val="-7.2859744990893599E-3"/>
                  <c:y val="-4.273504992513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333-49E8-9478-06B8AA5E5FC9}"/>
                </c:ext>
              </c:extLst>
            </c:dLbl>
            <c:dLbl>
              <c:idx val="23"/>
              <c:layout>
                <c:manualLayout>
                  <c:x val="3.6429872495445732E-3"/>
                  <c:y val="2.7777782451339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333-49E8-9478-06B8AA5E5FC9}"/>
                </c:ext>
              </c:extLst>
            </c:dLbl>
            <c:dLbl>
              <c:idx val="24"/>
              <c:layout>
                <c:manualLayout>
                  <c:x val="-2.1857923497268826E-3"/>
                  <c:y val="-6.19658223914500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333-49E8-9478-06B8AA5E5FC9}"/>
                </c:ext>
              </c:extLst>
            </c:dLbl>
            <c:dLbl>
              <c:idx val="25"/>
              <c:layout>
                <c:manualLayout>
                  <c:x val="1.4571948998178506E-3"/>
                  <c:y val="-2.13675249625689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333-49E8-9478-06B8AA5E5FC9}"/>
                </c:ext>
              </c:extLst>
            </c:dLbl>
            <c:dLbl>
              <c:idx val="26"/>
              <c:layout>
                <c:manualLayout>
                  <c:x val="6.5573770491803279E-3"/>
                  <c:y val="1.92307724663120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333-49E8-9478-06B8AA5E5FC9}"/>
                </c:ext>
              </c:extLst>
            </c:dLbl>
            <c:dLbl>
              <c:idx val="27"/>
              <c:layout>
                <c:manualLayout>
                  <c:x val="-7.2859744990893599E-3"/>
                  <c:y val="-5.55555649026793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333-49E8-9478-06B8AA5E5FC9}"/>
                </c:ext>
              </c:extLst>
            </c:dLbl>
            <c:dLbl>
              <c:idx val="28"/>
              <c:layout>
                <c:manualLayout>
                  <c:x val="-2.1857923497268826E-3"/>
                  <c:y val="-2.7777782451339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333-49E8-9478-06B8AA5E5FC9}"/>
                </c:ext>
              </c:extLst>
            </c:dLbl>
            <c:dLbl>
              <c:idx val="29"/>
              <c:layout>
                <c:manualLayout>
                  <c:x val="0"/>
                  <c:y val="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333-49E8-9478-06B8AA5E5FC9}"/>
                </c:ext>
              </c:extLst>
            </c:dLbl>
            <c:dLbl>
              <c:idx val="30"/>
              <c:layout>
                <c:manualLayout>
                  <c:x val="-1.0685972486731535E-16"/>
                  <c:y val="-2.99145349475966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333-49E8-9478-06B8AA5E5FC9}"/>
                </c:ext>
              </c:extLst>
            </c:dLbl>
            <c:dLbl>
              <c:idx val="31"/>
              <c:layout>
                <c:manualLayout>
                  <c:x val="-5.1001821493624772E-3"/>
                  <c:y val="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333-49E8-9478-06B8AA5E5FC9}"/>
                </c:ext>
              </c:extLst>
            </c:dLbl>
            <c:dLbl>
              <c:idx val="32"/>
              <c:layout>
                <c:manualLayout>
                  <c:x val="7.2859744990892532E-3"/>
                  <c:y val="-2.13675249625689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333-49E8-9478-06B8AA5E5FC9}"/>
                </c:ext>
              </c:extLst>
            </c:dLbl>
            <c:dLbl>
              <c:idx val="33"/>
              <c:layout>
                <c:manualLayout>
                  <c:x val="2.185792349726776E-3"/>
                  <c:y val="-3.8461544932624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333-49E8-9478-06B8AA5E5FC9}"/>
                </c:ext>
              </c:extLst>
            </c:dLbl>
            <c:dLbl>
              <c:idx val="34"/>
              <c:layout>
                <c:manualLayout>
                  <c:x val="0"/>
                  <c:y val="-5.76923173989363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D333-49E8-9478-06B8AA5E5FC9}"/>
                </c:ext>
              </c:extLst>
            </c:dLbl>
            <c:dLbl>
              <c:idx val="35"/>
              <c:layout>
                <c:manualLayout>
                  <c:x val="6.5573770491803279E-3"/>
                  <c:y val="-2.99145349475966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333-49E8-9478-06B8AA5E5FC9}"/>
                </c:ext>
              </c:extLst>
            </c:dLbl>
            <c:dLbl>
              <c:idx val="36"/>
              <c:layout>
                <c:manualLayout>
                  <c:x val="1.0200364298724954E-2"/>
                  <c:y val="-2.7777782451339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D333-49E8-9478-06B8AA5E5FC9}"/>
                </c:ext>
              </c:extLst>
            </c:dLbl>
            <c:dLbl>
              <c:idx val="37"/>
              <c:layout>
                <c:manualLayout>
                  <c:x val="1.1657559198542805E-2"/>
                  <c:y val="-1.92307724663120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333-49E8-9478-06B8AA5E5FC9}"/>
                </c:ext>
              </c:extLst>
            </c:dLbl>
            <c:dLbl>
              <c:idx val="38"/>
              <c:layout>
                <c:manualLayout>
                  <c:x val="1.4571948998178506E-3"/>
                  <c:y val="1.92307724663120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333-49E8-9478-06B8AA5E5FC9}"/>
                </c:ext>
              </c:extLst>
            </c:dLbl>
            <c:dLbl>
              <c:idx val="40"/>
              <c:layout>
                <c:manualLayout>
                  <c:x val="4.3715846994535519E-3"/>
                  <c:y val="3.41880399401103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333-49E8-9478-06B8AA5E5FC9}"/>
                </c:ext>
              </c:extLst>
            </c:dLbl>
            <c:dLbl>
              <c:idx val="41"/>
              <c:layout>
                <c:manualLayout>
                  <c:x val="9.4717668488159216E-3"/>
                  <c:y val="1.28205149775413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333-49E8-9478-06B8AA5E5FC9}"/>
                </c:ext>
              </c:extLst>
            </c:dLbl>
            <c:dLbl>
              <c:idx val="42"/>
              <c:layout>
                <c:manualLayout>
                  <c:x val="4.3715846994535519E-3"/>
                  <c:y val="-2.56410299550828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D333-49E8-9478-06B8AA5E5FC9}"/>
                </c:ext>
              </c:extLst>
            </c:dLbl>
            <c:dLbl>
              <c:idx val="43"/>
              <c:layout>
                <c:manualLayout>
                  <c:x val="-2.1857923497268826E-3"/>
                  <c:y val="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D333-49E8-9478-06B8AA5E5FC9}"/>
                </c:ext>
              </c:extLst>
            </c:dLbl>
            <c:dLbl>
              <c:idx val="44"/>
              <c:layout>
                <c:manualLayout>
                  <c:x val="-5.1001821493625839E-3"/>
                  <c:y val="-4.48718024213948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D333-49E8-9478-06B8AA5E5FC9}"/>
                </c:ext>
              </c:extLst>
            </c:dLbl>
            <c:dLbl>
              <c:idx val="45"/>
              <c:layout>
                <c:manualLayout>
                  <c:x val="8.0145719489980709E-3"/>
                  <c:y val="3.6324792436367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D333-49E8-9478-06B8AA5E5FC9}"/>
                </c:ext>
              </c:extLst>
            </c:dLbl>
            <c:dLbl>
              <c:idx val="46"/>
              <c:layout>
                <c:manualLayout>
                  <c:x val="4.3715846994534452E-3"/>
                  <c:y val="-3.8461544932624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D333-49E8-9478-06B8AA5E5FC9}"/>
                </c:ext>
              </c:extLst>
            </c:dLbl>
            <c:dLbl>
              <c:idx val="47"/>
              <c:layout>
                <c:manualLayout>
                  <c:x val="5.1001821493622639E-3"/>
                  <c:y val="2.77777824513395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D333-49E8-9478-06B8AA5E5FC9}"/>
                </c:ext>
              </c:extLst>
            </c:dLbl>
            <c:dLbl>
              <c:idx val="48"/>
              <c:layout>
                <c:manualLayout>
                  <c:x val="-2.185792349726776E-3"/>
                  <c:y val="-3.8461544932624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D333-49E8-9478-06B8AA5E5FC9}"/>
                </c:ext>
              </c:extLst>
            </c:dLbl>
            <c:dLbl>
              <c:idx val="49"/>
              <c:layout>
                <c:manualLayout>
                  <c:x val="4.0775266237203156E-3"/>
                  <c:y val="0.1102198906847001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D333-49E8-9478-06B8AA5E5FC9}"/>
                </c:ext>
              </c:extLst>
            </c:dLbl>
            <c:dLbl>
              <c:idx val="50"/>
              <c:layout>
                <c:manualLayout>
                  <c:x val="3.0581449677903488E-3"/>
                  <c:y val="-5.2990332059952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D333-49E8-9478-06B8AA5E5FC9}"/>
                </c:ext>
              </c:extLst>
            </c:dLbl>
            <c:dLbl>
              <c:idx val="51"/>
              <c:layout>
                <c:manualLayout>
                  <c:x val="-1.3251961527091512E-2"/>
                  <c:y val="-7.2066851601534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D333-49E8-9478-06B8AA5E5FC9}"/>
                </c:ext>
              </c:extLst>
            </c:dLbl>
            <c:dLbl>
              <c:idx val="52"/>
              <c:layout>
                <c:manualLayout>
                  <c:x val="4.0775266237203156E-3"/>
                  <c:y val="5.0870718777553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D333-49E8-9478-06B8AA5E5FC9}"/>
                </c:ext>
              </c:extLst>
            </c:dLbl>
            <c:dLbl>
              <c:idx val="53"/>
              <c:layout>
                <c:manualLayout>
                  <c:x val="-1.2232579871161395E-2"/>
                  <c:y val="-5.51099453423501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D333-49E8-9478-06B8AA5E5FC9}"/>
                </c:ext>
              </c:extLst>
            </c:dLbl>
            <c:dLbl>
              <c:idx val="54"/>
              <c:layout>
                <c:manualLayout>
                  <c:x val="-5.096908279650582E-3"/>
                  <c:y val="3.39138125183692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D333-49E8-9478-06B8AA5E5F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'EVOLUCAO MO'!$A$3:$A$69</c:f>
              <c:numCache>
                <c:formatCode>m/d/yyyy</c:formatCode>
                <c:ptCount val="6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  <c:pt idx="60">
                  <c:v>45658</c:v>
                </c:pt>
                <c:pt idx="61">
                  <c:v>45689</c:v>
                </c:pt>
                <c:pt idx="62">
                  <c:v>45717</c:v>
                </c:pt>
                <c:pt idx="63">
                  <c:v>45748</c:v>
                </c:pt>
                <c:pt idx="64">
                  <c:v>45778</c:v>
                </c:pt>
                <c:pt idx="65">
                  <c:v>45809</c:v>
                </c:pt>
                <c:pt idx="66">
                  <c:v>45839</c:v>
                </c:pt>
              </c:numCache>
            </c:numRef>
          </c:cat>
          <c:val>
            <c:numRef>
              <c:f>'EVOLUCAO MO'!$C$3:$C$69</c:f>
              <c:numCache>
                <c:formatCode>0.00%</c:formatCode>
                <c:ptCount val="67"/>
                <c:pt idx="0">
                  <c:v>9.3594061814960952E-2</c:v>
                </c:pt>
                <c:pt idx="1">
                  <c:v>0.11066476530768891</c:v>
                </c:pt>
                <c:pt idx="2">
                  <c:v>8.8119705953051394E-2</c:v>
                </c:pt>
                <c:pt idx="3">
                  <c:v>0.11591868055418689</c:v>
                </c:pt>
                <c:pt idx="4">
                  <c:v>6.81946532440105E-2</c:v>
                </c:pt>
                <c:pt idx="5">
                  <c:v>4.4860340188027779E-2</c:v>
                </c:pt>
                <c:pt idx="6">
                  <c:v>5.9413382867499469E-2</c:v>
                </c:pt>
                <c:pt idx="7">
                  <c:v>6.3861082322852467E-2</c:v>
                </c:pt>
                <c:pt idx="8">
                  <c:v>5.9591294175071044E-2</c:v>
                </c:pt>
                <c:pt idx="9">
                  <c:v>5.5136958882682156E-2</c:v>
                </c:pt>
                <c:pt idx="10">
                  <c:v>7.6667537771633043E-2</c:v>
                </c:pt>
                <c:pt idx="11">
                  <c:v>4.6386530078407762E-2</c:v>
                </c:pt>
                <c:pt idx="12">
                  <c:v>7.8898717909931734E-2</c:v>
                </c:pt>
                <c:pt idx="13">
                  <c:v>9.5436702813707752E-2</c:v>
                </c:pt>
                <c:pt idx="14">
                  <c:v>6.8726147555173395E-2</c:v>
                </c:pt>
                <c:pt idx="15">
                  <c:v>6.0658022229872696E-2</c:v>
                </c:pt>
                <c:pt idx="16">
                  <c:v>6.1370656463832891E-2</c:v>
                </c:pt>
                <c:pt idx="17">
                  <c:v>5.2753179571992839E-2</c:v>
                </c:pt>
                <c:pt idx="18">
                  <c:v>5.3657513975234016E-2</c:v>
                </c:pt>
                <c:pt idx="19">
                  <c:v>5.4568596930223479E-2</c:v>
                </c:pt>
                <c:pt idx="20">
                  <c:v>5.407401635079119E-2</c:v>
                </c:pt>
                <c:pt idx="21">
                  <c:v>6.079938456922751E-2</c:v>
                </c:pt>
                <c:pt idx="22">
                  <c:v>7.8835232179853179E-2</c:v>
                </c:pt>
                <c:pt idx="23">
                  <c:v>8.3342880963564805E-2</c:v>
                </c:pt>
                <c:pt idx="24">
                  <c:v>9.2834223417961978E-2</c:v>
                </c:pt>
                <c:pt idx="25">
                  <c:v>7.7430978888315613E-2</c:v>
                </c:pt>
                <c:pt idx="26">
                  <c:v>5.0899654945987929E-2</c:v>
                </c:pt>
                <c:pt idx="27">
                  <c:v>7.4799974274080777E-2</c:v>
                </c:pt>
                <c:pt idx="28">
                  <c:v>7.0806365970441681E-2</c:v>
                </c:pt>
                <c:pt idx="29">
                  <c:v>6.7463714793757693E-2</c:v>
                </c:pt>
                <c:pt idx="30">
                  <c:v>6.8874520693683466E-2</c:v>
                </c:pt>
                <c:pt idx="31">
                  <c:v>6.7758803830206757E-2</c:v>
                </c:pt>
                <c:pt idx="32">
                  <c:v>6.6282506524568838E-2</c:v>
                </c:pt>
                <c:pt idx="33">
                  <c:v>0.10742734714305772</c:v>
                </c:pt>
                <c:pt idx="34">
                  <c:v>8.0203480037301683E-2</c:v>
                </c:pt>
                <c:pt idx="35">
                  <c:v>6.2363611451883155E-2</c:v>
                </c:pt>
                <c:pt idx="36">
                  <c:v>0.14190059081449471</c:v>
                </c:pt>
                <c:pt idx="37">
                  <c:v>0.11374929198275889</c:v>
                </c:pt>
                <c:pt idx="38">
                  <c:v>9.092489859747048E-2</c:v>
                </c:pt>
                <c:pt idx="39">
                  <c:v>0.10166352698847987</c:v>
                </c:pt>
                <c:pt idx="40">
                  <c:v>6.2204365885807265E-2</c:v>
                </c:pt>
                <c:pt idx="41">
                  <c:v>7.4265840508966938E-2</c:v>
                </c:pt>
                <c:pt idx="42">
                  <c:v>0.11320654639868249</c:v>
                </c:pt>
                <c:pt idx="43">
                  <c:v>8.3643579283321182E-2</c:v>
                </c:pt>
                <c:pt idx="44">
                  <c:v>8.3408465771217022E-2</c:v>
                </c:pt>
                <c:pt idx="45">
                  <c:v>7.6545626667634606E-2</c:v>
                </c:pt>
                <c:pt idx="46">
                  <c:v>0.14036098134656491</c:v>
                </c:pt>
                <c:pt idx="47">
                  <c:v>7.7458479711353473E-2</c:v>
                </c:pt>
                <c:pt idx="48">
                  <c:v>0.12753582098736993</c:v>
                </c:pt>
                <c:pt idx="49">
                  <c:v>9.4232811193221439E-2</c:v>
                </c:pt>
                <c:pt idx="50">
                  <c:v>0.10648667151202125</c:v>
                </c:pt>
                <c:pt idx="51">
                  <c:v>8.1234981338520279E-2</c:v>
                </c:pt>
                <c:pt idx="52">
                  <c:v>7.6803236281882944E-2</c:v>
                </c:pt>
                <c:pt idx="53">
                  <c:v>9.3110934609283699E-2</c:v>
                </c:pt>
                <c:pt idx="54">
                  <c:v>9.0857103467003222E-2</c:v>
                </c:pt>
                <c:pt idx="55">
                  <c:v>0.11264644187381993</c:v>
                </c:pt>
                <c:pt idx="56">
                  <c:v>0.10302973710344865</c:v>
                </c:pt>
                <c:pt idx="57">
                  <c:v>9.1041757247419697E-2</c:v>
                </c:pt>
                <c:pt idx="58">
                  <c:v>0.13556735057931996</c:v>
                </c:pt>
                <c:pt idx="59">
                  <c:v>6.9321368111108325E-2</c:v>
                </c:pt>
                <c:pt idx="60">
                  <c:v>0.12215821530004883</c:v>
                </c:pt>
                <c:pt idx="61">
                  <c:v>0.10806474747766955</c:v>
                </c:pt>
                <c:pt idx="62">
                  <c:v>0.10109978105302533</c:v>
                </c:pt>
                <c:pt idx="63">
                  <c:v>6.7003591022347084E-2</c:v>
                </c:pt>
                <c:pt idx="64">
                  <c:v>6.5953646901752608E-2</c:v>
                </c:pt>
                <c:pt idx="65">
                  <c:v>0.13857304017923872</c:v>
                </c:pt>
                <c:pt idx="66">
                  <c:v>0.11148744563723499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333-49E8-9478-06B8AA5E5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319439"/>
        <c:axId val="535335759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'EVOLUCAO MO'!$G$2</c15:sqref>
                        </c15:formulaRef>
                      </c:ext>
                    </c:extLst>
                    <c:strCache>
                      <c:ptCount val="1"/>
                      <c:pt idx="0">
                        <c:v>TOTAL MO</c:v>
                      </c:pt>
                    </c:strCache>
                  </c:strRef>
                </c:tx>
                <c:spPr>
                  <a:ln w="34925" cap="rnd">
                    <a:solidFill>
                      <a:schemeClr val="accent6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'EVOLUCAO MO'!$G$3:$G$69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0.1413361235920344</c:v>
                      </c:pt>
                      <c:pt idx="1">
                        <c:v>0.16113959025219449</c:v>
                      </c:pt>
                      <c:pt idx="2">
                        <c:v>0.14815348993351091</c:v>
                      </c:pt>
                      <c:pt idx="3">
                        <c:v>0.17581552380499785</c:v>
                      </c:pt>
                      <c:pt idx="4">
                        <c:v>0.10453914977426521</c:v>
                      </c:pt>
                      <c:pt idx="5">
                        <c:v>7.5995551321516627E-2</c:v>
                      </c:pt>
                      <c:pt idx="6">
                        <c:v>8.66506647421144E-2</c:v>
                      </c:pt>
                      <c:pt idx="7">
                        <c:v>9.4475723417917518E-2</c:v>
                      </c:pt>
                      <c:pt idx="8">
                        <c:v>9.0637227586367719E-2</c:v>
                      </c:pt>
                      <c:pt idx="9">
                        <c:v>7.789493600044739E-2</c:v>
                      </c:pt>
                      <c:pt idx="10">
                        <c:v>0.10431375283282711</c:v>
                      </c:pt>
                      <c:pt idx="11">
                        <c:v>7.5907436891464633E-2</c:v>
                      </c:pt>
                      <c:pt idx="12">
                        <c:v>0.10804200370577867</c:v>
                      </c:pt>
                      <c:pt idx="13">
                        <c:v>0.11723742499644579</c:v>
                      </c:pt>
                      <c:pt idx="14">
                        <c:v>8.7903114249442138E-2</c:v>
                      </c:pt>
                      <c:pt idx="15">
                        <c:v>7.7769871853301517E-2</c:v>
                      </c:pt>
                      <c:pt idx="16">
                        <c:v>8.0405557783149076E-2</c:v>
                      </c:pt>
                      <c:pt idx="17">
                        <c:v>7.0318666184681605E-2</c:v>
                      </c:pt>
                      <c:pt idx="18">
                        <c:v>6.9532942670304895E-2</c:v>
                      </c:pt>
                      <c:pt idx="19">
                        <c:v>7.1646292198442693E-2</c:v>
                      </c:pt>
                      <c:pt idx="20">
                        <c:v>7.0046886762720029E-2</c:v>
                      </c:pt>
                      <c:pt idx="21">
                        <c:v>8.4599672724733732E-2</c:v>
                      </c:pt>
                      <c:pt idx="22">
                        <c:v>0.11149778903562552</c:v>
                      </c:pt>
                      <c:pt idx="23">
                        <c:v>0.10812592315421789</c:v>
                      </c:pt>
                      <c:pt idx="24">
                        <c:v>0.12527372734964914</c:v>
                      </c:pt>
                      <c:pt idx="25">
                        <c:v>9.2696424890113205E-2</c:v>
                      </c:pt>
                      <c:pt idx="26">
                        <c:v>5.9938811170182626E-2</c:v>
                      </c:pt>
                      <c:pt idx="27">
                        <c:v>8.6715636578328426E-2</c:v>
                      </c:pt>
                      <c:pt idx="28">
                        <c:v>8.4412351615907807E-2</c:v>
                      </c:pt>
                      <c:pt idx="29">
                        <c:v>8.0910703377886486E-2</c:v>
                      </c:pt>
                      <c:pt idx="30">
                        <c:v>8.230382344157651E-2</c:v>
                      </c:pt>
                      <c:pt idx="31">
                        <c:v>8.0001972075135402E-2</c:v>
                      </c:pt>
                      <c:pt idx="32">
                        <c:v>7.9767920887228089E-2</c:v>
                      </c:pt>
                      <c:pt idx="33">
                        <c:v>0.12645669493589778</c:v>
                      </c:pt>
                      <c:pt idx="34">
                        <c:v>9.386369020459441E-2</c:v>
                      </c:pt>
                      <c:pt idx="35">
                        <c:v>7.7634082057704376E-2</c:v>
                      </c:pt>
                      <c:pt idx="36">
                        <c:v>0.1631710869729408</c:v>
                      </c:pt>
                      <c:pt idx="37">
                        <c:v>0.1346595561984387</c:v>
                      </c:pt>
                      <c:pt idx="38">
                        <c:v>0.10692066486865337</c:v>
                      </c:pt>
                      <c:pt idx="39">
                        <c:v>0.11702462381303678</c:v>
                      </c:pt>
                      <c:pt idx="40">
                        <c:v>7.4940057546274058E-2</c:v>
                      </c:pt>
                      <c:pt idx="41">
                        <c:v>8.6167207681651675E-2</c:v>
                      </c:pt>
                      <c:pt idx="42">
                        <c:v>0.13393583129303058</c:v>
                      </c:pt>
                      <c:pt idx="43">
                        <c:v>9.6926293499209171E-2</c:v>
                      </c:pt>
                      <c:pt idx="44">
                        <c:v>9.7456641548543874E-2</c:v>
                      </c:pt>
                      <c:pt idx="45">
                        <c:v>8.893987408019402E-2</c:v>
                      </c:pt>
                      <c:pt idx="46">
                        <c:v>0.15984323790290406</c:v>
                      </c:pt>
                      <c:pt idx="47">
                        <c:v>9.1389474620684086E-2</c:v>
                      </c:pt>
                      <c:pt idx="48">
                        <c:v>0.14269416366730261</c:v>
                      </c:pt>
                      <c:pt idx="49">
                        <c:v>0.10756990871573247</c:v>
                      </c:pt>
                      <c:pt idx="50">
                        <c:v>0.12055363068668484</c:v>
                      </c:pt>
                      <c:pt idx="51">
                        <c:v>9.293688719431864E-2</c:v>
                      </c:pt>
                      <c:pt idx="52">
                        <c:v>8.726574876980922E-2</c:v>
                      </c:pt>
                      <c:pt idx="53">
                        <c:v>0.10430759360344186</c:v>
                      </c:pt>
                      <c:pt idx="54">
                        <c:v>0.10254609022156071</c:v>
                      </c:pt>
                      <c:pt idx="55">
                        <c:v>0.12590401225034234</c:v>
                      </c:pt>
                      <c:pt idx="56">
                        <c:v>0.1156333211363271</c:v>
                      </c:pt>
                      <c:pt idx="57">
                        <c:v>0.10319817861020129</c:v>
                      </c:pt>
                      <c:pt idx="58">
                        <c:v>0.1519865358479813</c:v>
                      </c:pt>
                      <c:pt idx="59">
                        <c:v>7.8110082754244137E-2</c:v>
                      </c:pt>
                      <c:pt idx="60">
                        <c:v>0.14607501523638527</c:v>
                      </c:pt>
                      <c:pt idx="61">
                        <c:v>0.12717516613982549</c:v>
                      </c:pt>
                      <c:pt idx="62">
                        <c:v>0.11991911164764597</c:v>
                      </c:pt>
                      <c:pt idx="63">
                        <c:v>8.0898693111488784E-2</c:v>
                      </c:pt>
                      <c:pt idx="64">
                        <c:v>7.6765821825013555E-2</c:v>
                      </c:pt>
                      <c:pt idx="65">
                        <c:v>0.16585310279599103</c:v>
                      </c:pt>
                      <c:pt idx="66">
                        <c:v>0.13406080667911435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35-D333-49E8-9478-06B8AA5E5FC9}"/>
                  </c:ext>
                </c:extLst>
              </c15:ser>
            </c15:filteredLineSeries>
          </c:ext>
        </c:extLst>
      </c:lineChart>
      <c:dateAx>
        <c:axId val="5353194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5335759"/>
        <c:crosses val="autoZero"/>
        <c:auto val="1"/>
        <c:lblOffset val="100"/>
        <c:baseTimeUnit val="months"/>
      </c:dateAx>
      <c:valAx>
        <c:axId val="53533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5319439"/>
        <c:crosses val="autoZero"/>
        <c:crossBetween val="between"/>
      </c:valAx>
      <c:valAx>
        <c:axId val="791887135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1890495"/>
        <c:crosses val="max"/>
        <c:crossBetween val="between"/>
      </c:valAx>
      <c:dateAx>
        <c:axId val="79189049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91887135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MO PRODUTIVA (%) RECEITA LIQUIDA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'EVOLUCAO MO'!$B$2</c:f>
              <c:strCache>
                <c:ptCount val="1"/>
                <c:pt idx="0">
                  <c:v>RECEITA LIQUIDA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vert="horz" wrap="square" lIns="38100" tIns="19050" rIns="3810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'EVOLUCAO MO'!$A$3:$A$69</c:f>
              <c:numCache>
                <c:formatCode>m/d/yyyy</c:formatCode>
                <c:ptCount val="6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  <c:pt idx="60">
                  <c:v>45658</c:v>
                </c:pt>
                <c:pt idx="61">
                  <c:v>45689</c:v>
                </c:pt>
                <c:pt idx="62">
                  <c:v>45717</c:v>
                </c:pt>
                <c:pt idx="63">
                  <c:v>45748</c:v>
                </c:pt>
                <c:pt idx="64">
                  <c:v>45778</c:v>
                </c:pt>
                <c:pt idx="65">
                  <c:v>45809</c:v>
                </c:pt>
                <c:pt idx="66">
                  <c:v>45839</c:v>
                </c:pt>
              </c:numCache>
            </c:numRef>
          </c:cat>
          <c:val>
            <c:numRef>
              <c:f>'EVOLUCAO MO'!$B$3:$B$69</c:f>
              <c:numCache>
                <c:formatCode>_("R$"* #,##0.00_);_("R$"* \(#,##0.00\);_("R$"* "-"??_);_(@_)</c:formatCode>
                <c:ptCount val="67"/>
                <c:pt idx="0">
                  <c:v>2941337.78</c:v>
                </c:pt>
                <c:pt idx="1">
                  <c:v>2349456.3899999997</c:v>
                </c:pt>
                <c:pt idx="2">
                  <c:v>1776143.5799999998</c:v>
                </c:pt>
                <c:pt idx="3">
                  <c:v>1758110.85</c:v>
                </c:pt>
                <c:pt idx="4">
                  <c:v>2559944.39</c:v>
                </c:pt>
                <c:pt idx="5">
                  <c:v>3887509.5300000003</c:v>
                </c:pt>
                <c:pt idx="6">
                  <c:v>4143176.64</c:v>
                </c:pt>
                <c:pt idx="7">
                  <c:v>4467793.6800000006</c:v>
                </c:pt>
                <c:pt idx="8">
                  <c:v>4802256.0000000009</c:v>
                </c:pt>
                <c:pt idx="9">
                  <c:v>5685928.0300000003</c:v>
                </c:pt>
                <c:pt idx="10">
                  <c:v>4644331.2300000004</c:v>
                </c:pt>
                <c:pt idx="11">
                  <c:v>4473220.9900000012</c:v>
                </c:pt>
                <c:pt idx="12">
                  <c:v>4944925.6000000015</c:v>
                </c:pt>
                <c:pt idx="13">
                  <c:v>5234248.620000001</c:v>
                </c:pt>
                <c:pt idx="14">
                  <c:v>6030259.7299999995</c:v>
                </c:pt>
                <c:pt idx="15">
                  <c:v>7105290.3500000006</c:v>
                </c:pt>
                <c:pt idx="16">
                  <c:v>7918709.8200000003</c:v>
                </c:pt>
                <c:pt idx="17">
                  <c:v>8868518.3300000001</c:v>
                </c:pt>
                <c:pt idx="18">
                  <c:v>9403531.2600000016</c:v>
                </c:pt>
                <c:pt idx="19">
                  <c:v>8700462.6600000001</c:v>
                </c:pt>
                <c:pt idx="20">
                  <c:v>8607862.3599999994</c:v>
                </c:pt>
                <c:pt idx="21">
                  <c:v>7463338.209999999</c:v>
                </c:pt>
                <c:pt idx="22">
                  <c:v>6165662.4399999995</c:v>
                </c:pt>
                <c:pt idx="23">
                  <c:v>5516988.5500000007</c:v>
                </c:pt>
                <c:pt idx="24">
                  <c:v>5346830.53</c:v>
                </c:pt>
                <c:pt idx="25">
                  <c:v>6667938.8199999994</c:v>
                </c:pt>
                <c:pt idx="26">
                  <c:v>10398348.879999999</c:v>
                </c:pt>
                <c:pt idx="27">
                  <c:v>7242034.71</c:v>
                </c:pt>
                <c:pt idx="28">
                  <c:v>7832280.7899999982</c:v>
                </c:pt>
                <c:pt idx="29">
                  <c:v>7871509.620000001</c:v>
                </c:pt>
                <c:pt idx="30">
                  <c:v>7133374.0699999994</c:v>
                </c:pt>
                <c:pt idx="31">
                  <c:v>7753457.120000002</c:v>
                </c:pt>
                <c:pt idx="32">
                  <c:v>7901820.9700000007</c:v>
                </c:pt>
                <c:pt idx="33">
                  <c:v>5212976.3499999996</c:v>
                </c:pt>
                <c:pt idx="34">
                  <c:v>6633932.3399999989</c:v>
                </c:pt>
                <c:pt idx="35">
                  <c:v>5522329.4800000004</c:v>
                </c:pt>
                <c:pt idx="36">
                  <c:v>4523362.28</c:v>
                </c:pt>
                <c:pt idx="37">
                  <c:v>5020605.1399999997</c:v>
                </c:pt>
                <c:pt idx="38">
                  <c:v>6163399.0099999998</c:v>
                </c:pt>
                <c:pt idx="39">
                  <c:v>5450287.8899999997</c:v>
                </c:pt>
                <c:pt idx="40">
                  <c:v>9087903.75</c:v>
                </c:pt>
                <c:pt idx="41">
                  <c:v>8277075.1100000013</c:v>
                </c:pt>
                <c:pt idx="42">
                  <c:v>5198444.16</c:v>
                </c:pt>
                <c:pt idx="43">
                  <c:v>7988986.9099999983</c:v>
                </c:pt>
                <c:pt idx="44">
                  <c:v>7305588.3999999994</c:v>
                </c:pt>
                <c:pt idx="45">
                  <c:v>8831749.629999999</c:v>
                </c:pt>
                <c:pt idx="46">
                  <c:v>5971298.0200000005</c:v>
                </c:pt>
                <c:pt idx="47">
                  <c:v>8232901.5800000001</c:v>
                </c:pt>
                <c:pt idx="48">
                  <c:v>7481410.8899999997</c:v>
                </c:pt>
                <c:pt idx="49">
                  <c:v>8407937.3199999984</c:v>
                </c:pt>
                <c:pt idx="50">
                  <c:v>7671402.7999999998</c:v>
                </c:pt>
                <c:pt idx="51">
                  <c:v>10589146.889999999</c:v>
                </c:pt>
                <c:pt idx="52">
                  <c:v>11809586.859999999</c:v>
                </c:pt>
                <c:pt idx="53">
                  <c:v>10610189.169999998</c:v>
                </c:pt>
                <c:pt idx="54">
                  <c:v>11950053.750000002</c:v>
                </c:pt>
                <c:pt idx="55">
                  <c:v>9379852.1500000004</c:v>
                </c:pt>
                <c:pt idx="56">
                  <c:v>10391320.409999998</c:v>
                </c:pt>
                <c:pt idx="57">
                  <c:v>10922850.24</c:v>
                </c:pt>
                <c:pt idx="58">
                  <c:v>8432311.2100000028</c:v>
                </c:pt>
                <c:pt idx="59">
                  <c:v>12856176.879999999</c:v>
                </c:pt>
                <c:pt idx="60">
                  <c:v>8076456.3199999984</c:v>
                </c:pt>
                <c:pt idx="61">
                  <c:v>9308880.3099999987</c:v>
                </c:pt>
                <c:pt idx="62">
                  <c:v>9248184.4199999981</c:v>
                </c:pt>
                <c:pt idx="63">
                  <c:v>13159013.07</c:v>
                </c:pt>
                <c:pt idx="64">
                  <c:v>13959973</c:v>
                </c:pt>
                <c:pt idx="65">
                  <c:v>7586097.6900000004</c:v>
                </c:pt>
                <c:pt idx="66">
                  <c:v>8540811.4299999978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B-4A3D-A26D-45BE160BC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91890495"/>
        <c:axId val="791887135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'EVOLUCAO MO'!$D$2</c15:sqref>
                        </c15:formulaRef>
                      </c:ext>
                    </c:extLst>
                    <c:strCache>
                      <c:ptCount val="1"/>
                      <c:pt idx="0">
                        <c:v>PRESTAÇAO SERVIÇO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'EVOLUCAO MO'!$D$3:$D$69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2.9070826404711675E-2</c:v>
                      </c:pt>
                      <c:pt idx="1">
                        <c:v>2.6703947460799651E-2</c:v>
                      </c:pt>
                      <c:pt idx="2">
                        <c:v>3.8151864952269236E-2</c:v>
                      </c:pt>
                      <c:pt idx="3">
                        <c:v>3.8162081759520461E-2</c:v>
                      </c:pt>
                      <c:pt idx="4">
                        <c:v>2.2526868249665374E-2</c:v>
                      </c:pt>
                      <c:pt idx="5">
                        <c:v>1.7405341254558931E-2</c:v>
                      </c:pt>
                      <c:pt idx="6">
                        <c:v>1.5212112703937238E-2</c:v>
                      </c:pt>
                      <c:pt idx="7">
                        <c:v>1.7730397971286803E-2</c:v>
                      </c:pt>
                      <c:pt idx="8">
                        <c:v>2.0462318127146901E-2</c:v>
                      </c:pt>
                      <c:pt idx="9">
                        <c:v>1.236089687192189E-2</c:v>
                      </c:pt>
                      <c:pt idx="10">
                        <c:v>1.5460912765259424E-2</c:v>
                      </c:pt>
                      <c:pt idx="11">
                        <c:v>1.5709507792504566E-2</c:v>
                      </c:pt>
                      <c:pt idx="12">
                        <c:v>1.6877105289511328E-2</c:v>
                      </c:pt>
                      <c:pt idx="13">
                        <c:v>1.3111711915587222E-2</c:v>
                      </c:pt>
                      <c:pt idx="14">
                        <c:v>1.0221801839371188E-2</c:v>
                      </c:pt>
                      <c:pt idx="15">
                        <c:v>8.1335887983803486E-3</c:v>
                      </c:pt>
                      <c:pt idx="16">
                        <c:v>9.9729907769243141E-3</c:v>
                      </c:pt>
                      <c:pt idx="17">
                        <c:v>7.942385343189565E-3</c:v>
                      </c:pt>
                      <c:pt idx="18">
                        <c:v>8.7742920950315412E-3</c:v>
                      </c:pt>
                      <c:pt idx="19">
                        <c:v>1.009737567220362E-2</c:v>
                      </c:pt>
                      <c:pt idx="20">
                        <c:v>8.7585136526276905E-3</c:v>
                      </c:pt>
                      <c:pt idx="21">
                        <c:v>1.4357037961435223E-2</c:v>
                      </c:pt>
                      <c:pt idx="22">
                        <c:v>1.9556043032417456E-2</c:v>
                      </c:pt>
                      <c:pt idx="23">
                        <c:v>1.5589697027738074E-2</c:v>
                      </c:pt>
                      <c:pt idx="24">
                        <c:v>1.8088989253975847E-2</c:v>
                      </c:pt>
                      <c:pt idx="25">
                        <c:v>1.1262850789023888E-4</c:v>
                      </c:pt>
                      <c:pt idx="26">
                        <c:v>1.6156411170539608E-5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1.3471964733494156E-3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71B-4A3D-A26D-45BE160BC5B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'EVOLUCAO MO'!$E$2</c15:sqref>
                        </c15:formulaRef>
                      </c:ext>
                    </c:extLst>
                    <c:strCache>
                      <c:ptCount val="1"/>
                      <c:pt idx="0">
                        <c:v>COMERCIAL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MO'!$E$3:$E$69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7.9491822255110065E-3</c:v>
                      </c:pt>
                      <c:pt idx="1">
                        <c:v>1.2774767868749421E-2</c:v>
                      </c:pt>
                      <c:pt idx="2">
                        <c:v>7.7852827641332915E-3</c:v>
                      </c:pt>
                      <c:pt idx="3">
                        <c:v>1.0968307260034258E-2</c:v>
                      </c:pt>
                      <c:pt idx="4">
                        <c:v>6.4960590804083824E-3</c:v>
                      </c:pt>
                      <c:pt idx="5">
                        <c:v>4.5872119058187879E-3</c:v>
                      </c:pt>
                      <c:pt idx="6">
                        <c:v>4.6974415264129316E-3</c:v>
                      </c:pt>
                      <c:pt idx="7">
                        <c:v>4.9313669291908748E-3</c:v>
                      </c:pt>
                      <c:pt idx="8">
                        <c:v>4.4504978493441405E-3</c:v>
                      </c:pt>
                      <c:pt idx="9">
                        <c:v>3.4177692537553984E-3</c:v>
                      </c:pt>
                      <c:pt idx="10">
                        <c:v>4.4861808876624837E-3</c:v>
                      </c:pt>
                      <c:pt idx="11">
                        <c:v>2.6222871676187848E-3</c:v>
                      </c:pt>
                      <c:pt idx="12">
                        <c:v>4.1144198408162086E-3</c:v>
                      </c:pt>
                      <c:pt idx="13">
                        <c:v>3.7279390828783366E-3</c:v>
                      </c:pt>
                      <c:pt idx="14">
                        <c:v>3.3168936157912392E-3</c:v>
                      </c:pt>
                      <c:pt idx="15">
                        <c:v>3.4896096821715383E-3</c:v>
                      </c:pt>
                      <c:pt idx="16">
                        <c:v>2.9093274692063411E-3</c:v>
                      </c:pt>
                      <c:pt idx="17">
                        <c:v>2.1743451704632154E-3</c:v>
                      </c:pt>
                      <c:pt idx="18">
                        <c:v>2.8719477027611853E-3</c:v>
                      </c:pt>
                      <c:pt idx="19">
                        <c:v>2.3618870401542528E-3</c:v>
                      </c:pt>
                      <c:pt idx="20">
                        <c:v>1.8766029618531217E-3</c:v>
                      </c:pt>
                      <c:pt idx="21">
                        <c:v>2.1741986686678642E-3</c:v>
                      </c:pt>
                      <c:pt idx="22">
                        <c:v>3.7503253259515128E-3</c:v>
                      </c:pt>
                      <c:pt idx="23">
                        <c:v>2.54090975048335E-3</c:v>
                      </c:pt>
                      <c:pt idx="24">
                        <c:v>3.7756629627084884E-3</c:v>
                      </c:pt>
                      <c:pt idx="25">
                        <c:v>3.9575903007460405E-3</c:v>
                      </c:pt>
                      <c:pt idx="26">
                        <c:v>2.3643696017246921E-3</c:v>
                      </c:pt>
                      <c:pt idx="27">
                        <c:v>3.0816698474509245E-3</c:v>
                      </c:pt>
                      <c:pt idx="28">
                        <c:v>2.9087491384485985E-3</c:v>
                      </c:pt>
                      <c:pt idx="29">
                        <c:v>2.8402480692134371E-3</c:v>
                      </c:pt>
                      <c:pt idx="30">
                        <c:v>3.3693424407785196E-3</c:v>
                      </c:pt>
                      <c:pt idx="31">
                        <c:v>2.9041561269381204E-3</c:v>
                      </c:pt>
                      <c:pt idx="32">
                        <c:v>3.9144306252233401E-3</c:v>
                      </c:pt>
                      <c:pt idx="33">
                        <c:v>4.7414276107352769E-3</c:v>
                      </c:pt>
                      <c:pt idx="34">
                        <c:v>4.0363721888667927E-3</c:v>
                      </c:pt>
                      <c:pt idx="35">
                        <c:v>4.1804858046970419E-3</c:v>
                      </c:pt>
                      <c:pt idx="36">
                        <c:v>5.7614774998742749E-3</c:v>
                      </c:pt>
                      <c:pt idx="37">
                        <c:v>6.6750439569521706E-3</c:v>
                      </c:pt>
                      <c:pt idx="38">
                        <c:v>3.7142492256070896E-3</c:v>
                      </c:pt>
                      <c:pt idx="39">
                        <c:v>3.6805578723291999E-3</c:v>
                      </c:pt>
                      <c:pt idx="40">
                        <c:v>3.0583488519010777E-3</c:v>
                      </c:pt>
                      <c:pt idx="41">
                        <c:v>3.0998848819193568E-3</c:v>
                      </c:pt>
                      <c:pt idx="42">
                        <c:v>5.1047888912978141E-3</c:v>
                      </c:pt>
                      <c:pt idx="43">
                        <c:v>3.6135658156936454E-3</c:v>
                      </c:pt>
                      <c:pt idx="44">
                        <c:v>3.4095145573763779E-3</c:v>
                      </c:pt>
                      <c:pt idx="45">
                        <c:v>3.4559788579513894E-3</c:v>
                      </c:pt>
                      <c:pt idx="46">
                        <c:v>4.6592164562571934E-3</c:v>
                      </c:pt>
                      <c:pt idx="47">
                        <c:v>3.4922499340748828E-3</c:v>
                      </c:pt>
                      <c:pt idx="48">
                        <c:v>4.5879113585218416E-3</c:v>
                      </c:pt>
                      <c:pt idx="49">
                        <c:v>3.8832330400864609E-3</c:v>
                      </c:pt>
                      <c:pt idx="50">
                        <c:v>3.5139492349430534E-3</c:v>
                      </c:pt>
                      <c:pt idx="51">
                        <c:v>3.7020810464930675E-3</c:v>
                      </c:pt>
                      <c:pt idx="52">
                        <c:v>3.3837288699191635E-3</c:v>
                      </c:pt>
                      <c:pt idx="53">
                        <c:v>2.7177366527575309E-3</c:v>
                      </c:pt>
                      <c:pt idx="54">
                        <c:v>3.2977734514374039E-3</c:v>
                      </c:pt>
                      <c:pt idx="55">
                        <c:v>3.692356707349592E-3</c:v>
                      </c:pt>
                      <c:pt idx="56">
                        <c:v>4.3994476347784953E-3</c:v>
                      </c:pt>
                      <c:pt idx="57">
                        <c:v>3.602754696378589E-3</c:v>
                      </c:pt>
                      <c:pt idx="58">
                        <c:v>5.9150188789106588E-3</c:v>
                      </c:pt>
                      <c:pt idx="59">
                        <c:v>2.4896017143161775E-3</c:v>
                      </c:pt>
                      <c:pt idx="60">
                        <c:v>5.8556560112740146E-3</c:v>
                      </c:pt>
                      <c:pt idx="61">
                        <c:v>4.326453736518179E-3</c:v>
                      </c:pt>
                      <c:pt idx="62">
                        <c:v>4.4237147684388425E-3</c:v>
                      </c:pt>
                      <c:pt idx="63">
                        <c:v>3.5925224595889853E-3</c:v>
                      </c:pt>
                      <c:pt idx="64">
                        <c:v>3.3269620220612172E-3</c:v>
                      </c:pt>
                      <c:pt idx="65">
                        <c:v>6.2608579457932084E-3</c:v>
                      </c:pt>
                      <c:pt idx="66">
                        <c:v>5.635073481536872E-3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71B-4A3D-A26D-45BE160BC5B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'EVOLUCAO MO'!$F$2</c15:sqref>
                        </c15:formulaRef>
                      </c:ext>
                    </c:extLst>
                    <c:strCache>
                      <c:ptCount val="1"/>
                      <c:pt idx="0">
                        <c:v>ADMINISTRATIVO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MO'!$F$3:$F$69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1.0722053146850751E-2</c:v>
                      </c:pt>
                      <c:pt idx="1">
                        <c:v>1.0996109614956506E-2</c:v>
                      </c:pt>
                      <c:pt idx="2">
                        <c:v>1.4096636264056987E-2</c:v>
                      </c:pt>
                      <c:pt idx="3">
                        <c:v>1.0766454231256238E-2</c:v>
                      </c:pt>
                      <c:pt idx="4">
                        <c:v>7.3215692001809465E-3</c:v>
                      </c:pt>
                      <c:pt idx="5">
                        <c:v>9.1426579731111301E-3</c:v>
                      </c:pt>
                      <c:pt idx="6">
                        <c:v>7.327727644264764E-3</c:v>
                      </c:pt>
                      <c:pt idx="7">
                        <c:v>7.9528761945873907E-3</c:v>
                      </c:pt>
                      <c:pt idx="8">
                        <c:v>6.1331174348056398E-3</c:v>
                      </c:pt>
                      <c:pt idx="9">
                        <c:v>6.9793109920879524E-3</c:v>
                      </c:pt>
                      <c:pt idx="10">
                        <c:v>7.6991214082721641E-3</c:v>
                      </c:pt>
                      <c:pt idx="11">
                        <c:v>1.1189111852933514E-2</c:v>
                      </c:pt>
                      <c:pt idx="12">
                        <c:v>8.1517606655194148E-3</c:v>
                      </c:pt>
                      <c:pt idx="13">
                        <c:v>4.9610711842724801E-3</c:v>
                      </c:pt>
                      <c:pt idx="14">
                        <c:v>5.6382712391063131E-3</c:v>
                      </c:pt>
                      <c:pt idx="15">
                        <c:v>5.4886511428769401E-3</c:v>
                      </c:pt>
                      <c:pt idx="16">
                        <c:v>6.152583073185525E-3</c:v>
                      </c:pt>
                      <c:pt idx="17">
                        <c:v>7.4487560990359938E-3</c:v>
                      </c:pt>
                      <c:pt idx="18">
                        <c:v>4.2291888972781477E-3</c:v>
                      </c:pt>
                      <c:pt idx="19">
                        <c:v>4.6184325558613452E-3</c:v>
                      </c:pt>
                      <c:pt idx="20">
                        <c:v>5.3377537974480345E-3</c:v>
                      </c:pt>
                      <c:pt idx="21">
                        <c:v>7.2690515254031354E-3</c:v>
                      </c:pt>
                      <c:pt idx="22">
                        <c:v>9.3561884974033716E-3</c:v>
                      </c:pt>
                      <c:pt idx="23">
                        <c:v>6.6524354124316591E-3</c:v>
                      </c:pt>
                      <c:pt idx="24">
                        <c:v>1.0574851715002831E-2</c:v>
                      </c:pt>
                      <c:pt idx="25">
                        <c:v>1.1195227193161322E-2</c:v>
                      </c:pt>
                      <c:pt idx="26">
                        <c:v>6.6586302112994697E-3</c:v>
                      </c:pt>
                      <c:pt idx="27">
                        <c:v>8.8339924567967174E-3</c:v>
                      </c:pt>
                      <c:pt idx="28">
                        <c:v>1.0697236507017519E-2</c:v>
                      </c:pt>
                      <c:pt idx="29">
                        <c:v>9.2595440415659414E-3</c:v>
                      </c:pt>
                      <c:pt idx="30">
                        <c:v>1.0059960307114526E-2</c:v>
                      </c:pt>
                      <c:pt idx="31">
                        <c:v>9.339012117990533E-3</c:v>
                      </c:pt>
                      <c:pt idx="32">
                        <c:v>9.5709837374359039E-3</c:v>
                      </c:pt>
                      <c:pt idx="33">
                        <c:v>1.4287920182104797E-2</c:v>
                      </c:pt>
                      <c:pt idx="34">
                        <c:v>9.623837978425932E-3</c:v>
                      </c:pt>
                      <c:pt idx="35">
                        <c:v>1.108998480112418E-2</c:v>
                      </c:pt>
                      <c:pt idx="36">
                        <c:v>1.5509018658571827E-2</c:v>
                      </c:pt>
                      <c:pt idx="37">
                        <c:v>1.4235220258727617E-2</c:v>
                      </c:pt>
                      <c:pt idx="38">
                        <c:v>1.2281517045575799E-2</c:v>
                      </c:pt>
                      <c:pt idx="39">
                        <c:v>1.1680538952227716E-2</c:v>
                      </c:pt>
                      <c:pt idx="40">
                        <c:v>9.6773428085657268E-3</c:v>
                      </c:pt>
                      <c:pt idx="41">
                        <c:v>8.8014822907653903E-3</c:v>
                      </c:pt>
                      <c:pt idx="42">
                        <c:v>1.5624496003050268E-2</c:v>
                      </c:pt>
                      <c:pt idx="43">
                        <c:v>9.6691484001943384E-3</c:v>
                      </c:pt>
                      <c:pt idx="44">
                        <c:v>1.063866121995047E-2</c:v>
                      </c:pt>
                      <c:pt idx="45">
                        <c:v>8.9382685546080202E-3</c:v>
                      </c:pt>
                      <c:pt idx="46">
                        <c:v>1.4823040100081956E-2</c:v>
                      </c:pt>
                      <c:pt idx="47">
                        <c:v>1.0438744975255735E-2</c:v>
                      </c:pt>
                      <c:pt idx="48">
                        <c:v>1.0570431321410821E-2</c:v>
                      </c:pt>
                      <c:pt idx="49">
                        <c:v>9.4538644824245684E-3</c:v>
                      </c:pt>
                      <c:pt idx="50">
                        <c:v>1.0553009939720545E-2</c:v>
                      </c:pt>
                      <c:pt idx="51">
                        <c:v>7.9998248093052938E-3</c:v>
                      </c:pt>
                      <c:pt idx="52">
                        <c:v>7.0787836180071081E-3</c:v>
                      </c:pt>
                      <c:pt idx="53">
                        <c:v>8.4789223414006316E-3</c:v>
                      </c:pt>
                      <c:pt idx="54">
                        <c:v>8.3912133031200792E-3</c:v>
                      </c:pt>
                      <c:pt idx="55">
                        <c:v>9.5652136691728121E-3</c:v>
                      </c:pt>
                      <c:pt idx="56">
                        <c:v>8.2041363980999617E-3</c:v>
                      </c:pt>
                      <c:pt idx="57">
                        <c:v>8.5536666664029985E-3</c:v>
                      </c:pt>
                      <c:pt idx="58">
                        <c:v>1.0504166389750689E-2</c:v>
                      </c:pt>
                      <c:pt idx="59">
                        <c:v>6.2991129288196288E-3</c:v>
                      </c:pt>
                      <c:pt idx="60">
                        <c:v>1.8061143925062421E-2</c:v>
                      </c:pt>
                      <c:pt idx="61">
                        <c:v>1.4783964925637766E-2</c:v>
                      </c:pt>
                      <c:pt idx="62">
                        <c:v>1.4395615826181807E-2</c:v>
                      </c:pt>
                      <c:pt idx="63">
                        <c:v>1.030257962955272E-2</c:v>
                      </c:pt>
                      <c:pt idx="64">
                        <c:v>7.485212901199737E-3</c:v>
                      </c:pt>
                      <c:pt idx="65">
                        <c:v>2.1019204670959097E-2</c:v>
                      </c:pt>
                      <c:pt idx="66">
                        <c:v>1.6938287560342501E-2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71B-4A3D-A26D-45BE160BC5B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'EVOLUCAO MO'!$C$2</c:f>
              <c:strCache>
                <c:ptCount val="1"/>
                <c:pt idx="0">
                  <c:v>PRODUCAO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3.6429872495446331E-3"/>
                  <c:y val="2.99145349475964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571B-4A3D-A26D-45BE160BC5B9}"/>
                </c:ext>
              </c:extLst>
            </c:dLbl>
            <c:dLbl>
              <c:idx val="1"/>
              <c:layout>
                <c:manualLayout>
                  <c:x val="7.2859744990892532E-4"/>
                  <c:y val="-4.05982974288810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571B-4A3D-A26D-45BE160BC5B9}"/>
                </c:ext>
              </c:extLst>
            </c:dLbl>
            <c:dLbl>
              <c:idx val="2"/>
              <c:layout>
                <c:manualLayout>
                  <c:x val="1.4571948998178506E-3"/>
                  <c:y val="2.99145349475964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571B-4A3D-A26D-45BE160BC5B9}"/>
                </c:ext>
              </c:extLst>
            </c:dLbl>
            <c:dLbl>
              <c:idx val="3"/>
              <c:layout>
                <c:manualLayout>
                  <c:x val="1.7486338797814194E-2"/>
                  <c:y val="-4.273504992513795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571B-4A3D-A26D-45BE160BC5B9}"/>
                </c:ext>
              </c:extLst>
            </c:dLbl>
            <c:dLbl>
              <c:idx val="4"/>
              <c:layout>
                <c:manualLayout>
                  <c:x val="1.092896174863388E-2"/>
                  <c:y val="-3.41880399401103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571B-4A3D-A26D-45BE160BC5B9}"/>
                </c:ext>
              </c:extLst>
            </c:dLbl>
            <c:dLbl>
              <c:idx val="5"/>
              <c:layout>
                <c:manualLayout>
                  <c:x val="-8.0145719489982045E-3"/>
                  <c:y val="5.1282059910165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571B-4A3D-A26D-45BE160BC5B9}"/>
                </c:ext>
              </c:extLst>
            </c:dLbl>
            <c:dLbl>
              <c:idx val="6"/>
              <c:layout>
                <c:manualLayout>
                  <c:x val="7.2859744990892532E-3"/>
                  <c:y val="3.6324792436367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571B-4A3D-A26D-45BE160BC5B9}"/>
                </c:ext>
              </c:extLst>
            </c:dLbl>
            <c:dLbl>
              <c:idx val="7"/>
              <c:layout>
                <c:manualLayout>
                  <c:x val="-1.4571948998178506E-3"/>
                  <c:y val="-3.6324792436367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571B-4A3D-A26D-45BE160BC5B9}"/>
                </c:ext>
              </c:extLst>
            </c:dLbl>
            <c:dLbl>
              <c:idx val="8"/>
              <c:layout>
                <c:manualLayout>
                  <c:x val="2.185792349726776E-3"/>
                  <c:y val="-4.48718024213948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571B-4A3D-A26D-45BE160BC5B9}"/>
                </c:ext>
              </c:extLst>
            </c:dLbl>
            <c:dLbl>
              <c:idx val="9"/>
              <c:layout>
                <c:manualLayout>
                  <c:x val="4.3715846994535519E-3"/>
                  <c:y val="3.41880399401103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571B-4A3D-A26D-45BE160BC5B9}"/>
                </c:ext>
              </c:extLst>
            </c:dLbl>
            <c:dLbl>
              <c:idx val="10"/>
              <c:layout>
                <c:manualLayout>
                  <c:x val="7.2859744990892263E-3"/>
                  <c:y val="-5.12820599101655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571B-4A3D-A26D-45BE160BC5B9}"/>
                </c:ext>
              </c:extLst>
            </c:dLbl>
            <c:dLbl>
              <c:idx val="11"/>
              <c:layout>
                <c:manualLayout>
                  <c:x val="1.238615664845173E-2"/>
                  <c:y val="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571B-4A3D-A26D-45BE160BC5B9}"/>
                </c:ext>
              </c:extLst>
            </c:dLbl>
            <c:dLbl>
              <c:idx val="12"/>
              <c:layout>
                <c:manualLayout>
                  <c:x val="1.4571948998178506E-3"/>
                  <c:y val="3.6324792436367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571B-4A3D-A26D-45BE160BC5B9}"/>
                </c:ext>
              </c:extLst>
            </c:dLbl>
            <c:dLbl>
              <c:idx val="13"/>
              <c:layout>
                <c:manualLayout>
                  <c:x val="1.5300546448087432E-2"/>
                  <c:y val="-3.41880399401103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571B-4A3D-A26D-45BE160BC5B9}"/>
                </c:ext>
              </c:extLst>
            </c:dLbl>
            <c:dLbl>
              <c:idx val="14"/>
              <c:layout>
                <c:manualLayout>
                  <c:x val="6.5573770491802741E-3"/>
                  <c:y val="-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71B-4A3D-A26D-45BE160BC5B9}"/>
                </c:ext>
              </c:extLst>
            </c:dLbl>
            <c:dLbl>
              <c:idx val="15"/>
              <c:layout>
                <c:manualLayout>
                  <c:x val="-1.457194899817904E-3"/>
                  <c:y val="2.56410299550827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B-4A3D-A26D-45BE160BC5B9}"/>
                </c:ext>
              </c:extLst>
            </c:dLbl>
            <c:dLbl>
              <c:idx val="16"/>
              <c:layout>
                <c:manualLayout>
                  <c:x val="3.6429872495446266E-3"/>
                  <c:y val="-2.56410299550827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571B-4A3D-A26D-45BE160BC5B9}"/>
                </c:ext>
              </c:extLst>
            </c:dLbl>
            <c:dLbl>
              <c:idx val="17"/>
              <c:layout>
                <c:manualLayout>
                  <c:x val="-5.1001821493624772E-3"/>
                  <c:y val="2.77777824513395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571B-4A3D-A26D-45BE160BC5B9}"/>
                </c:ext>
              </c:extLst>
            </c:dLbl>
            <c:dLbl>
              <c:idx val="18"/>
              <c:layout>
                <c:manualLayout>
                  <c:x val="1.4571948998178506E-3"/>
                  <c:y val="2.99145349475964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B-4A3D-A26D-45BE160BC5B9}"/>
                </c:ext>
              </c:extLst>
            </c:dLbl>
            <c:dLbl>
              <c:idx val="19"/>
              <c:layout>
                <c:manualLayout>
                  <c:x val="-5.3429862433657673E-17"/>
                  <c:y val="-2.99145349475965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B-4A3D-A26D-45BE160BC5B9}"/>
                </c:ext>
              </c:extLst>
            </c:dLbl>
            <c:dLbl>
              <c:idx val="20"/>
              <c:layout>
                <c:manualLayout>
                  <c:x val="8.0145719489981247E-3"/>
                  <c:y val="2.77777824513395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571B-4A3D-A26D-45BE160BC5B9}"/>
                </c:ext>
              </c:extLst>
            </c:dLbl>
            <c:dLbl>
              <c:idx val="21"/>
              <c:layout>
                <c:manualLayout>
                  <c:x val="1.0200364298724847E-2"/>
                  <c:y val="1.4957267473798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71B-4A3D-A26D-45BE160BC5B9}"/>
                </c:ext>
              </c:extLst>
            </c:dLbl>
            <c:dLbl>
              <c:idx val="22"/>
              <c:layout>
                <c:manualLayout>
                  <c:x val="-7.2859744990893599E-3"/>
                  <c:y val="-4.273504992513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71B-4A3D-A26D-45BE160BC5B9}"/>
                </c:ext>
              </c:extLst>
            </c:dLbl>
            <c:dLbl>
              <c:idx val="23"/>
              <c:layout>
                <c:manualLayout>
                  <c:x val="3.6429872495445732E-3"/>
                  <c:y val="2.7777782451339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71B-4A3D-A26D-45BE160BC5B9}"/>
                </c:ext>
              </c:extLst>
            </c:dLbl>
            <c:dLbl>
              <c:idx val="24"/>
              <c:layout>
                <c:manualLayout>
                  <c:x val="-2.1857923497268826E-3"/>
                  <c:y val="-6.19658223914500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71B-4A3D-A26D-45BE160BC5B9}"/>
                </c:ext>
              </c:extLst>
            </c:dLbl>
            <c:dLbl>
              <c:idx val="25"/>
              <c:layout>
                <c:manualLayout>
                  <c:x val="1.4571948998178506E-3"/>
                  <c:y val="-2.13675249625689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71B-4A3D-A26D-45BE160BC5B9}"/>
                </c:ext>
              </c:extLst>
            </c:dLbl>
            <c:dLbl>
              <c:idx val="26"/>
              <c:layout>
                <c:manualLayout>
                  <c:x val="6.5573770491803279E-3"/>
                  <c:y val="1.92307724663120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71B-4A3D-A26D-45BE160BC5B9}"/>
                </c:ext>
              </c:extLst>
            </c:dLbl>
            <c:dLbl>
              <c:idx val="27"/>
              <c:layout>
                <c:manualLayout>
                  <c:x val="-7.2859744990893599E-3"/>
                  <c:y val="-5.55555649026793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71B-4A3D-A26D-45BE160BC5B9}"/>
                </c:ext>
              </c:extLst>
            </c:dLbl>
            <c:dLbl>
              <c:idx val="28"/>
              <c:layout>
                <c:manualLayout>
                  <c:x val="-2.1857923497268826E-3"/>
                  <c:y val="-2.7777782451339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B-4A3D-A26D-45BE160BC5B9}"/>
                </c:ext>
              </c:extLst>
            </c:dLbl>
            <c:dLbl>
              <c:idx val="29"/>
              <c:layout>
                <c:manualLayout>
                  <c:x val="0"/>
                  <c:y val="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71B-4A3D-A26D-45BE160BC5B9}"/>
                </c:ext>
              </c:extLst>
            </c:dLbl>
            <c:dLbl>
              <c:idx val="30"/>
              <c:layout>
                <c:manualLayout>
                  <c:x val="-1.0685972486731535E-16"/>
                  <c:y val="-2.99145349475966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B-4A3D-A26D-45BE160BC5B9}"/>
                </c:ext>
              </c:extLst>
            </c:dLbl>
            <c:dLbl>
              <c:idx val="31"/>
              <c:layout>
                <c:manualLayout>
                  <c:x val="-5.1001821493624772E-3"/>
                  <c:y val="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B-4A3D-A26D-45BE160BC5B9}"/>
                </c:ext>
              </c:extLst>
            </c:dLbl>
            <c:dLbl>
              <c:idx val="32"/>
              <c:layout>
                <c:manualLayout>
                  <c:x val="7.2859744990892532E-3"/>
                  <c:y val="-2.13675249625689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71B-4A3D-A26D-45BE160BC5B9}"/>
                </c:ext>
              </c:extLst>
            </c:dLbl>
            <c:dLbl>
              <c:idx val="33"/>
              <c:layout>
                <c:manualLayout>
                  <c:x val="2.185792349726776E-3"/>
                  <c:y val="-3.8461544932624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71B-4A3D-A26D-45BE160BC5B9}"/>
                </c:ext>
              </c:extLst>
            </c:dLbl>
            <c:dLbl>
              <c:idx val="34"/>
              <c:layout>
                <c:manualLayout>
                  <c:x val="0"/>
                  <c:y val="-5.76923173989363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71B-4A3D-A26D-45BE160BC5B9}"/>
                </c:ext>
              </c:extLst>
            </c:dLbl>
            <c:dLbl>
              <c:idx val="35"/>
              <c:layout>
                <c:manualLayout>
                  <c:x val="6.5573770491803279E-3"/>
                  <c:y val="-2.99145349475966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71B-4A3D-A26D-45BE160BC5B9}"/>
                </c:ext>
              </c:extLst>
            </c:dLbl>
            <c:dLbl>
              <c:idx val="36"/>
              <c:layout>
                <c:manualLayout>
                  <c:x val="1.0200364298724954E-2"/>
                  <c:y val="-2.7777782451339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71B-4A3D-A26D-45BE160BC5B9}"/>
                </c:ext>
              </c:extLst>
            </c:dLbl>
            <c:dLbl>
              <c:idx val="37"/>
              <c:layout>
                <c:manualLayout>
                  <c:x val="1.1657559198542805E-2"/>
                  <c:y val="-1.92307724663120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71B-4A3D-A26D-45BE160BC5B9}"/>
                </c:ext>
              </c:extLst>
            </c:dLbl>
            <c:dLbl>
              <c:idx val="38"/>
              <c:layout>
                <c:manualLayout>
                  <c:x val="1.4571948998178506E-3"/>
                  <c:y val="1.92307724663120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71B-4A3D-A26D-45BE160BC5B9}"/>
                </c:ext>
              </c:extLst>
            </c:dLbl>
            <c:dLbl>
              <c:idx val="40"/>
              <c:layout>
                <c:manualLayout>
                  <c:x val="4.3715846994535519E-3"/>
                  <c:y val="3.41880399401103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71B-4A3D-A26D-45BE160BC5B9}"/>
                </c:ext>
              </c:extLst>
            </c:dLbl>
            <c:dLbl>
              <c:idx val="41"/>
              <c:layout>
                <c:manualLayout>
                  <c:x val="9.4717668488159216E-3"/>
                  <c:y val="1.28205149775413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71B-4A3D-A26D-45BE160BC5B9}"/>
                </c:ext>
              </c:extLst>
            </c:dLbl>
            <c:dLbl>
              <c:idx val="42"/>
              <c:layout>
                <c:manualLayout>
                  <c:x val="4.3715846994535519E-3"/>
                  <c:y val="-2.56410299550828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71B-4A3D-A26D-45BE160BC5B9}"/>
                </c:ext>
              </c:extLst>
            </c:dLbl>
            <c:dLbl>
              <c:idx val="43"/>
              <c:layout>
                <c:manualLayout>
                  <c:x val="-2.1857923497268826E-3"/>
                  <c:y val="3.20512874438534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1B-4A3D-A26D-45BE160BC5B9}"/>
                </c:ext>
              </c:extLst>
            </c:dLbl>
            <c:dLbl>
              <c:idx val="44"/>
              <c:layout>
                <c:manualLayout>
                  <c:x val="-5.1001821493625839E-3"/>
                  <c:y val="-4.48718024213948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71B-4A3D-A26D-45BE160BC5B9}"/>
                </c:ext>
              </c:extLst>
            </c:dLbl>
            <c:dLbl>
              <c:idx val="45"/>
              <c:layout>
                <c:manualLayout>
                  <c:x val="8.0145719489980709E-3"/>
                  <c:y val="3.6324792436367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71B-4A3D-A26D-45BE160BC5B9}"/>
                </c:ext>
              </c:extLst>
            </c:dLbl>
            <c:dLbl>
              <c:idx val="46"/>
              <c:layout>
                <c:manualLayout>
                  <c:x val="4.3715846994534452E-3"/>
                  <c:y val="-3.8461544932624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71B-4A3D-A26D-45BE160BC5B9}"/>
                </c:ext>
              </c:extLst>
            </c:dLbl>
            <c:dLbl>
              <c:idx val="47"/>
              <c:layout>
                <c:manualLayout>
                  <c:x val="5.1001821493622639E-3"/>
                  <c:y val="2.77777824513395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71B-4A3D-A26D-45BE160BC5B9}"/>
                </c:ext>
              </c:extLst>
            </c:dLbl>
            <c:dLbl>
              <c:idx val="48"/>
              <c:layout>
                <c:manualLayout>
                  <c:x val="-2.185792349726776E-3"/>
                  <c:y val="-3.8461544932624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71B-4A3D-A26D-45BE160BC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'EVOLUCAO MO'!$A$3:$A$69</c:f>
              <c:numCache>
                <c:formatCode>m/d/yyyy</c:formatCode>
                <c:ptCount val="6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  <c:pt idx="60">
                  <c:v>45658</c:v>
                </c:pt>
                <c:pt idx="61">
                  <c:v>45689</c:v>
                </c:pt>
                <c:pt idx="62">
                  <c:v>45717</c:v>
                </c:pt>
                <c:pt idx="63">
                  <c:v>45748</c:v>
                </c:pt>
                <c:pt idx="64">
                  <c:v>45778</c:v>
                </c:pt>
                <c:pt idx="65">
                  <c:v>45809</c:v>
                </c:pt>
                <c:pt idx="66">
                  <c:v>45839</c:v>
                </c:pt>
              </c:numCache>
            </c:numRef>
          </c:cat>
          <c:val>
            <c:numRef>
              <c:f>'EVOLUCAO MO'!$C$3:$C$69</c:f>
              <c:numCache>
                <c:formatCode>0.00%</c:formatCode>
                <c:ptCount val="67"/>
                <c:pt idx="0">
                  <c:v>9.3594061814960952E-2</c:v>
                </c:pt>
                <c:pt idx="1">
                  <c:v>0.11066476530768891</c:v>
                </c:pt>
                <c:pt idx="2">
                  <c:v>8.8119705953051394E-2</c:v>
                </c:pt>
                <c:pt idx="3">
                  <c:v>0.11591868055418689</c:v>
                </c:pt>
                <c:pt idx="4">
                  <c:v>6.81946532440105E-2</c:v>
                </c:pt>
                <c:pt idx="5">
                  <c:v>4.4860340188027779E-2</c:v>
                </c:pt>
                <c:pt idx="6">
                  <c:v>5.9413382867499469E-2</c:v>
                </c:pt>
                <c:pt idx="7">
                  <c:v>6.3861082322852467E-2</c:v>
                </c:pt>
                <c:pt idx="8">
                  <c:v>5.9591294175071044E-2</c:v>
                </c:pt>
                <c:pt idx="9">
                  <c:v>5.5136958882682156E-2</c:v>
                </c:pt>
                <c:pt idx="10">
                  <c:v>7.6667537771633043E-2</c:v>
                </c:pt>
                <c:pt idx="11">
                  <c:v>4.6386530078407762E-2</c:v>
                </c:pt>
                <c:pt idx="12">
                  <c:v>7.8898717909931734E-2</c:v>
                </c:pt>
                <c:pt idx="13">
                  <c:v>9.5436702813707752E-2</c:v>
                </c:pt>
                <c:pt idx="14">
                  <c:v>6.8726147555173395E-2</c:v>
                </c:pt>
                <c:pt idx="15">
                  <c:v>6.0658022229872696E-2</c:v>
                </c:pt>
                <c:pt idx="16">
                  <c:v>6.1370656463832891E-2</c:v>
                </c:pt>
                <c:pt idx="17">
                  <c:v>5.2753179571992839E-2</c:v>
                </c:pt>
                <c:pt idx="18">
                  <c:v>5.3657513975234016E-2</c:v>
                </c:pt>
                <c:pt idx="19">
                  <c:v>5.4568596930223479E-2</c:v>
                </c:pt>
                <c:pt idx="20">
                  <c:v>5.407401635079119E-2</c:v>
                </c:pt>
                <c:pt idx="21">
                  <c:v>6.079938456922751E-2</c:v>
                </c:pt>
                <c:pt idx="22">
                  <c:v>7.8835232179853179E-2</c:v>
                </c:pt>
                <c:pt idx="23">
                  <c:v>8.3342880963564805E-2</c:v>
                </c:pt>
                <c:pt idx="24">
                  <c:v>9.2834223417961978E-2</c:v>
                </c:pt>
                <c:pt idx="25">
                  <c:v>7.7430978888315613E-2</c:v>
                </c:pt>
                <c:pt idx="26">
                  <c:v>5.0899654945987929E-2</c:v>
                </c:pt>
                <c:pt idx="27">
                  <c:v>7.4799974274080777E-2</c:v>
                </c:pt>
                <c:pt idx="28">
                  <c:v>7.0806365970441681E-2</c:v>
                </c:pt>
                <c:pt idx="29">
                  <c:v>6.7463714793757693E-2</c:v>
                </c:pt>
                <c:pt idx="30">
                  <c:v>6.8874520693683466E-2</c:v>
                </c:pt>
                <c:pt idx="31">
                  <c:v>6.7758803830206757E-2</c:v>
                </c:pt>
                <c:pt idx="32">
                  <c:v>6.6282506524568838E-2</c:v>
                </c:pt>
                <c:pt idx="33">
                  <c:v>0.10742734714305772</c:v>
                </c:pt>
                <c:pt idx="34">
                  <c:v>8.0203480037301683E-2</c:v>
                </c:pt>
                <c:pt idx="35">
                  <c:v>6.2363611451883155E-2</c:v>
                </c:pt>
                <c:pt idx="36">
                  <c:v>0.14190059081449471</c:v>
                </c:pt>
                <c:pt idx="37">
                  <c:v>0.11374929198275889</c:v>
                </c:pt>
                <c:pt idx="38">
                  <c:v>9.092489859747048E-2</c:v>
                </c:pt>
                <c:pt idx="39">
                  <c:v>0.10166352698847987</c:v>
                </c:pt>
                <c:pt idx="40">
                  <c:v>6.2204365885807265E-2</c:v>
                </c:pt>
                <c:pt idx="41">
                  <c:v>7.4265840508966938E-2</c:v>
                </c:pt>
                <c:pt idx="42">
                  <c:v>0.11320654639868249</c:v>
                </c:pt>
                <c:pt idx="43">
                  <c:v>8.3643579283321182E-2</c:v>
                </c:pt>
                <c:pt idx="44">
                  <c:v>8.3408465771217022E-2</c:v>
                </c:pt>
                <c:pt idx="45">
                  <c:v>7.6545626667634606E-2</c:v>
                </c:pt>
                <c:pt idx="46">
                  <c:v>0.14036098134656491</c:v>
                </c:pt>
                <c:pt idx="47">
                  <c:v>7.7458479711353473E-2</c:v>
                </c:pt>
                <c:pt idx="48">
                  <c:v>0.12753582098736993</c:v>
                </c:pt>
                <c:pt idx="49">
                  <c:v>9.4232811193221439E-2</c:v>
                </c:pt>
                <c:pt idx="50">
                  <c:v>0.10648667151202125</c:v>
                </c:pt>
                <c:pt idx="51">
                  <c:v>8.1234981338520279E-2</c:v>
                </c:pt>
                <c:pt idx="52">
                  <c:v>7.6803236281882944E-2</c:v>
                </c:pt>
                <c:pt idx="53">
                  <c:v>9.3110934609283699E-2</c:v>
                </c:pt>
                <c:pt idx="54">
                  <c:v>9.0857103467003222E-2</c:v>
                </c:pt>
                <c:pt idx="55">
                  <c:v>0.11264644187381993</c:v>
                </c:pt>
                <c:pt idx="56">
                  <c:v>0.10302973710344865</c:v>
                </c:pt>
                <c:pt idx="57">
                  <c:v>9.1041757247419697E-2</c:v>
                </c:pt>
                <c:pt idx="58">
                  <c:v>0.13556735057931996</c:v>
                </c:pt>
                <c:pt idx="59">
                  <c:v>6.9321368111108325E-2</c:v>
                </c:pt>
                <c:pt idx="60">
                  <c:v>0.12215821530004883</c:v>
                </c:pt>
                <c:pt idx="61">
                  <c:v>0.10806474747766955</c:v>
                </c:pt>
                <c:pt idx="62">
                  <c:v>0.10109978105302533</c:v>
                </c:pt>
                <c:pt idx="63">
                  <c:v>6.7003591022347084E-2</c:v>
                </c:pt>
                <c:pt idx="64">
                  <c:v>6.5953646901752608E-2</c:v>
                </c:pt>
                <c:pt idx="65">
                  <c:v>0.13857304017923872</c:v>
                </c:pt>
                <c:pt idx="66">
                  <c:v>0.11148744563723499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1B-4A3D-A26D-45BE160BC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319439"/>
        <c:axId val="535335759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'EVOLUCAO MO'!$G$2</c15:sqref>
                        </c15:formulaRef>
                      </c:ext>
                    </c:extLst>
                    <c:strCache>
                      <c:ptCount val="1"/>
                      <c:pt idx="0">
                        <c:v>TOTAL MO</c:v>
                      </c:pt>
                    </c:strCache>
                  </c:strRef>
                </c:tx>
                <c:spPr>
                  <a:ln w="34925" cap="rnd">
                    <a:solidFill>
                      <a:schemeClr val="accent6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'EVOLUCAO MO'!$G$3:$G$69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0.1413361235920344</c:v>
                      </c:pt>
                      <c:pt idx="1">
                        <c:v>0.16113959025219449</c:v>
                      </c:pt>
                      <c:pt idx="2">
                        <c:v>0.14815348993351091</c:v>
                      </c:pt>
                      <c:pt idx="3">
                        <c:v>0.17581552380499785</c:v>
                      </c:pt>
                      <c:pt idx="4">
                        <c:v>0.10453914977426521</c:v>
                      </c:pt>
                      <c:pt idx="5">
                        <c:v>7.5995551321516627E-2</c:v>
                      </c:pt>
                      <c:pt idx="6">
                        <c:v>8.66506647421144E-2</c:v>
                      </c:pt>
                      <c:pt idx="7">
                        <c:v>9.4475723417917518E-2</c:v>
                      </c:pt>
                      <c:pt idx="8">
                        <c:v>9.0637227586367719E-2</c:v>
                      </c:pt>
                      <c:pt idx="9">
                        <c:v>7.789493600044739E-2</c:v>
                      </c:pt>
                      <c:pt idx="10">
                        <c:v>0.10431375283282711</c:v>
                      </c:pt>
                      <c:pt idx="11">
                        <c:v>7.5907436891464633E-2</c:v>
                      </c:pt>
                      <c:pt idx="12">
                        <c:v>0.10804200370577867</c:v>
                      </c:pt>
                      <c:pt idx="13">
                        <c:v>0.11723742499644579</c:v>
                      </c:pt>
                      <c:pt idx="14">
                        <c:v>8.7903114249442138E-2</c:v>
                      </c:pt>
                      <c:pt idx="15">
                        <c:v>7.7769871853301517E-2</c:v>
                      </c:pt>
                      <c:pt idx="16">
                        <c:v>8.0405557783149076E-2</c:v>
                      </c:pt>
                      <c:pt idx="17">
                        <c:v>7.0318666184681605E-2</c:v>
                      </c:pt>
                      <c:pt idx="18">
                        <c:v>6.9532942670304895E-2</c:v>
                      </c:pt>
                      <c:pt idx="19">
                        <c:v>7.1646292198442693E-2</c:v>
                      </c:pt>
                      <c:pt idx="20">
                        <c:v>7.0046886762720029E-2</c:v>
                      </c:pt>
                      <c:pt idx="21">
                        <c:v>8.4599672724733732E-2</c:v>
                      </c:pt>
                      <c:pt idx="22">
                        <c:v>0.11149778903562552</c:v>
                      </c:pt>
                      <c:pt idx="23">
                        <c:v>0.10812592315421789</c:v>
                      </c:pt>
                      <c:pt idx="24">
                        <c:v>0.12527372734964914</c:v>
                      </c:pt>
                      <c:pt idx="25">
                        <c:v>9.2696424890113205E-2</c:v>
                      </c:pt>
                      <c:pt idx="26">
                        <c:v>5.9938811170182626E-2</c:v>
                      </c:pt>
                      <c:pt idx="27">
                        <c:v>8.6715636578328426E-2</c:v>
                      </c:pt>
                      <c:pt idx="28">
                        <c:v>8.4412351615907807E-2</c:v>
                      </c:pt>
                      <c:pt idx="29">
                        <c:v>8.0910703377886486E-2</c:v>
                      </c:pt>
                      <c:pt idx="30">
                        <c:v>8.230382344157651E-2</c:v>
                      </c:pt>
                      <c:pt idx="31">
                        <c:v>8.0001972075135402E-2</c:v>
                      </c:pt>
                      <c:pt idx="32">
                        <c:v>7.9767920887228089E-2</c:v>
                      </c:pt>
                      <c:pt idx="33">
                        <c:v>0.12645669493589778</c:v>
                      </c:pt>
                      <c:pt idx="34">
                        <c:v>9.386369020459441E-2</c:v>
                      </c:pt>
                      <c:pt idx="35">
                        <c:v>7.7634082057704376E-2</c:v>
                      </c:pt>
                      <c:pt idx="36">
                        <c:v>0.1631710869729408</c:v>
                      </c:pt>
                      <c:pt idx="37">
                        <c:v>0.1346595561984387</c:v>
                      </c:pt>
                      <c:pt idx="38">
                        <c:v>0.10692066486865337</c:v>
                      </c:pt>
                      <c:pt idx="39">
                        <c:v>0.11702462381303678</c:v>
                      </c:pt>
                      <c:pt idx="40">
                        <c:v>7.4940057546274058E-2</c:v>
                      </c:pt>
                      <c:pt idx="41">
                        <c:v>8.6167207681651675E-2</c:v>
                      </c:pt>
                      <c:pt idx="42">
                        <c:v>0.13393583129303058</c:v>
                      </c:pt>
                      <c:pt idx="43">
                        <c:v>9.6926293499209171E-2</c:v>
                      </c:pt>
                      <c:pt idx="44">
                        <c:v>9.7456641548543874E-2</c:v>
                      </c:pt>
                      <c:pt idx="45">
                        <c:v>8.893987408019402E-2</c:v>
                      </c:pt>
                      <c:pt idx="46">
                        <c:v>0.15984323790290406</c:v>
                      </c:pt>
                      <c:pt idx="47">
                        <c:v>9.1389474620684086E-2</c:v>
                      </c:pt>
                      <c:pt idx="48">
                        <c:v>0.14269416366730261</c:v>
                      </c:pt>
                      <c:pt idx="49">
                        <c:v>0.10756990871573247</c:v>
                      </c:pt>
                      <c:pt idx="50">
                        <c:v>0.12055363068668484</c:v>
                      </c:pt>
                      <c:pt idx="51">
                        <c:v>9.293688719431864E-2</c:v>
                      </c:pt>
                      <c:pt idx="52">
                        <c:v>8.726574876980922E-2</c:v>
                      </c:pt>
                      <c:pt idx="53">
                        <c:v>0.10430759360344186</c:v>
                      </c:pt>
                      <c:pt idx="54">
                        <c:v>0.10254609022156071</c:v>
                      </c:pt>
                      <c:pt idx="55">
                        <c:v>0.12590401225034234</c:v>
                      </c:pt>
                      <c:pt idx="56">
                        <c:v>0.1156333211363271</c:v>
                      </c:pt>
                      <c:pt idx="57">
                        <c:v>0.10319817861020129</c:v>
                      </c:pt>
                      <c:pt idx="58">
                        <c:v>0.1519865358479813</c:v>
                      </c:pt>
                      <c:pt idx="59">
                        <c:v>7.8110082754244137E-2</c:v>
                      </c:pt>
                      <c:pt idx="60">
                        <c:v>0.14607501523638527</c:v>
                      </c:pt>
                      <c:pt idx="61">
                        <c:v>0.12717516613982549</c:v>
                      </c:pt>
                      <c:pt idx="62">
                        <c:v>0.11991911164764597</c:v>
                      </c:pt>
                      <c:pt idx="63">
                        <c:v>8.0898693111488784E-2</c:v>
                      </c:pt>
                      <c:pt idx="64">
                        <c:v>7.6765821825013555E-2</c:v>
                      </c:pt>
                      <c:pt idx="65">
                        <c:v>0.16585310279599103</c:v>
                      </c:pt>
                      <c:pt idx="66">
                        <c:v>0.13406080667911435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35-571B-4A3D-A26D-45BE160BC5B9}"/>
                  </c:ext>
                </c:extLst>
              </c15:ser>
            </c15:filteredLineSeries>
          </c:ext>
        </c:extLst>
      </c:lineChart>
      <c:dateAx>
        <c:axId val="5353194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5335759"/>
        <c:crosses val="autoZero"/>
        <c:auto val="1"/>
        <c:lblOffset val="100"/>
        <c:baseTimeUnit val="months"/>
      </c:dateAx>
      <c:valAx>
        <c:axId val="53533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5319439"/>
        <c:crosses val="autoZero"/>
        <c:crossBetween val="between"/>
      </c:valAx>
      <c:valAx>
        <c:axId val="791887135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1890495"/>
        <c:crosses val="max"/>
        <c:crossBetween val="between"/>
      </c:valAx>
      <c:dateAx>
        <c:axId val="79189049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91887135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MO</a:t>
            </a:r>
            <a:r>
              <a:rPr lang="pt-BR" baseline="0"/>
              <a:t> TOTAL </a:t>
            </a:r>
            <a:r>
              <a:rPr lang="pt-BR"/>
              <a:t>(%) RECEITA LIQUIDA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'EVOLUCAO MO'!$B$2</c:f>
              <c:strCache>
                <c:ptCount val="1"/>
                <c:pt idx="0">
                  <c:v>RECEITA LIQUIDA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horzOverflow="clip" vert="horz" wrap="square" lIns="38100" tIns="19050" rIns="3810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'EVOLUCAO MO'!$A$3:$A$69</c:f>
              <c:numCache>
                <c:formatCode>m/d/yyyy</c:formatCode>
                <c:ptCount val="6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  <c:pt idx="60">
                  <c:v>45658</c:v>
                </c:pt>
                <c:pt idx="61">
                  <c:v>45689</c:v>
                </c:pt>
                <c:pt idx="62">
                  <c:v>45717</c:v>
                </c:pt>
                <c:pt idx="63">
                  <c:v>45748</c:v>
                </c:pt>
                <c:pt idx="64">
                  <c:v>45778</c:v>
                </c:pt>
                <c:pt idx="65">
                  <c:v>45809</c:v>
                </c:pt>
                <c:pt idx="66">
                  <c:v>45839</c:v>
                </c:pt>
              </c:numCache>
            </c:numRef>
          </c:cat>
          <c:val>
            <c:numRef>
              <c:f>'EVOLUCAO MO'!$B$3:$B$69</c:f>
              <c:numCache>
                <c:formatCode>_("R$"* #,##0.00_);_("R$"* \(#,##0.00\);_("R$"* "-"??_);_(@_)</c:formatCode>
                <c:ptCount val="67"/>
                <c:pt idx="0">
                  <c:v>2941337.78</c:v>
                </c:pt>
                <c:pt idx="1">
                  <c:v>2349456.3899999997</c:v>
                </c:pt>
                <c:pt idx="2">
                  <c:v>1776143.5799999998</c:v>
                </c:pt>
                <c:pt idx="3">
                  <c:v>1758110.85</c:v>
                </c:pt>
                <c:pt idx="4">
                  <c:v>2559944.39</c:v>
                </c:pt>
                <c:pt idx="5">
                  <c:v>3887509.5300000003</c:v>
                </c:pt>
                <c:pt idx="6">
                  <c:v>4143176.64</c:v>
                </c:pt>
                <c:pt idx="7">
                  <c:v>4467793.6800000006</c:v>
                </c:pt>
                <c:pt idx="8">
                  <c:v>4802256.0000000009</c:v>
                </c:pt>
                <c:pt idx="9">
                  <c:v>5685928.0300000003</c:v>
                </c:pt>
                <c:pt idx="10">
                  <c:v>4644331.2300000004</c:v>
                </c:pt>
                <c:pt idx="11">
                  <c:v>4473220.9900000012</c:v>
                </c:pt>
                <c:pt idx="12">
                  <c:v>4944925.6000000015</c:v>
                </c:pt>
                <c:pt idx="13">
                  <c:v>5234248.620000001</c:v>
                </c:pt>
                <c:pt idx="14">
                  <c:v>6030259.7299999995</c:v>
                </c:pt>
                <c:pt idx="15">
                  <c:v>7105290.3500000006</c:v>
                </c:pt>
                <c:pt idx="16">
                  <c:v>7918709.8200000003</c:v>
                </c:pt>
                <c:pt idx="17">
                  <c:v>8868518.3300000001</c:v>
                </c:pt>
                <c:pt idx="18">
                  <c:v>9403531.2600000016</c:v>
                </c:pt>
                <c:pt idx="19">
                  <c:v>8700462.6600000001</c:v>
                </c:pt>
                <c:pt idx="20">
                  <c:v>8607862.3599999994</c:v>
                </c:pt>
                <c:pt idx="21">
                  <c:v>7463338.209999999</c:v>
                </c:pt>
                <c:pt idx="22">
                  <c:v>6165662.4399999995</c:v>
                </c:pt>
                <c:pt idx="23">
                  <c:v>5516988.5500000007</c:v>
                </c:pt>
                <c:pt idx="24">
                  <c:v>5346830.53</c:v>
                </c:pt>
                <c:pt idx="25">
                  <c:v>6667938.8199999994</c:v>
                </c:pt>
                <c:pt idx="26">
                  <c:v>10398348.879999999</c:v>
                </c:pt>
                <c:pt idx="27">
                  <c:v>7242034.71</c:v>
                </c:pt>
                <c:pt idx="28">
                  <c:v>7832280.7899999982</c:v>
                </c:pt>
                <c:pt idx="29">
                  <c:v>7871509.620000001</c:v>
                </c:pt>
                <c:pt idx="30">
                  <c:v>7133374.0699999994</c:v>
                </c:pt>
                <c:pt idx="31">
                  <c:v>7753457.120000002</c:v>
                </c:pt>
                <c:pt idx="32">
                  <c:v>7901820.9700000007</c:v>
                </c:pt>
                <c:pt idx="33">
                  <c:v>5212976.3499999996</c:v>
                </c:pt>
                <c:pt idx="34">
                  <c:v>6633932.3399999989</c:v>
                </c:pt>
                <c:pt idx="35">
                  <c:v>5522329.4800000004</c:v>
                </c:pt>
                <c:pt idx="36">
                  <c:v>4523362.28</c:v>
                </c:pt>
                <c:pt idx="37">
                  <c:v>5020605.1399999997</c:v>
                </c:pt>
                <c:pt idx="38">
                  <c:v>6163399.0099999998</c:v>
                </c:pt>
                <c:pt idx="39">
                  <c:v>5450287.8899999997</c:v>
                </c:pt>
                <c:pt idx="40">
                  <c:v>9087903.75</c:v>
                </c:pt>
                <c:pt idx="41">
                  <c:v>8277075.1100000013</c:v>
                </c:pt>
                <c:pt idx="42">
                  <c:v>5198444.16</c:v>
                </c:pt>
                <c:pt idx="43">
                  <c:v>7988986.9099999983</c:v>
                </c:pt>
                <c:pt idx="44">
                  <c:v>7305588.3999999994</c:v>
                </c:pt>
                <c:pt idx="45">
                  <c:v>8831749.629999999</c:v>
                </c:pt>
                <c:pt idx="46">
                  <c:v>5971298.0200000005</c:v>
                </c:pt>
                <c:pt idx="47">
                  <c:v>8232901.5800000001</c:v>
                </c:pt>
                <c:pt idx="48">
                  <c:v>7481410.8899999997</c:v>
                </c:pt>
                <c:pt idx="49">
                  <c:v>8407937.3199999984</c:v>
                </c:pt>
                <c:pt idx="50">
                  <c:v>7671402.7999999998</c:v>
                </c:pt>
                <c:pt idx="51">
                  <c:v>10589146.889999999</c:v>
                </c:pt>
                <c:pt idx="52">
                  <c:v>11809586.859999999</c:v>
                </c:pt>
                <c:pt idx="53">
                  <c:v>10610189.169999998</c:v>
                </c:pt>
                <c:pt idx="54">
                  <c:v>11950053.750000002</c:v>
                </c:pt>
                <c:pt idx="55">
                  <c:v>9379852.1500000004</c:v>
                </c:pt>
                <c:pt idx="56">
                  <c:v>10391320.409999998</c:v>
                </c:pt>
                <c:pt idx="57">
                  <c:v>10922850.24</c:v>
                </c:pt>
                <c:pt idx="58">
                  <c:v>8432311.2100000028</c:v>
                </c:pt>
                <c:pt idx="59">
                  <c:v>12856176.879999999</c:v>
                </c:pt>
                <c:pt idx="60">
                  <c:v>8076456.3199999984</c:v>
                </c:pt>
                <c:pt idx="61">
                  <c:v>9308880.3099999987</c:v>
                </c:pt>
                <c:pt idx="62">
                  <c:v>9248184.4199999981</c:v>
                </c:pt>
                <c:pt idx="63">
                  <c:v>13159013.07</c:v>
                </c:pt>
                <c:pt idx="64">
                  <c:v>13959973</c:v>
                </c:pt>
                <c:pt idx="65">
                  <c:v>7586097.6900000004</c:v>
                </c:pt>
                <c:pt idx="66">
                  <c:v>8540811.4299999978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4-44E9-8464-A6363B099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91890495"/>
        <c:axId val="791887135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'EVOLUCAO MO'!$D$2</c15:sqref>
                        </c15:formulaRef>
                      </c:ext>
                    </c:extLst>
                    <c:strCache>
                      <c:ptCount val="1"/>
                      <c:pt idx="0">
                        <c:v>PRESTAÇAO SERVIÇO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'EVOLUCAO MO'!$D$3:$D$69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2.9070826404711675E-2</c:v>
                      </c:pt>
                      <c:pt idx="1">
                        <c:v>2.6703947460799651E-2</c:v>
                      </c:pt>
                      <c:pt idx="2">
                        <c:v>3.8151864952269236E-2</c:v>
                      </c:pt>
                      <c:pt idx="3">
                        <c:v>3.8162081759520461E-2</c:v>
                      </c:pt>
                      <c:pt idx="4">
                        <c:v>2.2526868249665374E-2</c:v>
                      </c:pt>
                      <c:pt idx="5">
                        <c:v>1.7405341254558931E-2</c:v>
                      </c:pt>
                      <c:pt idx="6">
                        <c:v>1.5212112703937238E-2</c:v>
                      </c:pt>
                      <c:pt idx="7">
                        <c:v>1.7730397971286803E-2</c:v>
                      </c:pt>
                      <c:pt idx="8">
                        <c:v>2.0462318127146901E-2</c:v>
                      </c:pt>
                      <c:pt idx="9">
                        <c:v>1.236089687192189E-2</c:v>
                      </c:pt>
                      <c:pt idx="10">
                        <c:v>1.5460912765259424E-2</c:v>
                      </c:pt>
                      <c:pt idx="11">
                        <c:v>1.5709507792504566E-2</c:v>
                      </c:pt>
                      <c:pt idx="12">
                        <c:v>1.6877105289511328E-2</c:v>
                      </c:pt>
                      <c:pt idx="13">
                        <c:v>1.3111711915587222E-2</c:v>
                      </c:pt>
                      <c:pt idx="14">
                        <c:v>1.0221801839371188E-2</c:v>
                      </c:pt>
                      <c:pt idx="15">
                        <c:v>8.1335887983803486E-3</c:v>
                      </c:pt>
                      <c:pt idx="16">
                        <c:v>9.9729907769243141E-3</c:v>
                      </c:pt>
                      <c:pt idx="17">
                        <c:v>7.942385343189565E-3</c:v>
                      </c:pt>
                      <c:pt idx="18">
                        <c:v>8.7742920950315412E-3</c:v>
                      </c:pt>
                      <c:pt idx="19">
                        <c:v>1.009737567220362E-2</c:v>
                      </c:pt>
                      <c:pt idx="20">
                        <c:v>8.7585136526276905E-3</c:v>
                      </c:pt>
                      <c:pt idx="21">
                        <c:v>1.4357037961435223E-2</c:v>
                      </c:pt>
                      <c:pt idx="22">
                        <c:v>1.9556043032417456E-2</c:v>
                      </c:pt>
                      <c:pt idx="23">
                        <c:v>1.5589697027738074E-2</c:v>
                      </c:pt>
                      <c:pt idx="24">
                        <c:v>1.8088989253975847E-2</c:v>
                      </c:pt>
                      <c:pt idx="25">
                        <c:v>1.1262850789023888E-4</c:v>
                      </c:pt>
                      <c:pt idx="26">
                        <c:v>1.6156411170539608E-5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1.3471964733494156E-3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3-A824-44E9-8464-A6363B099F7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'EVOLUCAO MO'!$E$2</c15:sqref>
                        </c15:formulaRef>
                      </c:ext>
                    </c:extLst>
                    <c:strCache>
                      <c:ptCount val="1"/>
                      <c:pt idx="0">
                        <c:v>COMERCIAL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MO'!$E$3:$E$69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7.9491822255110065E-3</c:v>
                      </c:pt>
                      <c:pt idx="1">
                        <c:v>1.2774767868749421E-2</c:v>
                      </c:pt>
                      <c:pt idx="2">
                        <c:v>7.7852827641332915E-3</c:v>
                      </c:pt>
                      <c:pt idx="3">
                        <c:v>1.0968307260034258E-2</c:v>
                      </c:pt>
                      <c:pt idx="4">
                        <c:v>6.4960590804083824E-3</c:v>
                      </c:pt>
                      <c:pt idx="5">
                        <c:v>4.5872119058187879E-3</c:v>
                      </c:pt>
                      <c:pt idx="6">
                        <c:v>4.6974415264129316E-3</c:v>
                      </c:pt>
                      <c:pt idx="7">
                        <c:v>4.9313669291908748E-3</c:v>
                      </c:pt>
                      <c:pt idx="8">
                        <c:v>4.4504978493441405E-3</c:v>
                      </c:pt>
                      <c:pt idx="9">
                        <c:v>3.4177692537553984E-3</c:v>
                      </c:pt>
                      <c:pt idx="10">
                        <c:v>4.4861808876624837E-3</c:v>
                      </c:pt>
                      <c:pt idx="11">
                        <c:v>2.6222871676187848E-3</c:v>
                      </c:pt>
                      <c:pt idx="12">
                        <c:v>4.1144198408162086E-3</c:v>
                      </c:pt>
                      <c:pt idx="13">
                        <c:v>3.7279390828783366E-3</c:v>
                      </c:pt>
                      <c:pt idx="14">
                        <c:v>3.3168936157912392E-3</c:v>
                      </c:pt>
                      <c:pt idx="15">
                        <c:v>3.4896096821715383E-3</c:v>
                      </c:pt>
                      <c:pt idx="16">
                        <c:v>2.9093274692063411E-3</c:v>
                      </c:pt>
                      <c:pt idx="17">
                        <c:v>2.1743451704632154E-3</c:v>
                      </c:pt>
                      <c:pt idx="18">
                        <c:v>2.8719477027611853E-3</c:v>
                      </c:pt>
                      <c:pt idx="19">
                        <c:v>2.3618870401542528E-3</c:v>
                      </c:pt>
                      <c:pt idx="20">
                        <c:v>1.8766029618531217E-3</c:v>
                      </c:pt>
                      <c:pt idx="21">
                        <c:v>2.1741986686678642E-3</c:v>
                      </c:pt>
                      <c:pt idx="22">
                        <c:v>3.7503253259515128E-3</c:v>
                      </c:pt>
                      <c:pt idx="23">
                        <c:v>2.54090975048335E-3</c:v>
                      </c:pt>
                      <c:pt idx="24">
                        <c:v>3.7756629627084884E-3</c:v>
                      </c:pt>
                      <c:pt idx="25">
                        <c:v>3.9575903007460405E-3</c:v>
                      </c:pt>
                      <c:pt idx="26">
                        <c:v>2.3643696017246921E-3</c:v>
                      </c:pt>
                      <c:pt idx="27">
                        <c:v>3.0816698474509245E-3</c:v>
                      </c:pt>
                      <c:pt idx="28">
                        <c:v>2.9087491384485985E-3</c:v>
                      </c:pt>
                      <c:pt idx="29">
                        <c:v>2.8402480692134371E-3</c:v>
                      </c:pt>
                      <c:pt idx="30">
                        <c:v>3.3693424407785196E-3</c:v>
                      </c:pt>
                      <c:pt idx="31">
                        <c:v>2.9041561269381204E-3</c:v>
                      </c:pt>
                      <c:pt idx="32">
                        <c:v>3.9144306252233401E-3</c:v>
                      </c:pt>
                      <c:pt idx="33">
                        <c:v>4.7414276107352769E-3</c:v>
                      </c:pt>
                      <c:pt idx="34">
                        <c:v>4.0363721888667927E-3</c:v>
                      </c:pt>
                      <c:pt idx="35">
                        <c:v>4.1804858046970419E-3</c:v>
                      </c:pt>
                      <c:pt idx="36">
                        <c:v>5.7614774998742749E-3</c:v>
                      </c:pt>
                      <c:pt idx="37">
                        <c:v>6.6750439569521706E-3</c:v>
                      </c:pt>
                      <c:pt idx="38">
                        <c:v>3.7142492256070896E-3</c:v>
                      </c:pt>
                      <c:pt idx="39">
                        <c:v>3.6805578723291999E-3</c:v>
                      </c:pt>
                      <c:pt idx="40">
                        <c:v>3.0583488519010777E-3</c:v>
                      </c:pt>
                      <c:pt idx="41">
                        <c:v>3.0998848819193568E-3</c:v>
                      </c:pt>
                      <c:pt idx="42">
                        <c:v>5.1047888912978141E-3</c:v>
                      </c:pt>
                      <c:pt idx="43">
                        <c:v>3.6135658156936454E-3</c:v>
                      </c:pt>
                      <c:pt idx="44">
                        <c:v>3.4095145573763779E-3</c:v>
                      </c:pt>
                      <c:pt idx="45">
                        <c:v>3.4559788579513894E-3</c:v>
                      </c:pt>
                      <c:pt idx="46">
                        <c:v>4.6592164562571934E-3</c:v>
                      </c:pt>
                      <c:pt idx="47">
                        <c:v>3.4922499340748828E-3</c:v>
                      </c:pt>
                      <c:pt idx="48">
                        <c:v>4.5879113585218416E-3</c:v>
                      </c:pt>
                      <c:pt idx="49">
                        <c:v>3.8832330400864609E-3</c:v>
                      </c:pt>
                      <c:pt idx="50">
                        <c:v>3.5139492349430534E-3</c:v>
                      </c:pt>
                      <c:pt idx="51">
                        <c:v>3.7020810464930675E-3</c:v>
                      </c:pt>
                      <c:pt idx="52">
                        <c:v>3.3837288699191635E-3</c:v>
                      </c:pt>
                      <c:pt idx="53">
                        <c:v>2.7177366527575309E-3</c:v>
                      </c:pt>
                      <c:pt idx="54">
                        <c:v>3.2977734514374039E-3</c:v>
                      </c:pt>
                      <c:pt idx="55">
                        <c:v>3.692356707349592E-3</c:v>
                      </c:pt>
                      <c:pt idx="56">
                        <c:v>4.3994476347784953E-3</c:v>
                      </c:pt>
                      <c:pt idx="57">
                        <c:v>3.602754696378589E-3</c:v>
                      </c:pt>
                      <c:pt idx="58">
                        <c:v>5.9150188789106588E-3</c:v>
                      </c:pt>
                      <c:pt idx="59">
                        <c:v>2.4896017143161775E-3</c:v>
                      </c:pt>
                      <c:pt idx="60">
                        <c:v>5.8556560112740146E-3</c:v>
                      </c:pt>
                      <c:pt idx="61">
                        <c:v>4.326453736518179E-3</c:v>
                      </c:pt>
                      <c:pt idx="62">
                        <c:v>4.4237147684388425E-3</c:v>
                      </c:pt>
                      <c:pt idx="63">
                        <c:v>3.5925224595889853E-3</c:v>
                      </c:pt>
                      <c:pt idx="64">
                        <c:v>3.3269620220612172E-3</c:v>
                      </c:pt>
                      <c:pt idx="65">
                        <c:v>6.2608579457932084E-3</c:v>
                      </c:pt>
                      <c:pt idx="66">
                        <c:v>5.635073481536872E-3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824-44E9-8464-A6363B099F76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'EVOLUCAO MO'!$F$2</c15:sqref>
                        </c15:formulaRef>
                      </c:ext>
                    </c:extLst>
                    <c:strCache>
                      <c:ptCount val="1"/>
                      <c:pt idx="0">
                        <c:v>ADMINISTRATIVO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'EVOLUCAO MO'!$F$3:$F$69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1.0722053146850751E-2</c:v>
                      </c:pt>
                      <c:pt idx="1">
                        <c:v>1.0996109614956506E-2</c:v>
                      </c:pt>
                      <c:pt idx="2">
                        <c:v>1.4096636264056987E-2</c:v>
                      </c:pt>
                      <c:pt idx="3">
                        <c:v>1.0766454231256238E-2</c:v>
                      </c:pt>
                      <c:pt idx="4">
                        <c:v>7.3215692001809465E-3</c:v>
                      </c:pt>
                      <c:pt idx="5">
                        <c:v>9.1426579731111301E-3</c:v>
                      </c:pt>
                      <c:pt idx="6">
                        <c:v>7.327727644264764E-3</c:v>
                      </c:pt>
                      <c:pt idx="7">
                        <c:v>7.9528761945873907E-3</c:v>
                      </c:pt>
                      <c:pt idx="8">
                        <c:v>6.1331174348056398E-3</c:v>
                      </c:pt>
                      <c:pt idx="9">
                        <c:v>6.9793109920879524E-3</c:v>
                      </c:pt>
                      <c:pt idx="10">
                        <c:v>7.6991214082721641E-3</c:v>
                      </c:pt>
                      <c:pt idx="11">
                        <c:v>1.1189111852933514E-2</c:v>
                      </c:pt>
                      <c:pt idx="12">
                        <c:v>8.1517606655194148E-3</c:v>
                      </c:pt>
                      <c:pt idx="13">
                        <c:v>4.9610711842724801E-3</c:v>
                      </c:pt>
                      <c:pt idx="14">
                        <c:v>5.6382712391063131E-3</c:v>
                      </c:pt>
                      <c:pt idx="15">
                        <c:v>5.4886511428769401E-3</c:v>
                      </c:pt>
                      <c:pt idx="16">
                        <c:v>6.152583073185525E-3</c:v>
                      </c:pt>
                      <c:pt idx="17">
                        <c:v>7.4487560990359938E-3</c:v>
                      </c:pt>
                      <c:pt idx="18">
                        <c:v>4.2291888972781477E-3</c:v>
                      </c:pt>
                      <c:pt idx="19">
                        <c:v>4.6184325558613452E-3</c:v>
                      </c:pt>
                      <c:pt idx="20">
                        <c:v>5.3377537974480345E-3</c:v>
                      </c:pt>
                      <c:pt idx="21">
                        <c:v>7.2690515254031354E-3</c:v>
                      </c:pt>
                      <c:pt idx="22">
                        <c:v>9.3561884974033716E-3</c:v>
                      </c:pt>
                      <c:pt idx="23">
                        <c:v>6.6524354124316591E-3</c:v>
                      </c:pt>
                      <c:pt idx="24">
                        <c:v>1.0574851715002831E-2</c:v>
                      </c:pt>
                      <c:pt idx="25">
                        <c:v>1.1195227193161322E-2</c:v>
                      </c:pt>
                      <c:pt idx="26">
                        <c:v>6.6586302112994697E-3</c:v>
                      </c:pt>
                      <c:pt idx="27">
                        <c:v>8.8339924567967174E-3</c:v>
                      </c:pt>
                      <c:pt idx="28">
                        <c:v>1.0697236507017519E-2</c:v>
                      </c:pt>
                      <c:pt idx="29">
                        <c:v>9.2595440415659414E-3</c:v>
                      </c:pt>
                      <c:pt idx="30">
                        <c:v>1.0059960307114526E-2</c:v>
                      </c:pt>
                      <c:pt idx="31">
                        <c:v>9.339012117990533E-3</c:v>
                      </c:pt>
                      <c:pt idx="32">
                        <c:v>9.5709837374359039E-3</c:v>
                      </c:pt>
                      <c:pt idx="33">
                        <c:v>1.4287920182104797E-2</c:v>
                      </c:pt>
                      <c:pt idx="34">
                        <c:v>9.623837978425932E-3</c:v>
                      </c:pt>
                      <c:pt idx="35">
                        <c:v>1.108998480112418E-2</c:v>
                      </c:pt>
                      <c:pt idx="36">
                        <c:v>1.5509018658571827E-2</c:v>
                      </c:pt>
                      <c:pt idx="37">
                        <c:v>1.4235220258727617E-2</c:v>
                      </c:pt>
                      <c:pt idx="38">
                        <c:v>1.2281517045575799E-2</c:v>
                      </c:pt>
                      <c:pt idx="39">
                        <c:v>1.1680538952227716E-2</c:v>
                      </c:pt>
                      <c:pt idx="40">
                        <c:v>9.6773428085657268E-3</c:v>
                      </c:pt>
                      <c:pt idx="41">
                        <c:v>8.8014822907653903E-3</c:v>
                      </c:pt>
                      <c:pt idx="42">
                        <c:v>1.5624496003050268E-2</c:v>
                      </c:pt>
                      <c:pt idx="43">
                        <c:v>9.6691484001943384E-3</c:v>
                      </c:pt>
                      <c:pt idx="44">
                        <c:v>1.063866121995047E-2</c:v>
                      </c:pt>
                      <c:pt idx="45">
                        <c:v>8.9382685546080202E-3</c:v>
                      </c:pt>
                      <c:pt idx="46">
                        <c:v>1.4823040100081956E-2</c:v>
                      </c:pt>
                      <c:pt idx="47">
                        <c:v>1.0438744975255735E-2</c:v>
                      </c:pt>
                      <c:pt idx="48">
                        <c:v>1.0570431321410821E-2</c:v>
                      </c:pt>
                      <c:pt idx="49">
                        <c:v>9.4538644824245684E-3</c:v>
                      </c:pt>
                      <c:pt idx="50">
                        <c:v>1.0553009939720545E-2</c:v>
                      </c:pt>
                      <c:pt idx="51">
                        <c:v>7.9998248093052938E-3</c:v>
                      </c:pt>
                      <c:pt idx="52">
                        <c:v>7.0787836180071081E-3</c:v>
                      </c:pt>
                      <c:pt idx="53">
                        <c:v>8.4789223414006316E-3</c:v>
                      </c:pt>
                      <c:pt idx="54">
                        <c:v>8.3912133031200792E-3</c:v>
                      </c:pt>
                      <c:pt idx="55">
                        <c:v>9.5652136691728121E-3</c:v>
                      </c:pt>
                      <c:pt idx="56">
                        <c:v>8.2041363980999617E-3</c:v>
                      </c:pt>
                      <c:pt idx="57">
                        <c:v>8.5536666664029985E-3</c:v>
                      </c:pt>
                      <c:pt idx="58">
                        <c:v>1.0504166389750689E-2</c:v>
                      </c:pt>
                      <c:pt idx="59">
                        <c:v>6.2991129288196288E-3</c:v>
                      </c:pt>
                      <c:pt idx="60">
                        <c:v>1.8061143925062421E-2</c:v>
                      </c:pt>
                      <c:pt idx="61">
                        <c:v>1.4783964925637766E-2</c:v>
                      </c:pt>
                      <c:pt idx="62">
                        <c:v>1.4395615826181807E-2</c:v>
                      </c:pt>
                      <c:pt idx="63">
                        <c:v>1.030257962955272E-2</c:v>
                      </c:pt>
                      <c:pt idx="64">
                        <c:v>7.485212901199737E-3</c:v>
                      </c:pt>
                      <c:pt idx="65">
                        <c:v>2.1019204670959097E-2</c:v>
                      </c:pt>
                      <c:pt idx="66">
                        <c:v>1.6938287560342501E-2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824-44E9-8464-A6363B099F7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'EVOLUCAO MO'!$G$2</c:f>
              <c:strCache>
                <c:ptCount val="1"/>
                <c:pt idx="0">
                  <c:v>TOTAL MO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1.2916217188061848E-2"/>
                  <c:y val="3.74091522661606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824-44E9-8464-A6363B099F76}"/>
                </c:ext>
              </c:extLst>
            </c:dLbl>
            <c:dLbl>
              <c:idx val="1"/>
              <c:layout>
                <c:manualLayout>
                  <c:x val="-1.7950377562028053E-2"/>
                  <c:y val="-6.51549675541704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824-44E9-8464-A6363B099F76}"/>
                </c:ext>
              </c:extLst>
            </c:dLbl>
            <c:dLbl>
              <c:idx val="2"/>
              <c:layout>
                <c:manualLayout>
                  <c:x val="-4.2862279755483635E-3"/>
                  <c:y val="2.6725389784876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824-44E9-8464-A6363B099F76}"/>
                </c:ext>
              </c:extLst>
            </c:dLbl>
            <c:dLbl>
              <c:idx val="3"/>
              <c:layout>
                <c:manualLayout>
                  <c:x val="1.0816253146350234E-2"/>
                  <c:y val="-3.5240432606573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824-44E9-8464-A6363B099F76}"/>
                </c:ext>
              </c:extLst>
            </c:dLbl>
            <c:dLbl>
              <c:idx val="4"/>
              <c:layout>
                <c:manualLayout>
                  <c:x val="-3.5670622078388938E-3"/>
                  <c:y val="-6.9428472546684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824-44E9-8464-A6363B099F76}"/>
                </c:ext>
              </c:extLst>
            </c:dLbl>
            <c:dLbl>
              <c:idx val="5"/>
              <c:layout>
                <c:manualLayout>
                  <c:x val="-4.8903272204243076E-4"/>
                  <c:y val="-0.11857377996059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824-44E9-8464-A6363B099F76}"/>
                </c:ext>
              </c:extLst>
            </c:dLbl>
            <c:dLbl>
              <c:idx val="6"/>
              <c:layout>
                <c:manualLayout>
                  <c:x val="-5.5231930960086299E-3"/>
                  <c:y val="-0.1057532649830515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824-44E9-8464-A6363B099F76}"/>
                </c:ext>
              </c:extLst>
            </c:dLbl>
            <c:dLbl>
              <c:idx val="7"/>
              <c:layout>
                <c:manualLayout>
                  <c:x val="2.387630348795371E-3"/>
                  <c:y val="-9.07959975092533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824-44E9-8464-A6363B099F76}"/>
                </c:ext>
              </c:extLst>
            </c:dLbl>
            <c:dLbl>
              <c:idx val="8"/>
              <c:layout>
                <c:manualLayout>
                  <c:x val="-7.6806903991370008E-3"/>
                  <c:y val="-5.87447100653997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824-44E9-8464-A6363B099F76}"/>
                </c:ext>
              </c:extLst>
            </c:dLbl>
            <c:dLbl>
              <c:idx val="9"/>
              <c:layout>
                <c:manualLayout>
                  <c:x val="-6.9615246314275441E-3"/>
                  <c:y val="-7.5838730035454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824-44E9-8464-A6363B099F76}"/>
                </c:ext>
              </c:extLst>
            </c:dLbl>
            <c:dLbl>
              <c:idx val="10"/>
              <c:layout>
                <c:manualLayout>
                  <c:x val="-1.4354548723480789E-2"/>
                  <c:y val="-6.72917200504273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824-44E9-8464-A6363B099F76}"/>
                </c:ext>
              </c:extLst>
            </c:dLbl>
            <c:dLbl>
              <c:idx val="11"/>
              <c:layout>
                <c:manualLayout>
                  <c:x val="-1.4153182308522114E-2"/>
                  <c:y val="-9.07959975092533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824-44E9-8464-A6363B099F76}"/>
                </c:ext>
              </c:extLst>
            </c:dLbl>
            <c:dLbl>
              <c:idx val="12"/>
              <c:layout>
                <c:manualLayout>
                  <c:x val="-2.5861201006832073E-2"/>
                  <c:y val="-6.942847254668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824-44E9-8464-A6363B099F76}"/>
                </c:ext>
              </c:extLst>
            </c:dLbl>
            <c:dLbl>
              <c:idx val="13"/>
              <c:layout>
                <c:manualLayout>
                  <c:x val="-8.6012225818051062E-3"/>
                  <c:y val="-5.87447100653998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824-44E9-8464-A6363B099F76}"/>
                </c:ext>
              </c:extLst>
            </c:dLbl>
            <c:dLbl>
              <c:idx val="14"/>
              <c:layout>
                <c:manualLayout>
                  <c:x val="-1.1995685005393796E-2"/>
                  <c:y val="-7.5838730035454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824-44E9-8464-A6363B099F76}"/>
                </c:ext>
              </c:extLst>
            </c:dLbl>
            <c:dLbl>
              <c:idx val="15"/>
              <c:layout>
                <c:manualLayout>
                  <c:x val="-1.127651923768434E-2"/>
                  <c:y val="-9.72062549980240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824-44E9-8464-A6363B099F76}"/>
                </c:ext>
              </c:extLst>
            </c:dLbl>
            <c:dLbl>
              <c:idx val="16"/>
              <c:layout>
                <c:manualLayout>
                  <c:x val="-6.9615246314275441E-3"/>
                  <c:y val="-6.3018215057913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824-44E9-8464-A6363B099F76}"/>
                </c:ext>
              </c:extLst>
            </c:dLbl>
            <c:dLbl>
              <c:idx val="17"/>
              <c:layout>
                <c:manualLayout>
                  <c:x val="-6.9615246314275441E-3"/>
                  <c:y val="-9.07959975092533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824-44E9-8464-A6363B099F76}"/>
                </c:ext>
              </c:extLst>
            </c:dLbl>
            <c:dLbl>
              <c:idx val="18"/>
              <c:layout>
                <c:manualLayout>
                  <c:x val="-7.6806903991370008E-3"/>
                  <c:y val="-7.1565225042941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824-44E9-8464-A6363B099F76}"/>
                </c:ext>
              </c:extLst>
            </c:dLbl>
            <c:dLbl>
              <c:idx val="19"/>
              <c:layout>
                <c:manualLayout>
                  <c:x val="-6.9615246314275441E-3"/>
                  <c:y val="-6.3018215057913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824-44E9-8464-A6363B099F76}"/>
                </c:ext>
              </c:extLst>
            </c:dLbl>
            <c:dLbl>
              <c:idx val="20"/>
              <c:layout>
                <c:manualLayout>
                  <c:x val="-1.1995685005393743E-2"/>
                  <c:y val="-0.1057532649830515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824-44E9-8464-A6363B099F76}"/>
                </c:ext>
              </c:extLst>
            </c:dLbl>
            <c:dLbl>
              <c:idx val="21"/>
              <c:layout>
                <c:manualLayout>
                  <c:x val="-1.4153182308522114E-2"/>
                  <c:y val="-7.15652250429411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824-44E9-8464-A6363B099F76}"/>
                </c:ext>
              </c:extLst>
            </c:dLbl>
            <c:dLbl>
              <c:idx val="22"/>
              <c:layout>
                <c:manualLayout>
                  <c:x val="-2.4422869471413162E-2"/>
                  <c:y val="-3.9513937599087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824-44E9-8464-A6363B099F76}"/>
                </c:ext>
              </c:extLst>
            </c:dLbl>
            <c:dLbl>
              <c:idx val="23"/>
              <c:layout>
                <c:manualLayout>
                  <c:x val="-1.7950377562028101E-2"/>
                  <c:y val="-4.37874425916015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824-44E9-8464-A6363B099F76}"/>
                </c:ext>
              </c:extLst>
            </c:dLbl>
            <c:dLbl>
              <c:idx val="24"/>
              <c:layout>
                <c:manualLayout>
                  <c:x val="-1.4354548723480815E-2"/>
                  <c:y val="-5.23344525766290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824-44E9-8464-A6363B099F76}"/>
                </c:ext>
              </c:extLst>
            </c:dLbl>
            <c:dLbl>
              <c:idx val="25"/>
              <c:layout>
                <c:manualLayout>
                  <c:x val="-3.5728155339805931E-2"/>
                  <c:y val="7.494617318563976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824-44E9-8464-A6363B099F76}"/>
                </c:ext>
              </c:extLst>
            </c:dLbl>
            <c:dLbl>
              <c:idx val="26"/>
              <c:layout>
                <c:manualLayout>
                  <c:x val="-1.1995685005393849E-2"/>
                  <c:y val="-7.5838730035454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824-44E9-8464-A6363B099F76}"/>
                </c:ext>
              </c:extLst>
            </c:dLbl>
            <c:dLbl>
              <c:idx val="27"/>
              <c:layout>
                <c:manualLayout>
                  <c:x val="-1.2714850773103305E-2"/>
                  <c:y val="-6.51549675541704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824-44E9-8464-A6363B099F76}"/>
                </c:ext>
              </c:extLst>
            </c:dLbl>
            <c:dLbl>
              <c:idx val="28"/>
              <c:layout>
                <c:manualLayout>
                  <c:x val="-6.2423588637181924E-3"/>
                  <c:y val="-7.3701977539198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824-44E9-8464-A6363B099F76}"/>
                </c:ext>
              </c:extLst>
            </c:dLbl>
            <c:dLbl>
              <c:idx val="29"/>
              <c:layout>
                <c:manualLayout>
                  <c:x val="-1.6310679611650485E-2"/>
                  <c:y val="3.09988947773900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824-44E9-8464-A6363B099F76}"/>
                </c:ext>
              </c:extLst>
            </c:dLbl>
            <c:dLbl>
              <c:idx val="30"/>
              <c:layout>
                <c:manualLayout>
                  <c:x val="-1.1995685005393743E-2"/>
                  <c:y val="-4.1650690095344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824-44E9-8464-A6363B099F76}"/>
                </c:ext>
              </c:extLst>
            </c:dLbl>
            <c:dLbl>
              <c:idx val="31"/>
              <c:layout>
                <c:manualLayout>
                  <c:x val="-1.4872348076231572E-2"/>
                  <c:y val="2.67253897848760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824-44E9-8464-A6363B099F76}"/>
                </c:ext>
              </c:extLst>
            </c:dLbl>
            <c:dLbl>
              <c:idx val="32"/>
              <c:layout>
                <c:manualLayout>
                  <c:x val="-2.0625674217907227E-2"/>
                  <c:y val="-7.1565225042941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824-44E9-8464-A6363B099F76}"/>
                </c:ext>
              </c:extLst>
            </c:dLbl>
            <c:dLbl>
              <c:idx val="33"/>
              <c:layout>
                <c:manualLayout>
                  <c:x val="-1.0758719884933477E-2"/>
                  <c:y val="-5.01977000803722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824-44E9-8464-A6363B099F76}"/>
                </c:ext>
              </c:extLst>
            </c:dLbl>
            <c:dLbl>
              <c:idx val="34"/>
              <c:layout>
                <c:manualLayout>
                  <c:x val="-2.2783171521035598E-2"/>
                  <c:y val="1.81783797998484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824-44E9-8464-A6363B099F76}"/>
                </c:ext>
              </c:extLst>
            </c:dLbl>
            <c:dLbl>
              <c:idx val="35"/>
              <c:layout>
                <c:manualLayout>
                  <c:x val="-2.134483998561679E-2"/>
                  <c:y val="-9.07959975092533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824-44E9-8464-A6363B099F76}"/>
                </c:ext>
              </c:extLst>
            </c:dLbl>
            <c:dLbl>
              <c:idx val="36"/>
              <c:layout>
                <c:manualLayout>
                  <c:x val="-1.5073714491190219E-2"/>
                  <c:y val="-5.23344525766290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824-44E9-8464-A6363B099F76}"/>
                </c:ext>
              </c:extLst>
            </c:dLbl>
            <c:dLbl>
              <c:idx val="37"/>
              <c:layout>
                <c:manualLayout>
                  <c:x val="-2.5861201006832073E-2"/>
                  <c:y val="3.527239976990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A824-44E9-8464-A6363B099F76}"/>
                </c:ext>
              </c:extLst>
            </c:dLbl>
            <c:dLbl>
              <c:idx val="38"/>
              <c:layout>
                <c:manualLayout>
                  <c:x val="-3.5929521754764472E-2"/>
                  <c:y val="4.59561622511882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824-44E9-8464-A6363B099F76}"/>
                </c:ext>
              </c:extLst>
            </c:dLbl>
            <c:dLbl>
              <c:idx val="39"/>
              <c:layout>
                <c:manualLayout>
                  <c:x val="-2.0107874865156524E-2"/>
                  <c:y val="-6.3018215057913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A824-44E9-8464-A6363B099F76}"/>
                </c:ext>
              </c:extLst>
            </c:dLbl>
            <c:dLbl>
              <c:idx val="40"/>
              <c:layout>
                <c:manualLayout>
                  <c:x val="-3.5728155339805931E-2"/>
                  <c:y val="-9.599402651491124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824-44E9-8464-A6363B099F76}"/>
                </c:ext>
              </c:extLst>
            </c:dLbl>
            <c:dLbl>
              <c:idx val="41"/>
              <c:layout>
                <c:manualLayout>
                  <c:x val="-2.2783171521035706E-2"/>
                  <c:y val="-6.51549675541704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A824-44E9-8464-A6363B099F76}"/>
                </c:ext>
              </c:extLst>
            </c:dLbl>
            <c:dLbl>
              <c:idx val="42"/>
              <c:layout>
                <c:manualLayout>
                  <c:x val="-1.5792880258899782E-2"/>
                  <c:y val="-4.59241950878583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824-44E9-8464-A6363B099F76}"/>
                </c:ext>
              </c:extLst>
            </c:dLbl>
            <c:dLbl>
              <c:idx val="43"/>
              <c:layout>
                <c:manualLayout>
                  <c:x val="-2.4940668824163969E-2"/>
                  <c:y val="2.8862142281132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A824-44E9-8464-A6363B099F76}"/>
                </c:ext>
              </c:extLst>
            </c:dLbl>
            <c:dLbl>
              <c:idx val="44"/>
              <c:layout>
                <c:manualLayout>
                  <c:x val="-1.415318230852222E-2"/>
                  <c:y val="-6.72917200504273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A824-44E9-8464-A6363B099F76}"/>
                </c:ext>
              </c:extLst>
            </c:dLbl>
            <c:dLbl>
              <c:idx val="45"/>
              <c:layout>
                <c:manualLayout>
                  <c:x val="-1.3434016540812763E-2"/>
                  <c:y val="3.09988947773899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A824-44E9-8464-A6363B099F76}"/>
                </c:ext>
              </c:extLst>
            </c:dLbl>
            <c:dLbl>
              <c:idx val="46"/>
              <c:layout>
                <c:manualLayout>
                  <c:x val="-1.2916217188061954E-2"/>
                  <c:y val="-5.87447100653998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A824-44E9-8464-A6363B099F76}"/>
                </c:ext>
              </c:extLst>
            </c:dLbl>
            <c:dLbl>
              <c:idx val="47"/>
              <c:layout>
                <c:manualLayout>
                  <c:x val="-1.5591513843941028E-2"/>
                  <c:y val="3.09988947773899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824-44E9-8464-A6363B099F76}"/>
                </c:ext>
              </c:extLst>
            </c:dLbl>
            <c:dLbl>
              <c:idx val="48"/>
              <c:layout>
                <c:manualLayout>
                  <c:x val="-1.3635382955771411E-2"/>
                  <c:y val="-6.9428472546684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A824-44E9-8464-A6363B099F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'EVOLUCAO MO'!$A$3:$A$69</c:f>
              <c:numCache>
                <c:formatCode>m/d/yyyy</c:formatCode>
                <c:ptCount val="67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  <c:pt idx="50">
                  <c:v>45352</c:v>
                </c:pt>
                <c:pt idx="51">
                  <c:v>45383</c:v>
                </c:pt>
                <c:pt idx="52">
                  <c:v>45413</c:v>
                </c:pt>
                <c:pt idx="53">
                  <c:v>45444</c:v>
                </c:pt>
                <c:pt idx="54">
                  <c:v>45474</c:v>
                </c:pt>
                <c:pt idx="55">
                  <c:v>45505</c:v>
                </c:pt>
                <c:pt idx="56">
                  <c:v>45536</c:v>
                </c:pt>
                <c:pt idx="57">
                  <c:v>45566</c:v>
                </c:pt>
                <c:pt idx="58">
                  <c:v>45597</c:v>
                </c:pt>
                <c:pt idx="59">
                  <c:v>45627</c:v>
                </c:pt>
                <c:pt idx="60">
                  <c:v>45658</c:v>
                </c:pt>
                <c:pt idx="61">
                  <c:v>45689</c:v>
                </c:pt>
                <c:pt idx="62">
                  <c:v>45717</c:v>
                </c:pt>
                <c:pt idx="63">
                  <c:v>45748</c:v>
                </c:pt>
                <c:pt idx="64">
                  <c:v>45778</c:v>
                </c:pt>
                <c:pt idx="65">
                  <c:v>45809</c:v>
                </c:pt>
                <c:pt idx="66">
                  <c:v>45839</c:v>
                </c:pt>
              </c:numCache>
            </c:numRef>
          </c:cat>
          <c:val>
            <c:numRef>
              <c:f>'EVOLUCAO MO'!$G$3:$G$69</c:f>
              <c:numCache>
                <c:formatCode>0.00%</c:formatCode>
                <c:ptCount val="67"/>
                <c:pt idx="0">
                  <c:v>0.1413361235920344</c:v>
                </c:pt>
                <c:pt idx="1">
                  <c:v>0.16113959025219449</c:v>
                </c:pt>
                <c:pt idx="2">
                  <c:v>0.14815348993351091</c:v>
                </c:pt>
                <c:pt idx="3">
                  <c:v>0.17581552380499785</c:v>
                </c:pt>
                <c:pt idx="4">
                  <c:v>0.10453914977426521</c:v>
                </c:pt>
                <c:pt idx="5">
                  <c:v>7.5995551321516627E-2</c:v>
                </c:pt>
                <c:pt idx="6">
                  <c:v>8.66506647421144E-2</c:v>
                </c:pt>
                <c:pt idx="7">
                  <c:v>9.4475723417917518E-2</c:v>
                </c:pt>
                <c:pt idx="8">
                  <c:v>9.0637227586367719E-2</c:v>
                </c:pt>
                <c:pt idx="9">
                  <c:v>7.789493600044739E-2</c:v>
                </c:pt>
                <c:pt idx="10">
                  <c:v>0.10431375283282711</c:v>
                </c:pt>
                <c:pt idx="11">
                  <c:v>7.5907436891464633E-2</c:v>
                </c:pt>
                <c:pt idx="12">
                  <c:v>0.10804200370577867</c:v>
                </c:pt>
                <c:pt idx="13">
                  <c:v>0.11723742499644579</c:v>
                </c:pt>
                <c:pt idx="14">
                  <c:v>8.7903114249442138E-2</c:v>
                </c:pt>
                <c:pt idx="15">
                  <c:v>7.7769871853301517E-2</c:v>
                </c:pt>
                <c:pt idx="16">
                  <c:v>8.0405557783149076E-2</c:v>
                </c:pt>
                <c:pt idx="17">
                  <c:v>7.0318666184681605E-2</c:v>
                </c:pt>
                <c:pt idx="18">
                  <c:v>6.9532942670304895E-2</c:v>
                </c:pt>
                <c:pt idx="19">
                  <c:v>7.1646292198442693E-2</c:v>
                </c:pt>
                <c:pt idx="20">
                  <c:v>7.0046886762720029E-2</c:v>
                </c:pt>
                <c:pt idx="21">
                  <c:v>8.4599672724733732E-2</c:v>
                </c:pt>
                <c:pt idx="22">
                  <c:v>0.11149778903562552</c:v>
                </c:pt>
                <c:pt idx="23">
                  <c:v>0.10812592315421789</c:v>
                </c:pt>
                <c:pt idx="24">
                  <c:v>0.12527372734964914</c:v>
                </c:pt>
                <c:pt idx="25">
                  <c:v>9.2696424890113205E-2</c:v>
                </c:pt>
                <c:pt idx="26">
                  <c:v>5.9938811170182626E-2</c:v>
                </c:pt>
                <c:pt idx="27">
                  <c:v>8.6715636578328426E-2</c:v>
                </c:pt>
                <c:pt idx="28">
                  <c:v>8.4412351615907807E-2</c:v>
                </c:pt>
                <c:pt idx="29">
                  <c:v>8.0910703377886486E-2</c:v>
                </c:pt>
                <c:pt idx="30">
                  <c:v>8.230382344157651E-2</c:v>
                </c:pt>
                <c:pt idx="31">
                  <c:v>8.0001972075135402E-2</c:v>
                </c:pt>
                <c:pt idx="32">
                  <c:v>7.9767920887228089E-2</c:v>
                </c:pt>
                <c:pt idx="33">
                  <c:v>0.12645669493589778</c:v>
                </c:pt>
                <c:pt idx="34">
                  <c:v>9.386369020459441E-2</c:v>
                </c:pt>
                <c:pt idx="35">
                  <c:v>7.7634082057704376E-2</c:v>
                </c:pt>
                <c:pt idx="36">
                  <c:v>0.1631710869729408</c:v>
                </c:pt>
                <c:pt idx="37">
                  <c:v>0.1346595561984387</c:v>
                </c:pt>
                <c:pt idx="38">
                  <c:v>0.10692066486865337</c:v>
                </c:pt>
                <c:pt idx="39">
                  <c:v>0.11702462381303678</c:v>
                </c:pt>
                <c:pt idx="40">
                  <c:v>7.4940057546274058E-2</c:v>
                </c:pt>
                <c:pt idx="41">
                  <c:v>8.6167207681651675E-2</c:v>
                </c:pt>
                <c:pt idx="42">
                  <c:v>0.13393583129303058</c:v>
                </c:pt>
                <c:pt idx="43">
                  <c:v>9.6926293499209171E-2</c:v>
                </c:pt>
                <c:pt idx="44">
                  <c:v>9.7456641548543874E-2</c:v>
                </c:pt>
                <c:pt idx="45">
                  <c:v>8.893987408019402E-2</c:v>
                </c:pt>
                <c:pt idx="46">
                  <c:v>0.15984323790290406</c:v>
                </c:pt>
                <c:pt idx="47">
                  <c:v>9.1389474620684086E-2</c:v>
                </c:pt>
                <c:pt idx="48">
                  <c:v>0.14269416366730261</c:v>
                </c:pt>
                <c:pt idx="49">
                  <c:v>0.10756990871573247</c:v>
                </c:pt>
                <c:pt idx="50">
                  <c:v>0.12055363068668484</c:v>
                </c:pt>
                <c:pt idx="51">
                  <c:v>9.293688719431864E-2</c:v>
                </c:pt>
                <c:pt idx="52">
                  <c:v>8.726574876980922E-2</c:v>
                </c:pt>
                <c:pt idx="53">
                  <c:v>0.10430759360344186</c:v>
                </c:pt>
                <c:pt idx="54">
                  <c:v>0.10254609022156071</c:v>
                </c:pt>
                <c:pt idx="55">
                  <c:v>0.12590401225034234</c:v>
                </c:pt>
                <c:pt idx="56">
                  <c:v>0.1156333211363271</c:v>
                </c:pt>
                <c:pt idx="57">
                  <c:v>0.10319817861020129</c:v>
                </c:pt>
                <c:pt idx="58">
                  <c:v>0.1519865358479813</c:v>
                </c:pt>
                <c:pt idx="59">
                  <c:v>7.8110082754244137E-2</c:v>
                </c:pt>
                <c:pt idx="60">
                  <c:v>0.14607501523638527</c:v>
                </c:pt>
                <c:pt idx="61">
                  <c:v>0.12717516613982549</c:v>
                </c:pt>
                <c:pt idx="62">
                  <c:v>0.11991911164764597</c:v>
                </c:pt>
                <c:pt idx="63">
                  <c:v>8.0898693111488784E-2</c:v>
                </c:pt>
                <c:pt idx="64">
                  <c:v>7.6765821825013555E-2</c:v>
                </c:pt>
                <c:pt idx="65">
                  <c:v>0.16585310279599103</c:v>
                </c:pt>
                <c:pt idx="66">
                  <c:v>0.13406080667911435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824-44E9-8464-A6363B099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319439"/>
        <c:axId val="535335759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'EVOLUCAO MO'!$C$2</c15:sqref>
                        </c15:formulaRef>
                      </c:ext>
                    </c:extLst>
                    <c:strCache>
                      <c:ptCount val="1"/>
                      <c:pt idx="0">
                        <c:v>PRODUCAO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dLbls>
                  <c:dLbl>
                    <c:idx val="0"/>
                    <c:layout>
                      <c:manualLayout>
                        <c:x val="-3.6429872495446331E-3"/>
                        <c:y val="2.9914534947596487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1-A824-44E9-8464-A6363B099F76}"/>
                      </c:ext>
                    </c:extLst>
                  </c:dLbl>
                  <c:dLbl>
                    <c:idx val="1"/>
                    <c:layout>
                      <c:manualLayout>
                        <c:x val="7.2859744990892532E-4"/>
                        <c:y val="-4.0598297428881054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A824-44E9-8464-A6363B099F76}"/>
                      </c:ext>
                    </c:extLst>
                  </c:dLbl>
                  <c:dLbl>
                    <c:idx val="2"/>
                    <c:layout>
                      <c:manualLayout>
                        <c:x val="1.4571948998178506E-3"/>
                        <c:y val="2.9914534947596487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A824-44E9-8464-A6363B099F76}"/>
                      </c:ext>
                    </c:extLst>
                  </c:dLbl>
                  <c:dLbl>
                    <c:idx val="3"/>
                    <c:layout>
                      <c:manualLayout>
                        <c:x val="-1.4876142100360432E-2"/>
                        <c:y val="-5.5555564902679377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4-A824-44E9-8464-A6363B099F76}"/>
                      </c:ext>
                    </c:extLst>
                  </c:dLbl>
                  <c:dLbl>
                    <c:idx val="4"/>
                    <c:layout>
                      <c:manualLayout>
                        <c:x val="-2.9344341666029623E-2"/>
                        <c:y val="2.1367524962568975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5-A824-44E9-8464-A6363B099F76}"/>
                      </c:ext>
                    </c:extLst>
                  </c:dLbl>
                  <c:dLbl>
                    <c:idx val="5"/>
                    <c:layout>
                      <c:manualLayout>
                        <c:x val="-8.0145719489982045E-3"/>
                        <c:y val="5.128205991016553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A824-44E9-8464-A6363B099F76}"/>
                      </c:ext>
                    </c:extLst>
                  </c:dLbl>
                  <c:dLbl>
                    <c:idx val="6"/>
                    <c:layout>
                      <c:manualLayout>
                        <c:x val="7.2859744990892532E-3"/>
                        <c:y val="3.63247924363671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7-A824-44E9-8464-A6363B099F76}"/>
                      </c:ext>
                    </c:extLst>
                  </c:dLbl>
                  <c:dLbl>
                    <c:idx val="7"/>
                    <c:layout>
                      <c:manualLayout>
                        <c:x val="-1.4571948998178506E-3"/>
                        <c:y val="-3.6324792436367256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8-A824-44E9-8464-A6363B099F76}"/>
                      </c:ext>
                    </c:extLst>
                  </c:dLbl>
                  <c:dLbl>
                    <c:idx val="8"/>
                    <c:layout>
                      <c:manualLayout>
                        <c:x val="2.185792349726776E-3"/>
                        <c:y val="-4.4871802421394852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9-A824-44E9-8464-A6363B099F76}"/>
                      </c:ext>
                    </c:extLst>
                  </c:dLbl>
                  <c:dLbl>
                    <c:idx val="9"/>
                    <c:layout>
                      <c:manualLayout>
                        <c:x val="4.3715846994535519E-3"/>
                        <c:y val="3.4188039940110361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A-A824-44E9-8464-A6363B099F76}"/>
                      </c:ext>
                    </c:extLst>
                  </c:dLbl>
                  <c:dLbl>
                    <c:idx val="10"/>
                    <c:layout>
                      <c:manualLayout>
                        <c:x val="4.4093355644460302E-3"/>
                        <c:y val="1.923077246631207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B-A824-44E9-8464-A6363B099F76}"/>
                      </c:ext>
                    </c:extLst>
                  </c:dLbl>
                  <c:dLbl>
                    <c:idx val="11"/>
                    <c:layout>
                      <c:manualLayout>
                        <c:x val="1.238615664845173E-2"/>
                        <c:y val="3.2051287443853466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C-A824-44E9-8464-A6363B099F76}"/>
                      </c:ext>
                    </c:extLst>
                  </c:dLbl>
                  <c:dLbl>
                    <c:idx val="12"/>
                    <c:layout>
                      <c:manualLayout>
                        <c:x val="1.4571948998178506E-3"/>
                        <c:y val="3.6324792436367256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D-A824-44E9-8464-A6363B099F76}"/>
                      </c:ext>
                    </c:extLst>
                  </c:dLbl>
                  <c:dLbl>
                    <c:idx val="13"/>
                    <c:layout>
                      <c:manualLayout>
                        <c:x val="1.5300546448087432E-2"/>
                        <c:y val="-3.418803994011031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E-A824-44E9-8464-A6363B099F76}"/>
                      </c:ext>
                    </c:extLst>
                  </c:dLbl>
                  <c:dLbl>
                    <c:idx val="14"/>
                    <c:layout>
                      <c:manualLayout>
                        <c:x val="6.5573770491802741E-3"/>
                        <c:y val="-3.2051287443853466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F-A824-44E9-8464-A6363B099F76}"/>
                      </c:ext>
                    </c:extLst>
                  </c:dLbl>
                  <c:dLbl>
                    <c:idx val="15"/>
                    <c:layout>
                      <c:manualLayout>
                        <c:x val="-1.457194899817904E-3"/>
                        <c:y val="2.564102995508276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0-A824-44E9-8464-A6363B099F76}"/>
                      </c:ext>
                    </c:extLst>
                  </c:dLbl>
                  <c:dLbl>
                    <c:idx val="16"/>
                    <c:layout>
                      <c:manualLayout>
                        <c:x val="3.6429872495446266E-3"/>
                        <c:y val="-2.564102995508276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1-A824-44E9-8464-A6363B099F76}"/>
                      </c:ext>
                    </c:extLst>
                  </c:dLbl>
                  <c:dLbl>
                    <c:idx val="17"/>
                    <c:layout>
                      <c:manualLayout>
                        <c:x val="-5.1001821493624772E-3"/>
                        <c:y val="2.777778245133958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2-A824-44E9-8464-A6363B099F76}"/>
                      </c:ext>
                    </c:extLst>
                  </c:dLbl>
                  <c:dLbl>
                    <c:idx val="18"/>
                    <c:layout>
                      <c:manualLayout>
                        <c:x val="1.4571948998178506E-3"/>
                        <c:y val="2.9914534947596487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3-A824-44E9-8464-A6363B099F76}"/>
                      </c:ext>
                    </c:extLst>
                  </c:dLbl>
                  <c:dLbl>
                    <c:idx val="19"/>
                    <c:layout>
                      <c:manualLayout>
                        <c:x val="-5.3429862433657673E-17"/>
                        <c:y val="-2.9914534947596567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4-A824-44E9-8464-A6363B099F76}"/>
                      </c:ext>
                    </c:extLst>
                  </c:dLbl>
                  <c:dLbl>
                    <c:idx val="20"/>
                    <c:layout>
                      <c:manualLayout>
                        <c:x val="8.0145719489981247E-3"/>
                        <c:y val="2.777778245133958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5-A824-44E9-8464-A6363B099F76}"/>
                      </c:ext>
                    </c:extLst>
                  </c:dLbl>
                  <c:dLbl>
                    <c:idx val="21"/>
                    <c:layout>
                      <c:manualLayout>
                        <c:x val="1.0200364298724847E-2"/>
                        <c:y val="1.4957267473798283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6-A824-44E9-8464-A6363B099F76}"/>
                      </c:ext>
                    </c:extLst>
                  </c:dLbl>
                  <c:dLbl>
                    <c:idx val="22"/>
                    <c:layout>
                      <c:manualLayout>
                        <c:x val="-7.2859744990893599E-3"/>
                        <c:y val="-4.273504992513795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7-A824-44E9-8464-A6363B099F76}"/>
                      </c:ext>
                    </c:extLst>
                  </c:dLbl>
                  <c:dLbl>
                    <c:idx val="23"/>
                    <c:layout>
                      <c:manualLayout>
                        <c:x val="3.6429872495445732E-3"/>
                        <c:y val="2.777778245133966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8-A824-44E9-8464-A6363B099F76}"/>
                      </c:ext>
                    </c:extLst>
                  </c:dLbl>
                  <c:dLbl>
                    <c:idx val="24"/>
                    <c:layout>
                      <c:manualLayout>
                        <c:x val="-2.1857923497268826E-3"/>
                        <c:y val="-6.196582239145002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9-A824-44E9-8464-A6363B099F76}"/>
                      </c:ext>
                    </c:extLst>
                  </c:dLbl>
                  <c:dLbl>
                    <c:idx val="25"/>
                    <c:layout>
                      <c:manualLayout>
                        <c:x val="1.4571948998178506E-3"/>
                        <c:y val="-2.1367524962568975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A-A824-44E9-8464-A6363B099F76}"/>
                      </c:ext>
                    </c:extLst>
                  </c:dLbl>
                  <c:dLbl>
                    <c:idx val="26"/>
                    <c:layout>
                      <c:manualLayout>
                        <c:x val="6.5573770491803279E-3"/>
                        <c:y val="1.923077246631207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B-A824-44E9-8464-A6363B099F76}"/>
                      </c:ext>
                    </c:extLst>
                  </c:dLbl>
                  <c:dLbl>
                    <c:idx val="27"/>
                    <c:layout>
                      <c:manualLayout>
                        <c:x val="-7.2859744990893599E-3"/>
                        <c:y val="-5.5555564902679336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C-A824-44E9-8464-A6363B099F76}"/>
                      </c:ext>
                    </c:extLst>
                  </c:dLbl>
                  <c:dLbl>
                    <c:idx val="28"/>
                    <c:layout>
                      <c:manualLayout>
                        <c:x val="-2.1857923497268826E-3"/>
                        <c:y val="-2.777778245133966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D-A824-44E9-8464-A6363B099F76}"/>
                      </c:ext>
                    </c:extLst>
                  </c:dLbl>
                  <c:dLbl>
                    <c:idx val="29"/>
                    <c:layout>
                      <c:manualLayout>
                        <c:x val="0"/>
                        <c:y val="3.2051287443853466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E-A824-44E9-8464-A6363B099F76}"/>
                      </c:ext>
                    </c:extLst>
                  </c:dLbl>
                  <c:dLbl>
                    <c:idx val="30"/>
                    <c:layout>
                      <c:manualLayout>
                        <c:x val="-1.0685972486731535E-16"/>
                        <c:y val="-2.9914534947596643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F-A824-44E9-8464-A6363B099F76}"/>
                      </c:ext>
                    </c:extLst>
                  </c:dLbl>
                  <c:dLbl>
                    <c:idx val="31"/>
                    <c:layout>
                      <c:manualLayout>
                        <c:x val="-5.1001821493624772E-3"/>
                        <c:y val="3.2051287443853466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0-A824-44E9-8464-A6363B099F76}"/>
                      </c:ext>
                    </c:extLst>
                  </c:dLbl>
                  <c:dLbl>
                    <c:idx val="32"/>
                    <c:layout>
                      <c:manualLayout>
                        <c:x val="7.2859744990892532E-3"/>
                        <c:y val="-2.1367524962568975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1-A824-44E9-8464-A6363B099F76}"/>
                      </c:ext>
                    </c:extLst>
                  </c:dLbl>
                  <c:dLbl>
                    <c:idx val="33"/>
                    <c:layout>
                      <c:manualLayout>
                        <c:x val="2.185792349726776E-3"/>
                        <c:y val="-3.846154493262415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2-A824-44E9-8464-A6363B099F76}"/>
                      </c:ext>
                    </c:extLst>
                  </c:dLbl>
                  <c:dLbl>
                    <c:idx val="34"/>
                    <c:layout>
                      <c:manualLayout>
                        <c:x val="0"/>
                        <c:y val="-5.7692317398936314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3-A824-44E9-8464-A6363B099F76}"/>
                      </c:ext>
                    </c:extLst>
                  </c:dLbl>
                  <c:dLbl>
                    <c:idx val="35"/>
                    <c:layout>
                      <c:manualLayout>
                        <c:x val="6.5573770491803279E-3"/>
                        <c:y val="-2.9914534947596643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4-A824-44E9-8464-A6363B099F76}"/>
                      </c:ext>
                    </c:extLst>
                  </c:dLbl>
                  <c:dLbl>
                    <c:idx val="36"/>
                    <c:layout>
                      <c:manualLayout>
                        <c:x val="1.0200364298724954E-2"/>
                        <c:y val="-2.777778245133966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5-A824-44E9-8464-A6363B099F76}"/>
                      </c:ext>
                    </c:extLst>
                  </c:dLbl>
                  <c:dLbl>
                    <c:idx val="37"/>
                    <c:layout>
                      <c:manualLayout>
                        <c:x val="1.1657559198542805E-2"/>
                        <c:y val="-1.923077246631207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6-A824-44E9-8464-A6363B099F76}"/>
                      </c:ext>
                    </c:extLst>
                  </c:dLbl>
                  <c:dLbl>
                    <c:idx val="38"/>
                    <c:layout>
                      <c:manualLayout>
                        <c:x val="1.4571948998178506E-3"/>
                        <c:y val="1.923077246631207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7-A824-44E9-8464-A6363B099F76}"/>
                      </c:ext>
                    </c:extLst>
                  </c:dLbl>
                  <c:dLbl>
                    <c:idx val="40"/>
                    <c:layout>
                      <c:manualLayout>
                        <c:x val="4.3715846994535519E-3"/>
                        <c:y val="3.4188039940110361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8-A824-44E9-8464-A6363B099F76}"/>
                      </c:ext>
                    </c:extLst>
                  </c:dLbl>
                  <c:dLbl>
                    <c:idx val="41"/>
                    <c:layout>
                      <c:manualLayout>
                        <c:x val="9.4717668488159216E-3"/>
                        <c:y val="1.2820514977541385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9-A824-44E9-8464-A6363B099F76}"/>
                      </c:ext>
                    </c:extLst>
                  </c:dLbl>
                  <c:dLbl>
                    <c:idx val="42"/>
                    <c:layout>
                      <c:manualLayout>
                        <c:x val="4.3715846994535519E-3"/>
                        <c:y val="-2.5641029955082811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A-A824-44E9-8464-A6363B099F76}"/>
                      </c:ext>
                    </c:extLst>
                  </c:dLbl>
                  <c:dLbl>
                    <c:idx val="43"/>
                    <c:layout>
                      <c:manualLayout>
                        <c:x val="-2.1857923497268826E-3"/>
                        <c:y val="3.2051287443853466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B-A824-44E9-8464-A6363B099F76}"/>
                      </c:ext>
                    </c:extLst>
                  </c:dLbl>
                  <c:dLbl>
                    <c:idx val="44"/>
                    <c:layout>
                      <c:manualLayout>
                        <c:x val="-5.1001821493625839E-3"/>
                        <c:y val="-4.4871802421394852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C-A824-44E9-8464-A6363B099F76}"/>
                      </c:ext>
                    </c:extLst>
                  </c:dLbl>
                  <c:dLbl>
                    <c:idx val="45"/>
                    <c:layout>
                      <c:manualLayout>
                        <c:x val="8.0145719489980709E-3"/>
                        <c:y val="3.63247924363671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D-A824-44E9-8464-A6363B099F76}"/>
                      </c:ext>
                    </c:extLst>
                  </c:dLbl>
                  <c:dLbl>
                    <c:idx val="46"/>
                    <c:layout>
                      <c:manualLayout>
                        <c:x val="4.3715846994534452E-3"/>
                        <c:y val="-3.846154493262415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E-A824-44E9-8464-A6363B099F76}"/>
                      </c:ext>
                    </c:extLst>
                  </c:dLbl>
                  <c:dLbl>
                    <c:idx val="47"/>
                    <c:layout>
                      <c:manualLayout>
                        <c:x val="5.1001821493622639E-3"/>
                        <c:y val="2.7777782451339588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2F-A824-44E9-8464-A6363B099F76}"/>
                      </c:ext>
                    </c:extLst>
                  </c:dLbl>
                  <c:dLbl>
                    <c:idx val="48"/>
                    <c:layout>
                      <c:manualLayout>
                        <c:x val="-2.185792349726776E-3"/>
                        <c:y val="-3.846154493262415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30-A824-44E9-8464-A6363B099F76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j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'EVOLUCAO MO'!$A$3:$A$69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43831</c:v>
                      </c:pt>
                      <c:pt idx="1">
                        <c:v>43862</c:v>
                      </c:pt>
                      <c:pt idx="2">
                        <c:v>43891</c:v>
                      </c:pt>
                      <c:pt idx="3">
                        <c:v>43922</c:v>
                      </c:pt>
                      <c:pt idx="4">
                        <c:v>43952</c:v>
                      </c:pt>
                      <c:pt idx="5">
                        <c:v>43983</c:v>
                      </c:pt>
                      <c:pt idx="6">
                        <c:v>44013</c:v>
                      </c:pt>
                      <c:pt idx="7">
                        <c:v>44044</c:v>
                      </c:pt>
                      <c:pt idx="8">
                        <c:v>44075</c:v>
                      </c:pt>
                      <c:pt idx="9">
                        <c:v>44105</c:v>
                      </c:pt>
                      <c:pt idx="10">
                        <c:v>44136</c:v>
                      </c:pt>
                      <c:pt idx="11">
                        <c:v>44166</c:v>
                      </c:pt>
                      <c:pt idx="12">
                        <c:v>44197</c:v>
                      </c:pt>
                      <c:pt idx="13">
                        <c:v>44228</c:v>
                      </c:pt>
                      <c:pt idx="14">
                        <c:v>44256</c:v>
                      </c:pt>
                      <c:pt idx="15">
                        <c:v>44287</c:v>
                      </c:pt>
                      <c:pt idx="16">
                        <c:v>44317</c:v>
                      </c:pt>
                      <c:pt idx="17">
                        <c:v>44348</c:v>
                      </c:pt>
                      <c:pt idx="18">
                        <c:v>44378</c:v>
                      </c:pt>
                      <c:pt idx="19">
                        <c:v>44409</c:v>
                      </c:pt>
                      <c:pt idx="20">
                        <c:v>44440</c:v>
                      </c:pt>
                      <c:pt idx="21">
                        <c:v>44470</c:v>
                      </c:pt>
                      <c:pt idx="22">
                        <c:v>44501</c:v>
                      </c:pt>
                      <c:pt idx="23">
                        <c:v>44531</c:v>
                      </c:pt>
                      <c:pt idx="24">
                        <c:v>44562</c:v>
                      </c:pt>
                      <c:pt idx="25">
                        <c:v>44593</c:v>
                      </c:pt>
                      <c:pt idx="26">
                        <c:v>44621</c:v>
                      </c:pt>
                      <c:pt idx="27">
                        <c:v>44652</c:v>
                      </c:pt>
                      <c:pt idx="28">
                        <c:v>44682</c:v>
                      </c:pt>
                      <c:pt idx="29">
                        <c:v>44713</c:v>
                      </c:pt>
                      <c:pt idx="30">
                        <c:v>44743</c:v>
                      </c:pt>
                      <c:pt idx="31">
                        <c:v>44774</c:v>
                      </c:pt>
                      <c:pt idx="32">
                        <c:v>44805</c:v>
                      </c:pt>
                      <c:pt idx="33">
                        <c:v>44835</c:v>
                      </c:pt>
                      <c:pt idx="34">
                        <c:v>44866</c:v>
                      </c:pt>
                      <c:pt idx="35">
                        <c:v>44896</c:v>
                      </c:pt>
                      <c:pt idx="36">
                        <c:v>44927</c:v>
                      </c:pt>
                      <c:pt idx="37">
                        <c:v>44958</c:v>
                      </c:pt>
                      <c:pt idx="38">
                        <c:v>44986</c:v>
                      </c:pt>
                      <c:pt idx="39">
                        <c:v>45017</c:v>
                      </c:pt>
                      <c:pt idx="40">
                        <c:v>45047</c:v>
                      </c:pt>
                      <c:pt idx="41">
                        <c:v>45078</c:v>
                      </c:pt>
                      <c:pt idx="42">
                        <c:v>45108</c:v>
                      </c:pt>
                      <c:pt idx="43">
                        <c:v>45139</c:v>
                      </c:pt>
                      <c:pt idx="44">
                        <c:v>45170</c:v>
                      </c:pt>
                      <c:pt idx="45">
                        <c:v>45200</c:v>
                      </c:pt>
                      <c:pt idx="46">
                        <c:v>45231</c:v>
                      </c:pt>
                      <c:pt idx="47">
                        <c:v>45261</c:v>
                      </c:pt>
                      <c:pt idx="48">
                        <c:v>45292</c:v>
                      </c:pt>
                      <c:pt idx="49">
                        <c:v>45323</c:v>
                      </c:pt>
                      <c:pt idx="50">
                        <c:v>45352</c:v>
                      </c:pt>
                      <c:pt idx="51">
                        <c:v>45383</c:v>
                      </c:pt>
                      <c:pt idx="52">
                        <c:v>45413</c:v>
                      </c:pt>
                      <c:pt idx="53">
                        <c:v>45444</c:v>
                      </c:pt>
                      <c:pt idx="54">
                        <c:v>45474</c:v>
                      </c:pt>
                      <c:pt idx="55">
                        <c:v>45505</c:v>
                      </c:pt>
                      <c:pt idx="56">
                        <c:v>45536</c:v>
                      </c:pt>
                      <c:pt idx="57">
                        <c:v>45566</c:v>
                      </c:pt>
                      <c:pt idx="58">
                        <c:v>45597</c:v>
                      </c:pt>
                      <c:pt idx="59">
                        <c:v>45627</c:v>
                      </c:pt>
                      <c:pt idx="60">
                        <c:v>45658</c:v>
                      </c:pt>
                      <c:pt idx="61">
                        <c:v>45689</c:v>
                      </c:pt>
                      <c:pt idx="62">
                        <c:v>45717</c:v>
                      </c:pt>
                      <c:pt idx="63">
                        <c:v>45748</c:v>
                      </c:pt>
                      <c:pt idx="64">
                        <c:v>45778</c:v>
                      </c:pt>
                      <c:pt idx="65">
                        <c:v>45809</c:v>
                      </c:pt>
                      <c:pt idx="66">
                        <c:v>45839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'EVOLUCAO MO'!$C$3:$C$69</c15:sqref>
                        </c15:formulaRef>
                      </c:ext>
                    </c:extLst>
                    <c:numCache>
                      <c:formatCode>0.00%</c:formatCode>
                      <c:ptCount val="67"/>
                      <c:pt idx="0">
                        <c:v>9.3594061814960952E-2</c:v>
                      </c:pt>
                      <c:pt idx="1">
                        <c:v>0.11066476530768891</c:v>
                      </c:pt>
                      <c:pt idx="2">
                        <c:v>8.8119705953051394E-2</c:v>
                      </c:pt>
                      <c:pt idx="3">
                        <c:v>0.11591868055418689</c:v>
                      </c:pt>
                      <c:pt idx="4">
                        <c:v>6.81946532440105E-2</c:v>
                      </c:pt>
                      <c:pt idx="5">
                        <c:v>4.4860340188027779E-2</c:v>
                      </c:pt>
                      <c:pt idx="6">
                        <c:v>5.9413382867499469E-2</c:v>
                      </c:pt>
                      <c:pt idx="7">
                        <c:v>6.3861082322852467E-2</c:v>
                      </c:pt>
                      <c:pt idx="8">
                        <c:v>5.9591294175071044E-2</c:v>
                      </c:pt>
                      <c:pt idx="9">
                        <c:v>5.5136958882682156E-2</c:v>
                      </c:pt>
                      <c:pt idx="10">
                        <c:v>7.6667537771633043E-2</c:v>
                      </c:pt>
                      <c:pt idx="11">
                        <c:v>4.6386530078407762E-2</c:v>
                      </c:pt>
                      <c:pt idx="12">
                        <c:v>7.8898717909931734E-2</c:v>
                      </c:pt>
                      <c:pt idx="13">
                        <c:v>9.5436702813707752E-2</c:v>
                      </c:pt>
                      <c:pt idx="14">
                        <c:v>6.8726147555173395E-2</c:v>
                      </c:pt>
                      <c:pt idx="15">
                        <c:v>6.0658022229872696E-2</c:v>
                      </c:pt>
                      <c:pt idx="16">
                        <c:v>6.1370656463832891E-2</c:v>
                      </c:pt>
                      <c:pt idx="17">
                        <c:v>5.2753179571992839E-2</c:v>
                      </c:pt>
                      <c:pt idx="18">
                        <c:v>5.3657513975234016E-2</c:v>
                      </c:pt>
                      <c:pt idx="19">
                        <c:v>5.4568596930223479E-2</c:v>
                      </c:pt>
                      <c:pt idx="20">
                        <c:v>5.407401635079119E-2</c:v>
                      </c:pt>
                      <c:pt idx="21">
                        <c:v>6.079938456922751E-2</c:v>
                      </c:pt>
                      <c:pt idx="22">
                        <c:v>7.8835232179853179E-2</c:v>
                      </c:pt>
                      <c:pt idx="23">
                        <c:v>8.3342880963564805E-2</c:v>
                      </c:pt>
                      <c:pt idx="24">
                        <c:v>9.2834223417961978E-2</c:v>
                      </c:pt>
                      <c:pt idx="25">
                        <c:v>7.7430978888315613E-2</c:v>
                      </c:pt>
                      <c:pt idx="26">
                        <c:v>5.0899654945987929E-2</c:v>
                      </c:pt>
                      <c:pt idx="27">
                        <c:v>7.4799974274080777E-2</c:v>
                      </c:pt>
                      <c:pt idx="28">
                        <c:v>7.0806365970441681E-2</c:v>
                      </c:pt>
                      <c:pt idx="29">
                        <c:v>6.7463714793757693E-2</c:v>
                      </c:pt>
                      <c:pt idx="30">
                        <c:v>6.8874520693683466E-2</c:v>
                      </c:pt>
                      <c:pt idx="31">
                        <c:v>6.7758803830206757E-2</c:v>
                      </c:pt>
                      <c:pt idx="32">
                        <c:v>6.6282506524568838E-2</c:v>
                      </c:pt>
                      <c:pt idx="33">
                        <c:v>0.10742734714305772</c:v>
                      </c:pt>
                      <c:pt idx="34">
                        <c:v>8.0203480037301683E-2</c:v>
                      </c:pt>
                      <c:pt idx="35">
                        <c:v>6.2363611451883155E-2</c:v>
                      </c:pt>
                      <c:pt idx="36">
                        <c:v>0.14190059081449471</c:v>
                      </c:pt>
                      <c:pt idx="37">
                        <c:v>0.11374929198275889</c:v>
                      </c:pt>
                      <c:pt idx="38">
                        <c:v>9.092489859747048E-2</c:v>
                      </c:pt>
                      <c:pt idx="39">
                        <c:v>0.10166352698847987</c:v>
                      </c:pt>
                      <c:pt idx="40">
                        <c:v>6.2204365885807265E-2</c:v>
                      </c:pt>
                      <c:pt idx="41">
                        <c:v>7.4265840508966938E-2</c:v>
                      </c:pt>
                      <c:pt idx="42">
                        <c:v>0.11320654639868249</c:v>
                      </c:pt>
                      <c:pt idx="43">
                        <c:v>8.3643579283321182E-2</c:v>
                      </c:pt>
                      <c:pt idx="44">
                        <c:v>8.3408465771217022E-2</c:v>
                      </c:pt>
                      <c:pt idx="45">
                        <c:v>7.6545626667634606E-2</c:v>
                      </c:pt>
                      <c:pt idx="46">
                        <c:v>0.14036098134656491</c:v>
                      </c:pt>
                      <c:pt idx="47">
                        <c:v>7.7458479711353473E-2</c:v>
                      </c:pt>
                      <c:pt idx="48">
                        <c:v>0.12753582098736993</c:v>
                      </c:pt>
                      <c:pt idx="49">
                        <c:v>9.4232811193221439E-2</c:v>
                      </c:pt>
                      <c:pt idx="50">
                        <c:v>0.10648667151202125</c:v>
                      </c:pt>
                      <c:pt idx="51">
                        <c:v>8.1234981338520279E-2</c:v>
                      </c:pt>
                      <c:pt idx="52">
                        <c:v>7.6803236281882944E-2</c:v>
                      </c:pt>
                      <c:pt idx="53">
                        <c:v>9.3110934609283699E-2</c:v>
                      </c:pt>
                      <c:pt idx="54">
                        <c:v>9.0857103467003222E-2</c:v>
                      </c:pt>
                      <c:pt idx="55">
                        <c:v>0.11264644187381993</c:v>
                      </c:pt>
                      <c:pt idx="56">
                        <c:v>0.10302973710344865</c:v>
                      </c:pt>
                      <c:pt idx="57">
                        <c:v>9.1041757247419697E-2</c:v>
                      </c:pt>
                      <c:pt idx="58">
                        <c:v>0.13556735057931996</c:v>
                      </c:pt>
                      <c:pt idx="59">
                        <c:v>6.9321368111108325E-2</c:v>
                      </c:pt>
                      <c:pt idx="60">
                        <c:v>0.12215821530004883</c:v>
                      </c:pt>
                      <c:pt idx="61">
                        <c:v>0.10806474747766955</c:v>
                      </c:pt>
                      <c:pt idx="62">
                        <c:v>0.10109978105302533</c:v>
                      </c:pt>
                      <c:pt idx="63">
                        <c:v>6.7003591022347084E-2</c:v>
                      </c:pt>
                      <c:pt idx="64">
                        <c:v>6.5953646901752608E-2</c:v>
                      </c:pt>
                      <c:pt idx="65">
                        <c:v>0.13857304017923872</c:v>
                      </c:pt>
                      <c:pt idx="66">
                        <c:v>0.11148744563723499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31-A824-44E9-8464-A6363B099F76}"/>
                  </c:ext>
                </c:extLst>
              </c15:ser>
            </c15:filteredLineSeries>
          </c:ext>
        </c:extLst>
      </c:lineChart>
      <c:dateAx>
        <c:axId val="5353194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5335759"/>
        <c:crosses val="autoZero"/>
        <c:auto val="1"/>
        <c:lblOffset val="100"/>
        <c:baseTimeUnit val="months"/>
      </c:dateAx>
      <c:valAx>
        <c:axId val="53533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5319439"/>
        <c:crosses val="autoZero"/>
        <c:crossBetween val="between"/>
      </c:valAx>
      <c:valAx>
        <c:axId val="791887135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1890495"/>
        <c:crosses val="max"/>
        <c:crossBetween val="between"/>
      </c:valAx>
      <c:dateAx>
        <c:axId val="79189049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91887135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6" fmlaLink="$AB$18" fmlaRange="$AB$5:$AB$16" noThreeD="1" sel="1" val="0"/>
</file>

<file path=xl/ctrlProps/ctrlProp2.xml><?xml version="1.0" encoding="utf-8"?>
<formControlPr xmlns="http://schemas.microsoft.com/office/spreadsheetml/2009/9/main" objectType="Drop" dropStyle="combo" dx="26" fmlaLink="$AC$18" fmlaRange="$AC$5:$AC$11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croll" dx="22" fmlaLink="$F$8" horiz="1" max="110" min="3" page="0" val="109"/>
</file>

<file path=xl/ctrlProps/ctrlProp7.xml><?xml version="1.0" encoding="utf-8"?>
<formControlPr xmlns="http://schemas.microsoft.com/office/spreadsheetml/2009/9/main" objectType="Scroll" dx="22" fmlaLink="$F$7" horiz="1" max="120" min="2" page="0" val="112"/>
</file>

<file path=xl/ctrlProps/ctrlProp8.xml><?xml version="1.0" encoding="utf-8"?>
<formControlPr xmlns="http://schemas.microsoft.com/office/spreadsheetml/2009/9/main" objectType="Scroll" dx="22" fmlaLink="$E$11" horiz="1" max="100" min="1" page="0" val="87"/>
</file>

<file path=xl/ctrlProps/ctrlProp9.xml><?xml version="1.0" encoding="utf-8"?>
<formControlPr xmlns="http://schemas.microsoft.com/office/spreadsheetml/2009/9/main" objectType="Scroll" dx="22" fmlaLink="$E$29" horiz="1" max="100" min="1" page="0" val="89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.emf"/><Relationship Id="rId18" Type="http://schemas.openxmlformats.org/officeDocument/2006/relationships/image" Target="../media/image13.emf"/><Relationship Id="rId26" Type="http://schemas.openxmlformats.org/officeDocument/2006/relationships/image" Target="../media/image20.emf"/><Relationship Id="rId3" Type="http://schemas.openxmlformats.org/officeDocument/2006/relationships/hyperlink" Target="#INDICADORES!A1"/><Relationship Id="rId21" Type="http://schemas.openxmlformats.org/officeDocument/2006/relationships/image" Target="../media/image16.emf"/><Relationship Id="rId7" Type="http://schemas.openxmlformats.org/officeDocument/2006/relationships/image" Target="../media/image2.png"/><Relationship Id="rId12" Type="http://schemas.openxmlformats.org/officeDocument/2006/relationships/image" Target="../media/image7.emf"/><Relationship Id="rId17" Type="http://schemas.openxmlformats.org/officeDocument/2006/relationships/image" Target="../media/image12.emf"/><Relationship Id="rId25" Type="http://schemas.openxmlformats.org/officeDocument/2006/relationships/image" Target="../media/image19.emf"/><Relationship Id="rId33" Type="http://schemas.openxmlformats.org/officeDocument/2006/relationships/image" Target="../media/image26.emf"/><Relationship Id="rId2" Type="http://schemas.openxmlformats.org/officeDocument/2006/relationships/hyperlink" Target="#MENU!A1"/><Relationship Id="rId16" Type="http://schemas.openxmlformats.org/officeDocument/2006/relationships/image" Target="../media/image11.emf"/><Relationship Id="rId20" Type="http://schemas.openxmlformats.org/officeDocument/2006/relationships/image" Target="../media/image15.emf"/><Relationship Id="rId29" Type="http://schemas.openxmlformats.org/officeDocument/2006/relationships/image" Target="../media/image23.emf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11" Type="http://schemas.openxmlformats.org/officeDocument/2006/relationships/image" Target="../media/image6.emf"/><Relationship Id="rId24" Type="http://schemas.openxmlformats.org/officeDocument/2006/relationships/chart" Target="../charts/chart1.xml"/><Relationship Id="rId32" Type="http://schemas.openxmlformats.org/officeDocument/2006/relationships/chart" Target="../charts/chart2.xml"/><Relationship Id="rId5" Type="http://schemas.openxmlformats.org/officeDocument/2006/relationships/hyperlink" Target="#DRE!A1"/><Relationship Id="rId15" Type="http://schemas.openxmlformats.org/officeDocument/2006/relationships/image" Target="../media/image10.png"/><Relationship Id="rId23" Type="http://schemas.openxmlformats.org/officeDocument/2006/relationships/image" Target="../media/image18.emf"/><Relationship Id="rId28" Type="http://schemas.openxmlformats.org/officeDocument/2006/relationships/image" Target="../media/image22.emf"/><Relationship Id="rId10" Type="http://schemas.openxmlformats.org/officeDocument/2006/relationships/image" Target="../media/image5.emf"/><Relationship Id="rId19" Type="http://schemas.openxmlformats.org/officeDocument/2006/relationships/image" Target="../media/image14.emf"/><Relationship Id="rId31" Type="http://schemas.openxmlformats.org/officeDocument/2006/relationships/image" Target="../media/image25.emf"/><Relationship Id="rId4" Type="http://schemas.openxmlformats.org/officeDocument/2006/relationships/hyperlink" Target="#BALANCO!A1"/><Relationship Id="rId9" Type="http://schemas.openxmlformats.org/officeDocument/2006/relationships/image" Target="../media/image4.png"/><Relationship Id="rId14" Type="http://schemas.openxmlformats.org/officeDocument/2006/relationships/image" Target="../media/image9.png"/><Relationship Id="rId22" Type="http://schemas.openxmlformats.org/officeDocument/2006/relationships/image" Target="../media/image17.emf"/><Relationship Id="rId27" Type="http://schemas.openxmlformats.org/officeDocument/2006/relationships/image" Target="../media/image21.emf"/><Relationship Id="rId30" Type="http://schemas.openxmlformats.org/officeDocument/2006/relationships/image" Target="../media/image24.emf"/><Relationship Id="rId8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hyperlink" Target="#INDICADORES!A1"/><Relationship Id="rId7" Type="http://schemas.openxmlformats.org/officeDocument/2006/relationships/image" Target="../media/image47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11" Type="http://schemas.openxmlformats.org/officeDocument/2006/relationships/chart" Target="../charts/chart5.xml"/><Relationship Id="rId5" Type="http://schemas.openxmlformats.org/officeDocument/2006/relationships/hyperlink" Target="#DRE!A1"/><Relationship Id="rId10" Type="http://schemas.openxmlformats.org/officeDocument/2006/relationships/hyperlink" Target="#'INDICADORES-EMPRESAS'!A1"/><Relationship Id="rId4" Type="http://schemas.openxmlformats.org/officeDocument/2006/relationships/hyperlink" Target="#BALANCO!A1"/><Relationship Id="rId9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image" Target="../media/image51.png"/><Relationship Id="rId3" Type="http://schemas.openxmlformats.org/officeDocument/2006/relationships/hyperlink" Target="#INDICADORES!A1"/><Relationship Id="rId7" Type="http://schemas.openxmlformats.org/officeDocument/2006/relationships/image" Target="../media/image48.png"/><Relationship Id="rId12" Type="http://schemas.openxmlformats.org/officeDocument/2006/relationships/chart" Target="../charts/chart8.xml"/><Relationship Id="rId17" Type="http://schemas.openxmlformats.org/officeDocument/2006/relationships/image" Target="../media/image53.png"/><Relationship Id="rId2" Type="http://schemas.openxmlformats.org/officeDocument/2006/relationships/hyperlink" Target="#MENU!A1"/><Relationship Id="rId16" Type="http://schemas.openxmlformats.org/officeDocument/2006/relationships/image" Target="../media/image52.png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11" Type="http://schemas.openxmlformats.org/officeDocument/2006/relationships/image" Target="../media/image50.png"/><Relationship Id="rId5" Type="http://schemas.openxmlformats.org/officeDocument/2006/relationships/hyperlink" Target="#DRE!A1"/><Relationship Id="rId15" Type="http://schemas.openxmlformats.org/officeDocument/2006/relationships/chart" Target="../charts/chart10.xml"/><Relationship Id="rId10" Type="http://schemas.openxmlformats.org/officeDocument/2006/relationships/chart" Target="../charts/chart7.xml"/><Relationship Id="rId4" Type="http://schemas.openxmlformats.org/officeDocument/2006/relationships/hyperlink" Target="#BALANCO!A1"/><Relationship Id="rId9" Type="http://schemas.openxmlformats.org/officeDocument/2006/relationships/image" Target="../media/image49.png"/><Relationship Id="rId1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BALANCOTRIM!A1"/><Relationship Id="rId3" Type="http://schemas.openxmlformats.org/officeDocument/2006/relationships/hyperlink" Target="#INDICADORES!A1"/><Relationship Id="rId7" Type="http://schemas.openxmlformats.org/officeDocument/2006/relationships/image" Target="../media/image54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5" Type="http://schemas.openxmlformats.org/officeDocument/2006/relationships/hyperlink" Target="#DRE!A1"/><Relationship Id="rId4" Type="http://schemas.openxmlformats.org/officeDocument/2006/relationships/hyperlink" Target="#BALANCO!A1"/><Relationship Id="rId9" Type="http://schemas.openxmlformats.org/officeDocument/2006/relationships/hyperlink" Target="#BALANCOSEM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BALANCOSEME!A1"/><Relationship Id="rId3" Type="http://schemas.openxmlformats.org/officeDocument/2006/relationships/hyperlink" Target="#INDICADORES!A1"/><Relationship Id="rId7" Type="http://schemas.openxmlformats.org/officeDocument/2006/relationships/image" Target="../media/image57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5" Type="http://schemas.openxmlformats.org/officeDocument/2006/relationships/hyperlink" Target="#DRE!A1"/><Relationship Id="rId4" Type="http://schemas.openxmlformats.org/officeDocument/2006/relationships/hyperlink" Target="#BALANC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BALANCOTRIM!A1"/><Relationship Id="rId3" Type="http://schemas.openxmlformats.org/officeDocument/2006/relationships/hyperlink" Target="#INDICADORES!A1"/><Relationship Id="rId7" Type="http://schemas.openxmlformats.org/officeDocument/2006/relationships/image" Target="../media/image57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5" Type="http://schemas.openxmlformats.org/officeDocument/2006/relationships/hyperlink" Target="#DRE!A1"/><Relationship Id="rId4" Type="http://schemas.openxmlformats.org/officeDocument/2006/relationships/hyperlink" Target="#BALANC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png"/><Relationship Id="rId3" Type="http://schemas.openxmlformats.org/officeDocument/2006/relationships/hyperlink" Target="#MENU!A1"/><Relationship Id="rId7" Type="http://schemas.openxmlformats.org/officeDocument/2006/relationships/hyperlink" Target="#DADOS!A1"/><Relationship Id="rId2" Type="http://schemas.openxmlformats.org/officeDocument/2006/relationships/hyperlink" Target="#DRETRIM!A1"/><Relationship Id="rId1" Type="http://schemas.openxmlformats.org/officeDocument/2006/relationships/image" Target="../media/image1.png"/><Relationship Id="rId6" Type="http://schemas.openxmlformats.org/officeDocument/2006/relationships/hyperlink" Target="#DRE!A1"/><Relationship Id="rId5" Type="http://schemas.openxmlformats.org/officeDocument/2006/relationships/hyperlink" Target="#BALANCO!A1"/><Relationship Id="rId4" Type="http://schemas.openxmlformats.org/officeDocument/2006/relationships/hyperlink" Target="#INDICADORES!A1"/><Relationship Id="rId9" Type="http://schemas.openxmlformats.org/officeDocument/2006/relationships/hyperlink" Target="#DRESEM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DRESEME!A1"/><Relationship Id="rId3" Type="http://schemas.openxmlformats.org/officeDocument/2006/relationships/hyperlink" Target="#INDICADORES!A1"/><Relationship Id="rId7" Type="http://schemas.openxmlformats.org/officeDocument/2006/relationships/image" Target="../media/image4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5" Type="http://schemas.openxmlformats.org/officeDocument/2006/relationships/hyperlink" Target="#DRE!A1"/><Relationship Id="rId4" Type="http://schemas.openxmlformats.org/officeDocument/2006/relationships/hyperlink" Target="#BALANC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DRETRIM!A1"/><Relationship Id="rId3" Type="http://schemas.openxmlformats.org/officeDocument/2006/relationships/hyperlink" Target="#INDICADORES!A1"/><Relationship Id="rId7" Type="http://schemas.openxmlformats.org/officeDocument/2006/relationships/image" Target="../media/image4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5" Type="http://schemas.openxmlformats.org/officeDocument/2006/relationships/hyperlink" Target="#DRE!A1"/><Relationship Id="rId4" Type="http://schemas.openxmlformats.org/officeDocument/2006/relationships/hyperlink" Target="#BALANC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DB!A1"/><Relationship Id="rId3" Type="http://schemas.openxmlformats.org/officeDocument/2006/relationships/hyperlink" Target="#INDICADORES!A1"/><Relationship Id="rId7" Type="http://schemas.openxmlformats.org/officeDocument/2006/relationships/image" Target="../media/image61.png"/><Relationship Id="rId12" Type="http://schemas.openxmlformats.org/officeDocument/2006/relationships/chart" Target="../charts/chart12.xml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hyperlink" Target="#DADOS!A1"/><Relationship Id="rId11" Type="http://schemas.openxmlformats.org/officeDocument/2006/relationships/chart" Target="../charts/chart11.xml"/><Relationship Id="rId5" Type="http://schemas.openxmlformats.org/officeDocument/2006/relationships/hyperlink" Target="#DRE!A1"/><Relationship Id="rId10" Type="http://schemas.openxmlformats.org/officeDocument/2006/relationships/hyperlink" Target="#Print!A1"/><Relationship Id="rId4" Type="http://schemas.openxmlformats.org/officeDocument/2006/relationships/hyperlink" Target="#BALANCO!A1"/><Relationship Id="rId9" Type="http://schemas.openxmlformats.org/officeDocument/2006/relationships/hyperlink" Target="#BDINDICADORES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DADOS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TELADADOS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INDICADORES-EMPRESAS'!TelaIndicadores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5.jpeg"/><Relationship Id="rId1" Type="http://schemas.openxmlformats.org/officeDocument/2006/relationships/image" Target="../media/image64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7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39.emf"/><Relationship Id="rId18" Type="http://schemas.openxmlformats.org/officeDocument/2006/relationships/image" Target="../media/image44.emf"/><Relationship Id="rId3" Type="http://schemas.openxmlformats.org/officeDocument/2006/relationships/image" Target="../media/image29.emf"/><Relationship Id="rId7" Type="http://schemas.openxmlformats.org/officeDocument/2006/relationships/image" Target="../media/image33.emf"/><Relationship Id="rId12" Type="http://schemas.openxmlformats.org/officeDocument/2006/relationships/image" Target="../media/image38.emf"/><Relationship Id="rId17" Type="http://schemas.openxmlformats.org/officeDocument/2006/relationships/image" Target="../media/image43.emf"/><Relationship Id="rId2" Type="http://schemas.openxmlformats.org/officeDocument/2006/relationships/image" Target="../media/image28.emf"/><Relationship Id="rId16" Type="http://schemas.openxmlformats.org/officeDocument/2006/relationships/image" Target="../media/image42.emf"/><Relationship Id="rId20" Type="http://schemas.openxmlformats.org/officeDocument/2006/relationships/image" Target="../media/image46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11" Type="http://schemas.openxmlformats.org/officeDocument/2006/relationships/image" Target="../media/image37.emf"/><Relationship Id="rId5" Type="http://schemas.openxmlformats.org/officeDocument/2006/relationships/image" Target="../media/image31.emf"/><Relationship Id="rId15" Type="http://schemas.openxmlformats.org/officeDocument/2006/relationships/image" Target="../media/image41.emf"/><Relationship Id="rId10" Type="http://schemas.openxmlformats.org/officeDocument/2006/relationships/image" Target="../media/image36.emf"/><Relationship Id="rId19" Type="http://schemas.openxmlformats.org/officeDocument/2006/relationships/image" Target="../media/image45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Relationship Id="rId14" Type="http://schemas.openxmlformats.org/officeDocument/2006/relationships/image" Target="../media/image4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png"/><Relationship Id="rId1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9068</xdr:rowOff>
    </xdr:from>
    <xdr:to>
      <xdr:col>25</xdr:col>
      <xdr:colOff>988785</xdr:colOff>
      <xdr:row>3</xdr:row>
      <xdr:rowOff>9068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68"/>
          <a:ext cx="16909142" cy="771071"/>
        </a:xfrm>
        <a:prstGeom prst="rect">
          <a:avLst/>
        </a:prstGeom>
      </xdr:spPr>
    </xdr:pic>
    <xdr:clientData/>
  </xdr:twoCellAnchor>
  <xdr:twoCellAnchor editAs="absolute">
    <xdr:from>
      <xdr:col>17</xdr:col>
      <xdr:colOff>243726</xdr:colOff>
      <xdr:row>1</xdr:row>
      <xdr:rowOff>472167</xdr:rowOff>
    </xdr:from>
    <xdr:to>
      <xdr:col>19</xdr:col>
      <xdr:colOff>106055</xdr:colOff>
      <xdr:row>2</xdr:row>
      <xdr:rowOff>162833</xdr:rowOff>
    </xdr:to>
    <xdr:sp macro="" textlink="$S$3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839155" y="571953"/>
          <a:ext cx="1540543" cy="171451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45EC9CC-0E15-48EE-8839-3B8087DC025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06/08/2026 16:59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600075</xdr:colOff>
      <xdr:row>1</xdr:row>
      <xdr:rowOff>9525</xdr:rowOff>
    </xdr:from>
    <xdr:to>
      <xdr:col>19</xdr:col>
      <xdr:colOff>175574</xdr:colOff>
      <xdr:row>2</xdr:row>
      <xdr:rowOff>7120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648075" y="99172"/>
          <a:ext cx="8916723" cy="472724"/>
          <a:chOff x="76200" y="85725"/>
          <a:chExt cx="8829675" cy="473868"/>
        </a:xfrm>
      </xdr:grpSpPr>
      <xdr:sp macro="" textlink="">
        <xdr:nvSpPr>
          <xdr:cNvPr id="3" name="Retângulo 2">
            <a:hlinkClick xmlns:r="http://schemas.openxmlformats.org/officeDocument/2006/relationships" r:id="rId2" tooltip="VOCÊ ESTÁ EM MENU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6200" y="86265"/>
            <a:ext cx="1724025" cy="466725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MENU</a:t>
            </a:r>
          </a:p>
        </xdr:txBody>
      </xdr:sp>
      <xdr:sp macro="" textlink="">
        <xdr:nvSpPr>
          <xdr:cNvPr id="4" name="Retângulo 3">
            <a:hlinkClick xmlns:r="http://schemas.openxmlformats.org/officeDocument/2006/relationships" r:id="rId3" tooltip="INDICADORES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852613" y="92868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INDICADORES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4" tooltip="IR PARA BALANÇO PATRIMONIAL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629026" y="90487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BALANÇO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5" tooltip="IR PARA DRE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5405438" y="88106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DRE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6" tooltip="IR PARA DADOS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7181850" y="85725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DADOS</a:t>
            </a:r>
          </a:p>
        </xdr:txBody>
      </xdr:sp>
    </xdr:grpSp>
    <xdr:clientData/>
  </xdr:twoCellAnchor>
  <xdr:twoCellAnchor editAs="oneCell">
    <xdr:from>
      <xdr:col>4</xdr:col>
      <xdr:colOff>495299</xdr:colOff>
      <xdr:row>0</xdr:row>
      <xdr:rowOff>0</xdr:rowOff>
    </xdr:from>
    <xdr:to>
      <xdr:col>6</xdr:col>
      <xdr:colOff>561973</xdr:colOff>
      <xdr:row>3</xdr:row>
      <xdr:rowOff>92484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8656" y="0"/>
          <a:ext cx="1282246" cy="86355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3</xdr:row>
      <xdr:rowOff>18596</xdr:rowOff>
    </xdr:from>
    <xdr:to>
      <xdr:col>20</xdr:col>
      <xdr:colOff>569685</xdr:colOff>
      <xdr:row>33</xdr:row>
      <xdr:rowOff>151946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780596"/>
          <a:ext cx="13476060" cy="5848350"/>
        </a:xfrm>
        <a:prstGeom prst="roundRect">
          <a:avLst/>
        </a:prstGeom>
        <a:solidFill>
          <a:srgbClr val="FAC62A">
            <a:alpha val="81176"/>
          </a:srgb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410029</xdr:colOff>
      <xdr:row>2</xdr:row>
      <xdr:rowOff>181429</xdr:rowOff>
    </xdr:from>
    <xdr:to>
      <xdr:col>7</xdr:col>
      <xdr:colOff>581026</xdr:colOff>
      <xdr:row>4</xdr:row>
      <xdr:rowOff>43996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pSpPr/>
      </xdr:nvGrpSpPr>
      <xdr:grpSpPr>
        <a:xfrm>
          <a:off x="1019629" y="746205"/>
          <a:ext cx="3218997" cy="221156"/>
          <a:chOff x="2530929" y="752475"/>
          <a:chExt cx="2475784" cy="243567"/>
        </a:xfrm>
      </xdr:grpSpPr>
      <xdr:sp macro="" textlink="FORMULAS!A29">
        <xdr:nvSpPr>
          <xdr:cNvPr id="67" name="CaixaDeTexto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3831661" y="752475"/>
            <a:ext cx="1175052" cy="235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0866990-09B5-498F-A0E7-32B20E5E024E}" type="TxLink">
              <a:rPr lang="en-US" sz="1100" b="0" i="0" u="none" strike="noStrike">
                <a:solidFill>
                  <a:schemeClr val="tx1"/>
                </a:solidFill>
                <a:latin typeface="Aptos Display" panose="020B0004020202020204" pitchFamily="34" charset="0"/>
                <a:ea typeface="Yu Gothic Light" panose="020B0300000000000000" pitchFamily="34" charset="-128"/>
                <a:cs typeface="Calibri"/>
              </a:rPr>
              <a:pPr/>
              <a:t>Junho 2026</a:t>
            </a:fld>
            <a:endParaRPr lang="pt-BR" sz="1100" b="0">
              <a:solidFill>
                <a:schemeClr val="tx1"/>
              </a:solidFill>
              <a:latin typeface="Aptos Display" panose="020B0004020202020204" pitchFamily="34" charset="0"/>
              <a:ea typeface="Yu Gothic Light" panose="020B0300000000000000" pitchFamily="34" charset="-128"/>
            </a:endParaRPr>
          </a:p>
        </xdr:txBody>
      </xdr:sp>
      <xdr:sp macro="" textlink="FORMULAS!A29">
        <xdr:nvSpPr>
          <xdr:cNvPr id="101" name="CaixaDeTexto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 txBox="1"/>
        </xdr:nvSpPr>
        <xdr:spPr>
          <a:xfrm>
            <a:off x="2530929" y="760185"/>
            <a:ext cx="1513113" cy="235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0">
                <a:solidFill>
                  <a:schemeClr val="tx1"/>
                </a:solidFill>
                <a:latin typeface="Aptos Display" panose="020B0004020202020204" pitchFamily="34" charset="0"/>
                <a:ea typeface="Yu Gothic Light" panose="020B0300000000000000" pitchFamily="34" charset="-128"/>
              </a:rPr>
              <a:t>ULTIMA</a:t>
            </a:r>
            <a:r>
              <a:rPr lang="pt-BR" sz="1100" b="0" baseline="0">
                <a:solidFill>
                  <a:schemeClr val="tx1"/>
                </a:solidFill>
                <a:latin typeface="Aptos Display" panose="020B0004020202020204" pitchFamily="34" charset="0"/>
                <a:ea typeface="Yu Gothic Light" panose="020B0300000000000000" pitchFamily="34" charset="-128"/>
              </a:rPr>
              <a:t> ATUALIZACAO</a:t>
            </a:r>
            <a:endParaRPr lang="pt-BR" sz="1100" b="0">
              <a:solidFill>
                <a:schemeClr val="tx1"/>
              </a:solidFill>
              <a:latin typeface="Aptos Display" panose="020B0004020202020204" pitchFamily="34" charset="0"/>
              <a:ea typeface="Yu Gothic Light" panose="020B0300000000000000" pitchFamily="34" charset="-128"/>
            </a:endParaRPr>
          </a:p>
        </xdr:txBody>
      </xdr:sp>
    </xdr:grpSp>
    <xdr:clientData/>
  </xdr:twoCellAnchor>
  <xdr:twoCellAnchor>
    <xdr:from>
      <xdr:col>1</xdr:col>
      <xdr:colOff>493005</xdr:colOff>
      <xdr:row>4</xdr:row>
      <xdr:rowOff>38100</xdr:rowOff>
    </xdr:from>
    <xdr:to>
      <xdr:col>20</xdr:col>
      <xdr:colOff>97518</xdr:colOff>
      <xdr:row>32</xdr:row>
      <xdr:rowOff>85726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493005" y="961465"/>
          <a:ext cx="12603337" cy="5067861"/>
          <a:chOff x="493005" y="990600"/>
          <a:chExt cx="12510888" cy="5381626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5836912" y="1076325"/>
            <a:ext cx="2370301" cy="2419350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564177" y="3829050"/>
            <a:ext cx="5201566" cy="2419350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584511" y="1076325"/>
            <a:ext cx="5201566" cy="2419350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493005" y="3667126"/>
            <a:ext cx="7801539" cy="2705100"/>
          </a:xfrm>
          <a:prstGeom prst="rect">
            <a:avLst/>
          </a:prstGeom>
          <a:solidFill>
            <a:srgbClr val="FFFFFF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513341" y="990600"/>
            <a:ext cx="7765043" cy="2600325"/>
          </a:xfrm>
          <a:prstGeom prst="rect">
            <a:avLst/>
          </a:prstGeom>
          <a:solidFill>
            <a:srgbClr val="FFFFFF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6642" y="4581523"/>
            <a:ext cx="1447379" cy="1381127"/>
          </a:xfrm>
          <a:prstGeom prst="rect">
            <a:avLst/>
          </a:prstGeom>
        </xdr:spPr>
      </xdr:pic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7494" y="1495424"/>
            <a:ext cx="1540707" cy="1440000"/>
          </a:xfrm>
          <a:prstGeom prst="rect">
            <a:avLst/>
          </a:prstGeom>
        </xdr:spPr>
      </xdr:pic>
      <xdr:sp macro="" textlink="FORMULAS!Q25">
        <xdr:nvSpPr>
          <xdr:cNvPr id="17" name="CaixaDeText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3848879" y="1704974"/>
            <a:ext cx="2303215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01C59897-61D9-4AFD-8C3B-FB1BBF61C49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R$59.297.811,56 </a:t>
            </a:fld>
            <a:endParaRPr lang="pt-BR" sz="1200"/>
          </a:p>
        </xdr:txBody>
      </xdr:sp>
      <xdr:sp macro="" textlink="FORMULAS!B25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013352" y="1095375"/>
            <a:ext cx="3742223" cy="4382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9BD4710-4FE5-41F4-A919-32959B0E3B52}" type="TxLink">
              <a:rPr lang="en-US" sz="2400" b="0" i="0" u="none" strike="noStrike">
                <a:solidFill>
                  <a:srgbClr val="000000"/>
                </a:solidFill>
                <a:latin typeface="Berlin Sans FB" panose="020E0602020502020306" pitchFamily="34" charset="0"/>
                <a:cs typeface="Calibri"/>
              </a:rPr>
              <a:pPr/>
              <a:t>Receitas: Anual de 2026</a:t>
            </a:fld>
            <a:endParaRPr lang="pt-BR" sz="2400">
              <a:latin typeface="Berlin Sans FB" panose="020E0602020502020306" pitchFamily="34" charset="0"/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2283974" y="1704975"/>
            <a:ext cx="131704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/>
              <a:t>Receita Venda</a:t>
            </a:r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283974" y="2060575"/>
            <a:ext cx="1496060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/>
              <a:t>Receita Revenda</a:t>
            </a:r>
          </a:p>
        </xdr:txBody>
      </xdr:sp>
      <xdr:sp macro="" textlink="">
        <xdr:nvSpPr>
          <xdr:cNvPr id="155" name="Retângulo 154">
            <a:extLst>
              <a:ext uri="{FF2B5EF4-FFF2-40B4-BE49-F238E27FC236}">
                <a16:creationId xmlns:a16="http://schemas.microsoft.com/office/drawing/2014/main" id="{00000000-0008-0000-0000-00009B000000}"/>
              </a:ext>
            </a:extLst>
          </xdr:cNvPr>
          <xdr:cNvSpPr/>
        </xdr:nvSpPr>
        <xdr:spPr>
          <a:xfrm>
            <a:off x="8315779" y="3666670"/>
            <a:ext cx="4677455" cy="2705555"/>
          </a:xfrm>
          <a:prstGeom prst="rect">
            <a:avLst/>
          </a:prstGeom>
          <a:solidFill>
            <a:srgbClr val="FFFFFF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2293047" y="2425247"/>
            <a:ext cx="138456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/>
              <a:t>Receita Serviço</a:t>
            </a: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293045" y="2771775"/>
            <a:ext cx="1449996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/>
              <a:t>Receita Locação</a:t>
            </a:r>
          </a:p>
        </xdr:txBody>
      </xdr:sp>
      <xdr:sp macro="" textlink="FORMULAS!Q28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3869213" y="2819400"/>
            <a:ext cx="2303215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CF78BD7E-1A09-4BF0-A200-B4BFF58B222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R$-   </a:t>
            </a:fld>
            <a:endParaRPr lang="pt-BR" sz="1200"/>
          </a:p>
        </xdr:txBody>
      </xdr:sp>
      <xdr:sp macro="" textlink="FORMULAS!Q27">
        <xdr:nvSpPr>
          <xdr:cNvPr id="25" name="CaixaDeTexto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3848879" y="2466975"/>
            <a:ext cx="2303215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80A5F2A2-D396-4DF4-8962-8A1BA250077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R$303.792,39 </a:t>
            </a:fld>
            <a:endParaRPr lang="pt-BR" sz="1200"/>
          </a:p>
        </xdr:txBody>
      </xdr:sp>
      <xdr:sp macro="" textlink="FORMULAS!Q26">
        <xdr:nvSpPr>
          <xdr:cNvPr id="26" name="CaixaDeTexto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3838712" y="2066925"/>
            <a:ext cx="2303215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A7AA741F-47E8-4C71-AB3E-A5C845614F6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R$16.726.788,90 </a:t>
            </a:fld>
            <a:endParaRPr lang="pt-BR" sz="1200"/>
          </a:p>
        </xdr:txBody>
      </xdr:sp>
      <xdr:sp macro="" textlink="FORMULAS!C25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769333" y="3848100"/>
            <a:ext cx="5230253" cy="4382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C4151FDA-B37A-4873-96DA-41D55F47E4F7}" type="TxLink">
              <a:rPr lang="en-US" sz="2400" b="0" i="0" u="none" strike="noStrike">
                <a:solidFill>
                  <a:srgbClr val="000000"/>
                </a:solidFill>
                <a:latin typeface="Berlin Sans FB" panose="020E0602020502020306" pitchFamily="34" charset="0"/>
                <a:cs typeface="Calibri"/>
              </a:rPr>
              <a:pPr/>
              <a:t>Despesas / Custos: Junho 2026</a:t>
            </a:fld>
            <a:endParaRPr lang="pt-BR" sz="2400">
              <a:latin typeface="Berlin Sans FB" panose="020E0602020502020306" pitchFamily="34" charset="0"/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2020756" y="4524375"/>
            <a:ext cx="161100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/>
              <a:t>Despesa</a:t>
            </a:r>
            <a:r>
              <a:rPr lang="pt-BR" sz="1200" baseline="0"/>
              <a:t> com Vendas</a:t>
            </a: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2020756" y="4876800"/>
            <a:ext cx="1901582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/>
              <a:t>Despesas Administrativas</a:t>
            </a: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2020756" y="5229225"/>
            <a:ext cx="110829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/>
              <a:t>Custo Vendas</a:t>
            </a: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2020756" y="5581650"/>
            <a:ext cx="126017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/>
              <a:t>Custo Revendas</a:t>
            </a:r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2020756" y="5934075"/>
            <a:ext cx="183580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/>
              <a:t>Custo Serviços/Locações</a:t>
            </a:r>
          </a:p>
        </xdr:txBody>
      </xdr:sp>
      <xdr:sp macro="" textlink="FORMULAS!B27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867415" y="1095375"/>
            <a:ext cx="2329632" cy="2949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4507185A-039F-48F4-80F9-7AA81005BBAA}" type="TxLink">
              <a:rPr lang="en-US" sz="1400" b="0" i="0" u="none" strike="noStrike">
                <a:solidFill>
                  <a:srgbClr val="000000"/>
                </a:solidFill>
                <a:latin typeface="Berlin Sans FB" panose="020E0602020502020306" pitchFamily="34" charset="0"/>
                <a:cs typeface="Calibri"/>
              </a:rPr>
              <a:pPr/>
              <a:t>Receitas: Anual de 2025</a:t>
            </a:fld>
            <a:endParaRPr lang="pt-BR" sz="1400">
              <a:latin typeface="Berlin Sans FB" panose="020E0602020502020306" pitchFamily="34" charset="0"/>
            </a:endParaRPr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836911" y="3838575"/>
            <a:ext cx="2419608" cy="2409824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5788269" y="1781175"/>
            <a:ext cx="1030294" cy="2567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50"/>
              <a:t>Receita Venda</a:t>
            </a:r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5788269" y="2136775"/>
            <a:ext cx="1163140" cy="2567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50"/>
              <a:t>Receita Revenda</a:t>
            </a:r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5788269" y="2492375"/>
            <a:ext cx="1079435" cy="2567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50"/>
              <a:t>Receita Serviço</a:t>
            </a:r>
          </a:p>
        </xdr:txBody>
      </xdr:sp>
      <xdr:sp macro="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5788269" y="2847975"/>
            <a:ext cx="1128577" cy="2567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50"/>
              <a:t>Receita Locação</a:t>
            </a:r>
          </a:p>
        </xdr:txBody>
      </xdr:sp>
      <xdr:sp macro="" textlink="FORMULAS!U25">
        <xdr:nvSpPr>
          <xdr:cNvPr id="44" name="CaixaDeTexto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6880346" y="1743074"/>
            <a:ext cx="2305030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98EC4A48-9959-49D5-AF15-C7976D35471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R$54.425.129,78 </a:t>
            </a:fld>
            <a:endParaRPr lang="pt-BR" sz="1050"/>
          </a:p>
        </xdr:txBody>
      </xdr:sp>
      <xdr:sp macro="" textlink="FORMULAS!U28">
        <xdr:nvSpPr>
          <xdr:cNvPr id="45" name="CaixaDeTexto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 txBox="1"/>
        </xdr:nvSpPr>
        <xdr:spPr>
          <a:xfrm>
            <a:off x="6880346" y="2796947"/>
            <a:ext cx="2305030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C519602-2E79-4F6D-A2C6-FC55F211E246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 R$-   </a:t>
            </a:fld>
            <a:endParaRPr lang="pt-BR" sz="1050"/>
          </a:p>
        </xdr:txBody>
      </xdr:sp>
      <xdr:sp macro="" textlink="FORMULAS!U27">
        <xdr:nvSpPr>
          <xdr:cNvPr id="46" name="CaixaDeText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6880346" y="2445656"/>
            <a:ext cx="2305030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F12ACA9B-0272-4ACA-983C-23D263C25D59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 R$346.275,95 </a:t>
            </a:fld>
            <a:endParaRPr lang="pt-BR" sz="1050"/>
          </a:p>
        </xdr:txBody>
      </xdr:sp>
      <xdr:sp macro="" textlink="FORMULAS!U26">
        <xdr:nvSpPr>
          <xdr:cNvPr id="47" name="CaixaDeText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 txBox="1"/>
        </xdr:nvSpPr>
        <xdr:spPr>
          <a:xfrm>
            <a:off x="6880346" y="2094365"/>
            <a:ext cx="2305030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DF76DB93-E35C-4C20-89DC-4D4145AABF5C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 R$26.613.367,33 </a:t>
            </a:fld>
            <a:endParaRPr lang="pt-BR" sz="105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3" name="Imagem 52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RMULAS!$H$2" spid="_x0000_s987888"/>
                  </a:ext>
                </a:extLst>
              </xdr:cNvPicPr>
            </xdr:nvPicPr>
            <xdr:blipFill>
              <a:blip xmlns:r="http://schemas.openxmlformats.org/officeDocument/2006/relationships" r:embed="rId10"/>
              <a:srcRect/>
              <a:stretch>
                <a:fillRect/>
              </a:stretch>
            </xdr:blipFill>
            <xdr:spPr bwMode="auto">
              <a:xfrm>
                <a:off x="5113230" y="1752599"/>
                <a:ext cx="721815" cy="21792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54" name="Imagem 53">
                <a:extLst>
                  <a:ext uri="{FF2B5EF4-FFF2-40B4-BE49-F238E27FC236}">
                    <a16:creationId xmlns:a16="http://schemas.microsoft.com/office/drawing/2014/main" id="{00000000-0008-0000-0000-000036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RMULAS!$I$2" spid="_x0000_s987889"/>
                  </a:ext>
                </a:extLst>
              </xdr:cNvPicPr>
            </xdr:nvPicPr>
            <xdr:blipFill>
              <a:blip xmlns:r="http://schemas.openxmlformats.org/officeDocument/2006/relationships" r:embed="rId11"/>
              <a:srcRect/>
              <a:stretch>
                <a:fillRect/>
              </a:stretch>
            </xdr:blipFill>
            <xdr:spPr bwMode="auto">
              <a:xfrm>
                <a:off x="5103063" y="2095499"/>
                <a:ext cx="721815" cy="21792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55" name="Imagem 54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RMULAS!$J$2" spid="_x0000_s987890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5092896" y="2457449"/>
                <a:ext cx="721815" cy="21792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56" name="Imagem 55">
                <a:extLst>
                  <a:ext uri="{FF2B5EF4-FFF2-40B4-BE49-F238E27FC236}">
                    <a16:creationId xmlns:a16="http://schemas.microsoft.com/office/drawing/2014/main" id="{00000000-0008-0000-0000-000038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RMULAS!$K$2" spid="_x0000_s987891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5072563" y="2828925"/>
                <a:ext cx="721815" cy="19673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7608" y="1400176"/>
            <a:ext cx="325348" cy="304800"/>
          </a:xfrm>
          <a:prstGeom prst="rect">
            <a:avLst/>
          </a:prstGeom>
        </xdr:spPr>
      </xdr:pic>
      <xdr:sp macro="" textlink="FORMULAS!C27">
        <xdr:nvSpPr>
          <xdr:cNvPr id="59" name="CaixaDeTexto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5867414" y="3847185"/>
            <a:ext cx="2329633" cy="26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240071D4-FD19-4E1C-A2B2-588E2ABA135B}" type="TxLink">
              <a:rPr lang="en-US" sz="1200" b="0" i="0" u="none" strike="noStrike">
                <a:solidFill>
                  <a:srgbClr val="000000"/>
                </a:solidFill>
                <a:latin typeface="Berlin Sans FB" panose="020E0602020502020306" pitchFamily="34" charset="0"/>
                <a:cs typeface="Calibri"/>
              </a:rPr>
              <a:pPr/>
              <a:t>Despesas / Custos: Junho 2025</a:t>
            </a:fld>
            <a:endParaRPr lang="pt-BR" sz="1200">
              <a:latin typeface="Berlin Sans FB" panose="020E0602020502020306" pitchFamily="34" charset="0"/>
            </a:endParaRPr>
          </a:p>
        </xdr:txBody>
      </xdr:sp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71507" y="4173322"/>
            <a:ext cx="315181" cy="295275"/>
          </a:xfrm>
          <a:prstGeom prst="rect">
            <a:avLst/>
          </a:prstGeom>
        </xdr:spPr>
      </xdr:pic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5765742" y="4533900"/>
            <a:ext cx="1368058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/>
              <a:t>Despesa</a:t>
            </a:r>
            <a:r>
              <a:rPr lang="pt-BR" sz="1000" baseline="0"/>
              <a:t> com Vendas</a:t>
            </a:r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5765742" y="4886325"/>
            <a:ext cx="1608499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/>
              <a:t>Despesas Administrativas</a:t>
            </a:r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5765742" y="5238750"/>
            <a:ext cx="949188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/>
              <a:t>Custo Vendas</a:t>
            </a:r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5765742" y="5591175"/>
            <a:ext cx="1075740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/>
              <a:t>Custo Revendas</a:t>
            </a:r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5765742" y="5943600"/>
            <a:ext cx="1553812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/>
              <a:t>Custo Serviços/Locações</a:t>
            </a: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074347" y="3686175"/>
            <a:ext cx="1990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1043846" y="3676650"/>
            <a:ext cx="1990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endParaRPr lang="pt-BR" sz="1100"/>
          </a:p>
        </xdr:txBody>
      </xdr: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3389227" y="999670"/>
            <a:ext cx="9614666" cy="5363937"/>
            <a:chOff x="4641524" y="1190171"/>
            <a:chExt cx="9598351" cy="5363937"/>
          </a:xfrm>
        </xdr:grpSpPr>
        <xdr:sp macro="" textlink="FORMULAS!B19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4900386" y="4762046"/>
              <a:ext cx="1237266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245CCCB0-8001-4141-BA71-4CCB8509FCC8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( 865.280,91)</a:t>
              </a:fld>
              <a:endParaRPr lang="pt-BR" sz="1100"/>
            </a:p>
          </xdr:txBody>
        </xdr:sp>
        <xdr:sp macro="" textlink="FORMULAS!A19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SpPr txBox="1"/>
          </xdr:nvSpPr>
          <xdr:spPr>
            <a:xfrm>
              <a:off x="4900386" y="5095421"/>
              <a:ext cx="112479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DCAD3C34-37DE-49AF-96E1-4DACDFBBB453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( 714.950,30)</a:t>
              </a:fld>
              <a:endParaRPr lang="pt-BR" sz="1100"/>
            </a:p>
          </xdr:txBody>
        </xdr:sp>
        <xdr:sp macro="" textlink="FORMULAS!C19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SpPr txBox="1"/>
          </xdr:nvSpPr>
          <xdr:spPr>
            <a:xfrm>
              <a:off x="4641524" y="5789065"/>
              <a:ext cx="1237266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5AACF1F8-A304-4E24-A104-4E20DBBFCF43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( 995.177,46)</a:t>
              </a:fld>
              <a:endParaRPr lang="pt-BR" sz="1100"/>
            </a:p>
          </xdr:txBody>
        </xdr:sp>
        <xdr:sp macro="" textlink="FORMULAS!D19">
          <xdr:nvSpPr>
            <xdr:cNvPr id="71" name="CaixaDeTexto 70">
              <a:extLst>
                <a:ext uri="{FF2B5EF4-FFF2-40B4-BE49-F238E27FC236}">
                  <a16:creationId xmlns:a16="http://schemas.microsoft.com/office/drawing/2014/main" id="{00000000-0008-0000-0000-000047000000}"/>
                </a:ext>
              </a:extLst>
            </xdr:cNvPr>
            <xdr:cNvSpPr txBox="1"/>
          </xdr:nvSpPr>
          <xdr:spPr>
            <a:xfrm>
              <a:off x="4642785" y="5468470"/>
              <a:ext cx="130557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fld id="{FE78189D-38BD-4D51-948F-DC20F2913C4F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( 5.849.927,32)</a:t>
              </a:fld>
              <a:endParaRPr lang="pt-BR" sz="1100"/>
            </a:p>
          </xdr:txBody>
        </xdr:sp>
        <xdr:sp macro="" textlink="FORMULAS!E19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SpPr txBox="1"/>
          </xdr:nvSpPr>
          <xdr:spPr>
            <a:xfrm>
              <a:off x="4900385" y="6152696"/>
              <a:ext cx="108355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fld id="{90E2F830-FA80-4ED4-9C49-6D3763FBBE9E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( 3.574,18)</a:t>
              </a:fld>
              <a:endParaRPr lang="pt-BR" sz="1100"/>
            </a:p>
          </xdr:txBody>
        </xdr:sp>
        <xdr:sp macro="" textlink="FORMULAS!A21">
          <xdr:nvSpPr>
            <xdr:cNvPr id="73" name="CaixaDeTexto 72">
              <a:extLst>
                <a:ext uri="{FF2B5EF4-FFF2-40B4-BE49-F238E27FC236}">
                  <a16:creationId xmlns:a16="http://schemas.microsoft.com/office/drawing/2014/main" id="{00000000-0008-0000-0000-000049000000}"/>
                </a:ext>
              </a:extLst>
            </xdr:cNvPr>
            <xdr:cNvSpPr txBox="1"/>
          </xdr:nvSpPr>
          <xdr:spPr>
            <a:xfrm>
              <a:off x="8450036" y="5095421"/>
              <a:ext cx="1039515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BBB576D3-B9D0-46FE-8471-7ACCE203C802}" type="TxLink">
                <a:rPr lang="en-US" sz="1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( 1.292.584,27)</a:t>
              </a:fld>
              <a:endParaRPr lang="pt-BR" sz="1000"/>
            </a:p>
          </xdr:txBody>
        </xdr:sp>
        <xdr:sp macro="" textlink="FORMULAS!D21">
          <xdr:nvSpPr>
            <xdr:cNvPr id="74" name="CaixaDeTexto 73">
              <a:extLst>
                <a:ext uri="{FF2B5EF4-FFF2-40B4-BE49-F238E27FC236}">
                  <a16:creationId xmlns:a16="http://schemas.microsoft.com/office/drawing/2014/main" id="{00000000-0008-0000-0000-00004A000000}"/>
                </a:ext>
              </a:extLst>
            </xdr:cNvPr>
            <xdr:cNvSpPr txBox="1"/>
          </xdr:nvSpPr>
          <xdr:spPr>
            <a:xfrm>
              <a:off x="8459561" y="5419271"/>
              <a:ext cx="1136914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AC0DA67B-F41C-4E7D-AC3D-649F225AFC01}" type="TxLink">
                <a:rPr lang="en-US" sz="1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( 2.734.612,65)</a:t>
              </a:fld>
              <a:endParaRPr lang="pt-BR" sz="1000"/>
            </a:p>
          </xdr:txBody>
        </xdr:sp>
        <xdr:sp macro="" textlink="FORMULAS!C21">
          <xdr:nvSpPr>
            <xdr:cNvPr id="75" name="CaixaDeTexto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SpPr txBox="1"/>
          </xdr:nvSpPr>
          <xdr:spPr>
            <a:xfrm>
              <a:off x="8450036" y="5790746"/>
              <a:ext cx="1141889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29CF7A4D-ABD2-48EE-9F20-BA6ED0E83DCB}" type="TxLink">
                <a:rPr lang="en-US" sz="1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( 1.373.916,99)</a:t>
              </a:fld>
              <a:endParaRPr lang="pt-BR" sz="1000"/>
            </a:p>
          </xdr:txBody>
        </xdr:sp>
        <xdr:sp macro="" textlink="FORMULAS!E21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SpPr txBox="1"/>
          </xdr:nvSpPr>
          <xdr:spPr>
            <a:xfrm>
              <a:off x="8450036" y="6133646"/>
              <a:ext cx="913459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23F36109-892E-4F72-A66B-7E138B4ED18C}" type="TxLink">
                <a:rPr lang="en-US" sz="1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R$ 298,03</a:t>
              </a:fld>
              <a:endParaRPr lang="pt-BR" sz="1000"/>
            </a:p>
          </xdr:txBody>
        </xdr:sp>
        <xdr:sp macro="" textlink="FORMULAS!B21">
          <xdr:nvSpPr>
            <xdr:cNvPr id="77" name="CaixaDeTexto 76">
              <a:extLst>
                <a:ext uri="{FF2B5EF4-FFF2-40B4-BE49-F238E27FC236}">
                  <a16:creationId xmlns:a16="http://schemas.microsoft.com/office/drawing/2014/main" id="{00000000-0008-0000-0000-00004D000000}"/>
                </a:ext>
              </a:extLst>
            </xdr:cNvPr>
            <xdr:cNvSpPr txBox="1"/>
          </xdr:nvSpPr>
          <xdr:spPr>
            <a:xfrm>
              <a:off x="8450036" y="4742996"/>
              <a:ext cx="1141889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C29F8820-A4BC-4393-B6F1-90993DD2BE8E}" type="TxLink">
                <a:rPr lang="en-US" sz="1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( 1.115.937,82)</a:t>
              </a:fld>
              <a:endParaRPr lang="pt-BR" sz="10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78" name="Imagem 77">
                  <a:extLst>
                    <a:ext uri="{FF2B5EF4-FFF2-40B4-BE49-F238E27FC236}">
                      <a16:creationId xmlns:a16="http://schemas.microsoft.com/office/drawing/2014/main" id="{00000000-0008-0000-0000-00004E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FORMULAS!$H$6" spid="_x0000_s987892"/>
                    </a:ext>
                  </a:extLst>
                </xdr:cNvPicPr>
              </xdr:nvPicPr>
              <xdr:blipFill>
                <a:blip xmlns:r="http://schemas.openxmlformats.org/officeDocument/2006/relationships" r:embed="rId16"/>
                <a:srcRect/>
                <a:stretch>
                  <a:fillRect/>
                </a:stretch>
              </xdr:blipFill>
              <xdr:spPr bwMode="auto">
                <a:xfrm>
                  <a:off x="6051096" y="5143046"/>
                  <a:ext cx="708933" cy="20211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79" name="Imagem 78">
                  <a:extLst>
                    <a:ext uri="{FF2B5EF4-FFF2-40B4-BE49-F238E27FC236}">
                      <a16:creationId xmlns:a16="http://schemas.microsoft.com/office/drawing/2014/main" id="{00000000-0008-0000-0000-00004F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FORMULAS!$I$6" spid="_x0000_s987893"/>
                    </a:ext>
                  </a:extLst>
                </xdr:cNvPicPr>
              </xdr:nvPicPr>
              <xdr:blipFill>
                <a:blip xmlns:r="http://schemas.openxmlformats.org/officeDocument/2006/relationships" r:embed="rId17"/>
                <a:srcRect/>
                <a:stretch>
                  <a:fillRect/>
                </a:stretch>
              </xdr:blipFill>
              <xdr:spPr bwMode="auto">
                <a:xfrm>
                  <a:off x="6051096" y="4819196"/>
                  <a:ext cx="708933" cy="200025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80" name="Imagem 79">
                  <a:extLst>
                    <a:ext uri="{FF2B5EF4-FFF2-40B4-BE49-F238E27FC236}">
                      <a16:creationId xmlns:a16="http://schemas.microsoft.com/office/drawing/2014/main" id="{00000000-0008-0000-0000-000050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FORMULAS!$J$6" spid="_x0000_s987894"/>
                    </a:ext>
                  </a:extLst>
                </xdr:cNvPicPr>
              </xdr:nvPicPr>
              <xdr:blipFill>
                <a:blip xmlns:r="http://schemas.openxmlformats.org/officeDocument/2006/relationships" r:embed="rId18"/>
                <a:srcRect/>
                <a:stretch>
                  <a:fillRect/>
                </a:stretch>
              </xdr:blipFill>
              <xdr:spPr bwMode="auto">
                <a:xfrm>
                  <a:off x="6041570" y="5838371"/>
                  <a:ext cx="747034" cy="210837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81" name="Imagem 80">
                  <a:extLst>
                    <a:ext uri="{FF2B5EF4-FFF2-40B4-BE49-F238E27FC236}">
                      <a16:creationId xmlns:a16="http://schemas.microsoft.com/office/drawing/2014/main" id="{00000000-0008-0000-0000-000051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FORMULAS!$K$6" spid="_x0000_s987895"/>
                    </a:ext>
                  </a:extLst>
                </xdr:cNvPicPr>
              </xdr:nvPicPr>
              <xdr:blipFill>
                <a:blip xmlns:r="http://schemas.openxmlformats.org/officeDocument/2006/relationships" r:embed="rId19"/>
                <a:srcRect/>
                <a:stretch>
                  <a:fillRect/>
                </a:stretch>
              </xdr:blipFill>
              <xdr:spPr bwMode="auto">
                <a:xfrm>
                  <a:off x="6060621" y="5495471"/>
                  <a:ext cx="765334" cy="19050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82" name="Imagem 81">
                  <a:extLst>
                    <a:ext uri="{FF2B5EF4-FFF2-40B4-BE49-F238E27FC236}">
                      <a16:creationId xmlns:a16="http://schemas.microsoft.com/office/drawing/2014/main" id="{00000000-0008-0000-0000-000052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FORMULAS!$L$6" spid="_x0000_s987896"/>
                    </a:ext>
                  </a:extLst>
                </xdr:cNvPicPr>
              </xdr:nvPicPr>
              <xdr:blipFill>
                <a:blip xmlns:r="http://schemas.openxmlformats.org/officeDocument/2006/relationships" r:embed="rId20"/>
                <a:srcRect/>
                <a:stretch>
                  <a:fillRect/>
                </a:stretch>
              </xdr:blipFill>
              <xdr:spPr bwMode="auto">
                <a:xfrm>
                  <a:off x="6051096" y="6190796"/>
                  <a:ext cx="689883" cy="200025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xdr:sp macro="" textlink="">
          <xdr:nvSpPr>
            <xdr:cNvPr id="84" name="Retângulo 83"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9570357" y="1190171"/>
              <a:ext cx="4669518" cy="2600325"/>
            </a:xfrm>
            <a:prstGeom prst="rect">
              <a:avLst/>
            </a:prstGeom>
            <a:solidFill>
              <a:srgbClr val="FFFFFF">
                <a:alpha val="50196"/>
              </a:srgb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627507" y="1294945"/>
              <a:ext cx="4555218" cy="237172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FORMULAS!G24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 txBox="1"/>
          </xdr:nvSpPr>
          <xdr:spPr>
            <a:xfrm>
              <a:off x="9979931" y="1456871"/>
              <a:ext cx="1737632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94E318E9-9F58-4D63-A3C6-0C880E259EF0}" type="TxLink">
                <a:rPr lang="en-US" sz="1400" b="0" i="0" u="none" strike="noStrike">
                  <a:solidFill>
                    <a:srgbClr val="000000"/>
                  </a:solidFill>
                  <a:latin typeface="Berlin Sans FB" panose="020E0602020502020306" pitchFamily="34" charset="0"/>
                  <a:cs typeface="Calibri"/>
                </a:rPr>
                <a:pPr/>
                <a:t>Receita: Junho 2026</a:t>
              </a:fld>
              <a:endParaRPr lang="pt-BR" sz="1400" b="0">
                <a:latin typeface="Berlin Sans FB" panose="020E0602020502020306" pitchFamily="34" charset="0"/>
              </a:endParaRPr>
            </a:p>
          </xdr:txBody>
        </xdr:sp>
        <xdr:sp macro="" textlink="FORMULAS!G26">
          <xdr:nvSpPr>
            <xdr:cNvPr id="86" name="CaixaDeTexto 85"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 txBox="1"/>
          </xdr:nvSpPr>
          <xdr:spPr>
            <a:xfrm>
              <a:off x="11803288" y="1456871"/>
              <a:ext cx="2181225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DF1F7E5A-8BA3-4551-8F9F-D1A8EF650CF6}" type="TxLink">
                <a:rPr lang="en-US" sz="1400" b="0" i="0" u="none" strike="noStrike">
                  <a:solidFill>
                    <a:srgbClr val="000000"/>
                  </a:solidFill>
                  <a:latin typeface="Berlin Sans FB" panose="020E0602020502020306" pitchFamily="34" charset="0"/>
                  <a:cs typeface="Calibri"/>
                </a:rPr>
                <a:pPr algn="ctr"/>
                <a:t>Receita: Junho 2025</a:t>
              </a:fld>
              <a:endParaRPr lang="pt-BR" sz="1400">
                <a:latin typeface="Berlin Sans FB" panose="020E0602020502020306" pitchFamily="34" charset="0"/>
              </a:endParaRPr>
            </a:p>
          </xdr:txBody>
        </xdr:sp>
        <xdr:sp macro="" textlink="FORMULAS!G25">
          <xdr:nvSpPr>
            <xdr:cNvPr id="87" name="CaixaDeTexto 86"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 txBox="1"/>
          </xdr:nvSpPr>
          <xdr:spPr>
            <a:xfrm>
              <a:off x="10130518" y="1780721"/>
              <a:ext cx="1272721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E39284F5-37DD-4D2E-B4F2-60EB4DECADD4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 R$14.141.080,59 </a:t>
              </a:fld>
              <a:endParaRPr lang="pt-BR" sz="1100"/>
            </a:p>
          </xdr:txBody>
        </xdr:sp>
        <xdr:sp macro="" textlink="FORMULAS!G27">
          <xdr:nvSpPr>
            <xdr:cNvPr id="88" name="CaixaDeTexto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 txBox="1"/>
          </xdr:nvSpPr>
          <xdr:spPr>
            <a:xfrm>
              <a:off x="12559393" y="1780721"/>
              <a:ext cx="1272721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42619F72-79BC-4F1E-9EC3-1AE67FA4E277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 R$13.951.735,34 </a:t>
              </a:fld>
              <a:endParaRPr lang="pt-BR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90" name="Imagem 89">
                  <a:extLst>
                    <a:ext uri="{FF2B5EF4-FFF2-40B4-BE49-F238E27FC236}">
                      <a16:creationId xmlns:a16="http://schemas.microsoft.com/office/drawing/2014/main" id="{00000000-0008-0000-0000-00005A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FORMULAS!$I$25" spid="_x0000_s987897"/>
                    </a:ext>
                  </a:extLst>
                </xdr:cNvPicPr>
              </xdr:nvPicPr>
              <xdr:blipFill>
                <a:blip xmlns:r="http://schemas.openxmlformats.org/officeDocument/2006/relationships" r:embed="rId21"/>
                <a:srcRect/>
                <a:stretch>
                  <a:fillRect/>
                </a:stretch>
              </xdr:blipFill>
              <xdr:spPr bwMode="auto">
                <a:xfrm>
                  <a:off x="11505060" y="1837871"/>
                  <a:ext cx="704065" cy="200025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xdr:sp macro="" textlink="FORMULAS!J24">
          <xdr:nvSpPr>
            <xdr:cNvPr id="91" name="CaixaDeTexto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 txBox="1"/>
          </xdr:nvSpPr>
          <xdr:spPr>
            <a:xfrm>
              <a:off x="10006692" y="2209346"/>
              <a:ext cx="173944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12144998-3FF0-47C7-86D1-1CD4665415D2}" type="TxLink">
                <a:rPr lang="en-US" sz="1400" b="0" i="0" u="none" strike="noStrike">
                  <a:solidFill>
                    <a:srgbClr val="000000"/>
                  </a:solidFill>
                  <a:latin typeface="Berlin Sans FB" panose="020E0602020502020306" pitchFamily="34" charset="0"/>
                  <a:cs typeface="Calibri"/>
                </a:rPr>
                <a:pPr/>
                <a:t>Despesas: Junho 2026</a:t>
              </a:fld>
              <a:endParaRPr lang="pt-BR" sz="1800" b="0">
                <a:latin typeface="Berlin Sans FB" panose="020E0602020502020306" pitchFamily="34" charset="0"/>
              </a:endParaRPr>
            </a:p>
          </xdr:txBody>
        </xdr:sp>
        <xdr:sp macro="" textlink="FORMULAS!J26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 txBox="1"/>
          </xdr:nvSpPr>
          <xdr:spPr>
            <a:xfrm>
              <a:off x="12292692" y="2209346"/>
              <a:ext cx="172039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E4DF91D8-785D-43C2-84EA-98609FF47301}" type="TxLink">
                <a:rPr lang="en-US" sz="1400" b="0" i="0" u="none" strike="noStrike">
                  <a:solidFill>
                    <a:srgbClr val="000000"/>
                  </a:solidFill>
                  <a:latin typeface="Berlin Sans FB" panose="020E0602020502020306" pitchFamily="34" charset="0"/>
                  <a:cs typeface="Calibri"/>
                </a:rPr>
                <a:pPr algn="ctr"/>
                <a:t>Despesas: Junho 2025</a:t>
              </a:fld>
              <a:endParaRPr lang="pt-BR" sz="1800">
                <a:latin typeface="Berlin Sans FB" panose="020E0602020502020306" pitchFamily="34" charset="0"/>
              </a:endParaRPr>
            </a:p>
          </xdr:txBody>
        </xdr:sp>
        <xdr:sp macro="" textlink="FORMULAS!J25">
          <xdr:nvSpPr>
            <xdr:cNvPr id="93" name="CaixaDeTexto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 txBox="1"/>
          </xdr:nvSpPr>
          <xdr:spPr>
            <a:xfrm>
              <a:off x="10159092" y="2533196"/>
              <a:ext cx="1349481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48BD3E66-0DC9-4240-9ACD-57FF11853A03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( 1.580.231,21)</a:t>
              </a:fld>
              <a:endParaRPr lang="pt-BR" sz="1100"/>
            </a:p>
          </xdr:txBody>
        </xdr:sp>
        <xdr:sp macro="" textlink="FORMULAS!J27">
          <xdr:nvSpPr>
            <xdr:cNvPr id="94" name="CaixaDeTexto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 txBox="1"/>
          </xdr:nvSpPr>
          <xdr:spPr>
            <a:xfrm>
              <a:off x="12442439" y="2533195"/>
              <a:ext cx="1418250" cy="2906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861989F9-9BBC-4604-94E2-EA10512D00C6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( 2.408.522,09)</a:t>
              </a:fld>
              <a:endParaRPr lang="pt-BR" sz="1100"/>
            </a:p>
          </xdr:txBody>
        </xdr:sp>
        <xdr:sp macro="" textlink="FORMULAS!M24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 txBox="1"/>
          </xdr:nvSpPr>
          <xdr:spPr>
            <a:xfrm>
              <a:off x="9979931" y="2914196"/>
              <a:ext cx="1737632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31FB8A4-DB1A-4BE4-828F-D919299D496E}" type="TxLink">
                <a:rPr lang="en-US" sz="1400" b="0" i="0" u="none" strike="noStrike">
                  <a:solidFill>
                    <a:srgbClr val="000000"/>
                  </a:solidFill>
                  <a:latin typeface="Berlin Sans FB" panose="020E0602020502020306" pitchFamily="34" charset="0"/>
                  <a:cs typeface="Calibri"/>
                </a:rPr>
                <a:pPr/>
                <a:t>Custos: Junho 2026</a:t>
              </a:fld>
              <a:endParaRPr lang="pt-BR" sz="1800" b="0">
                <a:latin typeface="Berlin Sans FB" panose="020E0602020502020306" pitchFamily="34" charset="0"/>
              </a:endParaRPr>
            </a:p>
          </xdr:txBody>
        </xdr:sp>
        <xdr:sp macro="" textlink="FORMULAS!M26">
          <xdr:nvSpPr>
            <xdr:cNvPr id="96" name="CaixaDeTexto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 txBox="1"/>
          </xdr:nvSpPr>
          <xdr:spPr>
            <a:xfrm>
              <a:off x="11803288" y="2914196"/>
              <a:ext cx="2181225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74271911-3216-4D4E-B808-EF485E35D37F}" type="TxLink">
                <a:rPr lang="en-US" sz="1400" b="0" i="0" u="none" strike="noStrike">
                  <a:solidFill>
                    <a:srgbClr val="000000"/>
                  </a:solidFill>
                  <a:latin typeface="Berlin Sans FB" panose="020E0602020502020306" pitchFamily="34" charset="0"/>
                  <a:cs typeface="Calibri"/>
                </a:rPr>
                <a:pPr algn="ctr"/>
                <a:t>Custos: Junho 2025</a:t>
              </a:fld>
              <a:endParaRPr lang="pt-BR" sz="1800">
                <a:latin typeface="Berlin Sans FB" panose="020E0602020502020306" pitchFamily="34" charset="0"/>
              </a:endParaRPr>
            </a:p>
          </xdr:txBody>
        </xdr:sp>
        <xdr:sp macro="" textlink="FORMULAS!M25">
          <xdr:nvSpPr>
            <xdr:cNvPr id="97" name="CaixaDeTexto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SpPr txBox="1"/>
          </xdr:nvSpPr>
          <xdr:spPr>
            <a:xfrm>
              <a:off x="10130517" y="3238046"/>
              <a:ext cx="141559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DAD50CB-9F61-440F-866D-3C8843006ED4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( 6.848.678,96)</a:t>
              </a:fld>
              <a:endParaRPr lang="pt-BR" sz="1100"/>
            </a:p>
          </xdr:txBody>
        </xdr:sp>
        <xdr:sp macro="" textlink="FORMULAS!M27">
          <xdr:nvSpPr>
            <xdr:cNvPr id="98" name="CaixaDeTexto 97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 txBox="1"/>
          </xdr:nvSpPr>
          <xdr:spPr>
            <a:xfrm>
              <a:off x="12559392" y="3238046"/>
              <a:ext cx="151084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5F951A6C-D9D7-463C-BE15-64C2280C3941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R$ ( 4.108.231,61)</a:t>
              </a:fld>
              <a:endParaRPr lang="pt-BR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99" name="Imagem 98">
                  <a:extLst>
                    <a:ext uri="{FF2B5EF4-FFF2-40B4-BE49-F238E27FC236}">
                      <a16:creationId xmlns:a16="http://schemas.microsoft.com/office/drawing/2014/main" id="{00000000-0008-0000-0000-000063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FORMULAS!$L$25" spid="_x0000_s987898"/>
                    </a:ext>
                  </a:extLst>
                </xdr:cNvPicPr>
              </xdr:nvPicPr>
              <xdr:blipFill>
                <a:blip xmlns:r="http://schemas.openxmlformats.org/officeDocument/2006/relationships" r:embed="rId22"/>
                <a:srcRect/>
                <a:stretch>
                  <a:fillRect/>
                </a:stretch>
              </xdr:blipFill>
              <xdr:spPr bwMode="auto">
                <a:xfrm>
                  <a:off x="11562210" y="2609396"/>
                  <a:ext cx="685015" cy="200025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00" name="Imagem 99">
                  <a:extLst>
                    <a:ext uri="{FF2B5EF4-FFF2-40B4-BE49-F238E27FC236}">
                      <a16:creationId xmlns:a16="http://schemas.microsoft.com/office/drawing/2014/main" id="{00000000-0008-0000-0000-000064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FORMULAS!$O$25" spid="_x0000_s987899"/>
                    </a:ext>
                  </a:extLst>
                </xdr:cNvPicPr>
              </xdr:nvPicPr>
              <xdr:blipFill>
                <a:blip xmlns:r="http://schemas.openxmlformats.org/officeDocument/2006/relationships" r:embed="rId23"/>
                <a:srcRect/>
                <a:stretch>
                  <a:fillRect/>
                </a:stretch>
              </xdr:blipFill>
              <xdr:spPr bwMode="auto">
                <a:xfrm>
                  <a:off x="11543160" y="3276146"/>
                  <a:ext cx="685015" cy="200025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xdr:graphicFrame macro="">
          <xdr:nvGraphicFramePr>
            <xdr:cNvPr id="83" name="Gráfico 82"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GraphicFramePr>
              <a:graphicFrameLocks/>
            </xdr:cNvGraphicFramePr>
          </xdr:nvGraphicFramePr>
          <xdr:xfrm>
            <a:off x="9619344" y="3934734"/>
            <a:ext cx="4564743" cy="261937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</xdr:grpSp>
      <xdr:sp macro="" textlink="">
        <xdr:nvSpPr>
          <xdr:cNvPr id="102" name="CaixaDeTexto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 txBox="1"/>
        </xdr:nvSpPr>
        <xdr:spPr>
          <a:xfrm>
            <a:off x="2274213" y="3093811"/>
            <a:ext cx="1546673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400"/>
              <a:t>Receita Exportação</a:t>
            </a:r>
          </a:p>
        </xdr:txBody>
      </xdr:sp>
      <xdr:sp macro="" textlink="FORMULAS!Q29">
        <xdr:nvSpPr>
          <xdr:cNvPr id="103" name="CaixaDeTexto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 txBox="1"/>
        </xdr:nvSpPr>
        <xdr:spPr>
          <a:xfrm>
            <a:off x="3884389" y="3111953"/>
            <a:ext cx="1064985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A4883D7F-7F86-4DE3-9DEB-4ABEBFEBC5A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R$1.484.696,19 </a:t>
            </a:fld>
            <a:endParaRPr lang="pt-BR" sz="12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04" name="Imagem 103">
                <a:extLst>
                  <a:ext uri="{FF2B5EF4-FFF2-40B4-BE49-F238E27FC236}">
                    <a16:creationId xmlns:a16="http://schemas.microsoft.com/office/drawing/2014/main" id="{00000000-0008-0000-0000-000068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RMULAS!L2" spid="_x0000_s987900"/>
                  </a:ext>
                </a:extLst>
              </xdr:cNvPicPr>
            </xdr:nvPicPr>
            <xdr:blipFill>
              <a:blip xmlns:r="http://schemas.openxmlformats.org/officeDocument/2006/relationships" r:embed="rId25"/>
              <a:srcRect/>
              <a:stretch>
                <a:fillRect/>
              </a:stretch>
            </xdr:blipFill>
            <xdr:spPr bwMode="auto">
              <a:xfrm>
                <a:off x="5068207" y="3121025"/>
                <a:ext cx="721815" cy="19673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5786666" y="3157764"/>
            <a:ext cx="1128577" cy="2567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050"/>
              <a:t>Receita Exportação</a:t>
            </a:r>
          </a:p>
        </xdr:txBody>
      </xdr:sp>
      <xdr:sp macro="" textlink="FORMULAS!U29">
        <xdr:nvSpPr>
          <xdr:cNvPr id="106" name="CaixaDeTexto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6880346" y="3138714"/>
            <a:ext cx="2305030" cy="27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6FC7625F-0913-4F8C-BDD2-BCF35EBCDBFC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 R$664.516,92 </a:t>
            </a:fld>
            <a:endParaRPr lang="pt-BR" sz="1050"/>
          </a:p>
        </xdr:txBody>
      </xdr:sp>
    </xdr:grpSp>
    <xdr:clientData/>
  </xdr:twoCellAnchor>
  <xdr:twoCellAnchor editAs="absolute">
    <xdr:from>
      <xdr:col>20</xdr:col>
      <xdr:colOff>589642</xdr:colOff>
      <xdr:row>3</xdr:row>
      <xdr:rowOff>27211</xdr:rowOff>
    </xdr:from>
    <xdr:to>
      <xdr:col>25</xdr:col>
      <xdr:colOff>808714</xdr:colOff>
      <xdr:row>33</xdr:row>
      <xdr:rowOff>156633</xdr:rowOff>
    </xdr:to>
    <xdr:sp macro="" textlink="">
      <xdr:nvSpPr>
        <xdr:cNvPr id="107" name="Retângulo: Cantos Arredondados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>
          <a:off x="13471071" y="798282"/>
          <a:ext cx="3258000" cy="5844422"/>
        </a:xfrm>
        <a:prstGeom prst="roundRect">
          <a:avLst/>
        </a:prstGeom>
        <a:solidFill>
          <a:srgbClr val="FAC62A">
            <a:alpha val="81176"/>
          </a:srgb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448580</xdr:colOff>
      <xdr:row>5</xdr:row>
      <xdr:rowOff>11951</xdr:rowOff>
    </xdr:from>
    <xdr:to>
      <xdr:col>25</xdr:col>
      <xdr:colOff>328837</xdr:colOff>
      <xdr:row>6</xdr:row>
      <xdr:rowOff>148022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 txBox="1"/>
      </xdr:nvSpPr>
      <xdr:spPr>
        <a:xfrm>
          <a:off x="13937794" y="1164022"/>
          <a:ext cx="2311400" cy="326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/>
            <a:t>IMPOSTOS GERADOS</a:t>
          </a:r>
        </a:p>
      </xdr:txBody>
    </xdr:sp>
    <xdr:clientData/>
  </xdr:twoCellAnchor>
  <xdr:twoCellAnchor>
    <xdr:from>
      <xdr:col>21</xdr:col>
      <xdr:colOff>22677</xdr:colOff>
      <xdr:row>6</xdr:row>
      <xdr:rowOff>106285</xdr:rowOff>
    </xdr:from>
    <xdr:to>
      <xdr:col>25</xdr:col>
      <xdr:colOff>764720</xdr:colOff>
      <xdr:row>18</xdr:row>
      <xdr:rowOff>88285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>
          <a:off x="13511891" y="1448856"/>
          <a:ext cx="3173186" cy="2268000"/>
        </a:xfrm>
        <a:prstGeom prst="rect">
          <a:avLst/>
        </a:prstGeom>
        <a:solidFill>
          <a:srgbClr val="FFFFFF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50809</xdr:colOff>
      <xdr:row>6</xdr:row>
      <xdr:rowOff>171601</xdr:rowOff>
    </xdr:from>
    <xdr:to>
      <xdr:col>25</xdr:col>
      <xdr:colOff>719362</xdr:colOff>
      <xdr:row>18</xdr:row>
      <xdr:rowOff>45601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>
          <a:off x="13540023" y="1514172"/>
          <a:ext cx="3099696" cy="21600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57146</xdr:colOff>
      <xdr:row>8</xdr:row>
      <xdr:rowOff>101804</xdr:rowOff>
    </xdr:from>
    <xdr:to>
      <xdr:col>21</xdr:col>
      <xdr:colOff>485775</xdr:colOff>
      <xdr:row>9</xdr:row>
      <xdr:rowOff>127304</xdr:rowOff>
    </xdr:to>
    <xdr:sp macro="" textlink="">
      <xdr:nvSpPr>
        <xdr:cNvPr id="111" name="CaixaDeTexto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13573121" y="1816304"/>
          <a:ext cx="428629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IRPJ</a:t>
          </a:r>
        </a:p>
      </xdr:txBody>
    </xdr:sp>
    <xdr:clientData/>
  </xdr:twoCellAnchor>
  <xdr:twoCellAnchor editAs="absolute">
    <xdr:from>
      <xdr:col>21</xdr:col>
      <xdr:colOff>57146</xdr:colOff>
      <xdr:row>10</xdr:row>
      <xdr:rowOff>58245</xdr:rowOff>
    </xdr:from>
    <xdr:to>
      <xdr:col>22</xdr:col>
      <xdr:colOff>62590</xdr:colOff>
      <xdr:row>12</xdr:row>
      <xdr:rowOff>2019</xdr:rowOff>
    </xdr:to>
    <xdr:sp macro="" textlink="">
      <xdr:nvSpPr>
        <xdr:cNvPr id="112" name="CaixaDeTexto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3546360" y="2162816"/>
          <a:ext cx="613230" cy="324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CSLL</a:t>
          </a:r>
        </a:p>
      </xdr:txBody>
    </xdr:sp>
    <xdr:clientData/>
  </xdr:twoCellAnchor>
  <xdr:twoCellAnchor editAs="absolute">
    <xdr:from>
      <xdr:col>21</xdr:col>
      <xdr:colOff>57146</xdr:colOff>
      <xdr:row>11</xdr:row>
      <xdr:rowOff>172562</xdr:rowOff>
    </xdr:from>
    <xdr:to>
      <xdr:col>22</xdr:col>
      <xdr:colOff>62590</xdr:colOff>
      <xdr:row>13</xdr:row>
      <xdr:rowOff>118134</xdr:rowOff>
    </xdr:to>
    <xdr:sp macro="" textlink="">
      <xdr:nvSpPr>
        <xdr:cNvPr id="113" name="CaixaDeTexto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 txBox="1"/>
      </xdr:nvSpPr>
      <xdr:spPr>
        <a:xfrm>
          <a:off x="13546360" y="2467633"/>
          <a:ext cx="613230" cy="326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ICMS</a:t>
          </a:r>
        </a:p>
      </xdr:txBody>
    </xdr:sp>
    <xdr:clientData/>
  </xdr:twoCellAnchor>
  <xdr:twoCellAnchor editAs="absolute">
    <xdr:from>
      <xdr:col>21</xdr:col>
      <xdr:colOff>57146</xdr:colOff>
      <xdr:row>13</xdr:row>
      <xdr:rowOff>99974</xdr:rowOff>
    </xdr:from>
    <xdr:to>
      <xdr:col>22</xdr:col>
      <xdr:colOff>62590</xdr:colOff>
      <xdr:row>15</xdr:row>
      <xdr:rowOff>45544</xdr:rowOff>
    </xdr:to>
    <xdr:sp macro="" textlink="">
      <xdr:nvSpPr>
        <xdr:cNvPr id="114" name="CaixaDeTexto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13546360" y="2776045"/>
          <a:ext cx="613230" cy="3265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IPI</a:t>
          </a:r>
        </a:p>
      </xdr:txBody>
    </xdr:sp>
    <xdr:clientData/>
  </xdr:twoCellAnchor>
  <xdr:twoCellAnchor editAs="absolute">
    <xdr:from>
      <xdr:col>21</xdr:col>
      <xdr:colOff>57146</xdr:colOff>
      <xdr:row>15</xdr:row>
      <xdr:rowOff>25587</xdr:rowOff>
    </xdr:from>
    <xdr:to>
      <xdr:col>22</xdr:col>
      <xdr:colOff>62590</xdr:colOff>
      <xdr:row>16</xdr:row>
      <xdr:rowOff>159861</xdr:rowOff>
    </xdr:to>
    <xdr:sp macro="" textlink="">
      <xdr:nvSpPr>
        <xdr:cNvPr id="115" name="CaixaDeTexto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13546360" y="3082658"/>
          <a:ext cx="613230" cy="324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PIS</a:t>
          </a:r>
        </a:p>
      </xdr:txBody>
    </xdr:sp>
    <xdr:clientData/>
  </xdr:twoCellAnchor>
  <xdr:twoCellAnchor editAs="absolute">
    <xdr:from>
      <xdr:col>21</xdr:col>
      <xdr:colOff>79827</xdr:colOff>
      <xdr:row>6</xdr:row>
      <xdr:rowOff>183854</xdr:rowOff>
    </xdr:from>
    <xdr:to>
      <xdr:col>25</xdr:col>
      <xdr:colOff>639534</xdr:colOff>
      <xdr:row>8</xdr:row>
      <xdr:rowOff>58663</xdr:rowOff>
    </xdr:to>
    <xdr:sp macro="" textlink="FORMULAS!W7">
      <xdr:nvSpPr>
        <xdr:cNvPr id="116" name="CaixaDeTexto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 txBox="1"/>
      </xdr:nvSpPr>
      <xdr:spPr>
        <a:xfrm>
          <a:off x="13595802" y="1517354"/>
          <a:ext cx="2998107" cy="255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F839F3-6648-420C-B2C2-AF3A1EFC4A7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Junho 2026 X Junho 2025</a:t>
          </a:fld>
          <a:endParaRPr lang="pt-BR" sz="1200" b="1"/>
        </a:p>
      </xdr:txBody>
    </xdr:sp>
    <xdr:clientData/>
  </xdr:twoCellAnchor>
  <xdr:twoCellAnchor editAs="absolute">
    <xdr:from>
      <xdr:col>21</xdr:col>
      <xdr:colOff>470002</xdr:colOff>
      <xdr:row>8</xdr:row>
      <xdr:rowOff>101804</xdr:rowOff>
    </xdr:from>
    <xdr:to>
      <xdr:col>23</xdr:col>
      <xdr:colOff>295275</xdr:colOff>
      <xdr:row>9</xdr:row>
      <xdr:rowOff>127304</xdr:rowOff>
    </xdr:to>
    <xdr:sp macro="" textlink="FORMULAS!P3">
      <xdr:nvSpPr>
        <xdr:cNvPr id="117" name="CaixaDeTexto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13985977" y="1816304"/>
          <a:ext cx="1044473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E170A26-8ACD-4458-89EA-0062132019E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R$275.600,82 </a:t>
          </a:fld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485076</xdr:colOff>
      <xdr:row>10</xdr:row>
      <xdr:rowOff>33074</xdr:rowOff>
    </xdr:from>
    <xdr:to>
      <xdr:col>23</xdr:col>
      <xdr:colOff>583520</xdr:colOff>
      <xdr:row>11</xdr:row>
      <xdr:rowOff>171490</xdr:rowOff>
    </xdr:to>
    <xdr:sp macro="" textlink="FORMULAS!Q3">
      <xdr:nvSpPr>
        <xdr:cNvPr id="118" name="CaixaDeTexto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13974290" y="2137645"/>
          <a:ext cx="1314016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A4F0680-66D0-48B2-8A26-18B7F33CC2C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R$99.936,30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54271</xdr:colOff>
      <xdr:row>16</xdr:row>
      <xdr:rowOff>110593</xdr:rowOff>
    </xdr:from>
    <xdr:to>
      <xdr:col>22</xdr:col>
      <xdr:colOff>59715</xdr:colOff>
      <xdr:row>18</xdr:row>
      <xdr:rowOff>54367</xdr:rowOff>
    </xdr:to>
    <xdr:sp macro="" textlink="">
      <xdr:nvSpPr>
        <xdr:cNvPr id="119" name="CaixaDeTexto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3543485" y="3358164"/>
          <a:ext cx="613230" cy="324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COFINS</a:t>
          </a:r>
        </a:p>
      </xdr:txBody>
    </xdr:sp>
    <xdr:clientData/>
  </xdr:twoCellAnchor>
  <xdr:twoCellAnchor>
    <xdr:from>
      <xdr:col>21</xdr:col>
      <xdr:colOff>22677</xdr:colOff>
      <xdr:row>20</xdr:row>
      <xdr:rowOff>1510</xdr:rowOff>
    </xdr:from>
    <xdr:to>
      <xdr:col>25</xdr:col>
      <xdr:colOff>764720</xdr:colOff>
      <xdr:row>31</xdr:row>
      <xdr:rowOff>174010</xdr:rowOff>
    </xdr:to>
    <xdr:sp macro="" textlink="">
      <xdr:nvSpPr>
        <xdr:cNvPr id="120" name="Retângulo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>
          <a:off x="13511891" y="4011081"/>
          <a:ext cx="3173186" cy="2268000"/>
        </a:xfrm>
        <a:prstGeom prst="rect">
          <a:avLst/>
        </a:prstGeom>
        <a:solidFill>
          <a:srgbClr val="FFFFFF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50809</xdr:colOff>
      <xdr:row>20</xdr:row>
      <xdr:rowOff>66826</xdr:rowOff>
    </xdr:from>
    <xdr:to>
      <xdr:col>25</xdr:col>
      <xdr:colOff>719362</xdr:colOff>
      <xdr:row>31</xdr:row>
      <xdr:rowOff>131326</xdr:rowOff>
    </xdr:to>
    <xdr:sp macro="" textlink="">
      <xdr:nvSpPr>
        <xdr:cNvPr id="121" name="Retângulo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13540023" y="4076397"/>
          <a:ext cx="3099696" cy="21600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57146</xdr:colOff>
      <xdr:row>22</xdr:row>
      <xdr:rowOff>26059</xdr:rowOff>
    </xdr:from>
    <xdr:to>
      <xdr:col>22</xdr:col>
      <xdr:colOff>63174</xdr:colOff>
      <xdr:row>23</xdr:row>
      <xdr:rowOff>163927</xdr:rowOff>
    </xdr:to>
    <xdr:sp macro="" textlink="">
      <xdr:nvSpPr>
        <xdr:cNvPr id="122" name="CaixaDeTexto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3546360" y="4416630"/>
          <a:ext cx="613814" cy="3283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IRPJ</a:t>
          </a:r>
        </a:p>
      </xdr:txBody>
    </xdr:sp>
    <xdr:clientData/>
  </xdr:twoCellAnchor>
  <xdr:twoCellAnchor editAs="absolute">
    <xdr:from>
      <xdr:col>21</xdr:col>
      <xdr:colOff>57146</xdr:colOff>
      <xdr:row>23</xdr:row>
      <xdr:rowOff>143970</xdr:rowOff>
    </xdr:from>
    <xdr:to>
      <xdr:col>22</xdr:col>
      <xdr:colOff>62590</xdr:colOff>
      <xdr:row>25</xdr:row>
      <xdr:rowOff>87744</xdr:rowOff>
    </xdr:to>
    <xdr:sp macro="" textlink="">
      <xdr:nvSpPr>
        <xdr:cNvPr id="123" name="CaixaDeTexto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3546360" y="4725041"/>
          <a:ext cx="613230" cy="324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CSLL</a:t>
          </a:r>
        </a:p>
      </xdr:txBody>
    </xdr:sp>
    <xdr:clientData/>
  </xdr:twoCellAnchor>
  <xdr:twoCellAnchor editAs="absolute">
    <xdr:from>
      <xdr:col>21</xdr:col>
      <xdr:colOff>57146</xdr:colOff>
      <xdr:row>25</xdr:row>
      <xdr:rowOff>67787</xdr:rowOff>
    </xdr:from>
    <xdr:to>
      <xdr:col>22</xdr:col>
      <xdr:colOff>62590</xdr:colOff>
      <xdr:row>27</xdr:row>
      <xdr:rowOff>13359</xdr:rowOff>
    </xdr:to>
    <xdr:sp macro="" textlink="">
      <xdr:nvSpPr>
        <xdr:cNvPr id="124" name="CaixaDeTexto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3546360" y="5029858"/>
          <a:ext cx="613230" cy="326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ICMS</a:t>
          </a:r>
        </a:p>
      </xdr:txBody>
    </xdr:sp>
    <xdr:clientData/>
  </xdr:twoCellAnchor>
  <xdr:twoCellAnchor editAs="absolute">
    <xdr:from>
      <xdr:col>21</xdr:col>
      <xdr:colOff>57146</xdr:colOff>
      <xdr:row>26</xdr:row>
      <xdr:rowOff>185699</xdr:rowOff>
    </xdr:from>
    <xdr:to>
      <xdr:col>22</xdr:col>
      <xdr:colOff>62590</xdr:colOff>
      <xdr:row>28</xdr:row>
      <xdr:rowOff>131269</xdr:rowOff>
    </xdr:to>
    <xdr:sp macro="" textlink="">
      <xdr:nvSpPr>
        <xdr:cNvPr id="125" name="CaixaDeTexto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3546360" y="5338270"/>
          <a:ext cx="613230" cy="3265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IPI</a:t>
          </a:r>
        </a:p>
      </xdr:txBody>
    </xdr:sp>
    <xdr:clientData/>
  </xdr:twoCellAnchor>
  <xdr:twoCellAnchor editAs="absolute">
    <xdr:from>
      <xdr:col>21</xdr:col>
      <xdr:colOff>57146</xdr:colOff>
      <xdr:row>28</xdr:row>
      <xdr:rowOff>111312</xdr:rowOff>
    </xdr:from>
    <xdr:to>
      <xdr:col>22</xdr:col>
      <xdr:colOff>62590</xdr:colOff>
      <xdr:row>30</xdr:row>
      <xdr:rowOff>55086</xdr:rowOff>
    </xdr:to>
    <xdr:sp macro="" textlink="">
      <xdr:nvSpPr>
        <xdr:cNvPr id="126" name="CaixaDeTexto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3546360" y="5644883"/>
          <a:ext cx="613230" cy="324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PIS</a:t>
          </a:r>
        </a:p>
      </xdr:txBody>
    </xdr:sp>
    <xdr:clientData/>
  </xdr:twoCellAnchor>
  <xdr:twoCellAnchor editAs="absolute">
    <xdr:from>
      <xdr:col>21</xdr:col>
      <xdr:colOff>54271</xdr:colOff>
      <xdr:row>30</xdr:row>
      <xdr:rowOff>5818</xdr:rowOff>
    </xdr:from>
    <xdr:to>
      <xdr:col>22</xdr:col>
      <xdr:colOff>59715</xdr:colOff>
      <xdr:row>31</xdr:row>
      <xdr:rowOff>140092</xdr:rowOff>
    </xdr:to>
    <xdr:sp macro="" textlink="">
      <xdr:nvSpPr>
        <xdr:cNvPr id="127" name="CaixaDeTexto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13543485" y="5920389"/>
          <a:ext cx="613230" cy="324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050" b="1"/>
            <a:t>COFINS</a:t>
          </a:r>
        </a:p>
      </xdr:txBody>
    </xdr:sp>
    <xdr:clientData/>
  </xdr:twoCellAnchor>
  <xdr:twoCellAnchor editAs="absolute">
    <xdr:from>
      <xdr:col>21</xdr:col>
      <xdr:colOff>485076</xdr:colOff>
      <xdr:row>11</xdr:row>
      <xdr:rowOff>156899</xdr:rowOff>
    </xdr:from>
    <xdr:to>
      <xdr:col>23</xdr:col>
      <xdr:colOff>583520</xdr:colOff>
      <xdr:row>13</xdr:row>
      <xdr:rowOff>104815</xdr:rowOff>
    </xdr:to>
    <xdr:sp macro="" textlink="FORMULAS!R3">
      <xdr:nvSpPr>
        <xdr:cNvPr id="128" name="CaixaDeTexto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 txBox="1"/>
      </xdr:nvSpPr>
      <xdr:spPr>
        <a:xfrm>
          <a:off x="13974290" y="2451970"/>
          <a:ext cx="1314016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0DC5D96-FE36-47A1-B57D-AC171A8EDEB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R$24.861,30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504126</xdr:colOff>
      <xdr:row>13</xdr:row>
      <xdr:rowOff>90224</xdr:rowOff>
    </xdr:from>
    <xdr:to>
      <xdr:col>23</xdr:col>
      <xdr:colOff>602570</xdr:colOff>
      <xdr:row>15</xdr:row>
      <xdr:rowOff>38140</xdr:rowOff>
    </xdr:to>
    <xdr:sp macro="" textlink="FORMULAS!S3">
      <xdr:nvSpPr>
        <xdr:cNvPr id="129" name="CaixaDeTexto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13993340" y="2766295"/>
          <a:ext cx="1314016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695944A-E23C-42DC-B947-4DEAF3293BF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R$9.020,12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513651</xdr:colOff>
      <xdr:row>15</xdr:row>
      <xdr:rowOff>14024</xdr:rowOff>
    </xdr:from>
    <xdr:to>
      <xdr:col>24</xdr:col>
      <xdr:colOff>4310</xdr:colOff>
      <xdr:row>16</xdr:row>
      <xdr:rowOff>152440</xdr:rowOff>
    </xdr:to>
    <xdr:sp macro="" textlink="FORMULAS!T3">
      <xdr:nvSpPr>
        <xdr:cNvPr id="130" name="CaixaDeTexto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/>
      </xdr:nvSpPr>
      <xdr:spPr>
        <a:xfrm>
          <a:off x="14002865" y="3071095"/>
          <a:ext cx="1314016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4CB2D1C-45D9-40DD-AD86-974DE0782E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R$79.159,22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523176</xdr:colOff>
      <xdr:row>16</xdr:row>
      <xdr:rowOff>99749</xdr:rowOff>
    </xdr:from>
    <xdr:to>
      <xdr:col>24</xdr:col>
      <xdr:colOff>13835</xdr:colOff>
      <xdr:row>18</xdr:row>
      <xdr:rowOff>47665</xdr:rowOff>
    </xdr:to>
    <xdr:sp macro="" textlink="FORMULAS!U3">
      <xdr:nvSpPr>
        <xdr:cNvPr id="131" name="CaixaDeTexto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/>
      </xdr:nvSpPr>
      <xdr:spPr>
        <a:xfrm>
          <a:off x="14012390" y="3347320"/>
          <a:ext cx="1314016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FEA4C79-A1A1-4741-A5F2-48FE1D99CBD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R$927.275,09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24</xdr:col>
      <xdr:colOff>280969</xdr:colOff>
      <xdr:row>8</xdr:row>
      <xdr:rowOff>101804</xdr:rowOff>
    </xdr:from>
    <xdr:to>
      <xdr:col>25</xdr:col>
      <xdr:colOff>681824</xdr:colOff>
      <xdr:row>9</xdr:row>
      <xdr:rowOff>127304</xdr:rowOff>
    </xdr:to>
    <xdr:sp macro="" textlink="FORMULAS!P7">
      <xdr:nvSpPr>
        <xdr:cNvPr id="132" name="CaixaDeTexto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15625744" y="1816304"/>
          <a:ext cx="1010455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C6C2011-1E7A-4EAC-89B3-9D289821C89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R$(233.758,19)</a:t>
          </a:fld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24</xdr:col>
      <xdr:colOff>280969</xdr:colOff>
      <xdr:row>10</xdr:row>
      <xdr:rowOff>14024</xdr:rowOff>
    </xdr:from>
    <xdr:to>
      <xdr:col>25</xdr:col>
      <xdr:colOff>724383</xdr:colOff>
      <xdr:row>11</xdr:row>
      <xdr:rowOff>152440</xdr:rowOff>
    </xdr:to>
    <xdr:sp macro="" textlink="FORMULAS!Q7">
      <xdr:nvSpPr>
        <xdr:cNvPr id="133" name="CaixaDeTexto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/>
      </xdr:nvSpPr>
      <xdr:spPr>
        <a:xfrm>
          <a:off x="15625744" y="2109524"/>
          <a:ext cx="1053014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EF7A6D1-80E8-48B2-B649-5544965F4C0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R$(83.432,95)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24</xdr:col>
      <xdr:colOff>280969</xdr:colOff>
      <xdr:row>11</xdr:row>
      <xdr:rowOff>137849</xdr:rowOff>
    </xdr:from>
    <xdr:to>
      <xdr:col>25</xdr:col>
      <xdr:colOff>724383</xdr:colOff>
      <xdr:row>13</xdr:row>
      <xdr:rowOff>85765</xdr:rowOff>
    </xdr:to>
    <xdr:sp macro="" textlink="FORMULAS!R7">
      <xdr:nvSpPr>
        <xdr:cNvPr id="134" name="CaixaDeTexto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/>
      </xdr:nvSpPr>
      <xdr:spPr>
        <a:xfrm>
          <a:off x="15625744" y="2423849"/>
          <a:ext cx="1053014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1A7C699-A1E7-4AED-8856-D4C44A03416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R$73.283,96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24</xdr:col>
      <xdr:colOff>280969</xdr:colOff>
      <xdr:row>13</xdr:row>
      <xdr:rowOff>90224</xdr:rowOff>
    </xdr:from>
    <xdr:to>
      <xdr:col>25</xdr:col>
      <xdr:colOff>724383</xdr:colOff>
      <xdr:row>15</xdr:row>
      <xdr:rowOff>38140</xdr:rowOff>
    </xdr:to>
    <xdr:sp macro="" textlink="FORMULAS!S7">
      <xdr:nvSpPr>
        <xdr:cNvPr id="135" name="CaixaDeTexto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/>
      </xdr:nvSpPr>
      <xdr:spPr>
        <a:xfrm>
          <a:off x="15625744" y="2757224"/>
          <a:ext cx="1053014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71229A3-F2D4-438D-B020-993F89E0E3F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R$11.829,65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24</xdr:col>
      <xdr:colOff>280969</xdr:colOff>
      <xdr:row>14</xdr:row>
      <xdr:rowOff>185474</xdr:rowOff>
    </xdr:from>
    <xdr:to>
      <xdr:col>25</xdr:col>
      <xdr:colOff>724383</xdr:colOff>
      <xdr:row>16</xdr:row>
      <xdr:rowOff>133390</xdr:rowOff>
    </xdr:to>
    <xdr:sp macro="" textlink="FORMULAS!T7">
      <xdr:nvSpPr>
        <xdr:cNvPr id="136" name="CaixaDeTexto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/>
      </xdr:nvSpPr>
      <xdr:spPr>
        <a:xfrm>
          <a:off x="15625744" y="3042974"/>
          <a:ext cx="1053014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CDB2EF7-EC00-4AFF-AB78-E9693F7979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R$-  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24</xdr:col>
      <xdr:colOff>280969</xdr:colOff>
      <xdr:row>16</xdr:row>
      <xdr:rowOff>80699</xdr:rowOff>
    </xdr:from>
    <xdr:to>
      <xdr:col>25</xdr:col>
      <xdr:colOff>725259</xdr:colOff>
      <xdr:row>18</xdr:row>
      <xdr:rowOff>28615</xdr:rowOff>
    </xdr:to>
    <xdr:sp macro="" textlink="FORMULAS!U7">
      <xdr:nvSpPr>
        <xdr:cNvPr id="137" name="CaixaDeTexto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/>
      </xdr:nvSpPr>
      <xdr:spPr>
        <a:xfrm>
          <a:off x="15625744" y="3319199"/>
          <a:ext cx="1053890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CD23D6B-945B-4132-A4BA-FE2A005F7D6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R$-  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254904</xdr:colOff>
          <xdr:row>8</xdr:row>
          <xdr:rowOff>130379</xdr:rowOff>
        </xdr:from>
        <xdr:to>
          <xdr:col>24</xdr:col>
          <xdr:colOff>408504</xdr:colOff>
          <xdr:row>9</xdr:row>
          <xdr:rowOff>155889</xdr:rowOff>
        </xdr:to>
        <xdr:pic>
          <xdr:nvPicPr>
            <xdr:cNvPr id="138" name="Imagem 137">
              <a:extLst>
                <a:ext uri="{FF2B5EF4-FFF2-40B4-BE49-F238E27FC236}">
                  <a16:creationId xmlns:a16="http://schemas.microsoft.com/office/drawing/2014/main" id="{00000000-0008-0000-0000-00008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RMULAS!AD1" spid="_x0000_s987901"/>
                </a:ext>
              </a:extLst>
            </xdr:cNvPicPr>
          </xdr:nvPicPr>
          <xdr:blipFill>
            <a:blip xmlns:r="http://schemas.openxmlformats.org/officeDocument/2006/relationships" r:embed="rId26"/>
            <a:srcRect/>
            <a:stretch>
              <a:fillRect/>
            </a:stretch>
          </xdr:blipFill>
          <xdr:spPr bwMode="auto">
            <a:xfrm>
              <a:off x="14990079" y="1844879"/>
              <a:ext cx="763200" cy="21601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254904</xdr:colOff>
          <xdr:row>10</xdr:row>
          <xdr:rowOff>53674</xdr:rowOff>
        </xdr:from>
        <xdr:to>
          <xdr:col>24</xdr:col>
          <xdr:colOff>331119</xdr:colOff>
          <xdr:row>11</xdr:row>
          <xdr:rowOff>57282</xdr:rowOff>
        </xdr:to>
        <xdr:pic>
          <xdr:nvPicPr>
            <xdr:cNvPr id="139" name="Imagem 138">
              <a:extLst>
                <a:ext uri="{FF2B5EF4-FFF2-40B4-BE49-F238E27FC236}">
                  <a16:creationId xmlns:a16="http://schemas.microsoft.com/office/drawing/2014/main" id="{00000000-0008-0000-0000-00008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RMULAS!AE1" spid="_x0000_s987902"/>
                </a:ext>
              </a:extLst>
            </xdr:cNvPicPr>
          </xdr:nvPicPr>
          <xdr:blipFill>
            <a:blip xmlns:r="http://schemas.openxmlformats.org/officeDocument/2006/relationships" r:embed="rId27"/>
            <a:srcRect/>
            <a:stretch>
              <a:fillRect/>
            </a:stretch>
          </xdr:blipFill>
          <xdr:spPr bwMode="auto">
            <a:xfrm>
              <a:off x="14990079" y="2149174"/>
              <a:ext cx="685815" cy="194108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254904</xdr:colOff>
          <xdr:row>11</xdr:row>
          <xdr:rowOff>167520</xdr:rowOff>
        </xdr:from>
        <xdr:to>
          <xdr:col>24</xdr:col>
          <xdr:colOff>331119</xdr:colOff>
          <xdr:row>12</xdr:row>
          <xdr:rowOff>171128</xdr:rowOff>
        </xdr:to>
        <xdr:pic>
          <xdr:nvPicPr>
            <xdr:cNvPr id="140" name="Imagem 139">
              <a:extLst>
                <a:ext uri="{FF2B5EF4-FFF2-40B4-BE49-F238E27FC236}">
                  <a16:creationId xmlns:a16="http://schemas.microsoft.com/office/drawing/2014/main" id="{00000000-0008-0000-0000-00008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RMULAS!AF1" spid="_x0000_s987903"/>
                </a:ext>
              </a:extLst>
            </xdr:cNvPicPr>
          </xdr:nvPicPr>
          <xdr:blipFill>
            <a:blip xmlns:r="http://schemas.openxmlformats.org/officeDocument/2006/relationships" r:embed="rId28"/>
            <a:srcRect/>
            <a:stretch>
              <a:fillRect/>
            </a:stretch>
          </xdr:blipFill>
          <xdr:spPr bwMode="auto">
            <a:xfrm>
              <a:off x="14990079" y="2453520"/>
              <a:ext cx="685815" cy="194108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254904</xdr:colOff>
          <xdr:row>13</xdr:row>
          <xdr:rowOff>110370</xdr:rowOff>
        </xdr:from>
        <xdr:to>
          <xdr:col>24</xdr:col>
          <xdr:colOff>331119</xdr:colOff>
          <xdr:row>14</xdr:row>
          <xdr:rowOff>113978</xdr:rowOff>
        </xdr:to>
        <xdr:pic>
          <xdr:nvPicPr>
            <xdr:cNvPr id="141" name="Imagem 140">
              <a:extLst>
                <a:ext uri="{FF2B5EF4-FFF2-40B4-BE49-F238E27FC236}">
                  <a16:creationId xmlns:a16="http://schemas.microsoft.com/office/drawing/2014/main" id="{00000000-0008-0000-0000-00008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RMULAS!AG1" spid="_x0000_s987904"/>
                </a:ext>
              </a:extLst>
            </xdr:cNvPicPr>
          </xdr:nvPicPr>
          <xdr:blipFill>
            <a:blip xmlns:r="http://schemas.openxmlformats.org/officeDocument/2006/relationships" r:embed="rId29"/>
            <a:srcRect/>
            <a:stretch>
              <a:fillRect/>
            </a:stretch>
          </xdr:blipFill>
          <xdr:spPr bwMode="auto">
            <a:xfrm>
              <a:off x="14990079" y="2777370"/>
              <a:ext cx="685815" cy="194108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254904</xdr:colOff>
          <xdr:row>15</xdr:row>
          <xdr:rowOff>24645</xdr:rowOff>
        </xdr:from>
        <xdr:to>
          <xdr:col>24</xdr:col>
          <xdr:colOff>331119</xdr:colOff>
          <xdr:row>16</xdr:row>
          <xdr:rowOff>28253</xdr:rowOff>
        </xdr:to>
        <xdr:pic>
          <xdr:nvPicPr>
            <xdr:cNvPr id="142" name="Imagem 141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RMULAS!AH1" spid="_x0000_s987905"/>
                </a:ext>
              </a:extLst>
            </xdr:cNvPicPr>
          </xdr:nvPicPr>
          <xdr:blipFill>
            <a:blip xmlns:r="http://schemas.openxmlformats.org/officeDocument/2006/relationships" r:embed="rId30"/>
            <a:srcRect/>
            <a:stretch>
              <a:fillRect/>
            </a:stretch>
          </xdr:blipFill>
          <xdr:spPr bwMode="auto">
            <a:xfrm>
              <a:off x="14990079" y="3072645"/>
              <a:ext cx="685815" cy="194108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254904</xdr:colOff>
          <xdr:row>16</xdr:row>
          <xdr:rowOff>119895</xdr:rowOff>
        </xdr:from>
        <xdr:to>
          <xdr:col>24</xdr:col>
          <xdr:colOff>331119</xdr:colOff>
          <xdr:row>17</xdr:row>
          <xdr:rowOff>123503</xdr:rowOff>
        </xdr:to>
        <xdr:pic>
          <xdr:nvPicPr>
            <xdr:cNvPr id="143" name="Imagem 142">
              <a:extLst>
                <a:ext uri="{FF2B5EF4-FFF2-40B4-BE49-F238E27FC236}">
                  <a16:creationId xmlns:a16="http://schemas.microsoft.com/office/drawing/2014/main" id="{00000000-0008-0000-0000-00008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RMULAS!AI1" spid="_x0000_s987906"/>
                </a:ext>
              </a:extLst>
            </xdr:cNvPicPr>
          </xdr:nvPicPr>
          <xdr:blipFill>
            <a:blip xmlns:r="http://schemas.openxmlformats.org/officeDocument/2006/relationships" r:embed="rId31"/>
            <a:srcRect/>
            <a:stretch>
              <a:fillRect/>
            </a:stretch>
          </xdr:blipFill>
          <xdr:spPr bwMode="auto">
            <a:xfrm>
              <a:off x="14990079" y="3358395"/>
              <a:ext cx="685815" cy="194108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21</xdr:col>
      <xdr:colOff>136977</xdr:colOff>
      <xdr:row>18</xdr:row>
      <xdr:rowOff>117179</xdr:rowOff>
    </xdr:from>
    <xdr:to>
      <xdr:col>25</xdr:col>
      <xdr:colOff>696684</xdr:colOff>
      <xdr:row>19</xdr:row>
      <xdr:rowOff>182488</xdr:rowOff>
    </xdr:to>
    <xdr:sp macro="" textlink="FORMULAS!W6">
      <xdr:nvSpPr>
        <xdr:cNvPr id="144" name="CaixaDeTexto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/>
      </xdr:nvSpPr>
      <xdr:spPr>
        <a:xfrm>
          <a:off x="13626191" y="3745750"/>
          <a:ext cx="2990850" cy="255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D225BAF-405E-4136-A482-A72CC1373CC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Junho 2026</a:t>
          </a:fld>
          <a:endParaRPr lang="pt-BR" sz="1400" b="1"/>
        </a:p>
      </xdr:txBody>
    </xdr:sp>
    <xdr:clientData/>
  </xdr:twoCellAnchor>
  <xdr:twoCellAnchor editAs="absolute">
    <xdr:from>
      <xdr:col>21</xdr:col>
      <xdr:colOff>523176</xdr:colOff>
      <xdr:row>22</xdr:row>
      <xdr:rowOff>16080</xdr:rowOff>
    </xdr:from>
    <xdr:to>
      <xdr:col>24</xdr:col>
      <xdr:colOff>13835</xdr:colOff>
      <xdr:row>23</xdr:row>
      <xdr:rowOff>153948</xdr:rowOff>
    </xdr:to>
    <xdr:sp macro="" textlink="FORMULAS!P4">
      <xdr:nvSpPr>
        <xdr:cNvPr id="145" name="CaixaDeTexto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 txBox="1"/>
      </xdr:nvSpPr>
      <xdr:spPr>
        <a:xfrm>
          <a:off x="14039151" y="4397580"/>
          <a:ext cx="1319459" cy="3283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D0EAE3E-2902-402D-AEB9-A569115CBA0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R$-   </a:t>
          </a:fld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523176</xdr:colOff>
      <xdr:row>23</xdr:row>
      <xdr:rowOff>137849</xdr:rowOff>
    </xdr:from>
    <xdr:to>
      <xdr:col>24</xdr:col>
      <xdr:colOff>13835</xdr:colOff>
      <xdr:row>25</xdr:row>
      <xdr:rowOff>85765</xdr:rowOff>
    </xdr:to>
    <xdr:sp macro="" textlink="FORMULAS!Q4">
      <xdr:nvSpPr>
        <xdr:cNvPr id="146" name="CaixaDeTexto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 txBox="1"/>
      </xdr:nvSpPr>
      <xdr:spPr>
        <a:xfrm>
          <a:off x="14039151" y="4709849"/>
          <a:ext cx="1319459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93F84C2-5E24-42BD-B1D6-83F69BFD3C7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R$-  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523176</xdr:colOff>
      <xdr:row>25</xdr:row>
      <xdr:rowOff>71174</xdr:rowOff>
    </xdr:from>
    <xdr:to>
      <xdr:col>24</xdr:col>
      <xdr:colOff>13835</xdr:colOff>
      <xdr:row>27</xdr:row>
      <xdr:rowOff>19090</xdr:rowOff>
    </xdr:to>
    <xdr:sp macro="" textlink="FORMULAS!R4">
      <xdr:nvSpPr>
        <xdr:cNvPr id="147" name="CaixaDeTexto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 txBox="1"/>
      </xdr:nvSpPr>
      <xdr:spPr>
        <a:xfrm>
          <a:off x="14039151" y="5024174"/>
          <a:ext cx="1319459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46E3985-42F7-481F-AA38-57E6BB0D98E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R$660.273,39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523176</xdr:colOff>
      <xdr:row>27</xdr:row>
      <xdr:rowOff>4499</xdr:rowOff>
    </xdr:from>
    <xdr:to>
      <xdr:col>24</xdr:col>
      <xdr:colOff>13835</xdr:colOff>
      <xdr:row>28</xdr:row>
      <xdr:rowOff>142915</xdr:rowOff>
    </xdr:to>
    <xdr:sp macro="" textlink="FORMULAS!S4">
      <xdr:nvSpPr>
        <xdr:cNvPr id="148" name="CaixaDeTexto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 txBox="1"/>
      </xdr:nvSpPr>
      <xdr:spPr>
        <a:xfrm>
          <a:off x="14039151" y="5338499"/>
          <a:ext cx="1319459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F60E3A8-7AFA-403E-8CCE-B9AAFEEBDD6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R$183.204,74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523176</xdr:colOff>
      <xdr:row>28</xdr:row>
      <xdr:rowOff>118799</xdr:rowOff>
    </xdr:from>
    <xdr:to>
      <xdr:col>24</xdr:col>
      <xdr:colOff>13835</xdr:colOff>
      <xdr:row>30</xdr:row>
      <xdr:rowOff>66715</xdr:rowOff>
    </xdr:to>
    <xdr:sp macro="" textlink="FORMULAS!T4">
      <xdr:nvSpPr>
        <xdr:cNvPr id="149" name="CaixaDeTexto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/>
      </xdr:nvSpPr>
      <xdr:spPr>
        <a:xfrm>
          <a:off x="14039151" y="5643299"/>
          <a:ext cx="1319459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18AA566-AB57-4E47-A3E3-2246DCA11E7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R$-  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21</xdr:col>
      <xdr:colOff>523176</xdr:colOff>
      <xdr:row>30</xdr:row>
      <xdr:rowOff>14024</xdr:rowOff>
    </xdr:from>
    <xdr:to>
      <xdr:col>24</xdr:col>
      <xdr:colOff>13835</xdr:colOff>
      <xdr:row>31</xdr:row>
      <xdr:rowOff>152440</xdr:rowOff>
    </xdr:to>
    <xdr:sp macro="" textlink="FORMULAS!U4">
      <xdr:nvSpPr>
        <xdr:cNvPr id="150" name="CaixaDeTexto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/>
      </xdr:nvSpPr>
      <xdr:spPr>
        <a:xfrm>
          <a:off x="14039151" y="5919524"/>
          <a:ext cx="1319459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48C4EE-AFD1-46E4-B8BA-68F870197C7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R$557.265,29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23</xdr:col>
      <xdr:colOff>322487</xdr:colOff>
      <xdr:row>20</xdr:row>
      <xdr:rowOff>134866</xdr:rowOff>
    </xdr:from>
    <xdr:to>
      <xdr:col>25</xdr:col>
      <xdr:colOff>834572</xdr:colOff>
      <xdr:row>21</xdr:row>
      <xdr:rowOff>190499</xdr:rowOff>
    </xdr:to>
    <xdr:sp macro="" textlink="">
      <xdr:nvSpPr>
        <xdr:cNvPr id="151" name="CaixaDeTexto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/>
      </xdr:nvSpPr>
      <xdr:spPr>
        <a:xfrm>
          <a:off x="15027273" y="4144437"/>
          <a:ext cx="1727656" cy="2461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900" b="1"/>
            <a:t>COM</a:t>
          </a:r>
          <a:r>
            <a:rPr lang="pt-BR" sz="900" b="1" baseline="0"/>
            <a:t> PEDIDO RESSARCIMENTO</a:t>
          </a:r>
          <a:endParaRPr lang="pt-BR" sz="900" b="1"/>
        </a:p>
      </xdr:txBody>
    </xdr:sp>
    <xdr:clientData/>
  </xdr:twoCellAnchor>
  <xdr:twoCellAnchor editAs="absolute">
    <xdr:from>
      <xdr:col>21</xdr:col>
      <xdr:colOff>81643</xdr:colOff>
      <xdr:row>20</xdr:row>
      <xdr:rowOff>127000</xdr:rowOff>
    </xdr:from>
    <xdr:to>
      <xdr:col>23</xdr:col>
      <xdr:colOff>417286</xdr:colOff>
      <xdr:row>22</xdr:row>
      <xdr:rowOff>1809</xdr:rowOff>
    </xdr:to>
    <xdr:sp macro="" textlink="">
      <xdr:nvSpPr>
        <xdr:cNvPr id="152" name="CaixaDeTexto 15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 txBox="1"/>
      </xdr:nvSpPr>
      <xdr:spPr>
        <a:xfrm>
          <a:off x="13570857" y="4136571"/>
          <a:ext cx="1551215" cy="255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SALDO CREDOR IMPOSTOS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541020</xdr:colOff>
          <xdr:row>3</xdr:row>
          <xdr:rowOff>121920</xdr:rowOff>
        </xdr:from>
        <xdr:to>
          <xdr:col>23</xdr:col>
          <xdr:colOff>571500</xdr:colOff>
          <xdr:row>4</xdr:row>
          <xdr:rowOff>160020</xdr:rowOff>
        </xdr:to>
        <xdr:sp macro="" textlink="">
          <xdr:nvSpPr>
            <xdr:cNvPr id="143799" name="Drop Down 2487" hidden="1">
              <a:extLst>
                <a:ext uri="{63B3BB69-23CF-44E3-9099-C40C66FF867C}">
                  <a14:compatExt spid="_x0000_s143799"/>
                </a:ext>
                <a:ext uri="{FF2B5EF4-FFF2-40B4-BE49-F238E27FC236}">
                  <a16:creationId xmlns:a16="http://schemas.microsoft.com/office/drawing/2014/main" id="{00000000-0008-0000-0000-0000B73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38100</xdr:colOff>
          <xdr:row>3</xdr:row>
          <xdr:rowOff>121920</xdr:rowOff>
        </xdr:from>
        <xdr:to>
          <xdr:col>25</xdr:col>
          <xdr:colOff>121920</xdr:colOff>
          <xdr:row>4</xdr:row>
          <xdr:rowOff>160020</xdr:rowOff>
        </xdr:to>
        <xdr:sp macro="" textlink="">
          <xdr:nvSpPr>
            <xdr:cNvPr id="143800" name="Drop Down 2488" hidden="1">
              <a:extLst>
                <a:ext uri="{63B3BB69-23CF-44E3-9099-C40C66FF867C}">
                  <a14:compatExt spid="_x0000_s143800"/>
                </a:ext>
                <a:ext uri="{FF2B5EF4-FFF2-40B4-BE49-F238E27FC236}">
                  <a16:creationId xmlns:a16="http://schemas.microsoft.com/office/drawing/2014/main" id="{00000000-0008-0000-0000-0000B83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23</xdr:col>
      <xdr:colOff>322940</xdr:colOff>
      <xdr:row>23</xdr:row>
      <xdr:rowOff>106744</xdr:rowOff>
    </xdr:from>
    <xdr:to>
      <xdr:col>25</xdr:col>
      <xdr:colOff>835025</xdr:colOff>
      <xdr:row>24</xdr:row>
      <xdr:rowOff>162377</xdr:rowOff>
    </xdr:to>
    <xdr:sp macro="" textlink="">
      <xdr:nvSpPr>
        <xdr:cNvPr id="158" name="CaixaDeTexto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 txBox="1"/>
      </xdr:nvSpPr>
      <xdr:spPr>
        <a:xfrm>
          <a:off x="15058115" y="4678744"/>
          <a:ext cx="1731285" cy="2461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900" b="1"/>
            <a:t>CIAP A RECUPERAR</a:t>
          </a:r>
        </a:p>
      </xdr:txBody>
    </xdr:sp>
    <xdr:clientData/>
  </xdr:twoCellAnchor>
  <xdr:twoCellAnchor editAs="absolute">
    <xdr:from>
      <xdr:col>23</xdr:col>
      <xdr:colOff>283690</xdr:colOff>
      <xdr:row>21</xdr:row>
      <xdr:rowOff>188649</xdr:rowOff>
    </xdr:from>
    <xdr:to>
      <xdr:col>25</xdr:col>
      <xdr:colOff>120195</xdr:colOff>
      <xdr:row>23</xdr:row>
      <xdr:rowOff>136565</xdr:rowOff>
    </xdr:to>
    <xdr:sp macro="" textlink="FORMULAS!Z6">
      <xdr:nvSpPr>
        <xdr:cNvPr id="153" name="CaixaDeTexto 15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 txBox="1"/>
      </xdr:nvSpPr>
      <xdr:spPr>
        <a:xfrm>
          <a:off x="15018865" y="4379649"/>
          <a:ext cx="1055705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6FF5417-B3D7-4C42-B194-B78BCF55E40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R$1.461.558,96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23</xdr:col>
      <xdr:colOff>283690</xdr:colOff>
      <xdr:row>24</xdr:row>
      <xdr:rowOff>113356</xdr:rowOff>
    </xdr:from>
    <xdr:to>
      <xdr:col>25</xdr:col>
      <xdr:colOff>118380</xdr:colOff>
      <xdr:row>26</xdr:row>
      <xdr:rowOff>61272</xdr:rowOff>
    </xdr:to>
    <xdr:sp macro="" textlink="FORMULAS!Z7">
      <xdr:nvSpPr>
        <xdr:cNvPr id="154" name="CaixaDeTexto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 txBox="1"/>
      </xdr:nvSpPr>
      <xdr:spPr>
        <a:xfrm>
          <a:off x="15018865" y="4875856"/>
          <a:ext cx="1053890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9243CAE-405C-46C8-91BD-4A185D75DC7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R$252.839,23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365760</xdr:colOff>
          <xdr:row>1</xdr:row>
          <xdr:rowOff>60960</xdr:rowOff>
        </xdr:from>
        <xdr:to>
          <xdr:col>21</xdr:col>
          <xdr:colOff>175260</xdr:colOff>
          <xdr:row>1</xdr:row>
          <xdr:rowOff>365760</xdr:rowOff>
        </xdr:to>
        <xdr:sp macro="" textlink="">
          <xdr:nvSpPr>
            <xdr:cNvPr id="206335" name="Button 5631" hidden="1">
              <a:extLst>
                <a:ext uri="{63B3BB69-23CF-44E3-9099-C40C66FF867C}">
                  <a14:compatExt spid="_x0000_s206335"/>
                </a:ext>
                <a:ext uri="{FF2B5EF4-FFF2-40B4-BE49-F238E27FC236}">
                  <a16:creationId xmlns:a16="http://schemas.microsoft.com/office/drawing/2014/main" id="{00000000-0008-0000-0000-0000FF2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EBIT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312420</xdr:colOff>
          <xdr:row>1</xdr:row>
          <xdr:rowOff>60960</xdr:rowOff>
        </xdr:from>
        <xdr:to>
          <xdr:col>23</xdr:col>
          <xdr:colOff>137160</xdr:colOff>
          <xdr:row>1</xdr:row>
          <xdr:rowOff>365760</xdr:rowOff>
        </xdr:to>
        <xdr:sp macro="" textlink="">
          <xdr:nvSpPr>
            <xdr:cNvPr id="206355" name="Button 5651" hidden="1">
              <a:extLst>
                <a:ext uri="{63B3BB69-23CF-44E3-9099-C40C66FF867C}">
                  <a14:compatExt spid="_x0000_s206355"/>
                </a:ext>
                <a:ext uri="{FF2B5EF4-FFF2-40B4-BE49-F238E27FC236}">
                  <a16:creationId xmlns:a16="http://schemas.microsoft.com/office/drawing/2014/main" id="{00000000-0008-0000-0000-00001326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76200</xdr:colOff>
      <xdr:row>4</xdr:row>
      <xdr:rowOff>28575</xdr:rowOff>
    </xdr:from>
    <xdr:to>
      <xdr:col>20</xdr:col>
      <xdr:colOff>0</xdr:colOff>
      <xdr:row>32</xdr:row>
      <xdr:rowOff>133350</xdr:rowOff>
    </xdr:to>
    <xdr:grpSp>
      <xdr:nvGrpSpPr>
        <xdr:cNvPr id="159" name="Agrupar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GrpSpPr/>
      </xdr:nvGrpSpPr>
      <xdr:grpSpPr>
        <a:xfrm>
          <a:off x="76200" y="951940"/>
          <a:ext cx="12922624" cy="5125010"/>
          <a:chOff x="76200" y="981075"/>
          <a:chExt cx="12830175" cy="5438775"/>
        </a:xfrm>
      </xdr:grpSpPr>
      <xdr:sp macro="" textlink="">
        <xdr:nvSpPr>
          <xdr:cNvPr id="66" name="Retângulo 65" hidden="1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1914525" y="981075"/>
            <a:ext cx="10991850" cy="5438775"/>
          </a:xfrm>
          <a:prstGeom prst="rect">
            <a:avLst/>
          </a:prstGeom>
          <a:solidFill>
            <a:srgbClr val="FFFFFF">
              <a:alpha val="16863"/>
            </a:srgbClr>
          </a:solidFill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161" name="GrafEbit" hidden="1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GraphicFramePr>
            <a:graphicFrameLocks/>
          </xdr:cNvGraphicFramePr>
        </xdr:nvGraphicFramePr>
        <xdr:xfrm>
          <a:off x="2057400" y="1571625"/>
          <a:ext cx="10610849" cy="4667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2"/>
          </a:graphicData>
        </a:graphic>
      </xdr:graphicFrame>
      <xdr:sp macro="" textlink="">
        <xdr:nvSpPr>
          <xdr:cNvPr id="85" name="Retângulo 84" hidden="1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2057400" y="1047750"/>
            <a:ext cx="10612800" cy="485775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FORMULAS!J13">
        <xdr:nvSpPr>
          <xdr:cNvPr id="51" name="CaixaDeTexto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8159830" y="1095375"/>
            <a:ext cx="1514475" cy="39052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tx1"/>
            </a:solidFill>
            <a:prstDash val="sysDot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B4A55B-81FD-40D8-AB33-AFFCF266DCA6}" type="TxLink">
              <a:rPr lang="en-US" sz="14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 R$12.714.823,56 </a:t>
            </a:fld>
            <a:endParaRPr lang="pt-BR" sz="1400" b="1">
              <a:solidFill>
                <a:schemeClr val="tx1"/>
              </a:solidFill>
            </a:endParaRPr>
          </a:p>
        </xdr:txBody>
      </xdr:sp>
      <xdr:sp macro="" textlink="FORMULAS!J12">
        <xdr:nvSpPr>
          <xdr:cNvPr id="163" name="CaixaDeTexto 162" hidden="1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 txBox="1"/>
        </xdr:nvSpPr>
        <xdr:spPr>
          <a:xfrm>
            <a:off x="10639425" y="1095375"/>
            <a:ext cx="1515600" cy="39052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tx1"/>
            </a:solidFill>
            <a:prstDash val="sysDot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7094F13-9F64-4A0F-B2DA-3658A1C6B19A}" type="TxLink">
              <a:rPr lang="en-US" sz="14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 R$12.714.823,56 </a:t>
            </a:fld>
            <a:endParaRPr lang="pt-BR" sz="1400" b="1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71" name="Imagem 170" hidden="1">
                <a:extLst>
                  <a:ext uri="{FF2B5EF4-FFF2-40B4-BE49-F238E27FC236}">
                    <a16:creationId xmlns:a16="http://schemas.microsoft.com/office/drawing/2014/main" id="{00000000-0008-0000-0000-0000AB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RMULAS!$F$1" spid="_x0000_s987907"/>
                  </a:ext>
                </a:extLst>
              </xdr:cNvPicPr>
            </xdr:nvPicPr>
            <xdr:blipFill>
              <a:blip xmlns:r="http://schemas.openxmlformats.org/officeDocument/2006/relationships" r:embed="rId33"/>
              <a:srcRect/>
              <a:stretch>
                <a:fillRect/>
              </a:stretch>
            </xdr:blipFill>
            <xdr:spPr bwMode="auto">
              <a:xfrm>
                <a:off x="238127" y="2819400"/>
                <a:ext cx="1495424" cy="10953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FORMULAS!H17">
        <xdr:nvSpPr>
          <xdr:cNvPr id="157" name="CaixaDeTexto 156" hidden="1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 txBox="1"/>
        </xdr:nvSpPr>
        <xdr:spPr>
          <a:xfrm>
            <a:off x="76200" y="2676525"/>
            <a:ext cx="1819275" cy="4667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367B024-91B8-404A-9C4D-0D6973E9D3E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Diferença entre (%) 2026 / 2025</a:t>
            </a:fld>
            <a:endParaRPr lang="pt-BR" sz="1100"/>
          </a:p>
        </xdr:txBody>
      </xdr:sp>
      <xdr:sp macro="" textlink="FORMULAS!H12">
        <xdr:nvSpPr>
          <xdr:cNvPr id="174" name="CaixaDeTexto 173" hidden="1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 txBox="1"/>
        </xdr:nvSpPr>
        <xdr:spPr>
          <a:xfrm>
            <a:off x="9706866" y="1095375"/>
            <a:ext cx="900000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DB1CF8-FCCF-4986-A03A-E9E2892F6430}" type="TxLink">
              <a:rPr lang="en-US" sz="14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2026</a:t>
            </a:fld>
            <a:endParaRPr lang="pt-BR" sz="2400" b="1">
              <a:solidFill>
                <a:schemeClr val="tx1"/>
              </a:solidFill>
            </a:endParaRPr>
          </a:p>
        </xdr:txBody>
      </xdr:sp>
      <xdr:sp macro="" textlink="FORMULAS!H13">
        <xdr:nvSpPr>
          <xdr:cNvPr id="175" name="CaixaDeTexto 174" hidden="1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 txBox="1"/>
        </xdr:nvSpPr>
        <xdr:spPr>
          <a:xfrm>
            <a:off x="7227269" y="1095375"/>
            <a:ext cx="900000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2EC3A50-B9AE-4FC2-94D4-C8F966EE5F92}" type="TxLink">
              <a:rPr lang="en-US" sz="14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2025</a:t>
            </a:fld>
            <a:endParaRPr lang="pt-BR" sz="1800" b="1">
              <a:solidFill>
                <a:schemeClr val="tx1"/>
              </a:solidFill>
            </a:endParaRPr>
          </a:p>
        </xdr:txBody>
      </xdr:sp>
      <xdr:sp macro="" textlink="FORMULAS!H12">
        <xdr:nvSpPr>
          <xdr:cNvPr id="176" name="CaixaDeTexto 175" hidden="1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 txBox="1"/>
        </xdr:nvSpPr>
        <xdr:spPr>
          <a:xfrm>
            <a:off x="4746547" y="1095375"/>
            <a:ext cx="900000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DB1CF8-FCCF-4986-A03A-E9E2892F6430}" type="TxLink">
              <a:rPr lang="en-US" sz="14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2026</a:t>
            </a:fld>
            <a:endParaRPr lang="pt-BR" sz="2400" b="1">
              <a:solidFill>
                <a:schemeClr val="tx1"/>
              </a:solidFill>
            </a:endParaRPr>
          </a:p>
        </xdr:txBody>
      </xdr:sp>
      <xdr:sp macro="" textlink="FORMULAS!H13">
        <xdr:nvSpPr>
          <xdr:cNvPr id="177" name="CaixaDeTexto 176" hidden="1">
            <a:extLst>
              <a:ext uri="{FF2B5EF4-FFF2-40B4-BE49-F238E27FC236}">
                <a16:creationId xmlns:a16="http://schemas.microsoft.com/office/drawing/2014/main" id="{00000000-0008-0000-0000-0000B1000000}"/>
              </a:ext>
            </a:extLst>
          </xdr:cNvPr>
          <xdr:cNvSpPr txBox="1"/>
        </xdr:nvSpPr>
        <xdr:spPr>
          <a:xfrm>
            <a:off x="2266950" y="1095375"/>
            <a:ext cx="900000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2EC3A50-B9AE-4FC2-94D4-C8F966EE5F92}" type="TxLink">
              <a:rPr lang="en-US" sz="14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2025</a:t>
            </a:fld>
            <a:endParaRPr lang="pt-BR" sz="1800" b="1">
              <a:solidFill>
                <a:schemeClr val="tx1"/>
              </a:solidFill>
            </a:endParaRPr>
          </a:p>
        </xdr:txBody>
      </xdr:sp>
      <xdr:sp macro="" textlink="FORMULAS!K13">
        <xdr:nvSpPr>
          <xdr:cNvPr id="178" name="CaixaDeTexto 177" hidden="1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 txBox="1"/>
        </xdr:nvSpPr>
        <xdr:spPr>
          <a:xfrm>
            <a:off x="3199511" y="1095375"/>
            <a:ext cx="1514475" cy="39052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tx1"/>
            </a:solidFill>
            <a:prstDash val="sysDot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22F1870-0CB2-4C46-851C-620B0B7FD258}" type="TxLink">
              <a:rPr lang="en-US" sz="14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11,41%</a:t>
            </a:fld>
            <a:endParaRPr lang="pt-BR" sz="1800" b="1">
              <a:solidFill>
                <a:schemeClr val="tx1"/>
              </a:solidFill>
            </a:endParaRPr>
          </a:p>
        </xdr:txBody>
      </xdr:sp>
      <xdr:sp macro="" textlink="FORMULAS!K12">
        <xdr:nvSpPr>
          <xdr:cNvPr id="179" name="CaixaDeTexto 178" hidden="1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 txBox="1"/>
        </xdr:nvSpPr>
        <xdr:spPr>
          <a:xfrm>
            <a:off x="5679108" y="1095375"/>
            <a:ext cx="1515600" cy="39052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tx1"/>
            </a:solidFill>
            <a:prstDash val="sysDot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D390204-A746-466C-BD50-D5BFDB769A4A}" type="TxLink">
              <a:rPr lang="en-US" sz="14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11,41%</a:t>
            </a:fld>
            <a:endParaRPr lang="pt-BR" sz="18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23</xdr:col>
      <xdr:colOff>321126</xdr:colOff>
      <xdr:row>25</xdr:row>
      <xdr:rowOff>182490</xdr:rowOff>
    </xdr:from>
    <xdr:to>
      <xdr:col>25</xdr:col>
      <xdr:colOff>833211</xdr:colOff>
      <xdr:row>27</xdr:row>
      <xdr:rowOff>47623</xdr:rowOff>
    </xdr:to>
    <xdr:sp macro="" textlink="">
      <xdr:nvSpPr>
        <xdr:cNvPr id="169" name="CaixaDeTexto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 txBox="1"/>
      </xdr:nvSpPr>
      <xdr:spPr>
        <a:xfrm>
          <a:off x="15056301" y="5135490"/>
          <a:ext cx="1731285" cy="2461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900" b="1"/>
            <a:t>ICMS DIFAL RESTITUIÇÃO</a:t>
          </a:r>
        </a:p>
      </xdr:txBody>
    </xdr:sp>
    <xdr:clientData/>
  </xdr:twoCellAnchor>
  <xdr:twoCellAnchor editAs="absolute">
    <xdr:from>
      <xdr:col>23</xdr:col>
      <xdr:colOff>302740</xdr:colOff>
      <xdr:row>26</xdr:row>
      <xdr:rowOff>190197</xdr:rowOff>
    </xdr:from>
    <xdr:to>
      <xdr:col>25</xdr:col>
      <xdr:colOff>137430</xdr:colOff>
      <xdr:row>28</xdr:row>
      <xdr:rowOff>138113</xdr:rowOff>
    </xdr:to>
    <xdr:sp macro="" textlink="FORMULAS!Z8">
      <xdr:nvSpPr>
        <xdr:cNvPr id="170" name="CaixaDeTexto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 txBox="1"/>
      </xdr:nvSpPr>
      <xdr:spPr>
        <a:xfrm>
          <a:off x="15037915" y="5333697"/>
          <a:ext cx="1053890" cy="328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7D997FD-210C-456B-9931-9830F491641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R$140.819,43 </a:t>
          </a:fld>
          <a:endParaRPr lang="pt-BR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0</xdr:row>
      <xdr:rowOff>180975</xdr:rowOff>
    </xdr:from>
    <xdr:to>
      <xdr:col>11</xdr:col>
      <xdr:colOff>600075</xdr:colOff>
      <xdr:row>10</xdr:row>
      <xdr:rowOff>85725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5750" y="180975"/>
          <a:ext cx="7019925" cy="18097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NECESSARIO HABILITAR</a:t>
          </a:r>
          <a:r>
            <a:rPr lang="pt-BR" sz="2400" baseline="0"/>
            <a:t> MACROS PARA ACESSAR A PLANILHA</a:t>
          </a:r>
          <a:endParaRPr lang="pt-BR" sz="2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353302</xdr:colOff>
      <xdr:row>3</xdr:row>
      <xdr:rowOff>3522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935462" cy="771071"/>
        </a:xfrm>
        <a:prstGeom prst="rect">
          <a:avLst/>
        </a:prstGeom>
      </xdr:spPr>
    </xdr:pic>
    <xdr:clientData/>
  </xdr:twoCellAnchor>
  <xdr:twoCellAnchor editAs="absolute">
    <xdr:from>
      <xdr:col>17</xdr:col>
      <xdr:colOff>115409</xdr:colOff>
      <xdr:row>2</xdr:row>
      <xdr:rowOff>553</xdr:rowOff>
    </xdr:from>
    <xdr:to>
      <xdr:col>18</xdr:col>
      <xdr:colOff>1044586</xdr:colOff>
      <xdr:row>2</xdr:row>
      <xdr:rowOff>175703</xdr:rowOff>
    </xdr:to>
    <xdr:sp macro="" textlink="$S$3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0935069" y="573903"/>
          <a:ext cx="1539517" cy="175150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29EE077-1836-49F3-86FA-0A96C290B7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06/08/2026 16:59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600075</xdr:colOff>
      <xdr:row>1</xdr:row>
      <xdr:rowOff>9525</xdr:rowOff>
    </xdr:from>
    <xdr:to>
      <xdr:col>18</xdr:col>
      <xdr:colOff>1053002</xdr:colOff>
      <xdr:row>2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3632524" y="102831"/>
          <a:ext cx="8819376" cy="474306"/>
          <a:chOff x="76200" y="85725"/>
          <a:chExt cx="8829675" cy="476250"/>
        </a:xfrm>
        <a:solidFill>
          <a:srgbClr val="FAC62A"/>
        </a:solidFill>
      </xdr:grpSpPr>
      <xdr:sp macro="" textlink="">
        <xdr:nvSpPr>
          <xdr:cNvPr id="4" name="Retângulo 3">
            <a:hlinkClick xmlns:r="http://schemas.openxmlformats.org/officeDocument/2006/relationships" r:id="rId2" tooltip="IR PARA MENU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76200" y="95250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MENU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3" tooltip="VOCÊ ESTÁ EM INDICADORES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1852613" y="92868"/>
            <a:ext cx="1724025" cy="466725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INDICADORES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4" tooltip="IR PARA BALANÇO PATRIMONIAL"/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3629026" y="90487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BALANÇO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5" tooltip="IR PARA DRE"/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5405438" y="88106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DRE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6" tooltip="IR PARA DADOS"/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181850" y="85725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DADOS</a:t>
            </a:r>
          </a:p>
        </xdr:txBody>
      </xdr:sp>
    </xdr:grpSp>
    <xdr:clientData/>
  </xdr:twoCellAnchor>
  <xdr:twoCellAnchor editAs="oneCell">
    <xdr:from>
      <xdr:col>3</xdr:col>
      <xdr:colOff>495301</xdr:colOff>
      <xdr:row>0</xdr:row>
      <xdr:rowOff>0</xdr:rowOff>
    </xdr:from>
    <xdr:to>
      <xdr:col>5</xdr:col>
      <xdr:colOff>561975</xdr:colOff>
      <xdr:row>3</xdr:row>
      <xdr:rowOff>92484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101" y="0"/>
          <a:ext cx="1285874" cy="854484"/>
        </a:xfrm>
        <a:prstGeom prst="rect">
          <a:avLst/>
        </a:prstGeom>
      </xdr:spPr>
    </xdr:pic>
    <xdr:clientData/>
  </xdr:twoCellAnchor>
  <xdr:twoCellAnchor editAs="absolute">
    <xdr:from>
      <xdr:col>4</xdr:col>
      <xdr:colOff>32475</xdr:colOff>
      <xdr:row>3</xdr:row>
      <xdr:rowOff>161922</xdr:rowOff>
    </xdr:from>
    <xdr:to>
      <xdr:col>12</xdr:col>
      <xdr:colOff>468000</xdr:colOff>
      <xdr:row>11</xdr:row>
      <xdr:rowOff>77922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Indicador 2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dic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0875" y="923922"/>
              <a:ext cx="5760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0</xdr:colOff>
      <xdr:row>3</xdr:row>
      <xdr:rowOff>161922</xdr:rowOff>
    </xdr:from>
    <xdr:to>
      <xdr:col>3</xdr:col>
      <xdr:colOff>514350</xdr:colOff>
      <xdr:row>11</xdr:row>
      <xdr:rowOff>77922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Periodo 2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Period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29471"/>
              <a:ext cx="2345369" cy="14695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0</xdr:colOff>
      <xdr:row>11</xdr:row>
      <xdr:rowOff>171450</xdr:rowOff>
    </xdr:from>
    <xdr:to>
      <xdr:col>12</xdr:col>
      <xdr:colOff>517125</xdr:colOff>
      <xdr:row>33</xdr:row>
      <xdr:rowOff>120450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 editAs="absolute">
    <xdr:from>
      <xdr:col>12</xdr:col>
      <xdr:colOff>595726</xdr:colOff>
      <xdr:row>3</xdr:row>
      <xdr:rowOff>161922</xdr:rowOff>
    </xdr:from>
    <xdr:to>
      <xdr:col>25</xdr:col>
      <xdr:colOff>399472</xdr:colOff>
      <xdr:row>11</xdr:row>
      <xdr:rowOff>77922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355685" y="916146"/>
          <a:ext cx="8216848" cy="1408898"/>
          <a:chOff x="8358601" y="923922"/>
          <a:chExt cx="8231324" cy="1440000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8" name="Indicador (Comparação)">
                <a:extLst>
                  <a:ext uri="{FF2B5EF4-FFF2-40B4-BE49-F238E27FC236}">
                    <a16:creationId xmlns:a16="http://schemas.microsoft.com/office/drawing/2014/main" id="{00000000-0008-0000-0200-000012000000}"/>
                  </a:ext>
                </a:extLst>
              </xdr:cNvPr>
              <xdr:cNvGraphicFramePr>
                <a:graphicFrameLocks noMove="1" noResize="1"/>
              </xdr:cNvGraphicFramePr>
            </xdr:nvGraphicFramePr>
            <xdr:xfrm>
              <a:off x="10829925" y="923922"/>
              <a:ext cx="5760000" cy="1440000"/>
            </xdr:xfrm>
            <a:graphic>
              <a:graphicData uri="http://schemas.microsoft.com/office/drawing/2010/slicer">
                <sle:slicer xmlns:sle="http://schemas.microsoft.com/office/drawing/2010/slicer" name="Indicador (Comparação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829925" y="923922"/>
                <a:ext cx="5760000" cy="1440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19" name="Periodo 3">
                <a:extLst>
                  <a:ext uri="{FF2B5EF4-FFF2-40B4-BE49-F238E27FC236}">
                    <a16:creationId xmlns:a16="http://schemas.microsoft.com/office/drawing/2014/main" id="{00000000-0008-0000-0200-000013000000}"/>
                  </a:ext>
                </a:extLst>
              </xdr:cNvPr>
              <xdr:cNvGraphicFramePr/>
            </xdr:nvGraphicFramePr>
            <xdr:xfrm>
              <a:off x="8358601" y="923922"/>
              <a:ext cx="2343600" cy="1440000"/>
            </xdr:xfrm>
            <a:graphic>
              <a:graphicData uri="http://schemas.microsoft.com/office/drawing/2012/timeslicer">
                <tsle:timeslicer name="Periodo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363687" y="929471"/>
                <a:ext cx="2342735" cy="146959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Linha do tempo: Funciona em Excel 2013 ou superior. Não mover ou redimensionar.</a:t>
                </a:r>
              </a:p>
            </xdr:txBody>
          </xdr:sp>
        </mc:Fallback>
      </mc:AlternateContent>
    </xdr:grpSp>
    <xdr:clientData fLocksWithSheet="0"/>
  </xdr:twoCellAnchor>
  <xdr:twoCellAnchor>
    <xdr:from>
      <xdr:col>13</xdr:col>
      <xdr:colOff>0</xdr:colOff>
      <xdr:row>11</xdr:row>
      <xdr:rowOff>171450</xdr:rowOff>
    </xdr:from>
    <xdr:to>
      <xdr:col>26</xdr:col>
      <xdr:colOff>355200</xdr:colOff>
      <xdr:row>33</xdr:row>
      <xdr:rowOff>120450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552450</xdr:colOff>
      <xdr:row>2</xdr:row>
      <xdr:rowOff>9802</xdr:rowOff>
    </xdr:from>
    <xdr:to>
      <xdr:col>11</xdr:col>
      <xdr:colOff>5008</xdr:colOff>
      <xdr:row>3</xdr:row>
      <xdr:rowOff>34646</xdr:rowOff>
    </xdr:to>
    <xdr:sp macro="" textlink="">
      <xdr:nvSpPr>
        <xdr:cNvPr id="17" name="Retângulo 16">
          <a:hlinkClick xmlns:r="http://schemas.openxmlformats.org/officeDocument/2006/relationships" r:id="rId10" tooltip="VOCÊ ESTÁ EM INDICADORES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5435168" y="583152"/>
          <a:ext cx="1727461" cy="219043"/>
        </a:xfrm>
        <a:prstGeom prst="rect">
          <a:avLst/>
        </a:prstGeom>
        <a:solidFill>
          <a:srgbClr val="FAC62A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EMPRESAS</a:t>
          </a:r>
        </a:p>
      </xdr:txBody>
    </xdr:sp>
    <xdr:clientData/>
  </xdr:twoCellAnchor>
  <xdr:twoCellAnchor>
    <xdr:from>
      <xdr:col>0</xdr:col>
      <xdr:colOff>0</xdr:colOff>
      <xdr:row>34</xdr:row>
      <xdr:rowOff>127000</xdr:rowOff>
    </xdr:from>
    <xdr:to>
      <xdr:col>12</xdr:col>
      <xdr:colOff>518582</xdr:colOff>
      <xdr:row>57</xdr:row>
      <xdr:rowOff>73659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13</xdr:col>
      <xdr:colOff>21167</xdr:colOff>
      <xdr:row>34</xdr:row>
      <xdr:rowOff>148167</xdr:rowOff>
    </xdr:from>
    <xdr:to>
      <xdr:col>18</xdr:col>
      <xdr:colOff>289560</xdr:colOff>
      <xdr:row>42</xdr:row>
      <xdr:rowOff>80433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5" name="Periodo 5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Period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77250" y="647700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604943</xdr:colOff>
      <xdr:row>42</xdr:row>
      <xdr:rowOff>165100</xdr:rowOff>
    </xdr:from>
    <xdr:to>
      <xdr:col>18</xdr:col>
      <xdr:colOff>312843</xdr:colOff>
      <xdr:row>52</xdr:row>
      <xdr:rowOff>11853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Indicador 4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dicador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47193" y="7933267"/>
              <a:ext cx="3390900" cy="16459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370049</xdr:colOff>
      <xdr:row>3</xdr:row>
      <xdr:rowOff>10500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892659" cy="774593"/>
        </a:xfrm>
        <a:prstGeom prst="rect">
          <a:avLst/>
        </a:prstGeom>
      </xdr:spPr>
    </xdr:pic>
    <xdr:clientData/>
  </xdr:twoCellAnchor>
  <xdr:absoluteAnchor>
    <xdr:pos x="10955423" y="571465"/>
    <xdr:ext cx="1539517" cy="175150"/>
    <xdr:sp macro="" textlink="$S$3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955423" y="571465"/>
          <a:ext cx="1539517" cy="175150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29EE077-1836-49F3-86FA-0A96C290B7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06/08/2026 16:59</a:t>
          </a:fld>
          <a:endParaRPr lang="pt-BR" sz="1100" b="1">
            <a:solidFill>
              <a:schemeClr val="bg1"/>
            </a:solidFill>
          </a:endParaRPr>
        </a:p>
      </xdr:txBody>
    </xdr:sp>
    <xdr:clientData/>
  </xdr:absoluteAnchor>
  <xdr:absoluteAnchor>
    <xdr:pos x="3651774" y="96343"/>
    <xdr:ext cx="8831228" cy="479319"/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3651774" y="96343"/>
          <a:ext cx="8831228" cy="479319"/>
          <a:chOff x="76200" y="80121"/>
          <a:chExt cx="8829675" cy="474710"/>
        </a:xfrm>
        <a:solidFill>
          <a:srgbClr val="FAC62A"/>
        </a:solidFill>
      </xdr:grpSpPr>
      <xdr:sp macro="" textlink="">
        <xdr:nvSpPr>
          <xdr:cNvPr id="4" name="Retângulo 3">
            <a:hlinkClick xmlns:r="http://schemas.openxmlformats.org/officeDocument/2006/relationships" r:id="rId2" tooltip="IR PARA MENU"/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76200" y="84883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</a:rPr>
              <a:t>MENU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3" tooltip="VOCÊ ESTÁ EM INDICADORES"/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852613" y="82502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</a:rPr>
              <a:t>INDICADORES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4" tooltip="IR PARA BALANÇO PATRIMONIAL"/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3629026" y="80121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</a:rPr>
              <a:t>BALANÇO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5" tooltip="IR PARA DRE"/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5405438" y="88106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</a:rPr>
              <a:t>DRE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6" tooltip="IR PARA DADOS"/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7181850" y="85725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</a:rPr>
              <a:t>DADOS</a:t>
            </a:r>
          </a:p>
        </xdr:txBody>
      </xdr:sp>
    </xdr:grpSp>
    <xdr:clientData/>
  </xdr:absoluteAnchor>
  <xdr:oneCellAnchor>
    <xdr:from>
      <xdr:col>3</xdr:col>
      <xdr:colOff>495301</xdr:colOff>
      <xdr:row>0</xdr:row>
      <xdr:rowOff>0</xdr:rowOff>
    </xdr:from>
    <xdr:ext cx="1287354" cy="860033"/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101" y="0"/>
          <a:ext cx="1287354" cy="860033"/>
        </a:xfrm>
        <a:prstGeom prst="rect">
          <a:avLst/>
        </a:prstGeom>
      </xdr:spPr>
    </xdr:pic>
    <xdr:clientData/>
  </xdr:oneCellAnchor>
  <xdr:twoCellAnchor>
    <xdr:from>
      <xdr:col>8</xdr:col>
      <xdr:colOff>561386</xdr:colOff>
      <xdr:row>1</xdr:row>
      <xdr:rowOff>480865</xdr:rowOff>
    </xdr:from>
    <xdr:to>
      <xdr:col>11</xdr:col>
      <xdr:colOff>21222</xdr:colOff>
      <xdr:row>3</xdr:row>
      <xdr:rowOff>29459</xdr:rowOff>
    </xdr:to>
    <xdr:sp macro="" textlink="">
      <xdr:nvSpPr>
        <xdr:cNvPr id="10" name="Retângulo 9">
          <a:hlinkClick xmlns:r="http://schemas.openxmlformats.org/officeDocument/2006/relationships" r:id="rId3" tooltip="VOCÊ ESTÁ EM INDICADORES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418089" y="575068"/>
          <a:ext cx="1731182" cy="21848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EMPRESAS</a:t>
          </a:r>
        </a:p>
      </xdr:txBody>
    </xdr:sp>
    <xdr:clientData/>
  </xdr:twoCellAnchor>
  <xdr:twoCellAnchor editAs="absolute">
    <xdr:from>
      <xdr:col>0</xdr:col>
      <xdr:colOff>0</xdr:colOff>
      <xdr:row>11</xdr:row>
      <xdr:rowOff>49952</xdr:rowOff>
    </xdr:from>
    <xdr:to>
      <xdr:col>7</xdr:col>
      <xdr:colOff>593163</xdr:colOff>
      <xdr:row>31</xdr:row>
      <xdr:rowOff>55692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9961</xdr:colOff>
      <xdr:row>3</xdr:row>
      <xdr:rowOff>80271</xdr:rowOff>
    </xdr:from>
    <xdr:to>
      <xdr:col>7</xdr:col>
      <xdr:colOff>581602</xdr:colOff>
      <xdr:row>10</xdr:row>
      <xdr:rowOff>159032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3" name="SegAGF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AG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61" y="844364"/>
              <a:ext cx="4821256" cy="13976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15467</xdr:colOff>
      <xdr:row>10</xdr:row>
      <xdr:rowOff>116712</xdr:rowOff>
    </xdr:from>
    <xdr:to>
      <xdr:col>1</xdr:col>
      <xdr:colOff>236539</xdr:colOff>
      <xdr:row>13</xdr:row>
      <xdr:rowOff>110452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67" y="2199652"/>
          <a:ext cx="828160" cy="558959"/>
        </a:xfrm>
        <a:prstGeom prst="rect">
          <a:avLst/>
        </a:prstGeom>
      </xdr:spPr>
    </xdr:pic>
    <xdr:clientData/>
  </xdr:twoCellAnchor>
  <xdr:twoCellAnchor>
    <xdr:from>
      <xdr:col>7</xdr:col>
      <xdr:colOff>571479</xdr:colOff>
      <xdr:row>3</xdr:row>
      <xdr:rowOff>97758</xdr:rowOff>
    </xdr:from>
    <xdr:to>
      <xdr:col>15</xdr:col>
      <xdr:colOff>190608</xdr:colOff>
      <xdr:row>31</xdr:row>
      <xdr:rowOff>55691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4853704" y="849026"/>
          <a:ext cx="4996059" cy="5066552"/>
          <a:chOff x="4852716" y="869784"/>
          <a:chExt cx="4953129" cy="5291816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>
            <a:graphicFrameLocks/>
          </xdr:cNvGraphicFramePr>
        </xdr:nvGraphicFramePr>
        <xdr:xfrm>
          <a:off x="4931445" y="2345600"/>
          <a:ext cx="4874400" cy="381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5" name="TRIMESTRE 1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GraphicFramePr/>
            </xdr:nvGraphicFramePr>
            <xdr:xfrm>
              <a:off x="4932946" y="869784"/>
              <a:ext cx="4852800" cy="1414800"/>
            </xdr:xfrm>
            <a:graphic>
              <a:graphicData uri="http://schemas.microsoft.com/office/drawing/2010/slicer">
                <sle:slicer xmlns:sle="http://schemas.microsoft.com/office/drawing/2010/slicer" name="TRIMESTRE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932946" y="869784"/>
                <a:ext cx="4852800" cy="14148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2716" y="2131315"/>
            <a:ext cx="842231" cy="70881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231563</xdr:colOff>
      <xdr:row>3</xdr:row>
      <xdr:rowOff>97256</xdr:rowOff>
    </xdr:from>
    <xdr:to>
      <xdr:col>22</xdr:col>
      <xdr:colOff>333480</xdr:colOff>
      <xdr:row>31</xdr:row>
      <xdr:rowOff>55690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/>
      </xdr:nvGrpSpPr>
      <xdr:grpSpPr>
        <a:xfrm>
          <a:off x="9890718" y="848524"/>
          <a:ext cx="4910030" cy="5067053"/>
          <a:chOff x="9846842" y="869282"/>
          <a:chExt cx="4874400" cy="5292317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GraphicFramePr>
            <a:graphicFrameLocks/>
          </xdr:cNvGraphicFramePr>
        </xdr:nvGraphicFramePr>
        <xdr:xfrm>
          <a:off x="9846842" y="2345599"/>
          <a:ext cx="4874400" cy="381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9" name="TRIMESTRE 2">
                <a:extLst>
                  <a:ext uri="{FF2B5EF4-FFF2-40B4-BE49-F238E27FC236}">
                    <a16:creationId xmlns:a16="http://schemas.microsoft.com/office/drawing/2014/main" id="{00000000-0008-0000-0300-00001D000000}"/>
                  </a:ext>
                </a:extLst>
              </xdr:cNvPr>
              <xdr:cNvGraphicFramePr/>
            </xdr:nvGraphicFramePr>
            <xdr:xfrm>
              <a:off x="9847237" y="869282"/>
              <a:ext cx="4848877" cy="1413304"/>
            </xdr:xfrm>
            <a:graphic>
              <a:graphicData uri="http://schemas.microsoft.com/office/drawing/2010/slicer">
                <sle:slicer xmlns:sle="http://schemas.microsoft.com/office/drawing/2010/slicer" name="TRIMESTRE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9831873" y="867818"/>
                <a:ext cx="4838946" cy="14293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34102" y="2147303"/>
            <a:ext cx="776416" cy="823702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382934</xdr:colOff>
      <xdr:row>11</xdr:row>
      <xdr:rowOff>50131</xdr:rowOff>
    </xdr:from>
    <xdr:to>
      <xdr:col>30</xdr:col>
      <xdr:colOff>364492</xdr:colOff>
      <xdr:row>31</xdr:row>
      <xdr:rowOff>56131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22</xdr:col>
      <xdr:colOff>381001</xdr:colOff>
      <xdr:row>3</xdr:row>
      <xdr:rowOff>75698</xdr:rowOff>
    </xdr:from>
    <xdr:to>
      <xdr:col>30</xdr:col>
      <xdr:colOff>343462</xdr:colOff>
      <xdr:row>10</xdr:row>
      <xdr:rowOff>153587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2" name="TRIMESTRE 3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61680" y="831486"/>
              <a:ext cx="4849200" cy="138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30</xdr:col>
      <xdr:colOff>417389</xdr:colOff>
      <xdr:row>11</xdr:row>
      <xdr:rowOff>43513</xdr:rowOff>
    </xdr:from>
    <xdr:to>
      <xdr:col>38</xdr:col>
      <xdr:colOff>400764</xdr:colOff>
      <xdr:row>31</xdr:row>
      <xdr:rowOff>49904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30</xdr:col>
      <xdr:colOff>454524</xdr:colOff>
      <xdr:row>3</xdr:row>
      <xdr:rowOff>85405</xdr:rowOff>
    </xdr:from>
    <xdr:to>
      <xdr:col>38</xdr:col>
      <xdr:colOff>416299</xdr:colOff>
      <xdr:row>10</xdr:row>
      <xdr:rowOff>162522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7" name="TRIMESTRE 4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97164" y="855967"/>
              <a:ext cx="4842000" cy="142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30</xdr:col>
      <xdr:colOff>396454</xdr:colOff>
      <xdr:row>11</xdr:row>
      <xdr:rowOff>55160</xdr:rowOff>
    </xdr:from>
    <xdr:to>
      <xdr:col>32</xdr:col>
      <xdr:colOff>268026</xdr:colOff>
      <xdr:row>13</xdr:row>
      <xdr:rowOff>81477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1591" y="2326506"/>
          <a:ext cx="1085748" cy="403130"/>
        </a:xfrm>
        <a:prstGeom prst="rect">
          <a:avLst/>
        </a:prstGeom>
      </xdr:spPr>
    </xdr:pic>
    <xdr:clientData/>
  </xdr:twoCellAnchor>
  <xdr:twoCellAnchor>
    <xdr:from>
      <xdr:col>38</xdr:col>
      <xdr:colOff>544285</xdr:colOff>
      <xdr:row>3</xdr:row>
      <xdr:rowOff>83737</xdr:rowOff>
    </xdr:from>
    <xdr:to>
      <xdr:col>41</xdr:col>
      <xdr:colOff>115138</xdr:colOff>
      <xdr:row>5</xdr:row>
      <xdr:rowOff>157005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24799496" y="835005"/>
          <a:ext cx="1406093" cy="438169"/>
          <a:chOff x="24566126" y="847830"/>
          <a:chExt cx="1392116" cy="450082"/>
        </a:xfrm>
      </xdr:grpSpPr>
      <xdr:sp macro="[0]!Planilha15.VoltarInicioIndEmpresa2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24566126" y="847830"/>
            <a:ext cx="1392116" cy="450082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800">
                <a:solidFill>
                  <a:sysClr val="windowText" lastClr="000000"/>
                </a:solidFill>
              </a:rPr>
              <a:t>INICIO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[0]!Planilha15.VoltarInicioIndEmpresa2" textlink="">
        <xdr:nvSpPr>
          <xdr:cNvPr id="15" name="Seta: para a Esquerda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24599764" y="870409"/>
            <a:ext cx="596385" cy="376814"/>
          </a:xfrm>
          <a:prstGeom prst="leftArrow">
            <a:avLst/>
          </a:prstGeom>
          <a:solidFill>
            <a:srgbClr val="FAC62A"/>
          </a:solidFill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365760</xdr:colOff>
          <xdr:row>3</xdr:row>
          <xdr:rowOff>114300</xdr:rowOff>
        </xdr:from>
        <xdr:to>
          <xdr:col>5</xdr:col>
          <xdr:colOff>114300</xdr:colOff>
          <xdr:row>4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Todos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428090</xdr:colOff>
      <xdr:row>11</xdr:row>
      <xdr:rowOff>64214</xdr:rowOff>
    </xdr:from>
    <xdr:to>
      <xdr:col>24</xdr:col>
      <xdr:colOff>183436</xdr:colOff>
      <xdr:row>12</xdr:row>
      <xdr:rowOff>96320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0506" y="2375899"/>
          <a:ext cx="975402" cy="2247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594643</xdr:colOff>
      <xdr:row>3</xdr:row>
      <xdr:rowOff>10707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892659" cy="774593"/>
        </a:xfrm>
        <a:prstGeom prst="rect">
          <a:avLst/>
        </a:prstGeom>
      </xdr:spPr>
    </xdr:pic>
    <xdr:clientData/>
  </xdr:twoCellAnchor>
  <xdr:twoCellAnchor editAs="absolute">
    <xdr:from>
      <xdr:col>9</xdr:col>
      <xdr:colOff>1273911</xdr:colOff>
      <xdr:row>2</xdr:row>
      <xdr:rowOff>19049</xdr:rowOff>
    </xdr:from>
    <xdr:to>
      <xdr:col>11</xdr:col>
      <xdr:colOff>292495</xdr:colOff>
      <xdr:row>3</xdr:row>
      <xdr:rowOff>848</xdr:rowOff>
    </xdr:to>
    <xdr:sp macro="" textlink="$A$2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963276" y="590549"/>
          <a:ext cx="1543050" cy="171451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29EE077-1836-49F3-86FA-0A96C290B7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06/08/2026 16:59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2599790</xdr:colOff>
      <xdr:row>1</xdr:row>
      <xdr:rowOff>9525</xdr:rowOff>
    </xdr:from>
    <xdr:to>
      <xdr:col>11</xdr:col>
      <xdr:colOff>263919</xdr:colOff>
      <xdr:row>2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3746046" y="100704"/>
          <a:ext cx="9035514" cy="475436"/>
          <a:chOff x="76200" y="85725"/>
          <a:chExt cx="8829675" cy="476250"/>
        </a:xfrm>
      </xdr:grpSpPr>
      <xdr:sp macro="" textlink="">
        <xdr:nvSpPr>
          <xdr:cNvPr id="4" name="Retângulo 3">
            <a:hlinkClick xmlns:r="http://schemas.openxmlformats.org/officeDocument/2006/relationships" r:id="rId2" tooltip="IR PARA MENU"/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76200" y="95250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MENU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3" tooltip="IR PARA INDICADORES"/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852613" y="92868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INDICADORES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4" tooltip="VOCE JA ESTÁ NO BALANÇO PATRIMONIAL"/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3629026" y="90487"/>
            <a:ext cx="1724025" cy="466725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BALANÇO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5" tooltip="IR PARA DRE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5405438" y="88106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DRE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6" tooltip="IR PARA DADOS"/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7181850" y="85725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DADOS</a:t>
            </a:r>
          </a:p>
        </xdr:txBody>
      </xdr:sp>
    </xdr:grpSp>
    <xdr:clientData/>
  </xdr:twoCellAnchor>
  <xdr:twoCellAnchor editAs="absolute">
    <xdr:from>
      <xdr:col>4</xdr:col>
      <xdr:colOff>1179186</xdr:colOff>
      <xdr:row>0</xdr:row>
      <xdr:rowOff>0</xdr:rowOff>
    </xdr:from>
    <xdr:to>
      <xdr:col>4</xdr:col>
      <xdr:colOff>2566848</xdr:colOff>
      <xdr:row>3</xdr:row>
      <xdr:rowOff>92484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101" y="0"/>
          <a:ext cx="1285874" cy="854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1127760</xdr:colOff>
          <xdr:row>6</xdr:row>
          <xdr:rowOff>45720</xdr:rowOff>
        </xdr:from>
        <xdr:to>
          <xdr:col>13</xdr:col>
          <xdr:colOff>7620</xdr:colOff>
          <xdr:row>7</xdr:row>
          <xdr:rowOff>76200</xdr:rowOff>
        </xdr:to>
        <xdr:sp macro="" textlink="">
          <xdr:nvSpPr>
            <xdr:cNvPr id="8194" name="Scroll Bar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209550</xdr:colOff>
      <xdr:row>4</xdr:row>
      <xdr:rowOff>19050</xdr:rowOff>
    </xdr:from>
    <xdr:to>
      <xdr:col>4</xdr:col>
      <xdr:colOff>1514475</xdr:colOff>
      <xdr:row>5</xdr:row>
      <xdr:rowOff>180975</xdr:rowOff>
    </xdr:to>
    <xdr:sp macro="" textlink="">
      <xdr:nvSpPr>
        <xdr:cNvPr id="10" name="Retângulo: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819150" y="971550"/>
          <a:ext cx="1304925" cy="352425"/>
        </a:xfrm>
        <a:prstGeom prst="roundRect">
          <a:avLst/>
        </a:prstGeom>
        <a:solidFill>
          <a:srgbClr val="FAC62A"/>
        </a:solidFill>
        <a:ln w="38100"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TRIMESTRAL</a:t>
          </a:r>
        </a:p>
      </xdr:txBody>
    </xdr:sp>
    <xdr:clientData/>
  </xdr:twoCellAnchor>
  <xdr:twoCellAnchor>
    <xdr:from>
      <xdr:col>4</xdr:col>
      <xdr:colOff>1632745</xdr:colOff>
      <xdr:row>4</xdr:row>
      <xdr:rowOff>19050</xdr:rowOff>
    </xdr:from>
    <xdr:to>
      <xdr:col>4</xdr:col>
      <xdr:colOff>2937670</xdr:colOff>
      <xdr:row>5</xdr:row>
      <xdr:rowOff>180975</xdr:rowOff>
    </xdr:to>
    <xdr:sp macro="" textlink="">
      <xdr:nvSpPr>
        <xdr:cNvPr id="13" name="Retângulo: Cantos Arredondado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632745" y="971550"/>
          <a:ext cx="1304925" cy="350441"/>
        </a:xfrm>
        <a:prstGeom prst="roundRect">
          <a:avLst/>
        </a:prstGeom>
        <a:solidFill>
          <a:srgbClr val="FAC62A"/>
        </a:solidFill>
        <a:ln w="38100"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SEMESTRAL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324171</xdr:colOff>
      <xdr:row>3</xdr:row>
      <xdr:rowOff>12593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892659" cy="774593"/>
        </a:xfrm>
        <a:prstGeom prst="rect">
          <a:avLst/>
        </a:prstGeom>
      </xdr:spPr>
    </xdr:pic>
    <xdr:clientData/>
  </xdr:twoCellAnchor>
  <xdr:twoCellAnchor editAs="absolute">
    <xdr:from>
      <xdr:col>10</xdr:col>
      <xdr:colOff>389516</xdr:colOff>
      <xdr:row>2</xdr:row>
      <xdr:rowOff>19049</xdr:rowOff>
    </xdr:from>
    <xdr:to>
      <xdr:col>11</xdr:col>
      <xdr:colOff>1161023</xdr:colOff>
      <xdr:row>3</xdr:row>
      <xdr:rowOff>0</xdr:rowOff>
    </xdr:to>
    <xdr:sp macro="" textlink="$A$2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0963276" y="590549"/>
          <a:ext cx="1543050" cy="171451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29EE077-1836-49F3-86FA-0A96C290B7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46240,7077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1156673</xdr:colOff>
      <xdr:row>1</xdr:row>
      <xdr:rowOff>9525</xdr:rowOff>
    </xdr:from>
    <xdr:to>
      <xdr:col>12</xdr:col>
      <xdr:colOff>855751</xdr:colOff>
      <xdr:row>2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4867282" y="97873"/>
          <a:ext cx="9074991" cy="474869"/>
          <a:chOff x="76200" y="85725"/>
          <a:chExt cx="8829675" cy="476250"/>
        </a:xfrm>
      </xdr:grpSpPr>
      <xdr:sp macro="" textlink="">
        <xdr:nvSpPr>
          <xdr:cNvPr id="4" name="Retângulo 3">
            <a:hlinkClick xmlns:r="http://schemas.openxmlformats.org/officeDocument/2006/relationships" r:id="rId2" tooltip="IR PARA MENU"/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76200" y="95250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MENU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3" tooltip="IR PARA INDICADORES"/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852613" y="92868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INDICADORES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4" tooltip="VOCE JA ESTÁ NO BALANÇO PATRIMONIAL"/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3629026" y="90487"/>
            <a:ext cx="1724025" cy="466725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BALANÇO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5" tooltip="IR PARA DRE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5405438" y="88106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DRE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6" tooltip="IR PARA DADOS"/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7181850" y="85725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DADOS</a:t>
            </a:r>
          </a:p>
        </xdr:txBody>
      </xdr:sp>
    </xdr:grpSp>
    <xdr:clientData/>
  </xdr:twoCellAnchor>
  <xdr:twoCellAnchor editAs="absolute">
    <xdr:from>
      <xdr:col>4</xdr:col>
      <xdr:colOff>3443685</xdr:colOff>
      <xdr:row>0</xdr:row>
      <xdr:rowOff>0</xdr:rowOff>
    </xdr:from>
    <xdr:to>
      <xdr:col>5</xdr:col>
      <xdr:colOff>1118573</xdr:colOff>
      <xdr:row>3</xdr:row>
      <xdr:rowOff>92484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526" y="0"/>
          <a:ext cx="1285874" cy="854484"/>
        </a:xfrm>
        <a:prstGeom prst="rect">
          <a:avLst/>
        </a:prstGeom>
      </xdr:spPr>
    </xdr:pic>
    <xdr:clientData/>
  </xdr:twoCellAnchor>
  <xdr:twoCellAnchor>
    <xdr:from>
      <xdr:col>4</xdr:col>
      <xdr:colOff>219075</xdr:colOff>
      <xdr:row>4</xdr:row>
      <xdr:rowOff>19050</xdr:rowOff>
    </xdr:from>
    <xdr:to>
      <xdr:col>4</xdr:col>
      <xdr:colOff>1524000</xdr:colOff>
      <xdr:row>5</xdr:row>
      <xdr:rowOff>180975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43100" y="971550"/>
          <a:ext cx="1304925" cy="352425"/>
        </a:xfrm>
        <a:prstGeom prst="roundRect">
          <a:avLst/>
        </a:prstGeom>
        <a:solidFill>
          <a:srgbClr val="FAC62A"/>
        </a:solidFill>
        <a:ln w="38100"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MENSAL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541020</xdr:colOff>
          <xdr:row>4</xdr:row>
          <xdr:rowOff>76200</xdr:rowOff>
        </xdr:from>
        <xdr:to>
          <xdr:col>12</xdr:col>
          <xdr:colOff>967740</xdr:colOff>
          <xdr:row>5</xdr:row>
          <xdr:rowOff>175260</xdr:rowOff>
        </xdr:to>
        <xdr:sp macro="" textlink="">
          <xdr:nvSpPr>
            <xdr:cNvPr id="110594" name="PGBPTRIMMAIS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05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76200</xdr:rowOff>
        </xdr:from>
        <xdr:to>
          <xdr:col>12</xdr:col>
          <xdr:colOff>464820</xdr:colOff>
          <xdr:row>5</xdr:row>
          <xdr:rowOff>175260</xdr:rowOff>
        </xdr:to>
        <xdr:sp macro="" textlink="">
          <xdr:nvSpPr>
            <xdr:cNvPr id="110595" name="PGBPTRIMENOS" hidden="1">
              <a:extLst>
                <a:ext uri="{63B3BB69-23CF-44E3-9099-C40C66FF867C}">
                  <a14:compatExt spid="_x0000_s110595"/>
                </a:ext>
                <a:ext uri="{FF2B5EF4-FFF2-40B4-BE49-F238E27FC236}">
                  <a16:creationId xmlns:a16="http://schemas.microsoft.com/office/drawing/2014/main" id="{00000000-0008-0000-0500-000003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1676400</xdr:colOff>
      <xdr:row>4</xdr:row>
      <xdr:rowOff>19050</xdr:rowOff>
    </xdr:from>
    <xdr:to>
      <xdr:col>4</xdr:col>
      <xdr:colOff>2981325</xdr:colOff>
      <xdr:row>5</xdr:row>
      <xdr:rowOff>180975</xdr:rowOff>
    </xdr:to>
    <xdr:sp macro="" textlink="">
      <xdr:nvSpPr>
        <xdr:cNvPr id="14" name="Retângulo: Cantos Arredond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676400" y="971550"/>
          <a:ext cx="1304925" cy="352425"/>
        </a:xfrm>
        <a:prstGeom prst="roundRect">
          <a:avLst/>
        </a:prstGeom>
        <a:solidFill>
          <a:srgbClr val="FAC62A"/>
        </a:solidFill>
        <a:ln w="38100"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SEMESTRAL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83631</xdr:colOff>
      <xdr:row>3</xdr:row>
      <xdr:rowOff>12593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892659" cy="774593"/>
        </a:xfrm>
        <a:prstGeom prst="rect">
          <a:avLst/>
        </a:prstGeom>
      </xdr:spPr>
    </xdr:pic>
    <xdr:clientData/>
  </xdr:twoCellAnchor>
  <xdr:twoCellAnchor editAs="absolute">
    <xdr:from>
      <xdr:col>10</xdr:col>
      <xdr:colOff>739545</xdr:colOff>
      <xdr:row>2</xdr:row>
      <xdr:rowOff>19049</xdr:rowOff>
    </xdr:from>
    <xdr:to>
      <xdr:col>12</xdr:col>
      <xdr:colOff>130253</xdr:colOff>
      <xdr:row>3</xdr:row>
      <xdr:rowOff>0</xdr:rowOff>
    </xdr:to>
    <xdr:sp macro="" textlink="$A$2">
      <xdr:nvSpPr>
        <xdr:cNvPr id="3" name="CaixaDeText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963276" y="590549"/>
          <a:ext cx="1543050" cy="171451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29EE077-1836-49F3-86FA-0A96C290B7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46240,7077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1155858</xdr:colOff>
      <xdr:row>1</xdr:row>
      <xdr:rowOff>9525</xdr:rowOff>
    </xdr:from>
    <xdr:to>
      <xdr:col>12</xdr:col>
      <xdr:colOff>1213194</xdr:colOff>
      <xdr:row>2</xdr:row>
      <xdr:rowOff>9525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868740" y="99172"/>
          <a:ext cx="9074336" cy="470647"/>
          <a:chOff x="76200" y="85725"/>
          <a:chExt cx="8829675" cy="476250"/>
        </a:xfrm>
      </xdr:grpSpPr>
      <xdr:sp macro="" textlink="">
        <xdr:nvSpPr>
          <xdr:cNvPr id="5" name="Retângulo 4">
            <a:hlinkClick xmlns:r="http://schemas.openxmlformats.org/officeDocument/2006/relationships" r:id="rId2" tooltip="IR PARA MENU"/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6200" y="95250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MENU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 tooltip="IR PARA INDICADORES"/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1852613" y="92868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INDICADORES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 tooltip="VOCE JA ESTÁ NO BALANÇO PATRIMONIAL"/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3629026" y="90487"/>
            <a:ext cx="1724025" cy="466725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BALANÇO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 tooltip="IR PARA DRE"/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5405438" y="88106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DRE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 tooltip="IR PARA DADOS"/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181850" y="85725"/>
            <a:ext cx="1724025" cy="466725"/>
          </a:xfrm>
          <a:prstGeom prst="rect">
            <a:avLst/>
          </a:prstGeom>
          <a:solidFill>
            <a:srgbClr val="FAC62A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DADOS</a:t>
            </a:r>
          </a:p>
        </xdr:txBody>
      </xdr:sp>
    </xdr:grpSp>
    <xdr:clientData/>
  </xdr:twoCellAnchor>
  <xdr:twoCellAnchor editAs="absolute">
    <xdr:from>
      <xdr:col>4</xdr:col>
      <xdr:colOff>3439263</xdr:colOff>
      <xdr:row>0</xdr:row>
      <xdr:rowOff>0</xdr:rowOff>
    </xdr:from>
    <xdr:to>
      <xdr:col>5</xdr:col>
      <xdr:colOff>1117758</xdr:colOff>
      <xdr:row>3</xdr:row>
      <xdr:rowOff>92484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526" y="0"/>
          <a:ext cx="1285874" cy="854484"/>
        </a:xfrm>
        <a:prstGeom prst="rect">
          <a:avLst/>
        </a:prstGeom>
      </xdr:spPr>
    </xdr:pic>
    <xdr:clientData/>
  </xdr:twoCellAnchor>
  <xdr:twoCellAnchor>
    <xdr:from>
      <xdr:col>4</xdr:col>
      <xdr:colOff>219075</xdr:colOff>
      <xdr:row>4</xdr:row>
      <xdr:rowOff>19050</xdr:rowOff>
    </xdr:from>
    <xdr:to>
      <xdr:col>4</xdr:col>
      <xdr:colOff>1524000</xdr:colOff>
      <xdr:row>5</xdr:row>
      <xdr:rowOff>180975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219075" y="971550"/>
          <a:ext cx="1304925" cy="352425"/>
        </a:xfrm>
        <a:prstGeom prst="roundRect">
          <a:avLst/>
        </a:prstGeom>
        <a:solidFill>
          <a:srgbClr val="FAC62A"/>
        </a:solidFill>
        <a:ln w="38100"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MENSAL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541020</xdr:colOff>
          <xdr:row>4</xdr:row>
          <xdr:rowOff>76200</xdr:rowOff>
        </xdr:from>
        <xdr:to>
          <xdr:col>12</xdr:col>
          <xdr:colOff>967740</xdr:colOff>
          <xdr:row>5</xdr:row>
          <xdr:rowOff>175260</xdr:rowOff>
        </xdr:to>
        <xdr:sp macro="" textlink="">
          <xdr:nvSpPr>
            <xdr:cNvPr id="141313" name="PGBPTRIMMAIS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00000000-0008-0000-06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76200</xdr:rowOff>
        </xdr:from>
        <xdr:to>
          <xdr:col>12</xdr:col>
          <xdr:colOff>464820</xdr:colOff>
          <xdr:row>5</xdr:row>
          <xdr:rowOff>175260</xdr:rowOff>
        </xdr:to>
        <xdr:sp macro="" textlink="">
          <xdr:nvSpPr>
            <xdr:cNvPr id="141314" name="PGBPTRIMENOS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:a16="http://schemas.microsoft.com/office/drawing/2014/main" id="{00000000-0008-0000-06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1666875</xdr:colOff>
      <xdr:row>4</xdr:row>
      <xdr:rowOff>28575</xdr:rowOff>
    </xdr:from>
    <xdr:to>
      <xdr:col>4</xdr:col>
      <xdr:colOff>2971800</xdr:colOff>
      <xdr:row>6</xdr:row>
      <xdr:rowOff>0</xdr:rowOff>
    </xdr:to>
    <xdr:sp macro="" textlink="">
      <xdr:nvSpPr>
        <xdr:cNvPr id="14" name="Retângulo: Cantos Arredond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666875" y="981075"/>
          <a:ext cx="1304925" cy="352425"/>
        </a:xfrm>
        <a:prstGeom prst="roundRect">
          <a:avLst/>
        </a:prstGeom>
        <a:solidFill>
          <a:srgbClr val="FAC62A"/>
        </a:solidFill>
        <a:ln w="38100"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TRIMESTRAL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843415</xdr:colOff>
      <xdr:row>3</xdr:row>
      <xdr:rowOff>8665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892659" cy="7745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</xdr:row>
          <xdr:rowOff>60960</xdr:rowOff>
        </xdr:from>
        <xdr:to>
          <xdr:col>13</xdr:col>
          <xdr:colOff>906780</xdr:colOff>
          <xdr:row>7</xdr:row>
          <xdr:rowOff>137160</xdr:rowOff>
        </xdr:to>
        <xdr:sp macro="" textlink="">
          <xdr:nvSpPr>
            <xdr:cNvPr id="9217" name="Scroll Ba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12</xdr:col>
      <xdr:colOff>1255309</xdr:colOff>
      <xdr:row>2</xdr:row>
      <xdr:rowOff>9525</xdr:rowOff>
    </xdr:from>
    <xdr:to>
      <xdr:col>15</xdr:col>
      <xdr:colOff>108880</xdr:colOff>
      <xdr:row>3</xdr:row>
      <xdr:rowOff>2235</xdr:rowOff>
    </xdr:to>
    <xdr:sp macro="" textlink="BALANCO!$A$2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10858500" y="581025"/>
          <a:ext cx="1543050" cy="171451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6F79E9A-8037-46FC-B722-408CD9A83B26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06/08/2026 16:59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209550</xdr:colOff>
      <xdr:row>4</xdr:row>
      <xdr:rowOff>19050</xdr:rowOff>
    </xdr:from>
    <xdr:to>
      <xdr:col>5</xdr:col>
      <xdr:colOff>1514475</xdr:colOff>
      <xdr:row>5</xdr:row>
      <xdr:rowOff>180975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09625" y="971550"/>
          <a:ext cx="1304925" cy="352425"/>
        </a:xfrm>
        <a:prstGeom prst="roundRect">
          <a:avLst/>
        </a:prstGeom>
        <a:solidFill>
          <a:srgbClr val="FAC62A"/>
        </a:solidFill>
        <a:ln w="38100"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TRIMESTRE</a:t>
          </a:r>
        </a:p>
      </xdr:txBody>
    </xdr:sp>
    <xdr:clientData/>
  </xdr:twoCellAnchor>
  <xdr:twoCellAnchor editAs="absolute">
    <xdr:from>
      <xdr:col>5</xdr:col>
      <xdr:colOff>2343801</xdr:colOff>
      <xdr:row>0</xdr:row>
      <xdr:rowOff>0</xdr:rowOff>
    </xdr:from>
    <xdr:to>
      <xdr:col>15</xdr:col>
      <xdr:colOff>186394</xdr:colOff>
      <xdr:row>3</xdr:row>
      <xdr:rowOff>92484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343801" y="0"/>
          <a:ext cx="10549190" cy="834692"/>
          <a:chOff x="2324101" y="0"/>
          <a:chExt cx="10153649" cy="854484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GrpSpPr/>
        </xdr:nvGrpSpPr>
        <xdr:grpSpPr>
          <a:xfrm>
            <a:off x="3648075" y="104775"/>
            <a:ext cx="8829675" cy="476250"/>
            <a:chOff x="76200" y="85725"/>
            <a:chExt cx="8829675" cy="476250"/>
          </a:xfrm>
        </xdr:grpSpPr>
        <xdr:sp macro="" textlink="">
          <xdr:nvSpPr>
            <xdr:cNvPr id="4" name="Retângulo 3">
              <a:hlinkClick xmlns:r="http://schemas.openxmlformats.org/officeDocument/2006/relationships" r:id="rId3" tooltip="IR PARA MENU"/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SpPr/>
          </xdr:nvSpPr>
          <xdr:spPr>
            <a:xfrm>
              <a:off x="76200" y="95250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MENU</a:t>
              </a:r>
            </a:p>
          </xdr:txBody>
        </xdr:sp>
        <xdr:sp macro="" textlink="">
          <xdr:nvSpPr>
            <xdr:cNvPr id="5" name="Retângulo 4">
              <a:hlinkClick xmlns:r="http://schemas.openxmlformats.org/officeDocument/2006/relationships" r:id="rId4" tooltip="IR PARA INDICADORES"/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/>
          </xdr:nvSpPr>
          <xdr:spPr>
            <a:xfrm>
              <a:off x="1852613" y="92868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INDICADORES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5" tooltip="IR PARA BALANCO"/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/>
          </xdr:nvSpPr>
          <xdr:spPr>
            <a:xfrm>
              <a:off x="3629026" y="90487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BALANÇO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6" tooltip="VOCÊ JÁ ESTÁ NA DRE"/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5405438" y="88106"/>
              <a:ext cx="1724025" cy="466725"/>
            </a:xfrm>
            <a:prstGeom prst="rect">
              <a:avLst/>
            </a:prstGeom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DRE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7" tooltip="IR PARA DADOS"/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7181850" y="85725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DADOS</a:t>
              </a:r>
            </a:p>
          </xdr:txBody>
        </xdr:sp>
      </xdr:grp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24101" y="0"/>
            <a:ext cx="1285874" cy="85448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1631386</xdr:colOff>
      <xdr:row>4</xdr:row>
      <xdr:rowOff>19049</xdr:rowOff>
    </xdr:from>
    <xdr:to>
      <xdr:col>5</xdr:col>
      <xdr:colOff>2936311</xdr:colOff>
      <xdr:row>5</xdr:row>
      <xdr:rowOff>180974</xdr:rowOff>
    </xdr:to>
    <xdr:sp macro="" textlink="">
      <xdr:nvSpPr>
        <xdr:cNvPr id="14" name="Retângulo: Cantos Arredondados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678077" y="962211"/>
          <a:ext cx="1304925" cy="348689"/>
        </a:xfrm>
        <a:prstGeom prst="roundRect">
          <a:avLst/>
        </a:prstGeom>
        <a:solidFill>
          <a:srgbClr val="FAC62A"/>
        </a:solidFill>
        <a:ln w="38100"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SEMESTRE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294250</xdr:colOff>
      <xdr:row>3</xdr:row>
      <xdr:rowOff>18805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892659" cy="774593"/>
        </a:xfrm>
        <a:prstGeom prst="rect">
          <a:avLst/>
        </a:prstGeom>
      </xdr:spPr>
    </xdr:pic>
    <xdr:clientData/>
  </xdr:twoCellAnchor>
  <xdr:twoCellAnchor editAs="absolute">
    <xdr:from>
      <xdr:col>5</xdr:col>
      <xdr:colOff>2327148</xdr:colOff>
      <xdr:row>0</xdr:row>
      <xdr:rowOff>0</xdr:rowOff>
    </xdr:from>
    <xdr:to>
      <xdr:col>15</xdr:col>
      <xdr:colOff>463918</xdr:colOff>
      <xdr:row>3</xdr:row>
      <xdr:rowOff>92484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2327148" y="0"/>
          <a:ext cx="10459739" cy="842578"/>
          <a:chOff x="2324101" y="0"/>
          <a:chExt cx="10153649" cy="854484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pSpPr/>
        </xdr:nvGrpSpPr>
        <xdr:grpSpPr>
          <a:xfrm>
            <a:off x="3648075" y="104775"/>
            <a:ext cx="8829675" cy="476250"/>
            <a:chOff x="76200" y="85725"/>
            <a:chExt cx="8829675" cy="476250"/>
          </a:xfrm>
        </xdr:grpSpPr>
        <xdr:sp macro="" textlink="">
          <xdr:nvSpPr>
            <xdr:cNvPr id="5" name="Retângulo 4">
              <a:hlinkClick xmlns:r="http://schemas.openxmlformats.org/officeDocument/2006/relationships" r:id="rId2" tooltip="IR PARA MENU"/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/>
          </xdr:nvSpPr>
          <xdr:spPr>
            <a:xfrm>
              <a:off x="76200" y="95250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MENU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3" tooltip="IR PARA INDICADORES"/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/>
          </xdr:nvSpPr>
          <xdr:spPr>
            <a:xfrm>
              <a:off x="1852613" y="92868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INDICADORES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4" tooltip="IR PARA BALANCO"/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/>
          </xdr:nvSpPr>
          <xdr:spPr>
            <a:xfrm>
              <a:off x="3629026" y="90487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BALANÇO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5" tooltip="VOCÊ JÁ ESTÁ NA DRE"/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/>
          </xdr:nvSpPr>
          <xdr:spPr>
            <a:xfrm>
              <a:off x="5405438" y="88106"/>
              <a:ext cx="1724025" cy="466725"/>
            </a:xfrm>
            <a:prstGeom prst="rect">
              <a:avLst/>
            </a:prstGeom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DRE</a:t>
              </a:r>
            </a:p>
          </xdr:txBody>
        </xdr:sp>
        <xdr:sp macro="" textlink="">
          <xdr:nvSpPr>
            <xdr:cNvPr id="9" name="Retângulo 8">
              <a:hlinkClick xmlns:r="http://schemas.openxmlformats.org/officeDocument/2006/relationships" r:id="rId6" tooltip="IR PARA DADOS"/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7181850" y="85725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DADOS</a:t>
              </a:r>
            </a:p>
          </xdr:txBody>
        </xdr:sp>
      </xdr:grp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24101" y="0"/>
            <a:ext cx="1285874" cy="85448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1017177</xdr:colOff>
      <xdr:row>2</xdr:row>
      <xdr:rowOff>9525</xdr:rowOff>
    </xdr:from>
    <xdr:to>
      <xdr:col>15</xdr:col>
      <xdr:colOff>388777</xdr:colOff>
      <xdr:row>3</xdr:row>
      <xdr:rowOff>1682</xdr:rowOff>
    </xdr:to>
    <xdr:sp macro="" textlink="BALANCO!$A$2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10858500" y="581025"/>
          <a:ext cx="1543050" cy="171451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6F79E9A-8037-46FC-B722-408CD9A83B26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06/08/2026 16:59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518160</xdr:colOff>
          <xdr:row>4</xdr:row>
          <xdr:rowOff>7620</xdr:rowOff>
        </xdr:from>
        <xdr:to>
          <xdr:col>17</xdr:col>
          <xdr:colOff>38100</xdr:colOff>
          <xdr:row>6</xdr:row>
          <xdr:rowOff>7620</xdr:rowOff>
        </xdr:to>
        <xdr:sp macro="" textlink="">
          <xdr:nvSpPr>
            <xdr:cNvPr id="112644" name="PGDRETRIMMAIS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8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1325880</xdr:colOff>
          <xdr:row>4</xdr:row>
          <xdr:rowOff>7620</xdr:rowOff>
        </xdr:from>
        <xdr:to>
          <xdr:col>16</xdr:col>
          <xdr:colOff>434340</xdr:colOff>
          <xdr:row>6</xdr:row>
          <xdr:rowOff>7620</xdr:rowOff>
        </xdr:to>
        <xdr:sp macro="" textlink="">
          <xdr:nvSpPr>
            <xdr:cNvPr id="112645" name="PGDRETRIMMENOS" hidden="1">
              <a:extLst>
                <a:ext uri="{63B3BB69-23CF-44E3-9099-C40C66FF867C}">
                  <a14:compatExt spid="_x0000_s112645"/>
                </a:ext>
                <a:ext uri="{FF2B5EF4-FFF2-40B4-BE49-F238E27FC236}">
                  <a16:creationId xmlns:a16="http://schemas.microsoft.com/office/drawing/2014/main" id="{00000000-0008-0000-0800-000005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219075</xdr:colOff>
      <xdr:row>4</xdr:row>
      <xdr:rowOff>19050</xdr:rowOff>
    </xdr:from>
    <xdr:to>
      <xdr:col>5</xdr:col>
      <xdr:colOff>1524000</xdr:colOff>
      <xdr:row>5</xdr:row>
      <xdr:rowOff>180975</xdr:rowOff>
    </xdr:to>
    <xdr:sp macro="" textlink="">
      <xdr:nvSpPr>
        <xdr:cNvPr id="16" name="Retângulo: Cantos Arredondados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819150" y="971550"/>
          <a:ext cx="1304925" cy="352425"/>
        </a:xfrm>
        <a:prstGeom prst="roundRect">
          <a:avLst/>
        </a:prstGeom>
        <a:solidFill>
          <a:srgbClr val="FAC62A"/>
        </a:solidFill>
        <a:ln w="3810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MENSAL</a:t>
          </a:r>
        </a:p>
      </xdr:txBody>
    </xdr:sp>
    <xdr:clientData/>
  </xdr:twoCellAnchor>
  <xdr:twoCellAnchor>
    <xdr:from>
      <xdr:col>5</xdr:col>
      <xdr:colOff>1653817</xdr:colOff>
      <xdr:row>4</xdr:row>
      <xdr:rowOff>19050</xdr:rowOff>
    </xdr:from>
    <xdr:to>
      <xdr:col>5</xdr:col>
      <xdr:colOff>2958742</xdr:colOff>
      <xdr:row>5</xdr:row>
      <xdr:rowOff>180975</xdr:rowOff>
    </xdr:to>
    <xdr:sp macro="" textlink="">
      <xdr:nvSpPr>
        <xdr:cNvPr id="15" name="Retângulo: Cantos Arredondados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653817" y="971550"/>
          <a:ext cx="1304925" cy="348497"/>
        </a:xfrm>
        <a:prstGeom prst="roundRect">
          <a:avLst/>
        </a:prstGeom>
        <a:solidFill>
          <a:srgbClr val="FAC62A"/>
        </a:solidFill>
        <a:ln w="3810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SEMESTRE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325396</xdr:colOff>
      <xdr:row>3</xdr:row>
      <xdr:rowOff>18805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903426" cy="780805"/>
        </a:xfrm>
        <a:prstGeom prst="rect">
          <a:avLst/>
        </a:prstGeom>
      </xdr:spPr>
    </xdr:pic>
    <xdr:clientData/>
  </xdr:twoCellAnchor>
  <xdr:twoCellAnchor editAs="absolute">
    <xdr:from>
      <xdr:col>5</xdr:col>
      <xdr:colOff>2344766</xdr:colOff>
      <xdr:row>0</xdr:row>
      <xdr:rowOff>0</xdr:rowOff>
    </xdr:from>
    <xdr:to>
      <xdr:col>15</xdr:col>
      <xdr:colOff>482149</xdr:colOff>
      <xdr:row>3</xdr:row>
      <xdr:rowOff>92484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2344766" y="0"/>
          <a:ext cx="10460352" cy="842578"/>
          <a:chOff x="2324101" y="0"/>
          <a:chExt cx="10153649" cy="854484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3648075" y="104775"/>
            <a:ext cx="8829675" cy="476250"/>
            <a:chOff x="76200" y="85725"/>
            <a:chExt cx="8829675" cy="476250"/>
          </a:xfrm>
        </xdr:grpSpPr>
        <xdr:sp macro="" textlink="">
          <xdr:nvSpPr>
            <xdr:cNvPr id="6" name="Retângulo 5">
              <a:hlinkClick xmlns:r="http://schemas.openxmlformats.org/officeDocument/2006/relationships" r:id="rId2" tooltip="IR PARA MENU"/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SpPr/>
          </xdr:nvSpPr>
          <xdr:spPr>
            <a:xfrm>
              <a:off x="76200" y="95250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MENU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3" tooltip="IR PARA INDICADORES"/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SpPr/>
          </xdr:nvSpPr>
          <xdr:spPr>
            <a:xfrm>
              <a:off x="1852613" y="92868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INDICADORES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4" tooltip="IR PARA BALANCO"/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/>
          </xdr:nvSpPr>
          <xdr:spPr>
            <a:xfrm>
              <a:off x="3629026" y="90487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BALANÇO</a:t>
              </a:r>
            </a:p>
          </xdr:txBody>
        </xdr:sp>
        <xdr:sp macro="" textlink="">
          <xdr:nvSpPr>
            <xdr:cNvPr id="9" name="Retângulo 8">
              <a:hlinkClick xmlns:r="http://schemas.openxmlformats.org/officeDocument/2006/relationships" r:id="rId5" tooltip="VOCÊ JÁ ESTÁ NA DRE"/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/>
          </xdr:nvSpPr>
          <xdr:spPr>
            <a:xfrm>
              <a:off x="5405438" y="88106"/>
              <a:ext cx="1724025" cy="466725"/>
            </a:xfrm>
            <a:prstGeom prst="rect">
              <a:avLst/>
            </a:prstGeom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DRE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6" tooltip="IR PARA DADOS"/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SpPr/>
          </xdr:nvSpPr>
          <xdr:spPr>
            <a:xfrm>
              <a:off x="7181850" y="85725"/>
              <a:ext cx="1724025" cy="466725"/>
            </a:xfrm>
            <a:prstGeom prst="rect">
              <a:avLst/>
            </a:prstGeom>
            <a:solidFill>
              <a:srgbClr val="FAC62A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/>
                <a:t>DADOS</a:t>
              </a:r>
            </a:p>
          </xdr:txBody>
        </xdr:sp>
      </xdr:grp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24101" y="0"/>
            <a:ext cx="1285874" cy="85448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1035696</xdr:colOff>
      <xdr:row>2</xdr:row>
      <xdr:rowOff>9525</xdr:rowOff>
    </xdr:from>
    <xdr:to>
      <xdr:col>15</xdr:col>
      <xdr:colOff>407008</xdr:colOff>
      <xdr:row>3</xdr:row>
      <xdr:rowOff>1179</xdr:rowOff>
    </xdr:to>
    <xdr:sp macro="" textlink="BALANCO!$A$2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10852999" y="581025"/>
          <a:ext cx="1552496" cy="171451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6F79E9A-8037-46FC-B722-408CD9A83B26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06/08/2026 16:59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518160</xdr:colOff>
          <xdr:row>4</xdr:row>
          <xdr:rowOff>7620</xdr:rowOff>
        </xdr:from>
        <xdr:to>
          <xdr:col>17</xdr:col>
          <xdr:colOff>15240</xdr:colOff>
          <xdr:row>6</xdr:row>
          <xdr:rowOff>7620</xdr:rowOff>
        </xdr:to>
        <xdr:sp macro="" textlink="">
          <xdr:nvSpPr>
            <xdr:cNvPr id="144385" name="PGDRETRIMMAIS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9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1325880</xdr:colOff>
          <xdr:row>4</xdr:row>
          <xdr:rowOff>7620</xdr:rowOff>
        </xdr:from>
        <xdr:to>
          <xdr:col>16</xdr:col>
          <xdr:colOff>434340</xdr:colOff>
          <xdr:row>6</xdr:row>
          <xdr:rowOff>7620</xdr:rowOff>
        </xdr:to>
        <xdr:sp macro="" textlink="">
          <xdr:nvSpPr>
            <xdr:cNvPr id="144386" name="PGDRETRIMMENOS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09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219075</xdr:colOff>
      <xdr:row>4</xdr:row>
      <xdr:rowOff>19050</xdr:rowOff>
    </xdr:from>
    <xdr:to>
      <xdr:col>5</xdr:col>
      <xdr:colOff>1524000</xdr:colOff>
      <xdr:row>5</xdr:row>
      <xdr:rowOff>180975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219075" y="971550"/>
          <a:ext cx="1304925" cy="352425"/>
        </a:xfrm>
        <a:prstGeom prst="roundRect">
          <a:avLst/>
        </a:prstGeom>
        <a:solidFill>
          <a:srgbClr val="FAC62A"/>
        </a:solidFill>
        <a:ln w="3810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MENSAL</a:t>
          </a:r>
        </a:p>
      </xdr:txBody>
    </xdr:sp>
    <xdr:clientData/>
  </xdr:twoCellAnchor>
  <xdr:twoCellAnchor>
    <xdr:from>
      <xdr:col>5</xdr:col>
      <xdr:colOff>1658649</xdr:colOff>
      <xdr:row>4</xdr:row>
      <xdr:rowOff>19050</xdr:rowOff>
    </xdr:from>
    <xdr:to>
      <xdr:col>5</xdr:col>
      <xdr:colOff>2963574</xdr:colOff>
      <xdr:row>5</xdr:row>
      <xdr:rowOff>180975</xdr:rowOff>
    </xdr:to>
    <xdr:sp macro="" textlink="">
      <xdr:nvSpPr>
        <xdr:cNvPr id="15" name="Retângulo: Cantos Arredondados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658649" y="982374"/>
          <a:ext cx="1304925" cy="356754"/>
        </a:xfrm>
        <a:prstGeom prst="roundRect">
          <a:avLst/>
        </a:prstGeom>
        <a:solidFill>
          <a:srgbClr val="FAC62A"/>
        </a:solidFill>
        <a:ln w="3810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TRIMESTRE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311001</xdr:colOff>
      <xdr:row>3</xdr:row>
      <xdr:rowOff>18805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892659" cy="774593"/>
        </a:xfrm>
        <a:prstGeom prst="rect">
          <a:avLst/>
        </a:prstGeom>
      </xdr:spPr>
    </xdr:pic>
    <xdr:clientData/>
  </xdr:twoCellAnchor>
  <xdr:twoCellAnchor editAs="absolute">
    <xdr:from>
      <xdr:col>9</xdr:col>
      <xdr:colOff>265511</xdr:colOff>
      <xdr:row>2</xdr:row>
      <xdr:rowOff>19049</xdr:rowOff>
    </xdr:from>
    <xdr:to>
      <xdr:col>10</xdr:col>
      <xdr:colOff>94060</xdr:colOff>
      <xdr:row>3</xdr:row>
      <xdr:rowOff>0</xdr:rowOff>
    </xdr:to>
    <xdr:sp macro="" textlink="$A$2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0963276" y="590549"/>
          <a:ext cx="1543050" cy="171451"/>
        </a:xfrm>
        <a:prstGeom prst="rect">
          <a:avLst/>
        </a:prstGeom>
        <a:solidFill>
          <a:srgbClr val="FAC62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29EE077-1836-49F3-86FA-0A96C290B7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06/08/2026 16:59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2524919</xdr:colOff>
      <xdr:row>1</xdr:row>
      <xdr:rowOff>9525</xdr:rowOff>
    </xdr:from>
    <xdr:to>
      <xdr:col>10</xdr:col>
      <xdr:colOff>65484</xdr:colOff>
      <xdr:row>2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3673138" y="103470"/>
          <a:ext cx="9148017" cy="469726"/>
          <a:chOff x="76200" y="85725"/>
          <a:chExt cx="8829675" cy="476250"/>
        </a:xfrm>
        <a:solidFill>
          <a:srgbClr val="FAC62A"/>
        </a:solidFill>
      </xdr:grpSpPr>
      <xdr:sp macro="" textlink="">
        <xdr:nvSpPr>
          <xdr:cNvPr id="4" name="Retângulo 3">
            <a:hlinkClick xmlns:r="http://schemas.openxmlformats.org/officeDocument/2006/relationships" r:id="rId2" tooltip="IR PARA MENU"/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76200" y="95250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MENU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3" tooltip="IR PARA INDICADORES"/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852613" y="92868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INDICADORES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4" tooltip="IR PARA BALANÇO PATRIMONIAL"/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>
            <a:off x="3629026" y="90487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BALANÇO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5" tooltip="IR PARA DRE"/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5405438" y="88106"/>
            <a:ext cx="1724025" cy="4667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DRE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6" tooltip="VOCE JA ESTA EM DADOS"/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7181850" y="85725"/>
            <a:ext cx="1724025" cy="466725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DADOS</a:t>
            </a:r>
          </a:p>
        </xdr:txBody>
      </xdr:sp>
    </xdr:grpSp>
    <xdr:clientData/>
  </xdr:twoCellAnchor>
  <xdr:twoCellAnchor editAs="absolute">
    <xdr:from>
      <xdr:col>4</xdr:col>
      <xdr:colOff>1204120</xdr:colOff>
      <xdr:row>0</xdr:row>
      <xdr:rowOff>0</xdr:rowOff>
    </xdr:from>
    <xdr:to>
      <xdr:col>4</xdr:col>
      <xdr:colOff>2486819</xdr:colOff>
      <xdr:row>3</xdr:row>
      <xdr:rowOff>92484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101" y="0"/>
          <a:ext cx="1285874" cy="854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1089660</xdr:colOff>
          <xdr:row>10</xdr:row>
          <xdr:rowOff>38100</xdr:rowOff>
        </xdr:from>
        <xdr:to>
          <xdr:col>10</xdr:col>
          <xdr:colOff>22860</xdr:colOff>
          <xdr:row>10</xdr:row>
          <xdr:rowOff>175260</xdr:rowOff>
        </xdr:to>
        <xdr:sp macro="" textlink="">
          <xdr:nvSpPr>
            <xdr:cNvPr id="10245" name="Scroll Bar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A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28</xdr:row>
          <xdr:rowOff>38100</xdr:rowOff>
        </xdr:from>
        <xdr:to>
          <xdr:col>10</xdr:col>
          <xdr:colOff>0</xdr:colOff>
          <xdr:row>29</xdr:row>
          <xdr:rowOff>137160</xdr:rowOff>
        </xdr:to>
        <xdr:sp macro="" textlink="">
          <xdr:nvSpPr>
            <xdr:cNvPr id="10247" name="Scroll Bar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A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990600</xdr:colOff>
      <xdr:row>3</xdr:row>
      <xdr:rowOff>133350</xdr:rowOff>
    </xdr:from>
    <xdr:to>
      <xdr:col>10</xdr:col>
      <xdr:colOff>0</xdr:colOff>
      <xdr:row>8</xdr:row>
      <xdr:rowOff>142875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990600" y="884912"/>
          <a:ext cx="11765071" cy="948977"/>
          <a:chOff x="2209800" y="895350"/>
          <a:chExt cx="11410950" cy="962025"/>
        </a:xfrm>
        <a:solidFill>
          <a:srgbClr val="FAC62A"/>
        </a:solidFill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2209800" y="895350"/>
            <a:ext cx="11410950" cy="962025"/>
          </a:xfrm>
          <a:prstGeom prst="rect">
            <a:avLst/>
          </a:prstGeom>
          <a:grpFill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 tooltip="IR PARA BANCO DE DADOS"/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3631129" y="1057275"/>
            <a:ext cx="2318479" cy="5429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/>
              <a:t>BANCO DE DADOS</a:t>
            </a:r>
          </a:p>
        </xdr:txBody>
      </xdr:sp>
      <xdr:sp macro="" textlink="">
        <xdr:nvSpPr>
          <xdr:cNvPr id="12" name="Retângulo 11">
            <a:hlinkClick xmlns:r="http://schemas.openxmlformats.org/officeDocument/2006/relationships" r:id="rId9" tooltip="IR PARA BANCO DE DADOS INDICADORES"/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9780139" y="1057275"/>
            <a:ext cx="2318479" cy="5429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/>
              <a:t>BANCO</a:t>
            </a:r>
            <a:r>
              <a:rPr lang="pt-BR" sz="1400" b="1" baseline="0"/>
              <a:t> DE DADOS INDICADORES</a:t>
            </a:r>
            <a:endParaRPr lang="pt-BR" sz="1400" b="1"/>
          </a:p>
        </xdr:txBody>
      </xdr:sp>
      <xdr:sp macro="" textlink="">
        <xdr:nvSpPr>
          <xdr:cNvPr id="16" name="Retângulo 15">
            <a:hlinkClick xmlns:r="http://schemas.openxmlformats.org/officeDocument/2006/relationships" r:id="rId10" tooltip="IR PARA IMPRESSAO"/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6696075" y="1057275"/>
            <a:ext cx="2318479" cy="542925"/>
          </a:xfrm>
          <a:prstGeom prst="rect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/>
              <a:t>IMPRESSÃO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4</xdr:row>
          <xdr:rowOff>104775</xdr:rowOff>
        </xdr:from>
        <xdr:to>
          <xdr:col>4</xdr:col>
          <xdr:colOff>1238250</xdr:colOff>
          <xdr:row>7</xdr:row>
          <xdr:rowOff>95250</xdr:rowOff>
        </xdr:to>
        <xdr:grpSp>
          <xdr:nvGrpSpPr>
            <xdr:cNvPr id="15" name="Agrupar 14">
              <a:extLst>
                <a:ext uri="{FF2B5EF4-FFF2-40B4-BE49-F238E27FC236}">
                  <a16:creationId xmlns:a16="http://schemas.microsoft.com/office/drawing/2014/main" id="{00000000-0008-0000-0A00-00000F000000}"/>
                </a:ext>
              </a:extLst>
            </xdr:cNvPr>
            <xdr:cNvGrpSpPr/>
          </xdr:nvGrpSpPr>
          <xdr:grpSpPr>
            <a:xfrm>
              <a:off x="1038225" y="1044227"/>
              <a:ext cx="1348244" cy="554146"/>
              <a:chOff x="2219314" y="1257290"/>
              <a:chExt cx="1314450" cy="561978"/>
            </a:xfrm>
            <a:solidFill>
              <a:schemeClr val="bg1"/>
            </a:solidFill>
          </xdr:grpSpPr>
          <xdr:sp macro="" textlink="">
            <xdr:nvSpPr>
              <xdr:cNvPr id="10248" name="Button 8" hidden="1">
                <a:extLst>
                  <a:ext uri="{63B3BB69-23CF-44E3-9099-C40C66FF867C}">
                    <a14:compatExt spid="_x0000_s10248"/>
                  </a:ext>
                  <a:ext uri="{FF2B5EF4-FFF2-40B4-BE49-F238E27FC236}">
                    <a16:creationId xmlns:a16="http://schemas.microsoft.com/office/drawing/2014/main" id="{00000000-0008-0000-0A00-000008280000}"/>
                  </a:ext>
                </a:extLst>
              </xdr:cNvPr>
              <xdr:cNvSpPr/>
            </xdr:nvSpPr>
            <xdr:spPr bwMode="auto">
              <a:xfrm>
                <a:off x="2914648" y="1495427"/>
                <a:ext cx="571500" cy="2476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DESATIVAR</a:t>
                </a:r>
              </a:p>
            </xdr:txBody>
          </xdr:sp>
          <xdr:sp macro="" textlink="">
            <xdr:nvSpPr>
              <xdr:cNvPr id="10249" name="Button 9" hidden="1">
                <a:extLst>
                  <a:ext uri="{63B3BB69-23CF-44E3-9099-C40C66FF867C}">
                    <a14:compatExt spid="_x0000_s10249"/>
                  </a:ext>
                  <a:ext uri="{FF2B5EF4-FFF2-40B4-BE49-F238E27FC236}">
                    <a16:creationId xmlns:a16="http://schemas.microsoft.com/office/drawing/2014/main" id="{00000000-0008-0000-0A00-000009280000}"/>
                  </a:ext>
                </a:extLst>
              </xdr:cNvPr>
              <xdr:cNvSpPr/>
            </xdr:nvSpPr>
            <xdr:spPr bwMode="auto">
              <a:xfrm>
                <a:off x="2286000" y="1495427"/>
                <a:ext cx="571500" cy="2476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ATIVAR</a:t>
                </a:r>
              </a:p>
            </xdr:txBody>
          </xdr:sp>
          <xdr:sp macro="" textlink="">
            <xdr:nvSpPr>
              <xdr:cNvPr id="10250" name="Group Box 10" hidden="1">
                <a:extLst>
                  <a:ext uri="{63B3BB69-23CF-44E3-9099-C40C66FF867C}">
                    <a14:compatExt spid="_x0000_s10250"/>
                  </a:ext>
                  <a:ext uri="{FF2B5EF4-FFF2-40B4-BE49-F238E27FC236}">
                    <a16:creationId xmlns:a16="http://schemas.microsoft.com/office/drawing/2014/main" id="{00000000-0008-0000-0A00-00000A280000}"/>
                  </a:ext>
                </a:extLst>
              </xdr:cNvPr>
              <xdr:cNvSpPr/>
            </xdr:nvSpPr>
            <xdr:spPr bwMode="auto">
              <a:xfrm>
                <a:off x="2219314" y="1257290"/>
                <a:ext cx="1314450" cy="5619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BARRAS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411480</xdr:colOff>
          <xdr:row>5</xdr:row>
          <xdr:rowOff>38100</xdr:rowOff>
        </xdr:from>
        <xdr:to>
          <xdr:col>9</xdr:col>
          <xdr:colOff>1592580</xdr:colOff>
          <xdr:row>6</xdr:row>
          <xdr:rowOff>121920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A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TELA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1234785</xdr:colOff>
      <xdr:row>7</xdr:row>
      <xdr:rowOff>93951</xdr:rowOff>
    </xdr:from>
    <xdr:to>
      <xdr:col>7</xdr:col>
      <xdr:colOff>949036</xdr:colOff>
      <xdr:row>8</xdr:row>
      <xdr:rowOff>103476</xdr:rowOff>
    </xdr:to>
    <xdr:sp macro="[0]!ChamaFormFaturamento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6776603" y="1641764"/>
          <a:ext cx="1424422" cy="204354"/>
        </a:xfrm>
        <a:prstGeom prst="rect">
          <a:avLst/>
        </a:prstGeom>
        <a:solidFill>
          <a:srgbClr val="FAC62A"/>
        </a:solidFill>
        <a:ln>
          <a:solidFill>
            <a:schemeClr val="tx1"/>
          </a:solidFill>
          <a:prstDash val="sysDot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FATURAMENTO</a:t>
          </a:r>
        </a:p>
      </xdr:txBody>
    </xdr:sp>
    <xdr:clientData/>
  </xdr:twoCellAnchor>
  <xdr:twoCellAnchor>
    <xdr:from>
      <xdr:col>5</xdr:col>
      <xdr:colOff>1297564</xdr:colOff>
      <xdr:row>7</xdr:row>
      <xdr:rowOff>102610</xdr:rowOff>
    </xdr:from>
    <xdr:to>
      <xdr:col>6</xdr:col>
      <xdr:colOff>1011816</xdr:colOff>
      <xdr:row>8</xdr:row>
      <xdr:rowOff>112135</xdr:rowOff>
    </xdr:to>
    <xdr:sp macro="[0]!ChamaFormDFC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5129212" y="1650423"/>
          <a:ext cx="1424422" cy="204354"/>
        </a:xfrm>
        <a:prstGeom prst="rect">
          <a:avLst/>
        </a:prstGeom>
        <a:solidFill>
          <a:srgbClr val="FAC62A"/>
        </a:solidFill>
        <a:ln>
          <a:solidFill>
            <a:schemeClr val="tx1"/>
          </a:solidFill>
          <a:prstDash val="sysDot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Dem.</a:t>
          </a:r>
          <a:r>
            <a:rPr lang="pt-BR" sz="1050" b="1" baseline="0"/>
            <a:t> Fluxo de Caixa</a:t>
          </a:r>
          <a:endParaRPr lang="pt-BR" sz="105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35560</xdr:rowOff>
        </xdr:from>
        <xdr:to>
          <xdr:col>3</xdr:col>
          <xdr:colOff>127000</xdr:colOff>
          <xdr:row>1</xdr:row>
          <xdr:rowOff>279400</xdr:rowOff>
        </xdr:to>
        <xdr:sp macro="" textlink="">
          <xdr:nvSpPr>
            <xdr:cNvPr id="10254" name="TempCombo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A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1093210</xdr:colOff>
      <xdr:row>40</xdr:row>
      <xdr:rowOff>140710</xdr:rowOff>
    </xdr:from>
    <xdr:to>
      <xdr:col>9</xdr:col>
      <xdr:colOff>1710169</xdr:colOff>
      <xdr:row>60</xdr:row>
      <xdr:rowOff>92219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1058189</xdr:colOff>
      <xdr:row>62</xdr:row>
      <xdr:rowOff>108930</xdr:rowOff>
    </xdr:from>
    <xdr:to>
      <xdr:col>9</xdr:col>
      <xdr:colOff>1859611</xdr:colOff>
      <xdr:row>95</xdr:row>
      <xdr:rowOff>54465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2695575</xdr:colOff>
      <xdr:row>1</xdr:row>
      <xdr:rowOff>85725</xdr:rowOff>
    </xdr:to>
    <xdr:sp macro="[0]!AddColunaComFormul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3810000" cy="2762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 DADOS PLANILHA RAZOES</a:t>
          </a:r>
        </a:p>
      </xdr:txBody>
    </xdr:sp>
    <xdr:clientData/>
  </xdr:twoCellAnchor>
  <xdr:twoCellAnchor>
    <xdr:from>
      <xdr:col>1</xdr:col>
      <xdr:colOff>2828925</xdr:colOff>
      <xdr:row>0</xdr:row>
      <xdr:rowOff>0</xdr:rowOff>
    </xdr:from>
    <xdr:to>
      <xdr:col>1</xdr:col>
      <xdr:colOff>3409950</xdr:colOff>
      <xdr:row>1</xdr:row>
      <xdr:rowOff>86700</xdr:rowOff>
    </xdr:to>
    <xdr:sp macro="" textlink="">
      <xdr:nvSpPr>
        <xdr:cNvPr id="3" name="Retângulo 2">
          <a:hlinkClick xmlns:r="http://schemas.openxmlformats.org/officeDocument/2006/relationships" r:id="rId1" tooltip="IR PARA MENU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943350" y="0"/>
          <a:ext cx="581025" cy="27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0</xdr:row>
      <xdr:rowOff>95250</xdr:rowOff>
    </xdr:from>
    <xdr:to>
      <xdr:col>7</xdr:col>
      <xdr:colOff>838200</xdr:colOff>
      <xdr:row>1</xdr:row>
      <xdr:rowOff>152400</xdr:rowOff>
    </xdr:to>
    <xdr:sp macro="" textlink="">
      <xdr:nvSpPr>
        <xdr:cNvPr id="2" name="Retângulo 1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8220075" y="95250"/>
          <a:ext cx="581025" cy="2476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1104900</xdr:colOff>
      <xdr:row>0</xdr:row>
      <xdr:rowOff>95250</xdr:rowOff>
    </xdr:from>
    <xdr:to>
      <xdr:col>8</xdr:col>
      <xdr:colOff>866775</xdr:colOff>
      <xdr:row>1</xdr:row>
      <xdr:rowOff>152400</xdr:rowOff>
    </xdr:to>
    <xdr:sp macro="[0]!atualizarTudo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9067800" y="95250"/>
          <a:ext cx="885825" cy="2476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937260</xdr:colOff>
          <xdr:row>0</xdr:row>
          <xdr:rowOff>99060</xdr:rowOff>
        </xdr:from>
        <xdr:to>
          <xdr:col>8</xdr:col>
          <xdr:colOff>990600</xdr:colOff>
          <xdr:row>1</xdr:row>
          <xdr:rowOff>152400</xdr:rowOff>
        </xdr:to>
        <xdr:sp macro="" textlink="">
          <xdr:nvSpPr>
            <xdr:cNvPr id="31759" name="Button 15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C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Gerar Indicadores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114300</xdr:colOff>
      <xdr:row>0</xdr:row>
      <xdr:rowOff>0</xdr:rowOff>
    </xdr:from>
    <xdr:to>
      <xdr:col>41</xdr:col>
      <xdr:colOff>114301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dicador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dic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83425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41</xdr:col>
      <xdr:colOff>95250</xdr:colOff>
      <xdr:row>0</xdr:row>
      <xdr:rowOff>0</xdr:rowOff>
    </xdr:from>
    <xdr:to>
      <xdr:col>46</xdr:col>
      <xdr:colOff>380999</xdr:colOff>
      <xdr:row>7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Periodo">
              <a:extLst>
                <a:ext uri="{FF2B5EF4-FFF2-40B4-BE49-F238E27FC236}">
                  <a16:creationId xmlns:a16="http://schemas.microsoft.com/office/drawing/2014/main" id="{00000000-0008-0000-0D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Peri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93175" y="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33</xdr:col>
      <xdr:colOff>133350</xdr:colOff>
      <xdr:row>1</xdr:row>
      <xdr:rowOff>0</xdr:rowOff>
    </xdr:from>
    <xdr:to>
      <xdr:col>38</xdr:col>
      <xdr:colOff>9525</xdr:colOff>
      <xdr:row>4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16754475" y="200025"/>
          <a:ext cx="2924175" cy="581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GRAFICOS</a:t>
          </a:r>
          <a:r>
            <a:rPr lang="pt-BR" sz="1100" baseline="0"/>
            <a:t> PARA RELATORIO</a:t>
          </a:r>
          <a:endParaRPr lang="pt-BR" sz="1100"/>
        </a:p>
      </xdr:txBody>
    </xdr:sp>
    <xdr:clientData/>
  </xdr:twoCellAnchor>
  <xdr:twoCellAnchor editAs="oneCell">
    <xdr:from>
      <xdr:col>38</xdr:col>
      <xdr:colOff>76200</xdr:colOff>
      <xdr:row>14</xdr:row>
      <xdr:rowOff>57150</xdr:rowOff>
    </xdr:from>
    <xdr:to>
      <xdr:col>41</xdr:col>
      <xdr:colOff>76201</xdr:colOff>
      <xdr:row>27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ndicador 1">
              <a:extLst>
                <a:ext uri="{FF2B5EF4-FFF2-40B4-BE49-F238E27FC236}">
                  <a16:creationId xmlns:a16="http://schemas.microsoft.com/office/drawing/2014/main" id="{00000000-0008-0000-0D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dic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16650" y="27432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41</xdr:col>
      <xdr:colOff>57150</xdr:colOff>
      <xdr:row>14</xdr:row>
      <xdr:rowOff>76200</xdr:rowOff>
    </xdr:from>
    <xdr:to>
      <xdr:col>46</xdr:col>
      <xdr:colOff>342899</xdr:colOff>
      <xdr:row>21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Periodo 1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Perio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26400" y="27622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38</xdr:col>
      <xdr:colOff>76200</xdr:colOff>
      <xdr:row>27</xdr:row>
      <xdr:rowOff>152400</xdr:rowOff>
    </xdr:from>
    <xdr:to>
      <xdr:col>41</xdr:col>
      <xdr:colOff>76201</xdr:colOff>
      <xdr:row>41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Indicador 3">
              <a:extLst>
                <a:ext uri="{FF2B5EF4-FFF2-40B4-BE49-F238E27FC236}">
                  <a16:creationId xmlns:a16="http://schemas.microsoft.com/office/drawing/2014/main" id="{00000000-0008-0000-0D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dic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16650" y="5314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41</xdr:col>
      <xdr:colOff>123825</xdr:colOff>
      <xdr:row>27</xdr:row>
      <xdr:rowOff>133350</xdr:rowOff>
    </xdr:from>
    <xdr:to>
      <xdr:col>46</xdr:col>
      <xdr:colOff>409574</xdr:colOff>
      <xdr:row>34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4" name="Periodo 4">
              <a:extLst>
                <a:ext uri="{FF2B5EF4-FFF2-40B4-BE49-F238E27FC236}">
                  <a16:creationId xmlns:a16="http://schemas.microsoft.com/office/drawing/2014/main" id="{00000000-0008-0000-0D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Period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93075" y="5295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0</xdr:row>
      <xdr:rowOff>57150</xdr:rowOff>
    </xdr:from>
    <xdr:to>
      <xdr:col>5</xdr:col>
      <xdr:colOff>542925</xdr:colOff>
      <xdr:row>1</xdr:row>
      <xdr:rowOff>152400</xdr:rowOff>
    </xdr:to>
    <xdr:sp macro="[0]!PrintBAL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086350" y="57150"/>
          <a:ext cx="4210050" cy="285750"/>
        </a:xfrm>
        <a:prstGeom prst="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PREPARAR IMPRESSAO BALANÇO</a:t>
          </a:r>
        </a:p>
      </xdr:txBody>
    </xdr:sp>
    <xdr:clientData fLocksWithSheet="0"/>
  </xdr:twoCellAnchor>
  <xdr:twoCellAnchor>
    <xdr:from>
      <xdr:col>9</xdr:col>
      <xdr:colOff>104775</xdr:colOff>
      <xdr:row>0</xdr:row>
      <xdr:rowOff>28575</xdr:rowOff>
    </xdr:from>
    <xdr:to>
      <xdr:col>11</xdr:col>
      <xdr:colOff>400050</xdr:colOff>
      <xdr:row>1</xdr:row>
      <xdr:rowOff>123825</xdr:rowOff>
    </xdr:to>
    <xdr:sp macro="[0]!PrintDRE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077450" y="28575"/>
          <a:ext cx="4210050" cy="285750"/>
        </a:xfrm>
        <a:prstGeom prst="rect">
          <a:avLst/>
        </a:prstGeom>
        <a:noFill/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PREPARAR IMPRESSÃO DRE</a:t>
          </a:r>
        </a:p>
      </xdr:txBody>
    </xdr:sp>
    <xdr:clientData fLocksWithSheet="0"/>
  </xdr:twoCellAnchor>
  <xdr:twoCellAnchor>
    <xdr:from>
      <xdr:col>0</xdr:col>
      <xdr:colOff>76200</xdr:colOff>
      <xdr:row>0</xdr:row>
      <xdr:rowOff>38100</xdr:rowOff>
    </xdr:from>
    <xdr:to>
      <xdr:col>0</xdr:col>
      <xdr:colOff>3181350</xdr:colOff>
      <xdr:row>1</xdr:row>
      <xdr:rowOff>133350</xdr:rowOff>
    </xdr:to>
    <xdr:sp macro="[0]!PrintBAL" textlink="">
      <xdr:nvSpPr>
        <xdr:cNvPr id="4" name="Retângulo 3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76200" y="38100"/>
          <a:ext cx="3105150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MENU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17</xdr:row>
      <xdr:rowOff>19050</xdr:rowOff>
    </xdr:from>
    <xdr:to>
      <xdr:col>12</xdr:col>
      <xdr:colOff>28575</xdr:colOff>
      <xdr:row>18</xdr:row>
      <xdr:rowOff>114300</xdr:rowOff>
    </xdr:to>
    <xdr:sp macro="[0]!PrintBAL" textlink="">
      <xdr:nvSpPr>
        <xdr:cNvPr id="2" name="Retângulo 1">
          <a:hlinkClick xmlns:r="http://schemas.openxmlformats.org/officeDocument/2006/relationships" r:id="rId1" tooltip="VOLTAR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286250" y="3952875"/>
          <a:ext cx="4371975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VOLTAR</a:t>
          </a:r>
        </a:p>
      </xdr:txBody>
    </xdr:sp>
    <xdr:clientData fLock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0</xdr:row>
      <xdr:rowOff>19050</xdr:rowOff>
    </xdr:from>
    <xdr:to>
      <xdr:col>16</xdr:col>
      <xdr:colOff>95250</xdr:colOff>
      <xdr:row>2</xdr:row>
      <xdr:rowOff>28575</xdr:rowOff>
    </xdr:to>
    <xdr:sp macro="" textlink="">
      <xdr:nvSpPr>
        <xdr:cNvPr id="2" name="Elips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258550" y="19050"/>
          <a:ext cx="1790700" cy="3905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561975</xdr:colOff>
      <xdr:row>2</xdr:row>
      <xdr:rowOff>180975</xdr:rowOff>
    </xdr:from>
    <xdr:to>
      <xdr:col>12</xdr:col>
      <xdr:colOff>800100</xdr:colOff>
      <xdr:row>4</xdr:row>
      <xdr:rowOff>152400</xdr:rowOff>
    </xdr:to>
    <xdr:sp macro="[0]!ChamaFormDFC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849225" y="561975"/>
          <a:ext cx="1504950" cy="352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 DFC</a:t>
          </a:r>
        </a:p>
      </xdr:txBody>
    </xdr:sp>
    <xdr:clientData/>
  </xdr:twoCellAnchor>
  <xdr:twoCellAnchor>
    <xdr:from>
      <xdr:col>11</xdr:col>
      <xdr:colOff>285750</xdr:colOff>
      <xdr:row>7</xdr:row>
      <xdr:rowOff>57150</xdr:rowOff>
    </xdr:from>
    <xdr:to>
      <xdr:col>11</xdr:col>
      <xdr:colOff>952500</xdr:colOff>
      <xdr:row>8</xdr:row>
      <xdr:rowOff>104775</xdr:rowOff>
    </xdr:to>
    <xdr:sp macro="[0]!somarIntervaloDFCAnua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2573000" y="1524000"/>
          <a:ext cx="666750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SOMAR</a:t>
          </a:r>
        </a:p>
      </xdr:txBody>
    </xdr:sp>
    <xdr:clientData/>
  </xdr:twoCellAnchor>
  <xdr:twoCellAnchor>
    <xdr:from>
      <xdr:col>17</xdr:col>
      <xdr:colOff>295275</xdr:colOff>
      <xdr:row>15</xdr:row>
      <xdr:rowOff>19050</xdr:rowOff>
    </xdr:from>
    <xdr:to>
      <xdr:col>17</xdr:col>
      <xdr:colOff>962025</xdr:colOff>
      <xdr:row>16</xdr:row>
      <xdr:rowOff>66675</xdr:rowOff>
    </xdr:to>
    <xdr:sp macro="[0]!somarIntervaloDFCtrimestral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20335875" y="2895600"/>
          <a:ext cx="66675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SOMAR</a:t>
          </a:r>
        </a:p>
      </xdr:txBody>
    </xdr:sp>
    <xdr:clientData/>
  </xdr:twoCellAnchor>
  <xdr:twoCellAnchor>
    <xdr:from>
      <xdr:col>0</xdr:col>
      <xdr:colOff>123825</xdr:colOff>
      <xdr:row>1</xdr:row>
      <xdr:rowOff>19050</xdr:rowOff>
    </xdr:from>
    <xdr:to>
      <xdr:col>1</xdr:col>
      <xdr:colOff>657225</xdr:colOff>
      <xdr:row>3</xdr:row>
      <xdr:rowOff>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23825" y="209550"/>
          <a:ext cx="11430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0</xdr:row>
      <xdr:rowOff>104775</xdr:rowOff>
    </xdr:from>
    <xdr:to>
      <xdr:col>19</xdr:col>
      <xdr:colOff>76200</xdr:colOff>
      <xdr:row>2</xdr:row>
      <xdr:rowOff>19050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3735050" y="104775"/>
          <a:ext cx="1076325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1533525</xdr:colOff>
      <xdr:row>1</xdr:row>
      <xdr:rowOff>47625</xdr:rowOff>
    </xdr:from>
    <xdr:to>
      <xdr:col>1</xdr:col>
      <xdr:colOff>2695575</xdr:colOff>
      <xdr:row>2</xdr:row>
      <xdr:rowOff>152400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3133725" y="238125"/>
          <a:ext cx="1162050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367393</xdr:colOff>
      <xdr:row>53</xdr:row>
      <xdr:rowOff>114300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45679" cy="10591800"/>
        </a:xfrm>
        <a:prstGeom prst="rect">
          <a:avLst/>
        </a:prstGeom>
      </xdr:spPr>
    </xdr:pic>
    <xdr:clientData/>
  </xdr:twoCellAnchor>
  <xdr:twoCellAnchor editAs="oneCell">
    <xdr:from>
      <xdr:col>11</xdr:col>
      <xdr:colOff>19049</xdr:colOff>
      <xdr:row>0</xdr:row>
      <xdr:rowOff>0</xdr:rowOff>
    </xdr:from>
    <xdr:to>
      <xdr:col>19</xdr:col>
      <xdr:colOff>619124</xdr:colOff>
      <xdr:row>47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4" y="0"/>
          <a:ext cx="5857875" cy="932497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9525</xdr:rowOff>
    </xdr:from>
    <xdr:to>
      <xdr:col>10</xdr:col>
      <xdr:colOff>596027</xdr:colOff>
      <xdr:row>29</xdr:row>
      <xdr:rowOff>104775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71525"/>
          <a:ext cx="6777752" cy="485775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578004</xdr:colOff>
      <xdr:row>22</xdr:row>
      <xdr:rowOff>90403</xdr:rowOff>
    </xdr:from>
    <xdr:to>
      <xdr:col>37</xdr:col>
      <xdr:colOff>458501</xdr:colOff>
      <xdr:row>53</xdr:row>
      <xdr:rowOff>128501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30307</xdr:rowOff>
    </xdr:from>
    <xdr:to>
      <xdr:col>23</xdr:col>
      <xdr:colOff>339436</xdr:colOff>
      <xdr:row>120</xdr:row>
      <xdr:rowOff>68406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AGF%20CONTABILIDADE\06%20-%20Contabilidade\06.17%20-%20Indicador\AGF\INDICADORES%20AGF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alancetes/agf/2026/06/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HabilitarMacros"/>
      <sheetName val="INDICADORES"/>
      <sheetName val="INDICADORES-EMPRESAS"/>
      <sheetName val="BALANCO"/>
      <sheetName val="BALANCOTRIM"/>
      <sheetName val="BALANCOSEME"/>
      <sheetName val="DRE"/>
      <sheetName val="DRETRIM"/>
      <sheetName val="DRESEME"/>
      <sheetName val="DADOS"/>
      <sheetName val="DB"/>
      <sheetName val="BDINDICADORES"/>
      <sheetName val="dinInd"/>
      <sheetName val="Print"/>
      <sheetName val="RelacaoFaturamento"/>
      <sheetName val="DFC"/>
      <sheetName val="VALOREMPRESAS"/>
      <sheetName val="FORMULAS"/>
      <sheetName val="PrintRelatorio"/>
      <sheetName val="admin"/>
      <sheetName val="INDICADORES AG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">
          <cell r="CD1" t="str">
            <v>DADOS DRE METAS</v>
          </cell>
          <cell r="CE1">
            <v>2023</v>
          </cell>
          <cell r="CF1" t="str">
            <v>&gt;=44927</v>
          </cell>
          <cell r="CG1">
            <v>1</v>
          </cell>
        </row>
        <row r="2">
          <cell r="CE2">
            <v>2024</v>
          </cell>
          <cell r="CF2" t="str">
            <v>&lt;45292</v>
          </cell>
          <cell r="CG2" t="str">
            <v>Janeiro</v>
          </cell>
        </row>
        <row r="4">
          <cell r="A4" t="str">
            <v>CONTA CONTABIL</v>
          </cell>
          <cell r="B4" t="str">
            <v>DESCRIÇÃO</v>
          </cell>
          <cell r="C4">
            <v>41609</v>
          </cell>
          <cell r="D4">
            <v>41974</v>
          </cell>
          <cell r="E4">
            <v>42339</v>
          </cell>
          <cell r="F4">
            <v>42705</v>
          </cell>
          <cell r="G4">
            <v>43070</v>
          </cell>
          <cell r="H4">
            <v>43101</v>
          </cell>
          <cell r="I4">
            <v>43132</v>
          </cell>
          <cell r="J4">
            <v>43160</v>
          </cell>
          <cell r="K4">
            <v>43191</v>
          </cell>
          <cell r="L4">
            <v>43221</v>
          </cell>
          <cell r="M4">
            <v>43252</v>
          </cell>
          <cell r="N4">
            <v>43282</v>
          </cell>
          <cell r="O4">
            <v>43313</v>
          </cell>
          <cell r="P4">
            <v>43344</v>
          </cell>
          <cell r="Q4">
            <v>43374</v>
          </cell>
          <cell r="R4">
            <v>43405</v>
          </cell>
          <cell r="S4">
            <v>43435</v>
          </cell>
          <cell r="T4">
            <v>2018</v>
          </cell>
          <cell r="U4">
            <v>43466</v>
          </cell>
          <cell r="V4">
            <v>43497</v>
          </cell>
          <cell r="W4">
            <v>43525</v>
          </cell>
          <cell r="X4">
            <v>43556</v>
          </cell>
          <cell r="Y4">
            <v>43586</v>
          </cell>
          <cell r="Z4">
            <v>43617</v>
          </cell>
          <cell r="AA4">
            <v>43647</v>
          </cell>
          <cell r="AB4">
            <v>43678</v>
          </cell>
          <cell r="AC4">
            <v>43709</v>
          </cell>
          <cell r="AD4">
            <v>43739</v>
          </cell>
          <cell r="AE4">
            <v>43770</v>
          </cell>
          <cell r="AF4">
            <v>43800</v>
          </cell>
          <cell r="AG4">
            <v>2019</v>
          </cell>
          <cell r="AH4">
            <v>43831</v>
          </cell>
          <cell r="AI4">
            <v>43862</v>
          </cell>
          <cell r="AJ4">
            <v>43891</v>
          </cell>
          <cell r="AK4">
            <v>43922</v>
          </cell>
          <cell r="AL4">
            <v>43952</v>
          </cell>
          <cell r="AM4">
            <v>43983</v>
          </cell>
          <cell r="AN4">
            <v>44013</v>
          </cell>
          <cell r="AO4">
            <v>44044</v>
          </cell>
          <cell r="AP4">
            <v>44075</v>
          </cell>
          <cell r="AQ4">
            <v>44105</v>
          </cell>
          <cell r="AR4">
            <v>44136</v>
          </cell>
          <cell r="AS4">
            <v>44166</v>
          </cell>
          <cell r="AT4">
            <v>2020</v>
          </cell>
          <cell r="AU4">
            <v>44197</v>
          </cell>
          <cell r="AV4">
            <v>44228</v>
          </cell>
          <cell r="AW4">
            <v>44256</v>
          </cell>
          <cell r="AX4">
            <v>44287</v>
          </cell>
          <cell r="AY4">
            <v>44317</v>
          </cell>
          <cell r="AZ4">
            <v>44348</v>
          </cell>
          <cell r="BA4">
            <v>44378</v>
          </cell>
          <cell r="BB4">
            <v>44409</v>
          </cell>
          <cell r="BC4">
            <v>44440</v>
          </cell>
          <cell r="BD4">
            <v>44470</v>
          </cell>
          <cell r="BE4">
            <v>44501</v>
          </cell>
          <cell r="BF4">
            <v>44531</v>
          </cell>
          <cell r="BG4">
            <v>2021</v>
          </cell>
          <cell r="BH4">
            <v>44562</v>
          </cell>
          <cell r="BI4">
            <v>44593</v>
          </cell>
          <cell r="BJ4">
            <v>44621</v>
          </cell>
          <cell r="BK4">
            <v>44652</v>
          </cell>
          <cell r="BL4">
            <v>44682</v>
          </cell>
          <cell r="BM4">
            <v>44713</v>
          </cell>
          <cell r="BN4">
            <v>44743</v>
          </cell>
          <cell r="BO4">
            <v>44774</v>
          </cell>
          <cell r="BP4">
            <v>44805</v>
          </cell>
          <cell r="BQ4">
            <v>44835</v>
          </cell>
          <cell r="BR4">
            <v>44866</v>
          </cell>
          <cell r="BS4">
            <v>44896</v>
          </cell>
          <cell r="BT4">
            <v>2022</v>
          </cell>
          <cell r="BU4">
            <v>44927</v>
          </cell>
          <cell r="BV4">
            <v>44958</v>
          </cell>
          <cell r="BW4">
            <v>44986</v>
          </cell>
          <cell r="BX4">
            <v>45017</v>
          </cell>
          <cell r="BY4">
            <v>45047</v>
          </cell>
          <cell r="BZ4">
            <v>45078</v>
          </cell>
          <cell r="CA4">
            <v>45108</v>
          </cell>
          <cell r="CE4">
            <v>2023</v>
          </cell>
          <cell r="CF4" t="str">
            <v>META</v>
          </cell>
          <cell r="CG4" t="str">
            <v>META ACUMULADA</v>
          </cell>
        </row>
        <row r="5">
          <cell r="A5" t="str">
            <v>1</v>
          </cell>
          <cell r="B5" t="str">
            <v>ATIVO</v>
          </cell>
          <cell r="C5">
            <v>9164134.2300000004</v>
          </cell>
          <cell r="D5">
            <v>15646996.620000001</v>
          </cell>
          <cell r="E5">
            <v>18115640.609999999</v>
          </cell>
          <cell r="F5">
            <v>19099089.050000001</v>
          </cell>
          <cell r="G5">
            <v>20080671.909999996</v>
          </cell>
          <cell r="H5">
            <v>19951358.100000001</v>
          </cell>
          <cell r="I5">
            <v>20388146.799999997</v>
          </cell>
          <cell r="J5">
            <v>21134725.100000001</v>
          </cell>
          <cell r="K5">
            <v>21116567.900000006</v>
          </cell>
          <cell r="L5">
            <v>20081934.699999999</v>
          </cell>
          <cell r="M5">
            <v>20764089.520000003</v>
          </cell>
          <cell r="N5">
            <v>20869035.569999993</v>
          </cell>
          <cell r="O5">
            <v>21615281.310000002</v>
          </cell>
          <cell r="P5">
            <v>23611777.510000002</v>
          </cell>
          <cell r="Q5">
            <v>23698933.229999997</v>
          </cell>
          <cell r="R5">
            <v>22820035.730000004</v>
          </cell>
          <cell r="S5">
            <v>22561261.009999994</v>
          </cell>
          <cell r="T5">
            <v>22561261.009999994</v>
          </cell>
          <cell r="U5">
            <v>23359306.809999999</v>
          </cell>
          <cell r="V5">
            <v>23236741.439999998</v>
          </cell>
          <cell r="W5">
            <v>24152712.580000002</v>
          </cell>
          <cell r="X5">
            <v>24178445.159999996</v>
          </cell>
          <cell r="Y5">
            <v>25145784.109999999</v>
          </cell>
          <cell r="Z5">
            <v>25610028.329999998</v>
          </cell>
          <cell r="AA5">
            <v>26333032.069999997</v>
          </cell>
          <cell r="AB5">
            <v>26007283.130000003</v>
          </cell>
          <cell r="AC5">
            <v>27405217.409999996</v>
          </cell>
          <cell r="AD5">
            <v>26471722.390000001</v>
          </cell>
          <cell r="AE5">
            <v>27273217.470000003</v>
          </cell>
          <cell r="AF5">
            <v>26624542.579999998</v>
          </cell>
          <cell r="AG5">
            <v>26624542.579999998</v>
          </cell>
          <cell r="AH5">
            <v>27192665.059999991</v>
          </cell>
          <cell r="AI5">
            <v>29082318.210000005</v>
          </cell>
          <cell r="AJ5">
            <v>28289558.000000004</v>
          </cell>
          <cell r="AK5">
            <v>27423588.280000001</v>
          </cell>
          <cell r="AL5">
            <v>28750053.299999997</v>
          </cell>
          <cell r="AM5">
            <v>30365438.349999998</v>
          </cell>
          <cell r="AN5">
            <v>31502136.390000008</v>
          </cell>
          <cell r="AO5">
            <v>34397397.199999996</v>
          </cell>
          <cell r="AP5">
            <v>36041786.729999997</v>
          </cell>
          <cell r="AQ5">
            <v>36662686.599999994</v>
          </cell>
          <cell r="AR5">
            <v>38729756.100000009</v>
          </cell>
          <cell r="AS5">
            <v>41534024.170000002</v>
          </cell>
          <cell r="AT5">
            <v>41534024.170000002</v>
          </cell>
          <cell r="AU5">
            <v>42427559.199999996</v>
          </cell>
          <cell r="AV5">
            <v>45912597.200000003</v>
          </cell>
          <cell r="AW5">
            <v>48717474.430000007</v>
          </cell>
          <cell r="AX5">
            <v>51096883.649999999</v>
          </cell>
          <cell r="AY5">
            <v>53608927.240000002</v>
          </cell>
          <cell r="AZ5">
            <v>54694782.700000003</v>
          </cell>
          <cell r="BA5">
            <v>56776794.970000006</v>
          </cell>
          <cell r="BB5">
            <v>58327570.93</v>
          </cell>
          <cell r="BC5">
            <v>61348830.259999998</v>
          </cell>
          <cell r="BD5">
            <v>62511484.950000003</v>
          </cell>
          <cell r="BE5">
            <v>63205259.169999994</v>
          </cell>
          <cell r="BF5">
            <v>63547764.300000004</v>
          </cell>
          <cell r="BG5">
            <v>63547764.300000004</v>
          </cell>
          <cell r="BH5">
            <v>63412138.479999997</v>
          </cell>
          <cell r="BI5">
            <v>65824224.149999999</v>
          </cell>
          <cell r="BJ5">
            <v>68592950.150000006</v>
          </cell>
          <cell r="BK5">
            <v>69031893.650000006</v>
          </cell>
          <cell r="BL5">
            <v>69788884.160000011</v>
          </cell>
          <cell r="BM5">
            <v>71587626.930000007</v>
          </cell>
          <cell r="BN5">
            <v>73415057.25999999</v>
          </cell>
          <cell r="BO5">
            <v>75757290.719999999</v>
          </cell>
          <cell r="BP5">
            <v>78253639.780000001</v>
          </cell>
          <cell r="BQ5">
            <v>76388813.210000008</v>
          </cell>
          <cell r="BR5">
            <v>77043825.959999993</v>
          </cell>
          <cell r="BS5">
            <v>76043176.389999986</v>
          </cell>
          <cell r="BT5">
            <v>76043176.389999986</v>
          </cell>
          <cell r="BU5">
            <v>74187494.11999999</v>
          </cell>
          <cell r="BV5">
            <v>75259400.150000006</v>
          </cell>
          <cell r="BW5">
            <v>77767676.909999996</v>
          </cell>
          <cell r="BX5">
            <v>78561122.299999997</v>
          </cell>
          <cell r="BY5">
            <v>83550845.099999994</v>
          </cell>
          <cell r="BZ5">
            <v>85406108.040000007</v>
          </cell>
          <cell r="CA5">
            <v>86005292.590000004</v>
          </cell>
          <cell r="CE5" t="str">
            <v>-</v>
          </cell>
          <cell r="CG5">
            <v>0</v>
          </cell>
        </row>
        <row r="6">
          <cell r="A6" t="str">
            <v>1.1</v>
          </cell>
          <cell r="B6" t="str">
            <v>ATIVO CIRCULANTE</v>
          </cell>
          <cell r="C6">
            <v>7936618</v>
          </cell>
          <cell r="D6">
            <v>12638761.24</v>
          </cell>
          <cell r="E6">
            <v>15024896.58</v>
          </cell>
          <cell r="F6">
            <v>16066462.000000002</v>
          </cell>
          <cell r="G6">
            <v>16194674.879999999</v>
          </cell>
          <cell r="H6">
            <v>16134284.960000001</v>
          </cell>
          <cell r="I6">
            <v>16626747.279999999</v>
          </cell>
          <cell r="J6">
            <v>17608649.200000003</v>
          </cell>
          <cell r="K6">
            <v>17623578.140000004</v>
          </cell>
          <cell r="L6">
            <v>16623211.329999998</v>
          </cell>
          <cell r="M6">
            <v>17318098.850000001</v>
          </cell>
          <cell r="N6">
            <v>17579140.239999995</v>
          </cell>
          <cell r="O6">
            <v>18204022.670000002</v>
          </cell>
          <cell r="P6">
            <v>20314630.110000003</v>
          </cell>
          <cell r="Q6">
            <v>19889074.659999996</v>
          </cell>
          <cell r="R6">
            <v>19017667.510000002</v>
          </cell>
          <cell r="S6">
            <v>18830603.019999996</v>
          </cell>
          <cell r="T6">
            <v>18830603.019999996</v>
          </cell>
          <cell r="U6">
            <v>19659648.02</v>
          </cell>
          <cell r="V6">
            <v>19515574.269999996</v>
          </cell>
          <cell r="W6">
            <v>20407357.09</v>
          </cell>
          <cell r="X6">
            <v>20407771.189999998</v>
          </cell>
          <cell r="Y6">
            <v>21362115.919999998</v>
          </cell>
          <cell r="Z6">
            <v>21922944.799999997</v>
          </cell>
          <cell r="AA6">
            <v>22586856.759999998</v>
          </cell>
          <cell r="AB6">
            <v>22289156.530000001</v>
          </cell>
          <cell r="AC6">
            <v>23718169.319999997</v>
          </cell>
          <cell r="AD6">
            <v>22463046.720000003</v>
          </cell>
          <cell r="AE6">
            <v>23286505.130000003</v>
          </cell>
          <cell r="AF6">
            <v>22469986.809999999</v>
          </cell>
          <cell r="AG6">
            <v>22469986.809999999</v>
          </cell>
          <cell r="AH6">
            <v>23028714.43999999</v>
          </cell>
          <cell r="AI6">
            <v>24941719.550000004</v>
          </cell>
          <cell r="AJ6">
            <v>24107089.660000004</v>
          </cell>
          <cell r="AK6">
            <v>23404407.450000003</v>
          </cell>
          <cell r="AL6">
            <v>24358938.169999998</v>
          </cell>
          <cell r="AM6">
            <v>25780874.879999999</v>
          </cell>
          <cell r="AN6">
            <v>26907983.070000008</v>
          </cell>
          <cell r="AO6">
            <v>29697435.249999993</v>
          </cell>
          <cell r="AP6">
            <v>31244374.869999997</v>
          </cell>
          <cell r="AQ6">
            <v>31913795.989999998</v>
          </cell>
          <cell r="AR6">
            <v>33891499.420000009</v>
          </cell>
          <cell r="AS6">
            <v>36724556.980000004</v>
          </cell>
          <cell r="AT6">
            <v>36724556.980000004</v>
          </cell>
          <cell r="AU6">
            <v>37489056.269999996</v>
          </cell>
          <cell r="AV6">
            <v>40670086.150000006</v>
          </cell>
          <cell r="AW6">
            <v>43381997.050000004</v>
          </cell>
          <cell r="AX6">
            <v>45765531.019999996</v>
          </cell>
          <cell r="AY6">
            <v>48182948.530000001</v>
          </cell>
          <cell r="AZ6">
            <v>49084363.93</v>
          </cell>
          <cell r="BA6">
            <v>50964839.479999997</v>
          </cell>
          <cell r="BB6">
            <v>52625208.32</v>
          </cell>
          <cell r="BC6">
            <v>55462569.469999999</v>
          </cell>
          <cell r="BD6">
            <v>56379921.050000004</v>
          </cell>
          <cell r="BE6">
            <v>56756417.649999991</v>
          </cell>
          <cell r="BF6">
            <v>56985505.870000005</v>
          </cell>
          <cell r="BG6">
            <v>56985505.870000005</v>
          </cell>
          <cell r="BH6">
            <v>56922305.579999998</v>
          </cell>
          <cell r="BI6">
            <v>59699752.140000001</v>
          </cell>
          <cell r="BJ6">
            <v>61871812.07</v>
          </cell>
          <cell r="BK6">
            <v>62113954.230000004</v>
          </cell>
          <cell r="BL6">
            <v>62396171.250000007</v>
          </cell>
          <cell r="BM6">
            <v>64196740.880000003</v>
          </cell>
          <cell r="BN6">
            <v>65821771.439999998</v>
          </cell>
          <cell r="BO6">
            <v>68097789.289999992</v>
          </cell>
          <cell r="BP6">
            <v>69613161.599999994</v>
          </cell>
          <cell r="BQ6">
            <v>67111883.300000012</v>
          </cell>
          <cell r="BR6">
            <v>67548251.569999993</v>
          </cell>
          <cell r="BS6">
            <v>66565451.819999993</v>
          </cell>
          <cell r="BT6">
            <v>66565451.819999993</v>
          </cell>
          <cell r="BU6">
            <v>64515981.589999996</v>
          </cell>
          <cell r="BV6">
            <v>65486145.060000002</v>
          </cell>
          <cell r="BW6">
            <v>68053024.549999997</v>
          </cell>
          <cell r="BX6">
            <v>68690654.5</v>
          </cell>
          <cell r="BY6">
            <v>73645129.189999998</v>
          </cell>
          <cell r="BZ6">
            <v>75205256.280000001</v>
          </cell>
          <cell r="CA6">
            <v>75313525.210000008</v>
          </cell>
          <cell r="CE6" t="str">
            <v>-</v>
          </cell>
          <cell r="CG6">
            <v>0</v>
          </cell>
        </row>
        <row r="7">
          <cell r="A7" t="str">
            <v>1.1.1.1</v>
          </cell>
          <cell r="B7" t="str">
            <v>Caixa e Bancos</v>
          </cell>
          <cell r="C7">
            <v>439350.76</v>
          </cell>
          <cell r="D7">
            <v>328372.90999999997</v>
          </cell>
          <cell r="E7">
            <v>326531.42</v>
          </cell>
          <cell r="F7">
            <v>359859.37</v>
          </cell>
          <cell r="G7">
            <v>338415.01</v>
          </cell>
          <cell r="H7">
            <v>634741.14</v>
          </cell>
          <cell r="I7">
            <v>116808.99</v>
          </cell>
          <cell r="J7">
            <v>371188.06</v>
          </cell>
          <cell r="K7">
            <v>345826.26</v>
          </cell>
          <cell r="L7">
            <v>396266.61</v>
          </cell>
          <cell r="M7">
            <v>532934.51</v>
          </cell>
          <cell r="N7">
            <v>420929.08</v>
          </cell>
          <cell r="O7">
            <v>200436.85</v>
          </cell>
          <cell r="P7">
            <v>290434.36</v>
          </cell>
          <cell r="Q7">
            <v>135838.35999999999</v>
          </cell>
          <cell r="R7">
            <v>218754.78</v>
          </cell>
          <cell r="S7">
            <v>580324.27</v>
          </cell>
          <cell r="T7">
            <v>580324.27</v>
          </cell>
          <cell r="U7">
            <v>282528.33</v>
          </cell>
          <cell r="V7">
            <v>725080.62</v>
          </cell>
          <cell r="W7">
            <v>869933.62</v>
          </cell>
          <cell r="X7">
            <v>118071.67</v>
          </cell>
          <cell r="Y7">
            <v>805267.72</v>
          </cell>
          <cell r="Z7">
            <v>400294.44</v>
          </cell>
          <cell r="AA7">
            <v>102364.04</v>
          </cell>
          <cell r="AB7">
            <v>671489.18</v>
          </cell>
          <cell r="AC7">
            <v>948975.69</v>
          </cell>
          <cell r="AD7">
            <v>53830.63</v>
          </cell>
          <cell r="AE7">
            <v>265424.84000000003</v>
          </cell>
          <cell r="AF7">
            <v>659702.43999999994</v>
          </cell>
          <cell r="AG7">
            <v>659702.43999999994</v>
          </cell>
          <cell r="AH7">
            <v>501347.91</v>
          </cell>
          <cell r="AI7">
            <v>795811.22</v>
          </cell>
          <cell r="AJ7">
            <v>379854.27</v>
          </cell>
          <cell r="AK7">
            <v>1003448.27</v>
          </cell>
          <cell r="AL7">
            <v>1126120.18</v>
          </cell>
          <cell r="AM7">
            <v>1526451.24</v>
          </cell>
          <cell r="AN7">
            <v>775370.37</v>
          </cell>
          <cell r="AO7">
            <v>399196.41</v>
          </cell>
          <cell r="AP7">
            <v>744602.5</v>
          </cell>
          <cell r="AQ7">
            <v>734966.75</v>
          </cell>
          <cell r="AR7">
            <v>597733.28</v>
          </cell>
          <cell r="AS7">
            <v>941487.53</v>
          </cell>
          <cell r="AT7">
            <v>941487.53</v>
          </cell>
          <cell r="AU7">
            <v>859190.76</v>
          </cell>
          <cell r="AV7">
            <v>79143.77</v>
          </cell>
          <cell r="AW7">
            <v>830531.58</v>
          </cell>
          <cell r="AX7">
            <v>366843.72</v>
          </cell>
          <cell r="AY7">
            <v>765179.33</v>
          </cell>
          <cell r="AZ7">
            <v>531222.74</v>
          </cell>
          <cell r="BA7">
            <v>28355.7</v>
          </cell>
          <cell r="BB7">
            <v>314848.77</v>
          </cell>
          <cell r="BC7">
            <v>1148734.92</v>
          </cell>
          <cell r="BD7">
            <v>33850.31</v>
          </cell>
          <cell r="BE7">
            <v>1180885.27</v>
          </cell>
          <cell r="BF7">
            <v>2313172.7200000002</v>
          </cell>
          <cell r="BG7">
            <v>2313172.7200000002</v>
          </cell>
          <cell r="BH7">
            <v>853940.11</v>
          </cell>
          <cell r="BI7">
            <v>1355037.52</v>
          </cell>
          <cell r="BJ7">
            <v>1272954.53</v>
          </cell>
          <cell r="BK7">
            <v>149541.39000000001</v>
          </cell>
          <cell r="BL7">
            <v>1392104</v>
          </cell>
          <cell r="BM7">
            <v>755280.85</v>
          </cell>
          <cell r="BN7">
            <v>216883.8</v>
          </cell>
          <cell r="BO7">
            <v>1713156.72</v>
          </cell>
          <cell r="BP7">
            <v>624539.53</v>
          </cell>
          <cell r="BQ7">
            <v>128797.64</v>
          </cell>
          <cell r="BR7">
            <v>1050815.96</v>
          </cell>
          <cell r="BS7">
            <v>2345159.39</v>
          </cell>
          <cell r="BT7">
            <v>2345159.39</v>
          </cell>
          <cell r="BU7">
            <v>1576746.47</v>
          </cell>
          <cell r="BV7">
            <v>1775164.63</v>
          </cell>
          <cell r="BW7">
            <v>1904480.61</v>
          </cell>
          <cell r="BX7">
            <v>2030420.59</v>
          </cell>
          <cell r="BY7">
            <v>1418707.72</v>
          </cell>
          <cell r="BZ7">
            <v>853917.66</v>
          </cell>
          <cell r="CA7">
            <v>426638.01</v>
          </cell>
          <cell r="CE7" t="str">
            <v>-</v>
          </cell>
          <cell r="CG7">
            <v>0</v>
          </cell>
        </row>
        <row r="8">
          <cell r="A8" t="str">
            <v>1.1.1.2</v>
          </cell>
          <cell r="B8" t="str">
            <v>Aplicacoes Financeiras</v>
          </cell>
          <cell r="C8">
            <v>1291985.01</v>
          </cell>
          <cell r="D8">
            <v>3285899.31</v>
          </cell>
          <cell r="E8">
            <v>3418634.59</v>
          </cell>
          <cell r="F8">
            <v>2876612.59</v>
          </cell>
          <cell r="G8">
            <v>2316573.21</v>
          </cell>
          <cell r="H8">
            <v>2117273</v>
          </cell>
          <cell r="I8">
            <v>2448954.66</v>
          </cell>
          <cell r="J8">
            <v>3564772.7</v>
          </cell>
          <cell r="K8">
            <v>3780541.28</v>
          </cell>
          <cell r="L8">
            <v>2163831.19</v>
          </cell>
          <cell r="M8">
            <v>2572685.85</v>
          </cell>
          <cell r="N8">
            <v>2502320.0699999998</v>
          </cell>
          <cell r="O8">
            <v>3047018.04</v>
          </cell>
          <cell r="P8">
            <v>3084010.37</v>
          </cell>
          <cell r="Q8">
            <v>3698939.33</v>
          </cell>
          <cell r="R8">
            <v>2955067.97</v>
          </cell>
          <cell r="S8">
            <v>2845271.78</v>
          </cell>
          <cell r="T8">
            <v>2845271.78</v>
          </cell>
          <cell r="U8">
            <v>3446159.91</v>
          </cell>
          <cell r="V8">
            <v>3322317.26</v>
          </cell>
          <cell r="W8">
            <v>3849880.13</v>
          </cell>
          <cell r="X8">
            <v>3502323.6</v>
          </cell>
          <cell r="Y8">
            <v>3438872.63</v>
          </cell>
          <cell r="Z8">
            <v>2951684.11</v>
          </cell>
          <cell r="AA8">
            <v>3535177.86</v>
          </cell>
          <cell r="AB8">
            <v>3544017.7</v>
          </cell>
          <cell r="AC8">
            <v>4117280.08</v>
          </cell>
          <cell r="AD8">
            <v>2914804.96</v>
          </cell>
          <cell r="AE8">
            <v>2887688.99</v>
          </cell>
          <cell r="AF8">
            <v>2900373.58</v>
          </cell>
          <cell r="AG8">
            <v>2900373.58</v>
          </cell>
          <cell r="AH8">
            <v>2864614.18</v>
          </cell>
          <cell r="AI8">
            <v>3828623.52</v>
          </cell>
          <cell r="AJ8">
            <v>2778712.39</v>
          </cell>
          <cell r="AK8">
            <v>2924928.81</v>
          </cell>
          <cell r="AL8">
            <v>3028350.34</v>
          </cell>
          <cell r="AM8">
            <v>4149496.5</v>
          </cell>
          <cell r="AN8">
            <v>4800290.63</v>
          </cell>
          <cell r="AO8">
            <v>6306284.6399999997</v>
          </cell>
          <cell r="AP8">
            <v>6461207.4299999997</v>
          </cell>
          <cell r="AQ8">
            <v>6365527.25</v>
          </cell>
          <cell r="AR8">
            <v>6555494.71</v>
          </cell>
          <cell r="AS8">
            <v>8038757.3899999997</v>
          </cell>
          <cell r="AT8">
            <v>8038757.3899999997</v>
          </cell>
          <cell r="AU8">
            <v>7519570.2699999996</v>
          </cell>
          <cell r="AV8">
            <v>8725079.3399999999</v>
          </cell>
          <cell r="AW8">
            <v>8770410.6999999993</v>
          </cell>
          <cell r="AX8">
            <v>8226773.25</v>
          </cell>
          <cell r="AY8">
            <v>9746718.3300000001</v>
          </cell>
          <cell r="AZ8">
            <v>7343031.71</v>
          </cell>
          <cell r="BA8">
            <v>6983669.29</v>
          </cell>
          <cell r="BB8">
            <v>6252155.4000000004</v>
          </cell>
          <cell r="BC8">
            <v>5993888.7300000004</v>
          </cell>
          <cell r="BD8">
            <v>7064938.4100000001</v>
          </cell>
          <cell r="BE8">
            <v>7275327.2699999996</v>
          </cell>
          <cell r="BF8">
            <v>8000565.7300000004</v>
          </cell>
          <cell r="BG8">
            <v>8000565.7300000004</v>
          </cell>
          <cell r="BH8">
            <v>9217442.1500000004</v>
          </cell>
          <cell r="BI8">
            <v>9225067.4700000007</v>
          </cell>
          <cell r="BJ8">
            <v>10580915.039999999</v>
          </cell>
          <cell r="BK8">
            <v>11086137.619999999</v>
          </cell>
          <cell r="BL8">
            <v>11491608.92</v>
          </cell>
          <cell r="BM8">
            <v>11019522.24</v>
          </cell>
          <cell r="BN8">
            <v>11080447.82</v>
          </cell>
          <cell r="BO8">
            <v>11796280.68</v>
          </cell>
          <cell r="BP8">
            <v>12293019.4</v>
          </cell>
          <cell r="BQ8">
            <v>11558784.210000001</v>
          </cell>
          <cell r="BR8">
            <v>11430139.449999999</v>
          </cell>
          <cell r="BS8">
            <v>11310943.779999999</v>
          </cell>
          <cell r="BT8">
            <v>11310943.779999999</v>
          </cell>
          <cell r="BU8">
            <v>12691518.85</v>
          </cell>
          <cell r="BV8">
            <v>12798273.84</v>
          </cell>
          <cell r="BW8">
            <v>12826654.390000001</v>
          </cell>
          <cell r="BX8">
            <v>12929295.43</v>
          </cell>
          <cell r="BY8">
            <v>14093215.470000001</v>
          </cell>
          <cell r="BZ8">
            <v>14095094.91</v>
          </cell>
          <cell r="CA8">
            <v>14097448.34</v>
          </cell>
          <cell r="CE8" t="str">
            <v>-</v>
          </cell>
          <cell r="CG8">
            <v>0</v>
          </cell>
        </row>
        <row r="9">
          <cell r="A9" t="str">
            <v>1.1.1.3.01</v>
          </cell>
          <cell r="B9" t="str">
            <v>Duplicatas a Receber</v>
          </cell>
          <cell r="C9">
            <v>2125514.88</v>
          </cell>
          <cell r="D9">
            <v>3653840.3400000003</v>
          </cell>
          <cell r="E9">
            <v>5164967.38</v>
          </cell>
          <cell r="F9">
            <v>5472169.8600000003</v>
          </cell>
          <cell r="G9">
            <v>5000216.88</v>
          </cell>
          <cell r="H9">
            <v>5115280.13</v>
          </cell>
          <cell r="I9">
            <v>5402705.1799999997</v>
          </cell>
          <cell r="J9">
            <v>5797133.2300000004</v>
          </cell>
          <cell r="K9">
            <v>6028053.4199999999</v>
          </cell>
          <cell r="L9">
            <v>5880480.5999999996</v>
          </cell>
          <cell r="M9">
            <v>5887242.6200000001</v>
          </cell>
          <cell r="N9">
            <v>7290991.6200000001</v>
          </cell>
          <cell r="O9">
            <v>7748973.7800000003</v>
          </cell>
          <cell r="P9">
            <v>9404547.0500000007</v>
          </cell>
          <cell r="Q9">
            <v>8747359.3300000001</v>
          </cell>
          <cell r="R9">
            <v>8362919.3499999996</v>
          </cell>
          <cell r="S9">
            <v>8000617.8300000001</v>
          </cell>
          <cell r="T9">
            <v>8000617.8300000001</v>
          </cell>
          <cell r="U9">
            <v>7925688.0199999996</v>
          </cell>
          <cell r="V9">
            <v>7837368.2699999996</v>
          </cell>
          <cell r="W9">
            <v>7918032.7199999997</v>
          </cell>
          <cell r="X9">
            <v>8469576.7799999993</v>
          </cell>
          <cell r="Y9">
            <v>8698423.9700000007</v>
          </cell>
          <cell r="Z9">
            <v>9063208.4100000001</v>
          </cell>
          <cell r="AA9">
            <v>9426364.5500000007</v>
          </cell>
          <cell r="AB9">
            <v>8996834.0199999996</v>
          </cell>
          <cell r="AC9">
            <v>9934162.8499999996</v>
          </cell>
          <cell r="AD9">
            <v>11188258.83</v>
          </cell>
          <cell r="AE9">
            <v>11403819.619999999</v>
          </cell>
          <cell r="AF9">
            <v>10184387.82</v>
          </cell>
          <cell r="AG9">
            <v>10184387.82</v>
          </cell>
          <cell r="AH9">
            <v>10591964.029999999</v>
          </cell>
          <cell r="AI9">
            <v>10033952.560000001</v>
          </cell>
          <cell r="AJ9">
            <v>9491216.2100000009</v>
          </cell>
          <cell r="AK9">
            <v>8579551.0700000003</v>
          </cell>
          <cell r="AL9">
            <v>8632663.7400000002</v>
          </cell>
          <cell r="AM9">
            <v>9637886.0700000003</v>
          </cell>
          <cell r="AN9">
            <v>10633389.75</v>
          </cell>
          <cell r="AO9">
            <v>12114533.279999999</v>
          </cell>
          <cell r="AP9">
            <v>12931647.09</v>
          </cell>
          <cell r="AQ9">
            <v>14227434.029999999</v>
          </cell>
          <cell r="AR9">
            <v>14898400.82</v>
          </cell>
          <cell r="AS9">
            <v>15214152.359999999</v>
          </cell>
          <cell r="AT9">
            <v>15214152.359999999</v>
          </cell>
          <cell r="AU9">
            <v>15875040.449999999</v>
          </cell>
          <cell r="AV9">
            <v>17495834.780000001</v>
          </cell>
          <cell r="AW9">
            <v>18173048</v>
          </cell>
          <cell r="AX9">
            <v>18869956.09</v>
          </cell>
          <cell r="AY9">
            <v>19423618.510000002</v>
          </cell>
          <cell r="AZ9">
            <v>22124561.16</v>
          </cell>
          <cell r="BA9">
            <v>25348956.620000001</v>
          </cell>
          <cell r="BB9">
            <v>25852456.120000001</v>
          </cell>
          <cell r="BC9">
            <v>27426545.579999998</v>
          </cell>
          <cell r="BD9">
            <v>27258592.09</v>
          </cell>
          <cell r="BE9">
            <v>26529405.120000001</v>
          </cell>
          <cell r="BF9">
            <v>24708720.460000001</v>
          </cell>
          <cell r="BG9">
            <v>24708720.460000001</v>
          </cell>
          <cell r="BH9">
            <v>24658572.079999998</v>
          </cell>
          <cell r="BI9">
            <v>26234597.32</v>
          </cell>
          <cell r="BJ9">
            <v>28761118.600000001</v>
          </cell>
          <cell r="BK9">
            <v>29699141.780000001</v>
          </cell>
          <cell r="BL9">
            <v>27501012.32</v>
          </cell>
          <cell r="BM9">
            <v>29575085.030000001</v>
          </cell>
          <cell r="BN9">
            <v>30008788.77</v>
          </cell>
          <cell r="BO9">
            <v>29736502.260000002</v>
          </cell>
          <cell r="BP9">
            <v>30399001.359999999</v>
          </cell>
          <cell r="BQ9">
            <v>29660876.190000001</v>
          </cell>
          <cell r="BR9">
            <v>28550498.02</v>
          </cell>
          <cell r="BS9">
            <v>26273938.719999999</v>
          </cell>
          <cell r="BT9">
            <v>26273938.719999999</v>
          </cell>
          <cell r="BU9">
            <v>23736817.829999998</v>
          </cell>
          <cell r="BV9">
            <v>24110186.710000001</v>
          </cell>
          <cell r="BW9">
            <v>25107899.149999999</v>
          </cell>
          <cell r="BX9">
            <v>25774862.870000001</v>
          </cell>
          <cell r="BY9">
            <v>29166011.129999999</v>
          </cell>
          <cell r="BZ9">
            <v>31600399.239999998</v>
          </cell>
          <cell r="CA9">
            <v>29710944.879999999</v>
          </cell>
          <cell r="CE9" t="str">
            <v>-</v>
          </cell>
          <cell r="CG9">
            <v>0</v>
          </cell>
        </row>
        <row r="10">
          <cell r="A10" t="str">
            <v>1.1.1.3.03</v>
          </cell>
          <cell r="B10" t="str">
            <v>Clientes Exterior</v>
          </cell>
          <cell r="T10">
            <v>0</v>
          </cell>
          <cell r="AP10">
            <v>330510</v>
          </cell>
          <cell r="AQ10">
            <v>336055</v>
          </cell>
          <cell r="AR10">
            <v>318995</v>
          </cell>
          <cell r="AS10">
            <v>318780</v>
          </cell>
          <cell r="AT10">
            <v>318780</v>
          </cell>
          <cell r="AU10">
            <v>332595</v>
          </cell>
          <cell r="AV10">
            <v>0</v>
          </cell>
          <cell r="AW10">
            <v>0</v>
          </cell>
          <cell r="AX10">
            <v>0</v>
          </cell>
          <cell r="AY10">
            <v>835407.2</v>
          </cell>
          <cell r="AZ10">
            <v>959789.3</v>
          </cell>
          <cell r="BA10">
            <v>562119.74</v>
          </cell>
          <cell r="BB10">
            <v>1214438.17</v>
          </cell>
          <cell r="BC10">
            <v>786164.22</v>
          </cell>
          <cell r="BD10">
            <v>1229319.8</v>
          </cell>
          <cell r="BE10">
            <v>1015025.66</v>
          </cell>
          <cell r="BF10">
            <v>1013918.46</v>
          </cell>
          <cell r="BG10">
            <v>1013918.46</v>
          </cell>
          <cell r="BH10">
            <v>963741.64</v>
          </cell>
          <cell r="BI10">
            <v>927091.86</v>
          </cell>
          <cell r="BJ10">
            <v>487590.40000000002</v>
          </cell>
          <cell r="BK10">
            <v>481011.87</v>
          </cell>
          <cell r="BL10">
            <v>817544.35</v>
          </cell>
          <cell r="BM10">
            <v>872948.37</v>
          </cell>
          <cell r="BN10">
            <v>842380.05</v>
          </cell>
          <cell r="BO10">
            <v>829484.04</v>
          </cell>
          <cell r="BP10">
            <v>842013.87</v>
          </cell>
          <cell r="BQ10">
            <v>593309.47</v>
          </cell>
          <cell r="BR10">
            <v>1012249.44</v>
          </cell>
          <cell r="BS10">
            <v>1033773.23</v>
          </cell>
          <cell r="BT10">
            <v>1033773.23</v>
          </cell>
          <cell r="BU10">
            <v>1028220.5</v>
          </cell>
          <cell r="BV10">
            <v>1025434.85</v>
          </cell>
          <cell r="BW10">
            <v>1025434.85</v>
          </cell>
          <cell r="BX10">
            <v>1025044.86</v>
          </cell>
          <cell r="BY10">
            <v>1007940.97</v>
          </cell>
          <cell r="BZ10">
            <v>1040998.02</v>
          </cell>
          <cell r="CA10">
            <v>1031003.38</v>
          </cell>
          <cell r="CE10" t="str">
            <v>-</v>
          </cell>
          <cell r="CG10">
            <v>0</v>
          </cell>
        </row>
        <row r="11">
          <cell r="A11" t="str">
            <v>1.1.1.3.90</v>
          </cell>
          <cell r="B11" t="str">
            <v>(-)Prov P/Credito de Liquidacao Duvidosa</v>
          </cell>
          <cell r="C11">
            <v>0</v>
          </cell>
          <cell r="D11">
            <v>0</v>
          </cell>
          <cell r="E11">
            <v>-316311.89</v>
          </cell>
          <cell r="F11">
            <v>-344118.37</v>
          </cell>
          <cell r="G11">
            <v>-393852.68</v>
          </cell>
          <cell r="H11">
            <v>-393852.68</v>
          </cell>
          <cell r="I11">
            <v>-393852.68</v>
          </cell>
          <cell r="J11">
            <v>-393852.68</v>
          </cell>
          <cell r="K11">
            <v>-393852.68</v>
          </cell>
          <cell r="L11">
            <v>-346262.07</v>
          </cell>
          <cell r="M11">
            <v>-346262.07</v>
          </cell>
          <cell r="N11">
            <v>-346262.07</v>
          </cell>
          <cell r="O11">
            <v>-346262.07</v>
          </cell>
          <cell r="P11">
            <v>-346262.07</v>
          </cell>
          <cell r="Q11">
            <v>-346262.07</v>
          </cell>
          <cell r="R11">
            <v>-346262.07</v>
          </cell>
          <cell r="S11">
            <v>-346262.07</v>
          </cell>
          <cell r="T11">
            <v>-346262.07</v>
          </cell>
          <cell r="U11">
            <v>-346262.07</v>
          </cell>
          <cell r="V11">
            <v>-346262.07</v>
          </cell>
          <cell r="W11">
            <v>-346262.07</v>
          </cell>
          <cell r="X11">
            <v>-346262.07</v>
          </cell>
          <cell r="Y11">
            <v>-346262.07</v>
          </cell>
          <cell r="Z11">
            <v>-346262.07</v>
          </cell>
          <cell r="AA11">
            <v>-346262.07</v>
          </cell>
          <cell r="AB11">
            <v>-346262.07</v>
          </cell>
          <cell r="AC11">
            <v>-346262.07</v>
          </cell>
          <cell r="AD11">
            <v>-346262.07</v>
          </cell>
          <cell r="AE11">
            <v>-346262.07</v>
          </cell>
          <cell r="AF11">
            <v>-346262.07</v>
          </cell>
          <cell r="AG11">
            <v>-346262.07</v>
          </cell>
          <cell r="AH11">
            <v>-346262.07</v>
          </cell>
          <cell r="AI11">
            <v>-346262.07</v>
          </cell>
          <cell r="AJ11">
            <v>-346262.07</v>
          </cell>
          <cell r="AK11">
            <v>-346262.07</v>
          </cell>
          <cell r="AL11">
            <v>-346262.07</v>
          </cell>
          <cell r="AM11">
            <v>-346262.07</v>
          </cell>
          <cell r="AN11">
            <v>-346262.07</v>
          </cell>
          <cell r="AO11">
            <v>-346262.07</v>
          </cell>
          <cell r="AP11">
            <v>-346262.07</v>
          </cell>
          <cell r="AQ11">
            <v>-346262.07</v>
          </cell>
          <cell r="AR11">
            <v>-346262.07</v>
          </cell>
          <cell r="AS11">
            <v>-346262.07</v>
          </cell>
          <cell r="AT11">
            <v>-346262.07</v>
          </cell>
          <cell r="AU11">
            <v>-346262.07</v>
          </cell>
          <cell r="AV11">
            <v>-346262.07</v>
          </cell>
          <cell r="AW11">
            <v>-346262.07</v>
          </cell>
          <cell r="AX11">
            <v>-346262.07</v>
          </cell>
          <cell r="AY11">
            <v>-346262.07</v>
          </cell>
          <cell r="AZ11">
            <v>-346262.07</v>
          </cell>
          <cell r="BA11">
            <v>-346262.07</v>
          </cell>
          <cell r="BB11">
            <v>-346262.07</v>
          </cell>
          <cell r="BC11">
            <v>-346262.07</v>
          </cell>
          <cell r="BD11">
            <v>-346262.07</v>
          </cell>
          <cell r="BE11">
            <v>-346262.07</v>
          </cell>
          <cell r="BF11">
            <v>-346262.07</v>
          </cell>
          <cell r="BG11">
            <v>-346262.07</v>
          </cell>
          <cell r="BH11">
            <v>-346262.07</v>
          </cell>
          <cell r="BI11">
            <v>-346262.07</v>
          </cell>
          <cell r="BJ11">
            <v>-346262.07</v>
          </cell>
          <cell r="BK11">
            <v>-346262.07</v>
          </cell>
          <cell r="BL11">
            <v>-346262.07</v>
          </cell>
          <cell r="BM11">
            <v>-346262.07</v>
          </cell>
          <cell r="BN11">
            <v>-346262.07</v>
          </cell>
          <cell r="BO11">
            <v>-346262.07</v>
          </cell>
          <cell r="BP11">
            <v>-346262.07</v>
          </cell>
          <cell r="BQ11">
            <v>-346262.07</v>
          </cell>
          <cell r="BR11">
            <v>-346262.07</v>
          </cell>
          <cell r="BS11">
            <v>-346262.07</v>
          </cell>
          <cell r="BT11">
            <v>-346262.07</v>
          </cell>
          <cell r="BU11">
            <v>-346262.07</v>
          </cell>
          <cell r="BV11">
            <v>-346262.07</v>
          </cell>
          <cell r="BW11">
            <v>-346262.07</v>
          </cell>
          <cell r="BX11">
            <v>-346262.07</v>
          </cell>
          <cell r="BY11">
            <v>-361098.92</v>
          </cell>
          <cell r="BZ11">
            <v>-375935.77</v>
          </cell>
          <cell r="CA11">
            <v>-394313.76</v>
          </cell>
          <cell r="CE11" t="str">
            <v>-</v>
          </cell>
          <cell r="CG11">
            <v>0</v>
          </cell>
        </row>
        <row r="12">
          <cell r="A12" t="str">
            <v>1.1.1.5</v>
          </cell>
          <cell r="B12" t="str">
            <v>Impostos e Contribuicoes a Recuperar</v>
          </cell>
          <cell r="C12">
            <v>202860.72</v>
          </cell>
          <cell r="D12">
            <v>69648.070000000007</v>
          </cell>
          <cell r="E12">
            <v>77158.36</v>
          </cell>
          <cell r="F12">
            <v>140345.48000000001</v>
          </cell>
          <cell r="G12">
            <v>191537.08</v>
          </cell>
          <cell r="H12">
            <v>164604.92000000001</v>
          </cell>
          <cell r="I12">
            <v>263171.26</v>
          </cell>
          <cell r="J12">
            <v>144733.73000000001</v>
          </cell>
          <cell r="K12">
            <v>154800.54999999999</v>
          </cell>
          <cell r="L12">
            <v>285027.09000000003</v>
          </cell>
          <cell r="M12">
            <v>225636.79</v>
          </cell>
          <cell r="N12">
            <v>60586.05</v>
          </cell>
          <cell r="O12">
            <v>127515.41</v>
          </cell>
          <cell r="P12">
            <v>99686.86</v>
          </cell>
          <cell r="Q12">
            <v>111817.8</v>
          </cell>
          <cell r="R12">
            <v>111958.82</v>
          </cell>
          <cell r="S12">
            <v>112100.96</v>
          </cell>
          <cell r="T12">
            <v>112100.96</v>
          </cell>
          <cell r="U12">
            <v>245767.49</v>
          </cell>
          <cell r="V12">
            <v>181874.52</v>
          </cell>
          <cell r="W12">
            <v>268515.36</v>
          </cell>
          <cell r="X12">
            <v>355997.35</v>
          </cell>
          <cell r="Y12">
            <v>307185.74</v>
          </cell>
          <cell r="Z12">
            <v>560849.5</v>
          </cell>
          <cell r="AA12">
            <v>428523.95</v>
          </cell>
          <cell r="AB12">
            <v>311374.03999999998</v>
          </cell>
          <cell r="AC12">
            <v>234753.61</v>
          </cell>
          <cell r="AD12">
            <v>188154.35</v>
          </cell>
          <cell r="AE12">
            <v>199018.41</v>
          </cell>
          <cell r="AF12">
            <v>131601.23000000001</v>
          </cell>
          <cell r="AG12">
            <v>131601.23000000001</v>
          </cell>
          <cell r="AH12">
            <v>139973.13</v>
          </cell>
          <cell r="AI12">
            <v>314946.46000000002</v>
          </cell>
          <cell r="AJ12">
            <v>481089.61</v>
          </cell>
          <cell r="AK12">
            <v>420787.67</v>
          </cell>
          <cell r="AL12">
            <v>487472.77</v>
          </cell>
          <cell r="AM12">
            <v>203492.23</v>
          </cell>
          <cell r="AN12">
            <v>203304.27</v>
          </cell>
          <cell r="AO12">
            <v>157026.18</v>
          </cell>
          <cell r="AP12">
            <v>187563.36</v>
          </cell>
          <cell r="AQ12">
            <v>231130.95</v>
          </cell>
          <cell r="AR12">
            <v>440557.82</v>
          </cell>
          <cell r="AS12">
            <v>327689.59000000003</v>
          </cell>
          <cell r="AT12">
            <v>327689.59000000003</v>
          </cell>
          <cell r="AU12">
            <v>646762.30000000005</v>
          </cell>
          <cell r="AV12">
            <v>786763.26</v>
          </cell>
          <cell r="AW12">
            <v>739453.51</v>
          </cell>
          <cell r="AX12">
            <v>915230.58</v>
          </cell>
          <cell r="AY12">
            <v>697332.34</v>
          </cell>
          <cell r="AZ12">
            <v>911203.33</v>
          </cell>
          <cell r="BA12">
            <v>820318.45</v>
          </cell>
          <cell r="BB12">
            <v>993573.35</v>
          </cell>
          <cell r="BC12">
            <v>50284.42</v>
          </cell>
          <cell r="BD12">
            <v>106810.95</v>
          </cell>
          <cell r="BE12">
            <v>159402.26</v>
          </cell>
          <cell r="BF12">
            <v>158453.04999999999</v>
          </cell>
          <cell r="BG12">
            <v>158453.04999999999</v>
          </cell>
          <cell r="BH12">
            <v>526704.89</v>
          </cell>
          <cell r="BI12">
            <v>552399</v>
          </cell>
          <cell r="BJ12">
            <v>594520.57999999996</v>
          </cell>
          <cell r="BK12">
            <v>622879.81999999995</v>
          </cell>
          <cell r="BL12">
            <v>676242.51</v>
          </cell>
          <cell r="BM12">
            <v>654852.18999999994</v>
          </cell>
          <cell r="BN12">
            <v>699627.68</v>
          </cell>
          <cell r="BO12">
            <v>690337.48</v>
          </cell>
          <cell r="BP12">
            <v>660935.23</v>
          </cell>
          <cell r="BQ12">
            <v>335019.63</v>
          </cell>
          <cell r="BR12">
            <v>387993.11</v>
          </cell>
          <cell r="BS12">
            <v>262028.58</v>
          </cell>
          <cell r="BT12">
            <v>262028.58</v>
          </cell>
          <cell r="BU12">
            <v>281422.8</v>
          </cell>
          <cell r="BV12">
            <v>546395.97</v>
          </cell>
          <cell r="BW12">
            <v>726569.73</v>
          </cell>
          <cell r="BX12">
            <v>957208.46</v>
          </cell>
          <cell r="BY12">
            <v>1367311.11</v>
          </cell>
          <cell r="BZ12">
            <v>1718727</v>
          </cell>
          <cell r="CA12">
            <v>2258592.3199999998</v>
          </cell>
          <cell r="CE12" t="str">
            <v>-</v>
          </cell>
          <cell r="CG12">
            <v>0</v>
          </cell>
        </row>
        <row r="13">
          <cell r="A13" t="str">
            <v>1.1.1.5.01.00007</v>
          </cell>
          <cell r="B13" t="str">
            <v>IPI a Recuperar</v>
          </cell>
          <cell r="AU13">
            <v>303101.53000000003</v>
          </cell>
          <cell r="AV13">
            <v>343504.52</v>
          </cell>
          <cell r="AW13">
            <v>420199.73</v>
          </cell>
          <cell r="AX13">
            <v>479954.39</v>
          </cell>
          <cell r="AY13">
            <v>537863.34</v>
          </cell>
          <cell r="AZ13">
            <v>648055.77</v>
          </cell>
          <cell r="BA13">
            <v>747925.82</v>
          </cell>
          <cell r="BB13">
            <v>80307.81</v>
          </cell>
          <cell r="BC13">
            <v>0</v>
          </cell>
          <cell r="BD13">
            <v>51108.37</v>
          </cell>
          <cell r="BE13">
            <v>61727.54</v>
          </cell>
          <cell r="BF13">
            <v>44725.18</v>
          </cell>
          <cell r="BG13">
            <v>44725.18</v>
          </cell>
          <cell r="BH13">
            <v>130187.36</v>
          </cell>
          <cell r="BI13">
            <v>163535.62</v>
          </cell>
          <cell r="BJ13">
            <v>170500.17</v>
          </cell>
          <cell r="BK13">
            <v>208454.59</v>
          </cell>
          <cell r="BL13">
            <v>243411.05</v>
          </cell>
          <cell r="BM13">
            <v>297554.58</v>
          </cell>
          <cell r="BN13">
            <v>337721.16</v>
          </cell>
          <cell r="BO13">
            <v>81445.56</v>
          </cell>
          <cell r="BP13">
            <v>0</v>
          </cell>
          <cell r="BQ13">
            <v>8346.1299999999992</v>
          </cell>
          <cell r="BR13">
            <v>7875.64</v>
          </cell>
          <cell r="BS13">
            <v>13400.88</v>
          </cell>
          <cell r="BT13">
            <v>13400.88</v>
          </cell>
          <cell r="BU13">
            <v>14398.52</v>
          </cell>
          <cell r="BV13">
            <v>21812.18</v>
          </cell>
          <cell r="BW13">
            <v>0</v>
          </cell>
          <cell r="BX13">
            <v>0</v>
          </cell>
          <cell r="BY13">
            <v>18537.12</v>
          </cell>
          <cell r="BZ13">
            <v>917.26</v>
          </cell>
          <cell r="CA13">
            <v>13797.38</v>
          </cell>
          <cell r="CE13" t="str">
            <v>-</v>
          </cell>
          <cell r="CG13">
            <v>0</v>
          </cell>
        </row>
        <row r="14">
          <cell r="A14" t="str">
            <v>1.1.1.5.01.00005</v>
          </cell>
          <cell r="B14" t="str">
            <v>ICMS a Recuperar</v>
          </cell>
          <cell r="AU14">
            <v>297553.84000000003</v>
          </cell>
          <cell r="AV14">
            <v>386592.46</v>
          </cell>
          <cell r="AW14">
            <v>270382.51</v>
          </cell>
          <cell r="AX14">
            <v>379774.41</v>
          </cell>
          <cell r="AY14">
            <v>104918.17</v>
          </cell>
          <cell r="AZ14">
            <v>0</v>
          </cell>
          <cell r="BA14">
            <v>0</v>
          </cell>
          <cell r="BB14">
            <v>19547.669999999998</v>
          </cell>
          <cell r="BC14">
            <v>6373.07</v>
          </cell>
          <cell r="BD14">
            <v>1556.17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17638.16</v>
          </cell>
          <cell r="BK14">
            <v>29395.69</v>
          </cell>
          <cell r="BL14">
            <v>22649.74</v>
          </cell>
          <cell r="BM14">
            <v>19660.560000000001</v>
          </cell>
          <cell r="BN14">
            <v>46998.720000000001</v>
          </cell>
          <cell r="BO14">
            <v>21587.09</v>
          </cell>
          <cell r="BP14">
            <v>16810.599999999999</v>
          </cell>
          <cell r="BQ14">
            <v>15767.72</v>
          </cell>
          <cell r="BR14">
            <v>21999.200000000001</v>
          </cell>
          <cell r="BS14">
            <v>16097.27</v>
          </cell>
          <cell r="BT14">
            <v>16097.27</v>
          </cell>
          <cell r="BU14">
            <v>10116.1</v>
          </cell>
          <cell r="BV14">
            <v>34144.22</v>
          </cell>
          <cell r="BW14">
            <v>5033.93</v>
          </cell>
          <cell r="BX14">
            <v>0</v>
          </cell>
          <cell r="BY14">
            <v>69193.78</v>
          </cell>
          <cell r="BZ14">
            <v>0</v>
          </cell>
          <cell r="CA14">
            <v>136681.24</v>
          </cell>
          <cell r="CE14" t="str">
            <v>-</v>
          </cell>
          <cell r="CG14">
            <v>0</v>
          </cell>
        </row>
        <row r="15">
          <cell r="A15" t="str">
            <v>1.1.1.5.01.00011</v>
          </cell>
          <cell r="B15" t="str">
            <v>ICMS Destino</v>
          </cell>
          <cell r="BG15">
            <v>13976.5</v>
          </cell>
          <cell r="BH15">
            <v>15045.11</v>
          </cell>
          <cell r="BI15">
            <v>15045.11</v>
          </cell>
          <cell r="BJ15">
            <v>15045.11</v>
          </cell>
          <cell r="BK15">
            <v>15224.64</v>
          </cell>
          <cell r="BL15">
            <v>17754.64</v>
          </cell>
          <cell r="BM15">
            <v>18576.28</v>
          </cell>
          <cell r="BN15">
            <v>20666.28</v>
          </cell>
          <cell r="BO15">
            <v>28030</v>
          </cell>
          <cell r="BP15">
            <v>28030</v>
          </cell>
          <cell r="BQ15">
            <v>21351.23</v>
          </cell>
          <cell r="BR15">
            <v>21524.97</v>
          </cell>
          <cell r="BS15">
            <v>19781.5</v>
          </cell>
          <cell r="BT15">
            <v>19781.5</v>
          </cell>
          <cell r="BU15">
            <v>19781.5</v>
          </cell>
          <cell r="BV15">
            <v>19781.5</v>
          </cell>
          <cell r="BW15">
            <v>22861.5</v>
          </cell>
          <cell r="BX15">
            <v>22861.5</v>
          </cell>
          <cell r="BY15">
            <v>22861.5</v>
          </cell>
          <cell r="BZ15">
            <v>28074.97</v>
          </cell>
          <cell r="CA15">
            <v>28074.97</v>
          </cell>
        </row>
        <row r="16">
          <cell r="A16" t="str">
            <v>1.1.1.5.01.00015</v>
          </cell>
          <cell r="B16" t="str">
            <v>IRPJ Recolhido por Estimativa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151376.94</v>
          </cell>
          <cell r="BW16">
            <v>304160.08</v>
          </cell>
          <cell r="BX16">
            <v>487609.66</v>
          </cell>
          <cell r="BY16">
            <v>670043.18999999994</v>
          </cell>
          <cell r="BZ16">
            <v>951629.54</v>
          </cell>
          <cell r="CA16">
            <v>1201586.42</v>
          </cell>
        </row>
        <row r="17">
          <cell r="A17" t="str">
            <v>1.1.1.5.02.00015</v>
          </cell>
          <cell r="B17" t="str">
            <v>CSLL Recolhido por Estimativa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74786.53</v>
          </cell>
          <cell r="BW17">
            <v>152032</v>
          </cell>
          <cell r="BX17">
            <v>245039.16</v>
          </cell>
          <cell r="BY17">
            <v>335075.53999999998</v>
          </cell>
          <cell r="BZ17">
            <v>475943.47</v>
          </cell>
          <cell r="CA17">
            <v>595712.59</v>
          </cell>
        </row>
        <row r="18">
          <cell r="A18" t="str">
            <v>1.1.1.5.02.00001</v>
          </cell>
          <cell r="B18" t="str">
            <v>Cofins a Recuperar</v>
          </cell>
          <cell r="AU18">
            <v>11104.23</v>
          </cell>
          <cell r="AV18">
            <v>6225.57</v>
          </cell>
          <cell r="AW18">
            <v>6572.22</v>
          </cell>
          <cell r="AX18">
            <v>5777.86</v>
          </cell>
          <cell r="AY18">
            <v>3665.08</v>
          </cell>
          <cell r="AZ18">
            <v>1704.79</v>
          </cell>
          <cell r="BA18">
            <v>6669.23</v>
          </cell>
          <cell r="BB18">
            <v>2649.66</v>
          </cell>
          <cell r="BC18">
            <v>4859.2299999999996</v>
          </cell>
          <cell r="BD18">
            <v>4191.2299999999996</v>
          </cell>
          <cell r="BE18">
            <v>6290.64</v>
          </cell>
          <cell r="BF18">
            <v>0.01</v>
          </cell>
          <cell r="BG18">
            <v>0.01</v>
          </cell>
          <cell r="BH18">
            <v>4358.22</v>
          </cell>
          <cell r="BI18">
            <v>4416.5600000000004</v>
          </cell>
          <cell r="BJ18">
            <v>4416.57</v>
          </cell>
          <cell r="BK18">
            <v>4416.57</v>
          </cell>
          <cell r="BL18">
            <v>4416.57</v>
          </cell>
          <cell r="BM18">
            <v>4416.57</v>
          </cell>
          <cell r="BN18">
            <v>3786.57</v>
          </cell>
          <cell r="BO18">
            <v>3786.57</v>
          </cell>
          <cell r="BP18">
            <v>3786.57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21119.66</v>
          </cell>
          <cell r="CE18" t="str">
            <v>-</v>
          </cell>
          <cell r="CG18">
            <v>0</v>
          </cell>
        </row>
        <row r="19">
          <cell r="A19" t="str">
            <v>1.1.1.5.02.00002</v>
          </cell>
          <cell r="B19" t="str">
            <v>Pis a Recuperar</v>
          </cell>
          <cell r="AU19">
            <v>2405.92</v>
          </cell>
          <cell r="AV19">
            <v>1348.89</v>
          </cell>
          <cell r="AW19">
            <v>1424</v>
          </cell>
          <cell r="AX19">
            <v>1251.8900000000001</v>
          </cell>
          <cell r="AY19">
            <v>794.12</v>
          </cell>
          <cell r="AZ19">
            <v>369.39</v>
          </cell>
          <cell r="BA19">
            <v>1445.01</v>
          </cell>
          <cell r="BB19">
            <v>584.74</v>
          </cell>
          <cell r="BC19">
            <v>1052.8499999999999</v>
          </cell>
          <cell r="BD19">
            <v>908.11</v>
          </cell>
          <cell r="BE19">
            <v>1362.99</v>
          </cell>
          <cell r="BF19">
            <v>0.02</v>
          </cell>
          <cell r="BG19">
            <v>0.02</v>
          </cell>
          <cell r="BH19">
            <v>944.3</v>
          </cell>
          <cell r="BI19">
            <v>956.94</v>
          </cell>
          <cell r="BJ19">
            <v>956.96</v>
          </cell>
          <cell r="BK19">
            <v>956.96</v>
          </cell>
          <cell r="BL19">
            <v>956.96</v>
          </cell>
          <cell r="BM19">
            <v>956.96</v>
          </cell>
          <cell r="BN19">
            <v>820.46</v>
          </cell>
          <cell r="BO19">
            <v>820.46</v>
          </cell>
          <cell r="BP19">
            <v>820.46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6106.16</v>
          </cell>
          <cell r="CE19" t="str">
            <v>-</v>
          </cell>
          <cell r="CG19">
            <v>0</v>
          </cell>
        </row>
        <row r="20">
          <cell r="A20" t="str">
            <v>1.1.1.5.03</v>
          </cell>
          <cell r="B20" t="str">
            <v>Impostos com Pedido de Ressarcimento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226110.66</v>
          </cell>
          <cell r="BA20">
            <v>22548.46</v>
          </cell>
          <cell r="BH20">
            <v>60</v>
          </cell>
          <cell r="BI20">
            <v>60</v>
          </cell>
          <cell r="BJ20">
            <v>60</v>
          </cell>
          <cell r="BK20">
            <v>60</v>
          </cell>
          <cell r="BL20">
            <v>60</v>
          </cell>
          <cell r="BM20">
            <v>60</v>
          </cell>
          <cell r="BN20">
            <v>60</v>
          </cell>
          <cell r="BO20">
            <v>297614.58</v>
          </cell>
          <cell r="BP20">
            <v>386425.94</v>
          </cell>
          <cell r="BQ20">
            <v>60</v>
          </cell>
          <cell r="BR20">
            <v>60</v>
          </cell>
          <cell r="BS20">
            <v>60</v>
          </cell>
          <cell r="BT20">
            <v>60</v>
          </cell>
          <cell r="BU20">
            <v>60</v>
          </cell>
          <cell r="BV20">
            <v>60</v>
          </cell>
          <cell r="BW20">
            <v>60</v>
          </cell>
          <cell r="BX20">
            <v>60</v>
          </cell>
          <cell r="BY20">
            <v>60</v>
          </cell>
          <cell r="BZ20">
            <v>60</v>
          </cell>
          <cell r="CA20">
            <v>60</v>
          </cell>
          <cell r="CE20" t="str">
            <v>-</v>
          </cell>
          <cell r="CG20">
            <v>0</v>
          </cell>
        </row>
        <row r="21">
          <cell r="A21" t="str">
            <v>1.1.1.5.04</v>
          </cell>
          <cell r="B21" t="str">
            <v>Ciap Credito ICMS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H21">
            <v>35754</v>
          </cell>
          <cell r="BI21">
            <v>35754</v>
          </cell>
          <cell r="BJ21">
            <v>71129</v>
          </cell>
          <cell r="BK21">
            <v>74490.490000000005</v>
          </cell>
          <cell r="BL21">
            <v>97226.74</v>
          </cell>
          <cell r="BM21">
            <v>97226.74</v>
          </cell>
          <cell r="BN21">
            <v>97226.74</v>
          </cell>
          <cell r="BO21">
            <v>97226.74</v>
          </cell>
          <cell r="BP21">
            <v>97226.74</v>
          </cell>
          <cell r="BQ21">
            <v>152614.44</v>
          </cell>
          <cell r="BR21">
            <v>172116.92</v>
          </cell>
          <cell r="BS21">
            <v>172116.92</v>
          </cell>
          <cell r="BT21">
            <v>172116.92</v>
          </cell>
          <cell r="BU21">
            <v>172116.92</v>
          </cell>
          <cell r="BV21">
            <v>172116.92</v>
          </cell>
          <cell r="BW21">
            <v>172116.92</v>
          </cell>
          <cell r="BX21">
            <v>131408.31</v>
          </cell>
          <cell r="BY21">
            <v>127579.69</v>
          </cell>
          <cell r="BZ21">
            <v>126645.67</v>
          </cell>
          <cell r="CA21">
            <v>124230.28</v>
          </cell>
          <cell r="CE21" t="str">
            <v>-</v>
          </cell>
          <cell r="CG21">
            <v>0</v>
          </cell>
        </row>
        <row r="22">
          <cell r="A22" t="str">
            <v>1.1.1.6</v>
          </cell>
          <cell r="B22" t="str">
            <v>Estoques</v>
          </cell>
          <cell r="C22">
            <v>2924473.2</v>
          </cell>
          <cell r="D22">
            <v>4664327</v>
          </cell>
          <cell r="E22">
            <v>5868331.5899999999</v>
          </cell>
          <cell r="F22">
            <v>6973934.6900000004</v>
          </cell>
          <cell r="G22">
            <v>8095381.8700000001</v>
          </cell>
          <cell r="H22">
            <v>7906204.2400000002</v>
          </cell>
          <cell r="I22">
            <v>8234359.8499999996</v>
          </cell>
          <cell r="J22">
            <v>7556123.4299999997</v>
          </cell>
          <cell r="K22">
            <v>7068699.6900000004</v>
          </cell>
          <cell r="L22">
            <v>7473081.9900000002</v>
          </cell>
          <cell r="M22">
            <v>7622284.8799999999</v>
          </cell>
          <cell r="N22">
            <v>6904842.9100000001</v>
          </cell>
          <cell r="O22">
            <v>6854628.5999999996</v>
          </cell>
          <cell r="P22">
            <v>7018042.0199999996</v>
          </cell>
          <cell r="Q22">
            <v>6959623.9299999997</v>
          </cell>
          <cell r="R22">
            <v>7084404.3099999996</v>
          </cell>
          <cell r="S22">
            <v>6994030.21</v>
          </cell>
          <cell r="T22">
            <v>6994030.21</v>
          </cell>
          <cell r="U22">
            <v>7444779.7199999997</v>
          </cell>
          <cell r="V22">
            <v>7144820.0899999999</v>
          </cell>
          <cell r="W22">
            <v>7325202.21</v>
          </cell>
          <cell r="X22">
            <v>7807555.79</v>
          </cell>
          <cell r="Y22">
            <v>7966035.1500000004</v>
          </cell>
          <cell r="Z22">
            <v>8898383.9399999995</v>
          </cell>
          <cell r="AA22">
            <v>8891601.5700000003</v>
          </cell>
          <cell r="AB22">
            <v>8432534.9800000004</v>
          </cell>
          <cell r="AC22">
            <v>8377763.0499999998</v>
          </cell>
          <cell r="AD22">
            <v>8077792.1900000004</v>
          </cell>
          <cell r="AE22">
            <v>8307415.8700000001</v>
          </cell>
          <cell r="AF22">
            <v>8356882.7199999997</v>
          </cell>
          <cell r="AG22">
            <v>8356882.7199999997</v>
          </cell>
          <cell r="AH22">
            <v>8439188.6899999995</v>
          </cell>
          <cell r="AI22">
            <v>9519422.7699999996</v>
          </cell>
          <cell r="AJ22">
            <v>10295639.220000001</v>
          </cell>
          <cell r="AK22">
            <v>10476929.59</v>
          </cell>
          <cell r="AL22">
            <v>10949630.15</v>
          </cell>
          <cell r="AM22">
            <v>9742907.4000000004</v>
          </cell>
          <cell r="AN22">
            <v>9615593.7200000007</v>
          </cell>
          <cell r="AO22">
            <v>8887998.7300000004</v>
          </cell>
          <cell r="AP22">
            <v>9174807.0899999999</v>
          </cell>
          <cell r="AQ22">
            <v>9436448.5600000005</v>
          </cell>
          <cell r="AR22">
            <v>10280625.1</v>
          </cell>
          <cell r="AS22">
            <v>9911262.5399999991</v>
          </cell>
          <cell r="AT22">
            <v>9911262.5399999991</v>
          </cell>
          <cell r="AU22">
            <v>11621824.4</v>
          </cell>
          <cell r="AV22">
            <v>13001211.98</v>
          </cell>
          <cell r="AW22">
            <v>13634107.82</v>
          </cell>
          <cell r="AX22">
            <v>15781065.609999999</v>
          </cell>
          <cell r="AY22">
            <v>14699793.75</v>
          </cell>
          <cell r="AZ22">
            <v>14721883</v>
          </cell>
          <cell r="BA22">
            <v>14576105.07</v>
          </cell>
          <cell r="BB22">
            <v>15801219.380000001</v>
          </cell>
          <cell r="BC22">
            <v>17739128.600000001</v>
          </cell>
          <cell r="BD22">
            <v>18554583.440000001</v>
          </cell>
          <cell r="BE22">
            <v>18491964.34</v>
          </cell>
          <cell r="BF22">
            <v>18291401.879999999</v>
          </cell>
          <cell r="BG22">
            <v>18291401.879999999</v>
          </cell>
          <cell r="BH22">
            <v>18409369.079999998</v>
          </cell>
          <cell r="BI22">
            <v>18994492.07</v>
          </cell>
          <cell r="BJ22">
            <v>18332996.879999999</v>
          </cell>
          <cell r="BK22">
            <v>17905140.609999999</v>
          </cell>
          <cell r="BL22">
            <v>17285432.850000001</v>
          </cell>
          <cell r="BM22">
            <v>18254885.530000001</v>
          </cell>
          <cell r="BN22">
            <v>19533008.609999999</v>
          </cell>
          <cell r="BO22">
            <v>20543942.18</v>
          </cell>
          <cell r="BP22">
            <v>21894545.670000002</v>
          </cell>
          <cell r="BQ22">
            <v>22278566.149999999</v>
          </cell>
          <cell r="BR22">
            <v>22025418.550000001</v>
          </cell>
          <cell r="BS22">
            <v>22997369.18</v>
          </cell>
          <cell r="BT22">
            <v>22997369.18</v>
          </cell>
          <cell r="BU22">
            <v>22886998.16</v>
          </cell>
          <cell r="BV22">
            <v>22837277.98</v>
          </cell>
          <cell r="BW22">
            <v>24261870.949999999</v>
          </cell>
          <cell r="BX22">
            <v>23475597.420000002</v>
          </cell>
          <cell r="BY22">
            <v>23509849.280000001</v>
          </cell>
          <cell r="BZ22">
            <v>22842595.829999998</v>
          </cell>
          <cell r="CA22">
            <v>24746789.890000001</v>
          </cell>
          <cell r="CE22" t="str">
            <v>-</v>
          </cell>
          <cell r="CG22">
            <v>0</v>
          </cell>
        </row>
        <row r="23">
          <cell r="A23" t="str">
            <v>1.1.1.7.01</v>
          </cell>
          <cell r="B23" t="str">
            <v>Adiantamentos a Fornecedores</v>
          </cell>
          <cell r="C23">
            <v>952433.42999999993</v>
          </cell>
          <cell r="D23">
            <v>191441.67</v>
          </cell>
          <cell r="E23">
            <v>317799.27</v>
          </cell>
          <cell r="F23">
            <v>433819.23</v>
          </cell>
          <cell r="G23">
            <v>403873.87</v>
          </cell>
          <cell r="H23">
            <v>430598.19</v>
          </cell>
          <cell r="I23">
            <v>455284.01</v>
          </cell>
          <cell r="J23">
            <v>464715.23</v>
          </cell>
          <cell r="K23">
            <v>484728.08</v>
          </cell>
          <cell r="L23">
            <v>538241.28000000003</v>
          </cell>
          <cell r="M23">
            <v>485991.51</v>
          </cell>
          <cell r="N23">
            <v>448300.83</v>
          </cell>
          <cell r="O23">
            <v>386525.81</v>
          </cell>
          <cell r="P23">
            <v>535200.81000000006</v>
          </cell>
          <cell r="Q23">
            <v>335446.28999999998</v>
          </cell>
          <cell r="R23">
            <v>392957.22</v>
          </cell>
          <cell r="S23">
            <v>259150.49</v>
          </cell>
          <cell r="T23">
            <v>259150.49</v>
          </cell>
          <cell r="U23">
            <v>252307.94</v>
          </cell>
          <cell r="V23">
            <v>192998.32</v>
          </cell>
          <cell r="W23">
            <v>158847.64000000001</v>
          </cell>
          <cell r="X23">
            <v>137125.18</v>
          </cell>
          <cell r="Y23">
            <v>115811.02</v>
          </cell>
          <cell r="Z23">
            <v>121365.08</v>
          </cell>
          <cell r="AA23">
            <v>201523.02</v>
          </cell>
          <cell r="AB23">
            <v>225764.48000000001</v>
          </cell>
          <cell r="AC23">
            <v>19608.759999999998</v>
          </cell>
          <cell r="AD23">
            <v>49753.82</v>
          </cell>
          <cell r="AE23">
            <v>81508.19</v>
          </cell>
          <cell r="AF23">
            <v>147856.68</v>
          </cell>
          <cell r="AG23">
            <v>147856.68</v>
          </cell>
          <cell r="AH23">
            <v>163074.57999999999</v>
          </cell>
          <cell r="AI23">
            <v>151894.57999999999</v>
          </cell>
          <cell r="AJ23">
            <v>140462.17000000001</v>
          </cell>
          <cell r="AK23">
            <v>124215.69</v>
          </cell>
          <cell r="AL23">
            <v>133265.18</v>
          </cell>
          <cell r="AM23">
            <v>95566.31</v>
          </cell>
          <cell r="AN23">
            <v>101595.53</v>
          </cell>
          <cell r="AO23">
            <v>442152.08</v>
          </cell>
          <cell r="AP23">
            <v>129767.56</v>
          </cell>
          <cell r="AQ23">
            <v>184893.12</v>
          </cell>
          <cell r="AR23">
            <v>120806.6</v>
          </cell>
          <cell r="AS23">
            <v>201505.09</v>
          </cell>
          <cell r="AT23">
            <v>201505.09</v>
          </cell>
          <cell r="AU23">
            <v>210593.91</v>
          </cell>
          <cell r="AV23">
            <v>321989.15999999997</v>
          </cell>
          <cell r="AW23">
            <v>593617.57999999996</v>
          </cell>
          <cell r="AX23">
            <v>373708.4</v>
          </cell>
          <cell r="AY23">
            <v>573599.18000000005</v>
          </cell>
          <cell r="AZ23">
            <v>985020.6</v>
          </cell>
          <cell r="BA23">
            <v>881344.06</v>
          </cell>
          <cell r="BB23">
            <v>372579.83</v>
          </cell>
          <cell r="BC23">
            <v>416357.61</v>
          </cell>
          <cell r="BD23">
            <v>492952.77</v>
          </cell>
          <cell r="BE23">
            <v>445646.07</v>
          </cell>
          <cell r="BF23">
            <v>448485.75</v>
          </cell>
          <cell r="BG23">
            <v>448485.75</v>
          </cell>
          <cell r="BH23">
            <v>462359.33</v>
          </cell>
          <cell r="BI23">
            <v>435735.59</v>
          </cell>
          <cell r="BJ23">
            <v>539448.36</v>
          </cell>
          <cell r="BK23">
            <v>633764.5</v>
          </cell>
          <cell r="BL23">
            <v>533363.35</v>
          </cell>
          <cell r="BM23">
            <v>508391.95</v>
          </cell>
          <cell r="BN23">
            <v>554738.18999999994</v>
          </cell>
          <cell r="BO23">
            <v>631721.31000000006</v>
          </cell>
          <cell r="BP23">
            <v>631377.17000000004</v>
          </cell>
          <cell r="BQ23">
            <v>442129.34</v>
          </cell>
          <cell r="BR23">
            <v>453225.23</v>
          </cell>
          <cell r="BS23">
            <v>454255.56</v>
          </cell>
          <cell r="BT23">
            <v>454255.56</v>
          </cell>
          <cell r="BU23">
            <v>505367.08</v>
          </cell>
          <cell r="BV23">
            <v>509493.27</v>
          </cell>
          <cell r="BW23">
            <v>365751.53</v>
          </cell>
          <cell r="BX23">
            <v>423667.73</v>
          </cell>
          <cell r="BY23">
            <v>466391.46</v>
          </cell>
          <cell r="BZ23">
            <v>552272.85</v>
          </cell>
          <cell r="CA23">
            <v>738110.1</v>
          </cell>
          <cell r="CE23" t="str">
            <v>-</v>
          </cell>
          <cell r="CG23">
            <v>0</v>
          </cell>
        </row>
        <row r="24">
          <cell r="A24" t="str">
            <v>1.1.1.7.SEM CONTA</v>
          </cell>
          <cell r="B24" t="str">
            <v>Adiantamentos - Despachante Aduaneiro</v>
          </cell>
          <cell r="C24">
            <v>0</v>
          </cell>
          <cell r="D24">
            <v>72607.360000000001</v>
          </cell>
          <cell r="E24">
            <v>48466.41</v>
          </cell>
          <cell r="F24">
            <v>678.39</v>
          </cell>
          <cell r="G24">
            <v>14432.79</v>
          </cell>
          <cell r="H24">
            <v>1474.96</v>
          </cell>
          <cell r="I24">
            <v>2052.61</v>
          </cell>
          <cell r="J24">
            <v>2052.61</v>
          </cell>
          <cell r="K24">
            <v>3105.62</v>
          </cell>
          <cell r="L24">
            <v>2052.61</v>
          </cell>
          <cell r="M24">
            <v>3669.8</v>
          </cell>
          <cell r="N24">
            <v>7390.61</v>
          </cell>
          <cell r="O24">
            <v>16167.25</v>
          </cell>
          <cell r="P24">
            <v>2512.19</v>
          </cell>
          <cell r="Q24">
            <v>18836.38</v>
          </cell>
          <cell r="R24">
            <v>31308.12</v>
          </cell>
          <cell r="S24">
            <v>22980.25</v>
          </cell>
          <cell r="T24">
            <v>22980.25</v>
          </cell>
          <cell r="U24">
            <v>1108.23</v>
          </cell>
          <cell r="V24">
            <v>1108.23</v>
          </cell>
          <cell r="W24">
            <v>1108.23</v>
          </cell>
          <cell r="X24">
            <v>-460.76</v>
          </cell>
          <cell r="Y24">
            <v>-7.75</v>
          </cell>
          <cell r="Z24">
            <v>-7.75</v>
          </cell>
          <cell r="AA24">
            <v>-7.75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E24" t="str">
            <v>-</v>
          </cell>
          <cell r="CG24">
            <v>0</v>
          </cell>
        </row>
        <row r="25">
          <cell r="A25" t="str">
            <v>1.1.1.7.03</v>
          </cell>
          <cell r="B25" t="str">
            <v>Adiantamento - Funcionários</v>
          </cell>
          <cell r="C25">
            <v>0</v>
          </cell>
          <cell r="D25">
            <v>1000</v>
          </cell>
          <cell r="E25" t="str">
            <v>0,00</v>
          </cell>
          <cell r="F25">
            <v>4100</v>
          </cell>
          <cell r="G25">
            <v>1700</v>
          </cell>
          <cell r="H25">
            <v>1700</v>
          </cell>
          <cell r="I25">
            <v>1700</v>
          </cell>
          <cell r="J25">
            <v>1959.92</v>
          </cell>
          <cell r="K25">
            <v>1959.92</v>
          </cell>
          <cell r="L25">
            <v>5821.97</v>
          </cell>
          <cell r="M25">
            <v>2201.4699999999998</v>
          </cell>
          <cell r="N25">
            <v>1700</v>
          </cell>
          <cell r="O25">
            <v>1481.6</v>
          </cell>
          <cell r="P25">
            <v>1422.6</v>
          </cell>
          <cell r="Q25">
            <v>1311.09</v>
          </cell>
          <cell r="R25">
            <v>1711.09</v>
          </cell>
          <cell r="S25">
            <v>1271.54</v>
          </cell>
          <cell r="T25">
            <v>1271.54</v>
          </cell>
          <cell r="U25">
            <v>4271.54</v>
          </cell>
          <cell r="V25">
            <v>2509.9699999999998</v>
          </cell>
          <cell r="W25">
            <v>2509.9699999999998</v>
          </cell>
          <cell r="X25">
            <v>1748.75</v>
          </cell>
          <cell r="Y25">
            <v>1659.25</v>
          </cell>
          <cell r="Z25">
            <v>1659.25</v>
          </cell>
          <cell r="AA25">
            <v>1659.25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898.35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2964.01</v>
          </cell>
          <cell r="BN25">
            <v>2964.01</v>
          </cell>
          <cell r="BO25">
            <v>3746.39</v>
          </cell>
          <cell r="BP25">
            <v>3746.39</v>
          </cell>
          <cell r="BQ25">
            <v>3746.39</v>
          </cell>
          <cell r="BR25">
            <v>3746.39</v>
          </cell>
          <cell r="BS25">
            <v>3746.39</v>
          </cell>
          <cell r="BT25">
            <v>3746.39</v>
          </cell>
          <cell r="BU25">
            <v>3746.39</v>
          </cell>
          <cell r="BV25">
            <v>3746.39</v>
          </cell>
          <cell r="BW25">
            <v>3746.39</v>
          </cell>
          <cell r="BX25">
            <v>3746.39</v>
          </cell>
          <cell r="BY25">
            <v>3746.39</v>
          </cell>
          <cell r="BZ25">
            <v>3746.39</v>
          </cell>
          <cell r="CA25">
            <v>3746.39</v>
          </cell>
          <cell r="CE25" t="str">
            <v>-</v>
          </cell>
          <cell r="CG25">
            <v>0</v>
          </cell>
        </row>
        <row r="26">
          <cell r="A26" t="str">
            <v>1.1.1.7.04</v>
          </cell>
          <cell r="B26" t="str">
            <v>Adiantamento de Viagem</v>
          </cell>
          <cell r="C26">
            <v>0</v>
          </cell>
          <cell r="D26">
            <v>21352.97</v>
          </cell>
          <cell r="E26">
            <v>18351.88</v>
          </cell>
          <cell r="F26">
            <v>49811.38</v>
          </cell>
          <cell r="G26">
            <v>36427.760000000002</v>
          </cell>
          <cell r="H26">
            <v>38610.22</v>
          </cell>
          <cell r="I26">
            <v>40064.14</v>
          </cell>
          <cell r="J26">
            <v>32851.07</v>
          </cell>
          <cell r="K26">
            <v>45267.03</v>
          </cell>
          <cell r="L26">
            <v>46361.38</v>
          </cell>
          <cell r="M26">
            <v>53719.02</v>
          </cell>
          <cell r="N26">
            <v>92811.33</v>
          </cell>
          <cell r="O26">
            <v>67587.37</v>
          </cell>
          <cell r="P26">
            <v>84977.01</v>
          </cell>
          <cell r="Q26">
            <v>67248.25</v>
          </cell>
          <cell r="R26">
            <v>71508.14</v>
          </cell>
          <cell r="S26">
            <v>60919.38</v>
          </cell>
          <cell r="T26">
            <v>60919.38</v>
          </cell>
          <cell r="U26">
            <v>48959.49</v>
          </cell>
          <cell r="V26">
            <v>67079.62</v>
          </cell>
          <cell r="W26">
            <v>72448.67</v>
          </cell>
          <cell r="X26">
            <v>74654.69</v>
          </cell>
          <cell r="Y26">
            <v>59970.35</v>
          </cell>
          <cell r="Z26">
            <v>58238.19</v>
          </cell>
          <cell r="AA26">
            <v>73621.820000000007</v>
          </cell>
          <cell r="AB26">
            <v>74808.87</v>
          </cell>
          <cell r="AC26">
            <v>93624.04</v>
          </cell>
          <cell r="AD26">
            <v>114437.19</v>
          </cell>
          <cell r="AE26">
            <v>142135.09</v>
          </cell>
          <cell r="AF26">
            <v>115579.85</v>
          </cell>
          <cell r="AG26">
            <v>115579.85</v>
          </cell>
          <cell r="AH26">
            <v>88550.49</v>
          </cell>
          <cell r="AI26">
            <v>112853.67</v>
          </cell>
          <cell r="AJ26">
            <v>133890.76999999999</v>
          </cell>
          <cell r="AK26">
            <v>98423.01</v>
          </cell>
          <cell r="AL26">
            <v>49112.34</v>
          </cell>
          <cell r="AM26">
            <v>52195.79</v>
          </cell>
          <cell r="AN26">
            <v>63031.17</v>
          </cell>
          <cell r="AO26">
            <v>99791.15</v>
          </cell>
          <cell r="AP26">
            <v>101125.04</v>
          </cell>
          <cell r="AQ26">
            <v>110527.72</v>
          </cell>
          <cell r="AR26">
            <v>109959.42</v>
          </cell>
          <cell r="AS26">
            <v>109895.66</v>
          </cell>
          <cell r="AT26">
            <v>109895.66</v>
          </cell>
          <cell r="AU26">
            <v>137290.76999999999</v>
          </cell>
          <cell r="AV26">
            <v>137807.65</v>
          </cell>
          <cell r="AW26">
            <v>114591.33</v>
          </cell>
          <cell r="AX26">
            <v>121228.17</v>
          </cell>
          <cell r="AY26">
            <v>117617.52</v>
          </cell>
          <cell r="AZ26">
            <v>132460.46</v>
          </cell>
          <cell r="BA26">
            <v>178425.61</v>
          </cell>
          <cell r="BB26">
            <v>178300.51</v>
          </cell>
          <cell r="BC26">
            <v>225017.67</v>
          </cell>
          <cell r="BD26">
            <v>279097.31</v>
          </cell>
          <cell r="BE26">
            <v>305896.48</v>
          </cell>
          <cell r="BF26">
            <v>345495.17</v>
          </cell>
          <cell r="BG26">
            <v>345495.17</v>
          </cell>
          <cell r="BH26">
            <v>331851.78999999998</v>
          </cell>
          <cell r="BI26">
            <v>311262.81</v>
          </cell>
          <cell r="BJ26">
            <v>326143.78000000003</v>
          </cell>
          <cell r="BK26">
            <v>295488.84999999998</v>
          </cell>
          <cell r="BL26">
            <v>356756.6</v>
          </cell>
          <cell r="BM26">
            <v>351203.48</v>
          </cell>
          <cell r="BN26">
            <v>315171.69</v>
          </cell>
          <cell r="BO26">
            <v>366453.33</v>
          </cell>
          <cell r="BP26">
            <v>428895.19</v>
          </cell>
          <cell r="BQ26">
            <v>272733.71000000002</v>
          </cell>
          <cell r="BR26">
            <v>361520.45</v>
          </cell>
          <cell r="BS26">
            <v>325944.18</v>
          </cell>
          <cell r="BT26">
            <v>325944.18</v>
          </cell>
          <cell r="BU26">
            <v>337150.94</v>
          </cell>
          <cell r="BV26">
            <v>323563.78999999998</v>
          </cell>
          <cell r="BW26">
            <v>385943.09</v>
          </cell>
          <cell r="BX26">
            <v>395982.91</v>
          </cell>
          <cell r="BY26">
            <v>435618.03</v>
          </cell>
          <cell r="BZ26">
            <v>535391.96</v>
          </cell>
          <cell r="CA26">
            <v>514621.22</v>
          </cell>
          <cell r="CE26" t="str">
            <v>-</v>
          </cell>
          <cell r="CG26">
            <v>0</v>
          </cell>
        </row>
        <row r="27">
          <cell r="A27" t="str">
            <v>1.1.1.7.05</v>
          </cell>
          <cell r="B27" t="str">
            <v>Adto a Fornecedores Exterior</v>
          </cell>
          <cell r="C27">
            <v>0</v>
          </cell>
          <cell r="D27">
            <v>340461.87</v>
          </cell>
          <cell r="E27">
            <v>93784.18</v>
          </cell>
          <cell r="F27">
            <v>91484.01</v>
          </cell>
          <cell r="G27">
            <v>188369.05</v>
          </cell>
          <cell r="H27">
            <v>102976.91</v>
          </cell>
          <cell r="I27">
            <v>41519.25</v>
          </cell>
          <cell r="J27">
            <v>49527.39</v>
          </cell>
          <cell r="K27">
            <v>89062.24</v>
          </cell>
          <cell r="L27">
            <v>161611.45000000001</v>
          </cell>
          <cell r="M27">
            <v>267512.64</v>
          </cell>
          <cell r="N27">
            <v>188046.07999999999</v>
          </cell>
          <cell r="O27">
            <v>92714.5</v>
          </cell>
          <cell r="P27">
            <v>129535.42</v>
          </cell>
          <cell r="Q27">
            <v>149842.89000000001</v>
          </cell>
          <cell r="R27">
            <v>128721.14</v>
          </cell>
          <cell r="S27">
            <v>294881.06</v>
          </cell>
          <cell r="T27">
            <v>294881.06</v>
          </cell>
          <cell r="U27">
            <v>330295.01</v>
          </cell>
          <cell r="V27">
            <v>365370.2</v>
          </cell>
          <cell r="W27">
            <v>266866.25</v>
          </cell>
          <cell r="X27">
            <v>270194.83</v>
          </cell>
          <cell r="Y27">
            <v>300137.61</v>
          </cell>
          <cell r="Z27">
            <v>199161.98</v>
          </cell>
          <cell r="AA27">
            <v>262173.38</v>
          </cell>
          <cell r="AB27">
            <v>365218.97</v>
          </cell>
          <cell r="AC27">
            <v>324115.93</v>
          </cell>
          <cell r="AD27">
            <v>208386.18</v>
          </cell>
          <cell r="AE27">
            <v>340997.98</v>
          </cell>
          <cell r="AF27">
            <v>315103.65999999997</v>
          </cell>
          <cell r="AG27">
            <v>315103.65999999997</v>
          </cell>
          <cell r="AH27">
            <v>505760.11</v>
          </cell>
          <cell r="AI27">
            <v>461487.17</v>
          </cell>
          <cell r="AJ27">
            <v>681673.31</v>
          </cell>
          <cell r="AK27">
            <v>71094.649999999994</v>
          </cell>
          <cell r="AL27">
            <v>253023.73</v>
          </cell>
          <cell r="AM27">
            <v>682120.35</v>
          </cell>
          <cell r="AN27">
            <v>1025741.09</v>
          </cell>
          <cell r="AO27">
            <v>1607665.49</v>
          </cell>
          <cell r="AP27">
            <v>1506427.76</v>
          </cell>
          <cell r="AQ27">
            <v>620165.81999999995</v>
          </cell>
          <cell r="AR27">
            <v>906061.93</v>
          </cell>
          <cell r="AS27">
            <v>1999742.82</v>
          </cell>
          <cell r="AT27">
            <v>1999742.82</v>
          </cell>
          <cell r="AU27">
            <v>605802.43999999994</v>
          </cell>
          <cell r="AV27">
            <v>439696.27</v>
          </cell>
          <cell r="AW27">
            <v>845404.17</v>
          </cell>
          <cell r="AX27">
            <v>1280394.82</v>
          </cell>
          <cell r="AY27">
            <v>1499446.47</v>
          </cell>
          <cell r="AZ27">
            <v>1561716.7</v>
          </cell>
          <cell r="BA27">
            <v>1774565.32</v>
          </cell>
          <cell r="BB27">
            <v>1829225.85</v>
          </cell>
          <cell r="BC27">
            <v>1860562.16</v>
          </cell>
          <cell r="BD27">
            <v>1555251.44</v>
          </cell>
          <cell r="BE27">
            <v>1499247.39</v>
          </cell>
          <cell r="BF27">
            <v>1779887.79</v>
          </cell>
          <cell r="BG27">
            <v>1779887.79</v>
          </cell>
          <cell r="BH27">
            <v>1548225.46</v>
          </cell>
          <cell r="BI27">
            <v>1696986.55</v>
          </cell>
          <cell r="BJ27">
            <v>1107025.45</v>
          </cell>
          <cell r="BK27">
            <v>1373152.21</v>
          </cell>
          <cell r="BL27">
            <v>2484630.1800000002</v>
          </cell>
          <cell r="BM27">
            <v>2342699.37</v>
          </cell>
          <cell r="BN27">
            <v>2558726.62</v>
          </cell>
          <cell r="BO27">
            <v>1783144.84</v>
          </cell>
          <cell r="BP27">
            <v>1842485.03</v>
          </cell>
          <cell r="BQ27">
            <v>1854522.24</v>
          </cell>
          <cell r="BR27">
            <v>2201073.56</v>
          </cell>
          <cell r="BS27">
            <v>1502200.37</v>
          </cell>
          <cell r="BT27">
            <v>1502200.37</v>
          </cell>
          <cell r="BU27">
            <v>1410908.41</v>
          </cell>
          <cell r="BV27">
            <v>1530492.22</v>
          </cell>
          <cell r="BW27">
            <v>1340070.03</v>
          </cell>
          <cell r="BX27">
            <v>1588236.2</v>
          </cell>
          <cell r="BY27">
            <v>2142005.0499999998</v>
          </cell>
          <cell r="BZ27">
            <v>1965436.92</v>
          </cell>
          <cell r="CA27">
            <v>1727687.63</v>
          </cell>
          <cell r="CE27" t="str">
            <v>-</v>
          </cell>
          <cell r="CG27">
            <v>0</v>
          </cell>
        </row>
        <row r="28">
          <cell r="A28" t="str">
            <v>1.1.1.7.06</v>
          </cell>
          <cell r="B28" t="str">
            <v>Adiantamentos - Partes Relacionadas</v>
          </cell>
          <cell r="G28">
            <v>0</v>
          </cell>
          <cell r="H28">
            <v>0</v>
          </cell>
          <cell r="T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50000</v>
          </cell>
          <cell r="AI28">
            <v>45000</v>
          </cell>
          <cell r="AJ28">
            <v>40000</v>
          </cell>
          <cell r="AK28">
            <v>32745.8</v>
          </cell>
          <cell r="AL28">
            <v>27745.8</v>
          </cell>
          <cell r="AM28">
            <v>22745.8</v>
          </cell>
          <cell r="AN28">
            <v>20000</v>
          </cell>
          <cell r="AO28">
            <v>15000</v>
          </cell>
          <cell r="AP28">
            <v>10000</v>
          </cell>
          <cell r="AQ28">
            <v>5000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150000</v>
          </cell>
          <cell r="AY28">
            <v>145000</v>
          </cell>
          <cell r="AZ28">
            <v>140000</v>
          </cell>
          <cell r="BA28">
            <v>135000</v>
          </cell>
          <cell r="BB28">
            <v>130000</v>
          </cell>
          <cell r="BC28">
            <v>130000</v>
          </cell>
          <cell r="BD28">
            <v>125000</v>
          </cell>
          <cell r="BE28">
            <v>120000</v>
          </cell>
          <cell r="BF28">
            <v>115000</v>
          </cell>
          <cell r="BG28">
            <v>115000</v>
          </cell>
          <cell r="BH28">
            <v>110000</v>
          </cell>
          <cell r="BI28">
            <v>105000</v>
          </cell>
          <cell r="BJ28">
            <v>100000</v>
          </cell>
          <cell r="BK28">
            <v>95000</v>
          </cell>
          <cell r="BL28">
            <v>90000</v>
          </cell>
          <cell r="BM28">
            <v>85000</v>
          </cell>
          <cell r="BN28">
            <v>80000</v>
          </cell>
          <cell r="BO28">
            <v>75000</v>
          </cell>
          <cell r="BP28">
            <v>70000</v>
          </cell>
          <cell r="BQ28">
            <v>65000</v>
          </cell>
          <cell r="BR28">
            <v>60000</v>
          </cell>
          <cell r="BS28">
            <v>55000</v>
          </cell>
          <cell r="BT28">
            <v>55000</v>
          </cell>
          <cell r="BU28">
            <v>50000</v>
          </cell>
          <cell r="BV28">
            <v>45000</v>
          </cell>
          <cell r="BW28">
            <v>40000</v>
          </cell>
          <cell r="BX28">
            <v>35000</v>
          </cell>
          <cell r="BY28">
            <v>30000</v>
          </cell>
          <cell r="BZ28">
            <v>25000</v>
          </cell>
          <cell r="CA28">
            <v>20000</v>
          </cell>
          <cell r="CE28" t="str">
            <v>-</v>
          </cell>
          <cell r="CG28">
            <v>0</v>
          </cell>
        </row>
        <row r="29">
          <cell r="A29" t="str">
            <v>1.1.1.7.07</v>
          </cell>
          <cell r="B29" t="str">
            <v>Compra - Entrega Futura</v>
          </cell>
          <cell r="T29">
            <v>0</v>
          </cell>
          <cell r="AE29">
            <v>0</v>
          </cell>
          <cell r="AG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15000.03</v>
          </cell>
          <cell r="BC29">
            <v>15000.03</v>
          </cell>
          <cell r="BD29">
            <v>15000.03</v>
          </cell>
          <cell r="BE29">
            <v>15000.03</v>
          </cell>
          <cell r="BF29">
            <v>75000.03</v>
          </cell>
          <cell r="BG29">
            <v>75000.03</v>
          </cell>
          <cell r="BH29">
            <v>95000.03</v>
          </cell>
          <cell r="BI29">
            <v>115000.03</v>
          </cell>
          <cell r="BJ29">
            <v>20000.03</v>
          </cell>
          <cell r="BK29">
            <v>20000.03</v>
          </cell>
          <cell r="BL29">
            <v>25000.03</v>
          </cell>
          <cell r="BM29">
            <v>25000.03</v>
          </cell>
          <cell r="BN29">
            <v>25000.03</v>
          </cell>
          <cell r="BO29">
            <v>25000.03</v>
          </cell>
          <cell r="BP29">
            <v>30250.03</v>
          </cell>
          <cell r="BQ29">
            <v>35500.03</v>
          </cell>
          <cell r="BR29">
            <v>35500.03</v>
          </cell>
          <cell r="BS29">
            <v>35500.03</v>
          </cell>
          <cell r="BT29">
            <v>35500.03</v>
          </cell>
          <cell r="BU29">
            <v>35500.03</v>
          </cell>
          <cell r="BV29">
            <v>35500.03</v>
          </cell>
          <cell r="BW29">
            <v>35500.03</v>
          </cell>
          <cell r="BX29">
            <v>25000.03</v>
          </cell>
          <cell r="BY29">
            <v>25000.03</v>
          </cell>
          <cell r="BZ29">
            <v>25000.03</v>
          </cell>
          <cell r="CA29">
            <v>25000.03</v>
          </cell>
          <cell r="CE29" t="str">
            <v>-</v>
          </cell>
          <cell r="CG29">
            <v>0</v>
          </cell>
        </row>
        <row r="30">
          <cell r="A30" t="str">
            <v>1.1.1.7.90</v>
          </cell>
          <cell r="B30" t="str">
            <v>Outros Adiantamentos</v>
          </cell>
          <cell r="C30">
            <v>0</v>
          </cell>
          <cell r="D30">
            <v>0</v>
          </cell>
          <cell r="E30">
            <v>0</v>
          </cell>
          <cell r="F30">
            <v>264.27999999999997</v>
          </cell>
          <cell r="G30">
            <v>762.86</v>
          </cell>
          <cell r="H30">
            <v>2035.36</v>
          </cell>
          <cell r="I30">
            <v>1001.87</v>
          </cell>
          <cell r="J30">
            <v>5504.37</v>
          </cell>
          <cell r="K30">
            <v>4484.59</v>
          </cell>
          <cell r="L30">
            <v>6833.09</v>
          </cell>
          <cell r="M30">
            <v>1655.69</v>
          </cell>
          <cell r="N30">
            <v>1039.5899999999999</v>
          </cell>
          <cell r="O30">
            <v>1829.39</v>
          </cell>
          <cell r="P30">
            <v>6095.59</v>
          </cell>
          <cell r="Q30">
            <v>5583.52</v>
          </cell>
          <cell r="R30">
            <v>2067.42</v>
          </cell>
          <cell r="S30">
            <v>3704.44</v>
          </cell>
          <cell r="T30">
            <v>3704.44</v>
          </cell>
          <cell r="U30">
            <v>5704.24</v>
          </cell>
          <cell r="V30">
            <v>4581.95</v>
          </cell>
          <cell r="W30">
            <v>5159.95</v>
          </cell>
          <cell r="X30">
            <v>3743.85</v>
          </cell>
          <cell r="Y30">
            <v>3133.65</v>
          </cell>
          <cell r="Z30">
            <v>4093.95</v>
          </cell>
          <cell r="AA30">
            <v>1454.25</v>
          </cell>
          <cell r="AB30">
            <v>6326.35</v>
          </cell>
          <cell r="AC30">
            <v>8710.25</v>
          </cell>
          <cell r="AD30">
            <v>10066.39</v>
          </cell>
          <cell r="AE30">
            <v>2546.84</v>
          </cell>
          <cell r="AF30">
            <v>4162.41</v>
          </cell>
          <cell r="AG30">
            <v>4162.41</v>
          </cell>
          <cell r="AH30">
            <v>8668.65</v>
          </cell>
          <cell r="AI30">
            <v>4085.48</v>
          </cell>
          <cell r="AJ30">
            <v>12840.14</v>
          </cell>
          <cell r="AK30">
            <v>2501.87</v>
          </cell>
          <cell r="AL30">
            <v>3703.47</v>
          </cell>
          <cell r="AM30">
            <v>2093.27</v>
          </cell>
          <cell r="AN30">
            <v>5677.17</v>
          </cell>
          <cell r="AO30">
            <v>5728.47</v>
          </cell>
          <cell r="AP30">
            <v>6588.77</v>
          </cell>
          <cell r="AQ30">
            <v>3449.07</v>
          </cell>
          <cell r="AR30">
            <v>6597.57</v>
          </cell>
          <cell r="AS30">
            <v>7546.07</v>
          </cell>
          <cell r="AT30">
            <v>7546.07</v>
          </cell>
          <cell r="AU30">
            <v>3569.68</v>
          </cell>
          <cell r="AV30">
            <v>5542.34</v>
          </cell>
          <cell r="AW30">
            <v>5014.4399999999996</v>
          </cell>
          <cell r="AX30">
            <v>7508.84</v>
          </cell>
          <cell r="AY30">
            <v>8512.39</v>
          </cell>
          <cell r="AZ30">
            <v>4849.45</v>
          </cell>
          <cell r="BA30">
            <v>9452.17</v>
          </cell>
          <cell r="BB30">
            <v>6981.49</v>
          </cell>
          <cell r="BC30">
            <v>8554.14</v>
          </cell>
          <cell r="BD30">
            <v>4291.1400000000003</v>
          </cell>
          <cell r="BE30">
            <v>8675.68</v>
          </cell>
          <cell r="BF30">
            <v>10710.34</v>
          </cell>
          <cell r="BG30">
            <v>10710.34</v>
          </cell>
          <cell r="BH30">
            <v>2608.64</v>
          </cell>
          <cell r="BI30">
            <v>5298.51</v>
          </cell>
          <cell r="BJ30">
            <v>9526.7800000000007</v>
          </cell>
          <cell r="BK30">
            <v>11098.71</v>
          </cell>
          <cell r="BL30">
            <v>3264.91</v>
          </cell>
          <cell r="BM30">
            <v>13272.86</v>
          </cell>
          <cell r="BN30">
            <v>12771.16</v>
          </cell>
          <cell r="BO30">
            <v>15046.28</v>
          </cell>
          <cell r="BP30">
            <v>7966.33</v>
          </cell>
          <cell r="BQ30">
            <v>11072.66</v>
          </cell>
          <cell r="BR30">
            <v>7613.75</v>
          </cell>
          <cell r="BS30">
            <v>240.35</v>
          </cell>
          <cell r="BT30">
            <v>240.35</v>
          </cell>
          <cell r="BU30">
            <v>17459.650000000001</v>
          </cell>
          <cell r="BV30">
            <v>17694.46</v>
          </cell>
          <cell r="BW30">
            <v>17621.75</v>
          </cell>
          <cell r="BX30">
            <v>20772.849999999999</v>
          </cell>
          <cell r="BY30">
            <v>12031.07</v>
          </cell>
          <cell r="BZ30">
            <v>13302.39</v>
          </cell>
          <cell r="CA30">
            <v>15764.33</v>
          </cell>
          <cell r="CE30" t="str">
            <v>-</v>
          </cell>
          <cell r="CG30">
            <v>0</v>
          </cell>
        </row>
        <row r="31">
          <cell r="A31" t="str">
            <v>1.1.1.7.08</v>
          </cell>
          <cell r="B31" t="str">
            <v>Programa Apoio Empreendedor</v>
          </cell>
          <cell r="T31">
            <v>0</v>
          </cell>
          <cell r="AE31">
            <v>0</v>
          </cell>
          <cell r="AG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17000</v>
          </cell>
          <cell r="BG31">
            <v>17000</v>
          </cell>
          <cell r="BH31">
            <v>17000</v>
          </cell>
          <cell r="BI31">
            <v>17000</v>
          </cell>
          <cell r="BJ31">
            <v>17000</v>
          </cell>
          <cell r="BK31">
            <v>17000</v>
          </cell>
          <cell r="BL31">
            <v>17000</v>
          </cell>
          <cell r="BM31">
            <v>17000</v>
          </cell>
          <cell r="BN31">
            <v>17000</v>
          </cell>
          <cell r="BO31">
            <v>17000</v>
          </cell>
          <cell r="BP31">
            <v>17000</v>
          </cell>
          <cell r="BQ31">
            <v>17000</v>
          </cell>
          <cell r="BR31">
            <v>17000</v>
          </cell>
          <cell r="BS31">
            <v>17000</v>
          </cell>
          <cell r="BT31">
            <v>17000</v>
          </cell>
          <cell r="BU31">
            <v>17000</v>
          </cell>
          <cell r="BV31">
            <v>17000</v>
          </cell>
          <cell r="BW31">
            <v>17000</v>
          </cell>
          <cell r="BX31">
            <v>17000</v>
          </cell>
          <cell r="BY31">
            <v>17000</v>
          </cell>
          <cell r="BZ31">
            <v>17000</v>
          </cell>
          <cell r="CA31">
            <v>17000</v>
          </cell>
          <cell r="CE31" t="str">
            <v>-</v>
          </cell>
          <cell r="CG31">
            <v>0</v>
          </cell>
        </row>
        <row r="32">
          <cell r="A32" t="str">
            <v>1.1.1.8</v>
          </cell>
          <cell r="B32" t="str">
            <v>Outros Recebíveis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T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E32" t="str">
            <v>-</v>
          </cell>
          <cell r="CG32">
            <v>0</v>
          </cell>
        </row>
        <row r="33">
          <cell r="A33" t="str">
            <v>1.1.1.9</v>
          </cell>
          <cell r="B33" t="str">
            <v>Despesas Exercicio Seguinte</v>
          </cell>
          <cell r="C33">
            <v>0</v>
          </cell>
          <cell r="D33">
            <v>9809.74</v>
          </cell>
          <cell r="E33">
            <v>7183.3899999999994</v>
          </cell>
          <cell r="F33">
            <v>7501.09</v>
          </cell>
          <cell r="G33">
            <v>837.18</v>
          </cell>
          <cell r="H33">
            <v>12638.57</v>
          </cell>
          <cell r="I33">
            <v>12978.14</v>
          </cell>
          <cell r="J33">
            <v>11940.14</v>
          </cell>
          <cell r="K33">
            <v>10902.14</v>
          </cell>
          <cell r="L33">
            <v>9864.14</v>
          </cell>
          <cell r="M33">
            <v>8826.14</v>
          </cell>
          <cell r="N33">
            <v>6444.14</v>
          </cell>
          <cell r="O33">
            <v>5406.14</v>
          </cell>
          <cell r="P33">
            <v>4427.8999999999996</v>
          </cell>
          <cell r="Q33">
            <v>3489.56</v>
          </cell>
          <cell r="R33">
            <v>2551.2199999999998</v>
          </cell>
          <cell r="S33">
            <v>1612.88</v>
          </cell>
          <cell r="T33">
            <v>1612.88</v>
          </cell>
          <cell r="U33">
            <v>18340.169999999998</v>
          </cell>
          <cell r="V33">
            <v>16727.29</v>
          </cell>
          <cell r="W33">
            <v>15114.41</v>
          </cell>
          <cell r="X33">
            <v>13501.53</v>
          </cell>
          <cell r="Y33">
            <v>11888.65</v>
          </cell>
          <cell r="Z33">
            <v>10275.77</v>
          </cell>
          <cell r="AA33">
            <v>8662.89</v>
          </cell>
          <cell r="AB33">
            <v>7050.01</v>
          </cell>
          <cell r="AC33">
            <v>5437.13</v>
          </cell>
          <cell r="AD33">
            <v>3824.25</v>
          </cell>
          <cell r="AE33">
            <v>2211.37</v>
          </cell>
          <cell r="AF33">
            <v>598.49</v>
          </cell>
          <cell r="AG33">
            <v>598.49</v>
          </cell>
          <cell r="AH33">
            <v>21834.74</v>
          </cell>
          <cell r="AI33">
            <v>19904.189999999999</v>
          </cell>
          <cell r="AJ33">
            <v>17973.64</v>
          </cell>
          <cell r="AK33">
            <v>16043.09</v>
          </cell>
          <cell r="AL33">
            <v>14112.54</v>
          </cell>
          <cell r="AM33">
            <v>12181.99</v>
          </cell>
          <cell r="AN33">
            <v>10251.44</v>
          </cell>
          <cell r="AO33">
            <v>8320.89</v>
          </cell>
          <cell r="AP33">
            <v>6390.34</v>
          </cell>
          <cell r="AQ33">
            <v>4459.79</v>
          </cell>
          <cell r="AR33">
            <v>2529.2399999999998</v>
          </cell>
          <cell r="AS33">
            <v>0</v>
          </cell>
          <cell r="AT33">
            <v>0</v>
          </cell>
          <cell r="AU33">
            <v>23078.36</v>
          </cell>
          <cell r="AV33">
            <v>23279.67</v>
          </cell>
          <cell r="AW33">
            <v>21181.64</v>
          </cell>
          <cell r="AX33">
            <v>19083.61</v>
          </cell>
          <cell r="AY33">
            <v>16985.580000000002</v>
          </cell>
          <cell r="AZ33">
            <v>14887.55</v>
          </cell>
          <cell r="BA33">
            <v>12789.52</v>
          </cell>
          <cell r="BB33">
            <v>10691.49</v>
          </cell>
          <cell r="BC33">
            <v>8593.4599999999991</v>
          </cell>
          <cell r="BD33">
            <v>6495.43</v>
          </cell>
          <cell r="BE33">
            <v>56204.15</v>
          </cell>
          <cell r="BF33">
            <v>53956.56</v>
          </cell>
          <cell r="BG33">
            <v>53956.56</v>
          </cell>
          <cell r="BH33">
            <v>71752.45</v>
          </cell>
          <cell r="BI33">
            <v>71045.48</v>
          </cell>
          <cell r="BJ33">
            <v>68833.710000000006</v>
          </cell>
          <cell r="BK33">
            <v>70858.91</v>
          </cell>
          <cell r="BL33">
            <v>68473.3</v>
          </cell>
          <cell r="BM33">
            <v>64897.04</v>
          </cell>
          <cell r="BN33">
            <v>220525.08</v>
          </cell>
          <cell r="BO33">
            <v>217235.82</v>
          </cell>
          <cell r="BP33">
            <v>213648.47</v>
          </cell>
          <cell r="BQ33">
            <v>201087.71</v>
          </cell>
          <cell r="BR33">
            <v>297719.7</v>
          </cell>
          <cell r="BS33">
            <v>294614.13</v>
          </cell>
          <cell r="BT33">
            <v>294614.13</v>
          </cell>
          <cell r="BU33">
            <v>283386.55</v>
          </cell>
          <cell r="BV33">
            <v>257182.99</v>
          </cell>
          <cell r="BW33">
            <v>340744.12</v>
          </cell>
          <cell r="BX33">
            <v>335080.83</v>
          </cell>
          <cell r="BY33">
            <v>311400.40000000002</v>
          </cell>
          <cell r="BZ33">
            <v>292308.84999999998</v>
          </cell>
          <cell r="CA33">
            <v>374492.45</v>
          </cell>
          <cell r="CE33" t="str">
            <v>-</v>
          </cell>
          <cell r="CG33">
            <v>0</v>
          </cell>
        </row>
        <row r="34">
          <cell r="A34" t="str">
            <v>1.3</v>
          </cell>
          <cell r="B34" t="str">
            <v>ATIVO NAO CIRCULANTE</v>
          </cell>
          <cell r="C34">
            <v>1227516.2300000002</v>
          </cell>
          <cell r="D34">
            <v>3008235.38</v>
          </cell>
          <cell r="E34">
            <v>3090744.0300000003</v>
          </cell>
          <cell r="F34">
            <v>3032627.05</v>
          </cell>
          <cell r="G34">
            <v>3885997.0299999989</v>
          </cell>
          <cell r="H34">
            <v>3817073.1399999997</v>
          </cell>
          <cell r="I34">
            <v>3761399.5199999991</v>
          </cell>
          <cell r="J34">
            <v>3526075.9</v>
          </cell>
          <cell r="K34">
            <v>3492989.7600000002</v>
          </cell>
          <cell r="L34">
            <v>3458723.37</v>
          </cell>
          <cell r="M34">
            <v>3445990.67</v>
          </cell>
          <cell r="N34">
            <v>3289895.33</v>
          </cell>
          <cell r="O34">
            <v>3411258.6399999992</v>
          </cell>
          <cell r="P34">
            <v>3297147.3999999994</v>
          </cell>
          <cell r="Q34">
            <v>3809858.5700000003</v>
          </cell>
          <cell r="R34">
            <v>3802368.2200000007</v>
          </cell>
          <cell r="S34">
            <v>3730657.9899999998</v>
          </cell>
          <cell r="T34">
            <v>3730657.9899999998</v>
          </cell>
          <cell r="U34">
            <v>3699658.7899999996</v>
          </cell>
          <cell r="V34">
            <v>3721167.1700000009</v>
          </cell>
          <cell r="W34">
            <v>3745355.4900000007</v>
          </cell>
          <cell r="X34">
            <v>3770673.9700000007</v>
          </cell>
          <cell r="Y34">
            <v>3783668.1900000004</v>
          </cell>
          <cell r="Z34">
            <v>3687083.53</v>
          </cell>
          <cell r="AA34">
            <v>3746175.31</v>
          </cell>
          <cell r="AB34">
            <v>3718126.6</v>
          </cell>
          <cell r="AC34">
            <v>3687048.0899999994</v>
          </cell>
          <cell r="AD34">
            <v>4008675.67</v>
          </cell>
          <cell r="AE34">
            <v>3986712.3400000008</v>
          </cell>
          <cell r="AF34">
            <v>4154555.7700000005</v>
          </cell>
          <cell r="AG34">
            <v>4154555.7700000005</v>
          </cell>
          <cell r="AH34">
            <v>4163950.6200000006</v>
          </cell>
          <cell r="AI34">
            <v>4140598.6599999992</v>
          </cell>
          <cell r="AJ34">
            <v>4182468.34</v>
          </cell>
          <cell r="AK34">
            <v>4019180.83</v>
          </cell>
          <cell r="AL34">
            <v>4391115.129999999</v>
          </cell>
          <cell r="AM34">
            <v>4584563.4699999988</v>
          </cell>
          <cell r="AN34">
            <v>4594153.3199999994</v>
          </cell>
          <cell r="AO34">
            <v>4699961.95</v>
          </cell>
          <cell r="AP34">
            <v>4797411.8599999994</v>
          </cell>
          <cell r="AQ34">
            <v>4748890.6099999994</v>
          </cell>
          <cell r="AR34">
            <v>4838256.68</v>
          </cell>
          <cell r="AS34">
            <v>4809467.1899999995</v>
          </cell>
          <cell r="AT34">
            <v>4809467.1899999995</v>
          </cell>
          <cell r="AU34">
            <v>4938502.93</v>
          </cell>
          <cell r="AV34">
            <v>5242511.05</v>
          </cell>
          <cell r="AW34">
            <v>5335477.3800000008</v>
          </cell>
          <cell r="AX34">
            <v>5331352.6300000008</v>
          </cell>
          <cell r="AY34">
            <v>5425978.71</v>
          </cell>
          <cell r="AZ34">
            <v>5610418.7700000005</v>
          </cell>
          <cell r="BA34">
            <v>5811955.4900000002</v>
          </cell>
          <cell r="BB34">
            <v>5702362.6099999994</v>
          </cell>
          <cell r="BC34">
            <v>5886260.790000001</v>
          </cell>
          <cell r="BD34">
            <v>6131563.8999999994</v>
          </cell>
          <cell r="BE34">
            <v>6448841.5200000005</v>
          </cell>
          <cell r="BF34">
            <v>6562258.4299999997</v>
          </cell>
          <cell r="BG34">
            <v>6562258.4299999997</v>
          </cell>
          <cell r="BH34">
            <v>6489832.8999999994</v>
          </cell>
          <cell r="BI34">
            <v>6124472.0099999998</v>
          </cell>
          <cell r="BJ34">
            <v>6721138.0799999991</v>
          </cell>
          <cell r="BK34">
            <v>6917939.419999999</v>
          </cell>
          <cell r="BL34">
            <v>7392712.9099999983</v>
          </cell>
          <cell r="BM34">
            <v>7390886.0499999989</v>
          </cell>
          <cell r="BN34">
            <v>7593285.8200000003</v>
          </cell>
          <cell r="BO34">
            <v>7659501.4299999997</v>
          </cell>
          <cell r="BP34">
            <v>8640478.1800000016</v>
          </cell>
          <cell r="BQ34">
            <v>9276929.9100000001</v>
          </cell>
          <cell r="BR34">
            <v>9495574.3899999987</v>
          </cell>
          <cell r="BS34">
            <v>9477724.5700000003</v>
          </cell>
          <cell r="BT34">
            <v>9477724.5700000003</v>
          </cell>
          <cell r="BU34">
            <v>9671512.5299999993</v>
          </cell>
          <cell r="BV34">
            <v>9773255.089999998</v>
          </cell>
          <cell r="BW34">
            <v>9714652.3600000013</v>
          </cell>
          <cell r="BX34">
            <v>9870467.8000000007</v>
          </cell>
          <cell r="BY34">
            <v>9905715.9100000001</v>
          </cell>
          <cell r="BZ34">
            <v>10200851.76</v>
          </cell>
          <cell r="CA34">
            <v>10691767.379999999</v>
          </cell>
          <cell r="CE34" t="str">
            <v>-</v>
          </cell>
          <cell r="CG34">
            <v>0</v>
          </cell>
        </row>
        <row r="35">
          <cell r="A35" t="str">
            <v>1.3.1</v>
          </cell>
          <cell r="B35" t="str">
            <v>REALIZAVEL A LONGO PRAZO</v>
          </cell>
          <cell r="C35">
            <v>22219.06</v>
          </cell>
          <cell r="D35">
            <v>39665.03</v>
          </cell>
          <cell r="E35">
            <v>55428.98</v>
          </cell>
          <cell r="F35">
            <v>67037.69</v>
          </cell>
          <cell r="G35">
            <v>62037.69</v>
          </cell>
          <cell r="H35">
            <v>62037.69</v>
          </cell>
          <cell r="I35">
            <v>62037.69</v>
          </cell>
          <cell r="J35">
            <v>62037.69</v>
          </cell>
          <cell r="K35">
            <v>62037.69</v>
          </cell>
          <cell r="L35">
            <v>62037.69</v>
          </cell>
          <cell r="M35">
            <v>62037.69</v>
          </cell>
          <cell r="N35">
            <v>62037.69</v>
          </cell>
          <cell r="O35">
            <v>62037.69</v>
          </cell>
          <cell r="P35">
            <v>62037.69</v>
          </cell>
          <cell r="Q35">
            <v>62037.69</v>
          </cell>
          <cell r="R35">
            <v>62037.69</v>
          </cell>
          <cell r="S35">
            <v>62037.69</v>
          </cell>
          <cell r="T35">
            <v>62037.69</v>
          </cell>
          <cell r="U35">
            <v>62037.69</v>
          </cell>
          <cell r="V35">
            <v>62037.69</v>
          </cell>
          <cell r="W35">
            <v>62037.69</v>
          </cell>
          <cell r="X35">
            <v>62037.69</v>
          </cell>
          <cell r="Y35">
            <v>62037.69</v>
          </cell>
          <cell r="Z35">
            <v>62037.69</v>
          </cell>
          <cell r="AA35">
            <v>62037.69</v>
          </cell>
          <cell r="AB35">
            <v>62037.69</v>
          </cell>
          <cell r="AC35">
            <v>62037.69</v>
          </cell>
          <cell r="AD35">
            <v>62037.69</v>
          </cell>
          <cell r="AE35">
            <v>62037.69</v>
          </cell>
          <cell r="AF35">
            <v>62037.69</v>
          </cell>
          <cell r="AG35">
            <v>62037.69</v>
          </cell>
          <cell r="AH35">
            <v>62037.69</v>
          </cell>
          <cell r="AI35">
            <v>62037.69</v>
          </cell>
          <cell r="AJ35">
            <v>62037.69</v>
          </cell>
          <cell r="AK35">
            <v>62037.69</v>
          </cell>
          <cell r="AL35">
            <v>62037.69</v>
          </cell>
          <cell r="AM35">
            <v>62037.69</v>
          </cell>
          <cell r="AN35">
            <v>62037.69</v>
          </cell>
          <cell r="AO35">
            <v>62037.69</v>
          </cell>
          <cell r="AP35">
            <v>62037.69</v>
          </cell>
          <cell r="AQ35">
            <v>62037.69</v>
          </cell>
          <cell r="AR35">
            <v>62037.69</v>
          </cell>
          <cell r="AS35">
            <v>62037.69</v>
          </cell>
          <cell r="AT35">
            <v>62037.69</v>
          </cell>
          <cell r="AU35">
            <v>62037.69</v>
          </cell>
          <cell r="AV35">
            <v>62037.69</v>
          </cell>
          <cell r="AW35">
            <v>62037.69</v>
          </cell>
          <cell r="AX35">
            <v>62037.69</v>
          </cell>
          <cell r="AY35">
            <v>62037.69</v>
          </cell>
          <cell r="AZ35">
            <v>62037.69</v>
          </cell>
          <cell r="BA35">
            <v>62037.69</v>
          </cell>
          <cell r="BB35">
            <v>62037.69</v>
          </cell>
          <cell r="BC35">
            <v>62037.69</v>
          </cell>
          <cell r="BD35">
            <v>62037.69</v>
          </cell>
          <cell r="BE35">
            <v>62037.69</v>
          </cell>
          <cell r="BF35">
            <v>62037.69</v>
          </cell>
          <cell r="BG35">
            <v>62037.69</v>
          </cell>
          <cell r="BH35">
            <v>62037.69</v>
          </cell>
          <cell r="BI35">
            <v>62037.69</v>
          </cell>
          <cell r="BJ35">
            <v>62037.69</v>
          </cell>
          <cell r="BK35">
            <v>62037.69</v>
          </cell>
          <cell r="BL35">
            <v>62037.69</v>
          </cell>
          <cell r="BM35">
            <v>62037.69</v>
          </cell>
          <cell r="BN35">
            <v>62037.69</v>
          </cell>
          <cell r="BO35">
            <v>62037.69</v>
          </cell>
          <cell r="BP35">
            <v>62037.69</v>
          </cell>
          <cell r="BQ35">
            <v>62037.69</v>
          </cell>
          <cell r="BR35">
            <v>62037.69</v>
          </cell>
          <cell r="BS35">
            <v>62037.69</v>
          </cell>
          <cell r="BT35">
            <v>62037.69</v>
          </cell>
          <cell r="BU35">
            <v>62037.69</v>
          </cell>
          <cell r="BV35">
            <v>62037.69</v>
          </cell>
          <cell r="BW35">
            <v>62037.69</v>
          </cell>
          <cell r="BX35">
            <v>62037.69</v>
          </cell>
          <cell r="BY35">
            <v>76687.360000000001</v>
          </cell>
          <cell r="BZ35">
            <v>76687.360000000001</v>
          </cell>
          <cell r="CA35">
            <v>76687.360000000001</v>
          </cell>
          <cell r="CE35" t="str">
            <v>-</v>
          </cell>
          <cell r="CG35">
            <v>0</v>
          </cell>
        </row>
        <row r="36">
          <cell r="A36" t="str">
            <v>1.3.1.1</v>
          </cell>
          <cell r="B36" t="str">
            <v>Depositos e Caucoes</v>
          </cell>
          <cell r="C36">
            <v>17219.060000000001</v>
          </cell>
          <cell r="D36">
            <v>28665.03</v>
          </cell>
          <cell r="E36">
            <v>44428.98</v>
          </cell>
          <cell r="F36">
            <v>62037.69</v>
          </cell>
          <cell r="G36">
            <v>62037.69</v>
          </cell>
          <cell r="H36">
            <v>62037.69</v>
          </cell>
          <cell r="I36">
            <v>62037.69</v>
          </cell>
          <cell r="J36">
            <v>62037.69</v>
          </cell>
          <cell r="K36">
            <v>62037.69</v>
          </cell>
          <cell r="L36">
            <v>62037.69</v>
          </cell>
          <cell r="M36">
            <v>62037.69</v>
          </cell>
          <cell r="N36">
            <v>62037.69</v>
          </cell>
          <cell r="O36">
            <v>62037.69</v>
          </cell>
          <cell r="P36">
            <v>62037.69</v>
          </cell>
          <cell r="Q36">
            <v>62037.69</v>
          </cell>
          <cell r="R36">
            <v>62037.69</v>
          </cell>
          <cell r="S36">
            <v>62037.69</v>
          </cell>
          <cell r="T36">
            <v>62037.69</v>
          </cell>
          <cell r="U36">
            <v>62037.69</v>
          </cell>
          <cell r="V36">
            <v>62037.69</v>
          </cell>
          <cell r="W36">
            <v>62037.69</v>
          </cell>
          <cell r="X36">
            <v>62037.69</v>
          </cell>
          <cell r="Y36">
            <v>62037.69</v>
          </cell>
          <cell r="Z36">
            <v>62037.69</v>
          </cell>
          <cell r="AA36">
            <v>62037.69</v>
          </cell>
          <cell r="AB36">
            <v>62037.69</v>
          </cell>
          <cell r="AC36">
            <v>62037.69</v>
          </cell>
          <cell r="AD36">
            <v>62037.69</v>
          </cell>
          <cell r="AE36">
            <v>62037.69</v>
          </cell>
          <cell r="AF36">
            <v>62037.69</v>
          </cell>
          <cell r="AG36">
            <v>62037.69</v>
          </cell>
          <cell r="AH36">
            <v>62037.69</v>
          </cell>
          <cell r="AI36">
            <v>62037.69</v>
          </cell>
          <cell r="AJ36">
            <v>62037.69</v>
          </cell>
          <cell r="AK36">
            <v>62037.69</v>
          </cell>
          <cell r="AL36">
            <v>62037.69</v>
          </cell>
          <cell r="AM36">
            <v>62037.69</v>
          </cell>
          <cell r="AN36">
            <v>62037.69</v>
          </cell>
          <cell r="AO36">
            <v>62037.69</v>
          </cell>
          <cell r="AP36">
            <v>62037.69</v>
          </cell>
          <cell r="AQ36">
            <v>62037.69</v>
          </cell>
          <cell r="AR36">
            <v>62037.69</v>
          </cell>
          <cell r="AS36">
            <v>62037.69</v>
          </cell>
          <cell r="AT36">
            <v>62037.69</v>
          </cell>
          <cell r="AU36">
            <v>62037.69</v>
          </cell>
          <cell r="AV36">
            <v>62037.69</v>
          </cell>
          <cell r="AW36">
            <v>62037.69</v>
          </cell>
          <cell r="AX36">
            <v>62037.69</v>
          </cell>
          <cell r="AY36">
            <v>62037.69</v>
          </cell>
          <cell r="AZ36">
            <v>62037.69</v>
          </cell>
          <cell r="BA36">
            <v>62037.69</v>
          </cell>
          <cell r="BB36">
            <v>62037.69</v>
          </cell>
          <cell r="BC36">
            <v>62037.69</v>
          </cell>
          <cell r="BD36">
            <v>62037.69</v>
          </cell>
          <cell r="BE36">
            <v>62037.69</v>
          </cell>
          <cell r="BF36">
            <v>62037.69</v>
          </cell>
          <cell r="BG36">
            <v>62037.69</v>
          </cell>
          <cell r="BH36">
            <v>62037.69</v>
          </cell>
          <cell r="BI36">
            <v>62037.69</v>
          </cell>
          <cell r="BJ36">
            <v>62037.69</v>
          </cell>
          <cell r="BK36">
            <v>62037.69</v>
          </cell>
          <cell r="BL36">
            <v>62037.69</v>
          </cell>
          <cell r="BM36">
            <v>62037.69</v>
          </cell>
          <cell r="BN36">
            <v>62037.69</v>
          </cell>
          <cell r="BO36">
            <v>62037.69</v>
          </cell>
          <cell r="BP36">
            <v>62037.69</v>
          </cell>
          <cell r="BQ36">
            <v>62037.69</v>
          </cell>
          <cell r="BR36">
            <v>62037.69</v>
          </cell>
          <cell r="BS36">
            <v>62037.69</v>
          </cell>
          <cell r="BT36">
            <v>62037.69</v>
          </cell>
          <cell r="BU36">
            <v>62037.69</v>
          </cell>
          <cell r="BV36">
            <v>62037.69</v>
          </cell>
          <cell r="BW36">
            <v>62037.69</v>
          </cell>
          <cell r="BX36">
            <v>62037.69</v>
          </cell>
          <cell r="BY36">
            <v>76687.360000000001</v>
          </cell>
          <cell r="BZ36">
            <v>76687.360000000001</v>
          </cell>
          <cell r="CA36">
            <v>76687.360000000001</v>
          </cell>
          <cell r="CE36" t="str">
            <v>-</v>
          </cell>
          <cell r="CG36">
            <v>0</v>
          </cell>
        </row>
        <row r="37">
          <cell r="A37" t="str">
            <v>1.SEM CONTA</v>
          </cell>
          <cell r="B37" t="str">
            <v>Títulos de Capitalização</v>
          </cell>
          <cell r="C37">
            <v>5000</v>
          </cell>
          <cell r="D37">
            <v>11000</v>
          </cell>
          <cell r="E37">
            <v>11000</v>
          </cell>
          <cell r="F37">
            <v>5000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T37">
            <v>0</v>
          </cell>
          <cell r="AG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E37" t="str">
            <v>-</v>
          </cell>
          <cell r="CG37">
            <v>0</v>
          </cell>
        </row>
        <row r="38">
          <cell r="A38" t="str">
            <v>1.3.2</v>
          </cell>
          <cell r="B38" t="str">
            <v>INVESTIMENTOS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292500</v>
          </cell>
          <cell r="H38">
            <v>292500</v>
          </cell>
          <cell r="I38">
            <v>292500</v>
          </cell>
          <cell r="J38">
            <v>292500</v>
          </cell>
          <cell r="K38">
            <v>292500</v>
          </cell>
          <cell r="L38">
            <v>292500</v>
          </cell>
          <cell r="M38">
            <v>311159.58</v>
          </cell>
          <cell r="N38">
            <v>311159.58</v>
          </cell>
          <cell r="O38">
            <v>311159.58</v>
          </cell>
          <cell r="P38">
            <v>362352.02</v>
          </cell>
          <cell r="Q38">
            <v>361891.02</v>
          </cell>
          <cell r="R38">
            <v>389460.25</v>
          </cell>
          <cell r="S38">
            <v>369041.39</v>
          </cell>
          <cell r="T38">
            <v>369041.39</v>
          </cell>
          <cell r="U38">
            <v>377762.51</v>
          </cell>
          <cell r="V38">
            <v>375672.77</v>
          </cell>
          <cell r="W38">
            <v>375672.77</v>
          </cell>
          <cell r="X38">
            <v>395007.07</v>
          </cell>
          <cell r="Y38">
            <v>412437.03</v>
          </cell>
          <cell r="Z38">
            <v>430509.34</v>
          </cell>
          <cell r="AA38">
            <v>443408.49</v>
          </cell>
          <cell r="AB38">
            <v>468577.97</v>
          </cell>
          <cell r="AC38">
            <v>504895.67</v>
          </cell>
          <cell r="AD38">
            <v>517917.61</v>
          </cell>
          <cell r="AE38">
            <v>538293.18999999994</v>
          </cell>
          <cell r="AF38">
            <v>543243.09</v>
          </cell>
          <cell r="AG38">
            <v>543243.09</v>
          </cell>
          <cell r="AH38">
            <v>562302.87</v>
          </cell>
          <cell r="AI38">
            <v>578537.94999999995</v>
          </cell>
          <cell r="AJ38">
            <v>625376.76</v>
          </cell>
          <cell r="AK38">
            <v>517254.59</v>
          </cell>
          <cell r="AL38">
            <v>549444.43999999994</v>
          </cell>
          <cell r="AM38">
            <v>582278.68999999994</v>
          </cell>
          <cell r="AN38">
            <v>600663.06999999995</v>
          </cell>
          <cell r="AO38">
            <v>611368.69999999995</v>
          </cell>
          <cell r="AP38">
            <v>630599.96</v>
          </cell>
          <cell r="AQ38">
            <v>630599.97</v>
          </cell>
          <cell r="AR38">
            <v>680984.68</v>
          </cell>
          <cell r="AS38">
            <v>635942.27</v>
          </cell>
          <cell r="AT38">
            <v>635942.27</v>
          </cell>
          <cell r="AU38">
            <v>650123.61</v>
          </cell>
          <cell r="AV38">
            <v>699882.05</v>
          </cell>
          <cell r="AW38">
            <v>740388.41</v>
          </cell>
          <cell r="AX38">
            <v>749491.61</v>
          </cell>
          <cell r="AY38">
            <v>721941.77</v>
          </cell>
          <cell r="AZ38">
            <v>861529.13</v>
          </cell>
          <cell r="BA38">
            <v>969092.58</v>
          </cell>
          <cell r="BB38">
            <v>920770.45</v>
          </cell>
          <cell r="BC38">
            <v>1081070.77</v>
          </cell>
          <cell r="BD38">
            <v>1322211.42</v>
          </cell>
          <cell r="BE38">
            <v>1451551.84</v>
          </cell>
          <cell r="BF38">
            <v>1245826.92</v>
          </cell>
          <cell r="BG38">
            <v>1245826.92</v>
          </cell>
          <cell r="BH38">
            <v>1289715.69</v>
          </cell>
          <cell r="BI38">
            <v>1444725.74</v>
          </cell>
          <cell r="BJ38">
            <v>1483230.69</v>
          </cell>
          <cell r="BK38">
            <v>1512964.91</v>
          </cell>
          <cell r="BL38">
            <v>1746824.47</v>
          </cell>
          <cell r="BM38">
            <v>1778539.35</v>
          </cell>
          <cell r="BN38">
            <v>2001970.66</v>
          </cell>
          <cell r="BO38">
            <v>2075959.8</v>
          </cell>
          <cell r="BP38">
            <v>3216944.71</v>
          </cell>
          <cell r="BQ38">
            <v>3341239.45</v>
          </cell>
          <cell r="BR38">
            <v>3501176.17</v>
          </cell>
          <cell r="BS38">
            <v>3523360.87</v>
          </cell>
          <cell r="BT38">
            <v>3523360.87</v>
          </cell>
          <cell r="BU38">
            <v>3743375</v>
          </cell>
          <cell r="BV38">
            <v>3854741.69</v>
          </cell>
          <cell r="BW38">
            <v>3852352.24</v>
          </cell>
          <cell r="BX38">
            <v>3864274.87</v>
          </cell>
          <cell r="BY38">
            <v>3879025.4299999997</v>
          </cell>
          <cell r="BZ38">
            <v>3893291.1799999997</v>
          </cell>
          <cell r="CA38">
            <v>3907740.62</v>
          </cell>
          <cell r="CE38" t="str">
            <v>-</v>
          </cell>
          <cell r="CG38">
            <v>0</v>
          </cell>
        </row>
        <row r="39">
          <cell r="A39" t="str">
            <v>1.3.2.2</v>
          </cell>
          <cell r="B39" t="str">
            <v>Participações Societaria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292500</v>
          </cell>
          <cell r="H39">
            <v>292500</v>
          </cell>
          <cell r="I39">
            <v>292500</v>
          </cell>
          <cell r="J39">
            <v>292500</v>
          </cell>
          <cell r="K39">
            <v>292500</v>
          </cell>
          <cell r="L39">
            <v>292500</v>
          </cell>
          <cell r="M39">
            <v>311159.58</v>
          </cell>
          <cell r="N39">
            <v>311159.58</v>
          </cell>
          <cell r="O39">
            <v>311159.58</v>
          </cell>
          <cell r="P39">
            <v>362352.02</v>
          </cell>
          <cell r="Q39">
            <v>361891.02</v>
          </cell>
          <cell r="R39">
            <v>389460.25</v>
          </cell>
          <cell r="S39">
            <v>369041.39</v>
          </cell>
          <cell r="T39">
            <v>369041.39</v>
          </cell>
          <cell r="U39">
            <v>377762.51</v>
          </cell>
          <cell r="V39">
            <v>375672.77</v>
          </cell>
          <cell r="W39">
            <v>375672.77</v>
          </cell>
          <cell r="X39">
            <v>395007.07</v>
          </cell>
          <cell r="Y39">
            <v>412437.03</v>
          </cell>
          <cell r="Z39">
            <v>430509.34</v>
          </cell>
          <cell r="AA39">
            <v>443408.49</v>
          </cell>
          <cell r="AB39">
            <v>468577.97</v>
          </cell>
          <cell r="AC39">
            <v>504895.67</v>
          </cell>
          <cell r="AD39">
            <v>517917.61</v>
          </cell>
          <cell r="AE39">
            <v>538293.18999999994</v>
          </cell>
          <cell r="AF39">
            <v>543243.09</v>
          </cell>
          <cell r="AG39">
            <v>543243.09</v>
          </cell>
          <cell r="AH39">
            <v>562302.87</v>
          </cell>
          <cell r="AI39">
            <v>578537.94999999995</v>
          </cell>
          <cell r="AJ39">
            <v>625376.76</v>
          </cell>
          <cell r="AK39">
            <v>517254.59</v>
          </cell>
          <cell r="AL39">
            <v>549444.43999999994</v>
          </cell>
          <cell r="AM39">
            <v>582278.68999999994</v>
          </cell>
          <cell r="AN39">
            <v>600663.06999999995</v>
          </cell>
          <cell r="AO39">
            <v>611368.69999999995</v>
          </cell>
          <cell r="AP39">
            <v>630599.96</v>
          </cell>
          <cell r="AQ39">
            <v>630599.97</v>
          </cell>
          <cell r="AR39">
            <v>680984.68</v>
          </cell>
          <cell r="AS39">
            <v>635942.27</v>
          </cell>
          <cell r="AT39">
            <v>635942.27</v>
          </cell>
          <cell r="AU39">
            <v>650123.61</v>
          </cell>
          <cell r="AV39">
            <v>699882.05</v>
          </cell>
          <cell r="AW39">
            <v>740388.41</v>
          </cell>
          <cell r="AX39">
            <v>749491.61</v>
          </cell>
          <cell r="AY39">
            <v>721941.77</v>
          </cell>
          <cell r="AZ39">
            <v>861529.13</v>
          </cell>
          <cell r="BA39">
            <v>969092.58</v>
          </cell>
          <cell r="BB39">
            <v>920770.45</v>
          </cell>
          <cell r="BC39">
            <v>1081070.77</v>
          </cell>
          <cell r="BD39">
            <v>1322211.42</v>
          </cell>
          <cell r="BE39">
            <v>1451551.84</v>
          </cell>
          <cell r="BF39">
            <v>1245826.92</v>
          </cell>
          <cell r="BG39">
            <v>1245826.92</v>
          </cell>
          <cell r="BH39">
            <v>1289715.69</v>
          </cell>
          <cell r="BI39">
            <v>1444725.74</v>
          </cell>
          <cell r="BJ39">
            <v>1483230.69</v>
          </cell>
          <cell r="BK39">
            <v>1512964.91</v>
          </cell>
          <cell r="BL39">
            <v>1746824.47</v>
          </cell>
          <cell r="BM39">
            <v>1778539.35</v>
          </cell>
          <cell r="BN39">
            <v>2001970.66</v>
          </cell>
          <cell r="BO39">
            <v>2075959.8</v>
          </cell>
          <cell r="BP39">
            <v>2215115.23</v>
          </cell>
          <cell r="BQ39">
            <v>2327127.58</v>
          </cell>
          <cell r="BR39">
            <v>2474631.3199999998</v>
          </cell>
          <cell r="BS39">
            <v>2482963.63</v>
          </cell>
          <cell r="BT39">
            <v>2482963.63</v>
          </cell>
          <cell r="BU39">
            <v>2688938.44</v>
          </cell>
          <cell r="BV39">
            <v>2788677.61</v>
          </cell>
          <cell r="BW39">
            <v>2771244</v>
          </cell>
          <cell r="BX39">
            <v>2771245</v>
          </cell>
          <cell r="BY39">
            <v>2771246</v>
          </cell>
          <cell r="BZ39">
            <v>2771247</v>
          </cell>
          <cell r="CA39">
            <v>2771248</v>
          </cell>
          <cell r="CE39" t="str">
            <v>-</v>
          </cell>
          <cell r="CG39">
            <v>0</v>
          </cell>
        </row>
        <row r="40">
          <cell r="A40" t="str">
            <v>1.3.2.3</v>
          </cell>
          <cell r="B40" t="str">
            <v>Aplicações Financeiras LP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1001829.48</v>
          </cell>
          <cell r="BQ40">
            <v>1014111.87</v>
          </cell>
          <cell r="BR40">
            <v>1026544.85</v>
          </cell>
          <cell r="BS40">
            <v>1040397.24</v>
          </cell>
          <cell r="BT40">
            <v>1040397.24</v>
          </cell>
          <cell r="BU40">
            <v>1054436.56</v>
          </cell>
          <cell r="BV40">
            <v>1066064.08</v>
          </cell>
          <cell r="BW40">
            <v>1081108.24</v>
          </cell>
          <cell r="BX40">
            <v>1093029.8700000001</v>
          </cell>
          <cell r="BY40">
            <v>1107779.43</v>
          </cell>
          <cell r="BZ40">
            <v>1122044.18</v>
          </cell>
          <cell r="CA40">
            <v>1136492.6200000001</v>
          </cell>
          <cell r="CE40" t="str">
            <v>-</v>
          </cell>
          <cell r="CG40">
            <v>0</v>
          </cell>
        </row>
        <row r="41">
          <cell r="A41" t="str">
            <v>1.3.3</v>
          </cell>
          <cell r="B41" t="str">
            <v>IMOBILIZADO TECNICO</v>
          </cell>
          <cell r="C41">
            <v>1195182.1700000002</v>
          </cell>
          <cell r="D41">
            <v>2823704.42</v>
          </cell>
          <cell r="E41">
            <v>2921165.83</v>
          </cell>
          <cell r="F41">
            <v>2882083.58</v>
          </cell>
          <cell r="G41">
            <v>3478596.9999999991</v>
          </cell>
          <cell r="H41">
            <v>3412226.7299999995</v>
          </cell>
          <cell r="I41">
            <v>3359106.7299999991</v>
          </cell>
          <cell r="J41">
            <v>3126336.73</v>
          </cell>
          <cell r="K41">
            <v>3095804.2100000004</v>
          </cell>
          <cell r="L41">
            <v>3064091.44</v>
          </cell>
          <cell r="M41">
            <v>3035252.78</v>
          </cell>
          <cell r="N41">
            <v>2881711.06</v>
          </cell>
          <cell r="O41">
            <v>3005627.9899999993</v>
          </cell>
          <cell r="P41">
            <v>2842877.9299999997</v>
          </cell>
          <cell r="Q41">
            <v>3358603.72</v>
          </cell>
          <cell r="R41">
            <v>3326097.7600000007</v>
          </cell>
          <cell r="S41">
            <v>3277360.01</v>
          </cell>
          <cell r="T41">
            <v>3277360.01</v>
          </cell>
          <cell r="U41">
            <v>3240193.3099999996</v>
          </cell>
          <cell r="V41">
            <v>3266345.0500000007</v>
          </cell>
          <cell r="W41">
            <v>3293086.9900000007</v>
          </cell>
          <cell r="X41">
            <v>3301624.7900000005</v>
          </cell>
          <cell r="Y41">
            <v>3299742.6700000004</v>
          </cell>
          <cell r="Z41">
            <v>3187639.32</v>
          </cell>
          <cell r="AA41">
            <v>3236385.57</v>
          </cell>
          <cell r="AB41">
            <v>3185721</v>
          </cell>
          <cell r="AC41">
            <v>3119759.7299999995</v>
          </cell>
          <cell r="AD41">
            <v>3128365.3699999996</v>
          </cell>
          <cell r="AE41">
            <v>3091026.4600000009</v>
          </cell>
          <cell r="AF41">
            <v>3258919.9900000007</v>
          </cell>
          <cell r="AG41">
            <v>3258919.9900000007</v>
          </cell>
          <cell r="AH41">
            <v>3254255.0600000005</v>
          </cell>
          <cell r="AI41">
            <v>3219668.0199999996</v>
          </cell>
          <cell r="AJ41">
            <v>3219698.8899999997</v>
          </cell>
          <cell r="AK41">
            <v>3169533.55</v>
          </cell>
          <cell r="AL41">
            <v>3514277.9999999995</v>
          </cell>
          <cell r="AM41">
            <v>3679892.0899999989</v>
          </cell>
          <cell r="AN41">
            <v>3676097.5599999996</v>
          </cell>
          <cell r="AO41">
            <v>3746634.8200000003</v>
          </cell>
          <cell r="AP41">
            <v>3830346.23</v>
          </cell>
          <cell r="AQ41">
            <v>3787317.73</v>
          </cell>
          <cell r="AR41">
            <v>3831791.8499999996</v>
          </cell>
          <cell r="AS41">
            <v>3838845.89</v>
          </cell>
          <cell r="AT41">
            <v>3838845.89</v>
          </cell>
          <cell r="AU41">
            <v>3959437.91</v>
          </cell>
          <cell r="AV41">
            <v>4219425.21</v>
          </cell>
          <cell r="AW41">
            <v>4277622.8000000007</v>
          </cell>
          <cell r="AX41">
            <v>4270132.4700000007</v>
          </cell>
          <cell r="AY41">
            <v>4398046.01</v>
          </cell>
          <cell r="AZ41">
            <v>4448636.33</v>
          </cell>
          <cell r="BA41">
            <v>4548347.2200000007</v>
          </cell>
          <cell r="BB41">
            <v>4492814.09</v>
          </cell>
          <cell r="BC41">
            <v>4503572.3100000005</v>
          </cell>
          <cell r="BD41">
            <v>4513782.01</v>
          </cell>
          <cell r="BE41">
            <v>4707766.45</v>
          </cell>
          <cell r="BF41">
            <v>5026955.57</v>
          </cell>
          <cell r="BG41">
            <v>5026955.57</v>
          </cell>
          <cell r="BH41">
            <v>4916688.51</v>
          </cell>
          <cell r="BI41">
            <v>4402364.8099999996</v>
          </cell>
          <cell r="BJ41">
            <v>4692052.4999999991</v>
          </cell>
          <cell r="BK41">
            <v>4865575.5399999991</v>
          </cell>
          <cell r="BL41">
            <v>5112945.3899999978</v>
          </cell>
          <cell r="BM41">
            <v>5085859.5699999984</v>
          </cell>
          <cell r="BN41">
            <v>5071283.9500000011</v>
          </cell>
          <cell r="BO41">
            <v>5069966.34</v>
          </cell>
          <cell r="BP41">
            <v>4916414.1000000015</v>
          </cell>
          <cell r="BQ41">
            <v>5435027.0100000007</v>
          </cell>
          <cell r="BR41">
            <v>5504357.3599999994</v>
          </cell>
          <cell r="BS41">
            <v>5474945.4299999997</v>
          </cell>
          <cell r="BT41">
            <v>5474945.4299999997</v>
          </cell>
          <cell r="BU41">
            <v>5459341.8499999996</v>
          </cell>
          <cell r="BV41">
            <v>5460340.3099999987</v>
          </cell>
          <cell r="BW41">
            <v>5414749.6200000001</v>
          </cell>
          <cell r="BX41">
            <v>5550154.9000000004</v>
          </cell>
          <cell r="BY41">
            <v>5566943.8700000001</v>
          </cell>
          <cell r="BZ41">
            <v>5610642.3799999999</v>
          </cell>
          <cell r="CA41">
            <v>5602184.8699999992</v>
          </cell>
          <cell r="CE41" t="str">
            <v>-</v>
          </cell>
          <cell r="CG41">
            <v>0</v>
          </cell>
        </row>
        <row r="42">
          <cell r="A42" t="str">
            <v>1.3.3.1.01.00003</v>
          </cell>
          <cell r="B42" t="str">
            <v>Moveis e Utensilios</v>
          </cell>
          <cell r="C42">
            <v>46932.24</v>
          </cell>
          <cell r="D42">
            <v>68069.100000000006</v>
          </cell>
          <cell r="E42">
            <v>68872.070000000007</v>
          </cell>
          <cell r="F42">
            <v>86842.01</v>
          </cell>
          <cell r="G42">
            <v>98641.919999999998</v>
          </cell>
          <cell r="H42">
            <v>98641.919999999998</v>
          </cell>
          <cell r="I42">
            <v>98641.919999999998</v>
          </cell>
          <cell r="J42">
            <v>98641.919999999998</v>
          </cell>
          <cell r="K42">
            <v>100121.92</v>
          </cell>
          <cell r="L42">
            <v>106791.92</v>
          </cell>
          <cell r="M42">
            <v>108389.92</v>
          </cell>
          <cell r="N42">
            <v>108389.92</v>
          </cell>
          <cell r="O42">
            <v>109520.8</v>
          </cell>
          <cell r="P42">
            <v>109520.8</v>
          </cell>
          <cell r="Q42">
            <v>109520.8</v>
          </cell>
          <cell r="R42">
            <v>110077.88</v>
          </cell>
          <cell r="S42">
            <v>110077.88</v>
          </cell>
          <cell r="T42">
            <v>110077.88</v>
          </cell>
          <cell r="U42">
            <v>110077.88</v>
          </cell>
          <cell r="V42">
            <v>110077.88</v>
          </cell>
          <cell r="W42">
            <v>110077.88</v>
          </cell>
          <cell r="X42">
            <v>110077.88</v>
          </cell>
          <cell r="Y42">
            <v>110390.13</v>
          </cell>
          <cell r="Z42">
            <v>110390.13</v>
          </cell>
          <cell r="AA42">
            <v>110390.13</v>
          </cell>
          <cell r="AB42">
            <v>111789.13</v>
          </cell>
          <cell r="AC42">
            <v>112566.07</v>
          </cell>
          <cell r="AD42">
            <v>112566.07</v>
          </cell>
          <cell r="AE42">
            <v>112566.07</v>
          </cell>
          <cell r="AF42">
            <v>112566.07</v>
          </cell>
          <cell r="AG42">
            <v>112566.07</v>
          </cell>
          <cell r="AH42">
            <v>112566.07</v>
          </cell>
          <cell r="AI42">
            <v>112566.07</v>
          </cell>
          <cell r="AJ42">
            <v>112566.07</v>
          </cell>
          <cell r="AK42">
            <v>112566.07</v>
          </cell>
          <cell r="AL42">
            <v>112566.07</v>
          </cell>
          <cell r="AM42">
            <v>112566.07</v>
          </cell>
          <cell r="AN42">
            <v>113888.33</v>
          </cell>
          <cell r="AO42">
            <v>116937.03</v>
          </cell>
          <cell r="AP42">
            <v>117578.25</v>
          </cell>
          <cell r="AQ42">
            <v>122251.86</v>
          </cell>
          <cell r="AR42">
            <v>124001.16</v>
          </cell>
          <cell r="AS42">
            <v>132954.82</v>
          </cell>
          <cell r="AT42">
            <v>132954.82</v>
          </cell>
          <cell r="AU42">
            <v>132954.82</v>
          </cell>
          <cell r="AV42">
            <v>134373.75</v>
          </cell>
          <cell r="AW42">
            <v>139179.01999999999</v>
          </cell>
          <cell r="AX42">
            <v>145349.72</v>
          </cell>
          <cell r="AY42">
            <v>148942.28</v>
          </cell>
          <cell r="AZ42">
            <v>153682.28</v>
          </cell>
          <cell r="BA42">
            <v>157006.43</v>
          </cell>
          <cell r="BB42">
            <v>157006.43</v>
          </cell>
          <cell r="BC42">
            <v>167660.35999999999</v>
          </cell>
          <cell r="BD42">
            <v>169316.08</v>
          </cell>
          <cell r="BE42">
            <v>172240.21</v>
          </cell>
          <cell r="BF42">
            <v>173691.51</v>
          </cell>
          <cell r="BG42">
            <v>173691.51</v>
          </cell>
          <cell r="BH42">
            <v>173691.51</v>
          </cell>
          <cell r="BI42">
            <v>171633.54</v>
          </cell>
          <cell r="BJ42">
            <v>172521.65</v>
          </cell>
          <cell r="BK42">
            <v>172521.65</v>
          </cell>
          <cell r="BL42">
            <v>172521.65</v>
          </cell>
          <cell r="BM42">
            <v>174110.63</v>
          </cell>
          <cell r="BN42">
            <v>179953.9</v>
          </cell>
          <cell r="BO42">
            <v>184912.82</v>
          </cell>
          <cell r="BP42">
            <v>190556.82</v>
          </cell>
          <cell r="BQ42">
            <v>188624.9</v>
          </cell>
          <cell r="BR42">
            <v>188624.9</v>
          </cell>
          <cell r="BS42">
            <v>188624.9</v>
          </cell>
          <cell r="BT42">
            <v>188624.9</v>
          </cell>
          <cell r="BU42">
            <v>193385.9</v>
          </cell>
          <cell r="BV42">
            <v>193972.9</v>
          </cell>
          <cell r="BW42">
            <v>195840.2</v>
          </cell>
          <cell r="BX42">
            <v>196693.74</v>
          </cell>
          <cell r="BY42">
            <v>196693.74</v>
          </cell>
          <cell r="BZ42">
            <v>202293.74</v>
          </cell>
          <cell r="CA42">
            <v>202731.55</v>
          </cell>
          <cell r="CE42" t="str">
            <v>-</v>
          </cell>
          <cell r="CG42">
            <v>0</v>
          </cell>
        </row>
        <row r="43">
          <cell r="A43" t="str">
            <v>1.3.3.1.01.00009</v>
          </cell>
          <cell r="B43" t="str">
            <v>Veiculos</v>
          </cell>
          <cell r="C43">
            <v>165809.78</v>
          </cell>
          <cell r="D43">
            <v>245423.95</v>
          </cell>
          <cell r="E43">
            <v>343106.38</v>
          </cell>
          <cell r="F43">
            <v>324809.36</v>
          </cell>
          <cell r="G43">
            <v>790541.62</v>
          </cell>
          <cell r="H43">
            <v>775541.62</v>
          </cell>
          <cell r="I43">
            <v>775541.62</v>
          </cell>
          <cell r="J43">
            <v>747231.1</v>
          </cell>
          <cell r="K43">
            <v>747231.1</v>
          </cell>
          <cell r="L43">
            <v>747231.1</v>
          </cell>
          <cell r="M43">
            <v>762564.44</v>
          </cell>
          <cell r="N43">
            <v>762564.44</v>
          </cell>
          <cell r="O43">
            <v>922564.44</v>
          </cell>
          <cell r="P43">
            <v>799681.22</v>
          </cell>
          <cell r="Q43">
            <v>799681.22</v>
          </cell>
          <cell r="R43">
            <v>799681.22</v>
          </cell>
          <cell r="S43">
            <v>799681.22</v>
          </cell>
          <cell r="T43">
            <v>799681.22</v>
          </cell>
          <cell r="U43">
            <v>799681.22</v>
          </cell>
          <cell r="V43">
            <v>783932.41</v>
          </cell>
          <cell r="W43">
            <v>856932.41</v>
          </cell>
          <cell r="X43">
            <v>856932.41</v>
          </cell>
          <cell r="Y43">
            <v>856183.27</v>
          </cell>
          <cell r="Z43">
            <v>756183.27</v>
          </cell>
          <cell r="AA43">
            <v>834209.9</v>
          </cell>
          <cell r="AB43">
            <v>834209.9</v>
          </cell>
          <cell r="AC43">
            <v>772322.86</v>
          </cell>
          <cell r="AD43">
            <v>811349.49</v>
          </cell>
          <cell r="AE43">
            <v>811349.49</v>
          </cell>
          <cell r="AF43">
            <v>811349.49</v>
          </cell>
          <cell r="AG43">
            <v>811349.49</v>
          </cell>
          <cell r="AH43">
            <v>811349.49</v>
          </cell>
          <cell r="AI43">
            <v>872764.69</v>
          </cell>
          <cell r="AJ43">
            <v>912198.52</v>
          </cell>
          <cell r="AK43">
            <v>912198.52</v>
          </cell>
          <cell r="AL43">
            <v>912198.52</v>
          </cell>
          <cell r="AM43">
            <v>912198.52</v>
          </cell>
          <cell r="AN43">
            <v>960843.52</v>
          </cell>
          <cell r="AO43">
            <v>960843.52</v>
          </cell>
          <cell r="AP43">
            <v>960843.52</v>
          </cell>
          <cell r="AQ43">
            <v>960843.52</v>
          </cell>
          <cell r="AR43">
            <v>960843.52</v>
          </cell>
          <cell r="AS43">
            <v>960843.52</v>
          </cell>
          <cell r="AT43">
            <v>960843.52</v>
          </cell>
          <cell r="AU43">
            <v>960843.52</v>
          </cell>
          <cell r="AV43">
            <v>1006076.5</v>
          </cell>
          <cell r="AW43">
            <v>1006076.5</v>
          </cell>
          <cell r="AX43">
            <v>1006076.5</v>
          </cell>
          <cell r="AY43">
            <v>1006076.5</v>
          </cell>
          <cell r="AZ43">
            <v>1006076.5</v>
          </cell>
          <cell r="BA43">
            <v>1006076.5</v>
          </cell>
          <cell r="BB43">
            <v>1006076.5</v>
          </cell>
          <cell r="BC43">
            <v>1006076.5</v>
          </cell>
          <cell r="BD43">
            <v>1006076.5</v>
          </cell>
          <cell r="BE43">
            <v>1219358.5</v>
          </cell>
          <cell r="BF43">
            <v>859358.5</v>
          </cell>
          <cell r="BG43">
            <v>859358.5</v>
          </cell>
          <cell r="BH43">
            <v>879322.5</v>
          </cell>
          <cell r="BI43">
            <v>828911.73</v>
          </cell>
          <cell r="BJ43">
            <v>828911.73</v>
          </cell>
          <cell r="BK43">
            <v>828911.73</v>
          </cell>
          <cell r="BL43">
            <v>828911.73</v>
          </cell>
          <cell r="BM43">
            <v>828911.73</v>
          </cell>
          <cell r="BN43">
            <v>828911.73</v>
          </cell>
          <cell r="BO43">
            <v>828911.73</v>
          </cell>
          <cell r="BP43">
            <v>828911.73</v>
          </cell>
          <cell r="BQ43">
            <v>828911.73</v>
          </cell>
          <cell r="BR43">
            <v>828911.73</v>
          </cell>
          <cell r="BS43">
            <v>828911.73</v>
          </cell>
          <cell r="BT43">
            <v>828911.73</v>
          </cell>
          <cell r="BU43">
            <v>828911.73</v>
          </cell>
          <cell r="BV43">
            <v>828911.73</v>
          </cell>
          <cell r="BW43">
            <v>828911.73</v>
          </cell>
          <cell r="BX43">
            <v>984091.24</v>
          </cell>
          <cell r="BY43">
            <v>984259.83</v>
          </cell>
          <cell r="BZ43">
            <v>984428.43</v>
          </cell>
          <cell r="CA43">
            <v>984597.03</v>
          </cell>
          <cell r="CE43" t="str">
            <v>-</v>
          </cell>
          <cell r="CG43">
            <v>0</v>
          </cell>
        </row>
        <row r="44">
          <cell r="A44" t="str">
            <v>1.3.3.1.01.00002</v>
          </cell>
          <cell r="B44" t="str">
            <v>Edificios</v>
          </cell>
          <cell r="H44">
            <v>0</v>
          </cell>
          <cell r="T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321376.53000000003</v>
          </cell>
          <cell r="AE44">
            <v>321376.53000000003</v>
          </cell>
          <cell r="AF44">
            <v>321376.53000000003</v>
          </cell>
          <cell r="AG44">
            <v>321376.53000000003</v>
          </cell>
          <cell r="AH44">
            <v>321376.53000000003</v>
          </cell>
          <cell r="AI44">
            <v>321376.53000000003</v>
          </cell>
          <cell r="AJ44">
            <v>321376.53000000003</v>
          </cell>
          <cell r="AK44">
            <v>321376.53000000003</v>
          </cell>
          <cell r="AL44">
            <v>321376.53000000003</v>
          </cell>
          <cell r="AM44">
            <v>321376.53000000003</v>
          </cell>
          <cell r="AN44">
            <v>321376.53000000003</v>
          </cell>
          <cell r="AO44">
            <v>321376.53000000003</v>
          </cell>
          <cell r="AP44">
            <v>321376.53000000003</v>
          </cell>
          <cell r="AQ44">
            <v>321376.53000000003</v>
          </cell>
          <cell r="AR44">
            <v>321376.53000000003</v>
          </cell>
          <cell r="AS44">
            <v>321376.53000000003</v>
          </cell>
          <cell r="AT44">
            <v>321376.53000000003</v>
          </cell>
          <cell r="AU44">
            <v>321376.53000000003</v>
          </cell>
          <cell r="AV44">
            <v>321376.53000000003</v>
          </cell>
          <cell r="AW44">
            <v>321376.53000000003</v>
          </cell>
          <cell r="AX44">
            <v>321376.53000000003</v>
          </cell>
          <cell r="AY44">
            <v>342545.37</v>
          </cell>
          <cell r="AZ44">
            <v>342545.37</v>
          </cell>
          <cell r="BA44">
            <v>342545.37</v>
          </cell>
          <cell r="BB44">
            <v>342545.37</v>
          </cell>
          <cell r="BC44">
            <v>342545.37</v>
          </cell>
          <cell r="BD44">
            <v>342545.37</v>
          </cell>
          <cell r="BE44">
            <v>342545.37</v>
          </cell>
          <cell r="BF44">
            <v>342545.37</v>
          </cell>
          <cell r="BG44">
            <v>342545.37</v>
          </cell>
          <cell r="BH44">
            <v>342545.37</v>
          </cell>
          <cell r="BI44">
            <v>342545.37</v>
          </cell>
          <cell r="BJ44">
            <v>342545.37</v>
          </cell>
          <cell r="BK44">
            <v>342545.37</v>
          </cell>
          <cell r="BL44">
            <v>342545.37</v>
          </cell>
          <cell r="BM44">
            <v>342545.37</v>
          </cell>
          <cell r="BN44">
            <v>342545.37</v>
          </cell>
          <cell r="BO44">
            <v>342545.37</v>
          </cell>
          <cell r="BP44">
            <v>342545.37</v>
          </cell>
          <cell r="BQ44">
            <v>342545.37</v>
          </cell>
          <cell r="BR44">
            <v>342545.37</v>
          </cell>
          <cell r="BS44">
            <v>342545.37</v>
          </cell>
          <cell r="BT44">
            <v>342545.37</v>
          </cell>
          <cell r="BU44">
            <v>342545.37</v>
          </cell>
          <cell r="BV44">
            <v>342545.37</v>
          </cell>
          <cell r="BW44">
            <v>342545.37</v>
          </cell>
          <cell r="BX44">
            <v>342545.37</v>
          </cell>
          <cell r="BY44">
            <v>342545.37</v>
          </cell>
          <cell r="BZ44">
            <v>342545.37</v>
          </cell>
          <cell r="CA44">
            <v>342545.37</v>
          </cell>
          <cell r="CE44" t="str">
            <v>-</v>
          </cell>
          <cell r="CG44">
            <v>0</v>
          </cell>
        </row>
        <row r="45">
          <cell r="A45" t="str">
            <v>1.3.3.5.01.00002</v>
          </cell>
          <cell r="B45" t="str">
            <v>Veiculos - Leasing Financeiro</v>
          </cell>
          <cell r="C45">
            <v>0</v>
          </cell>
          <cell r="D45">
            <v>143334.5</v>
          </cell>
          <cell r="E45">
            <v>143334.5</v>
          </cell>
          <cell r="F45">
            <v>204749.7</v>
          </cell>
          <cell r="G45">
            <v>61415.199999999997</v>
          </cell>
          <cell r="H45">
            <v>61415.199999999997</v>
          </cell>
          <cell r="I45">
            <v>61415.199999999997</v>
          </cell>
          <cell r="J45">
            <v>61415.199999999997</v>
          </cell>
          <cell r="K45">
            <v>61415.199999999997</v>
          </cell>
          <cell r="L45">
            <v>61415.199999999997</v>
          </cell>
          <cell r="M45">
            <v>61415.199999999997</v>
          </cell>
          <cell r="N45">
            <v>61415.199999999997</v>
          </cell>
          <cell r="O45">
            <v>61415.199999999997</v>
          </cell>
          <cell r="P45">
            <v>61415.199999999997</v>
          </cell>
          <cell r="Q45">
            <v>61415.199999999997</v>
          </cell>
          <cell r="R45">
            <v>61415.199999999997</v>
          </cell>
          <cell r="S45">
            <v>61415.199999999997</v>
          </cell>
          <cell r="T45">
            <v>61415.199999999997</v>
          </cell>
          <cell r="U45">
            <v>61415.199999999997</v>
          </cell>
          <cell r="V45">
            <v>61415.199999999997</v>
          </cell>
          <cell r="W45">
            <v>61415.199999999997</v>
          </cell>
          <cell r="X45">
            <v>61415.199999999997</v>
          </cell>
          <cell r="Y45">
            <v>61415.199999999997</v>
          </cell>
          <cell r="Z45">
            <v>61415.199999999997</v>
          </cell>
          <cell r="AA45">
            <v>61415.199999999997</v>
          </cell>
          <cell r="AB45">
            <v>61415.199999999997</v>
          </cell>
          <cell r="AC45">
            <v>61415.199999999997</v>
          </cell>
          <cell r="AD45">
            <v>61415.199999999997</v>
          </cell>
          <cell r="AE45">
            <v>61415.199999999997</v>
          </cell>
          <cell r="AF45">
            <v>61415.199999999997</v>
          </cell>
          <cell r="AG45">
            <v>61415.199999999997</v>
          </cell>
          <cell r="AH45">
            <v>61415.199999999997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E45" t="str">
            <v>-</v>
          </cell>
          <cell r="CG45">
            <v>0</v>
          </cell>
        </row>
        <row r="46">
          <cell r="A46" t="str">
            <v>1.3.3.1.01.00005</v>
          </cell>
          <cell r="B46" t="str">
            <v>Equipamentos de Informatica</v>
          </cell>
          <cell r="C46">
            <v>19889.04</v>
          </cell>
          <cell r="D46">
            <v>41321.78</v>
          </cell>
          <cell r="E46">
            <v>51236.93</v>
          </cell>
          <cell r="F46">
            <v>65675.61</v>
          </cell>
          <cell r="G46">
            <v>77850.679999999993</v>
          </cell>
          <cell r="H46">
            <v>77850.679999999993</v>
          </cell>
          <cell r="I46">
            <v>77850.679999999993</v>
          </cell>
          <cell r="J46">
            <v>77850.679999999993</v>
          </cell>
          <cell r="K46">
            <v>78974.259999999995</v>
          </cell>
          <cell r="L46">
            <v>82614.14</v>
          </cell>
          <cell r="M46">
            <v>82614.14</v>
          </cell>
          <cell r="N46">
            <v>83571.73</v>
          </cell>
          <cell r="O46">
            <v>84640.2</v>
          </cell>
          <cell r="P46">
            <v>84640.2</v>
          </cell>
          <cell r="Q46">
            <v>87347.47</v>
          </cell>
          <cell r="R46">
            <v>87347.47</v>
          </cell>
          <cell r="S46">
            <v>89774.87</v>
          </cell>
          <cell r="T46">
            <v>89774.87</v>
          </cell>
          <cell r="U46">
            <v>89774.87</v>
          </cell>
          <cell r="V46">
            <v>91646.42</v>
          </cell>
          <cell r="W46">
            <v>93767.59</v>
          </cell>
          <cell r="X46">
            <v>93767.59</v>
          </cell>
          <cell r="Y46">
            <v>101117.02</v>
          </cell>
          <cell r="Z46">
            <v>101667.74</v>
          </cell>
          <cell r="AA46">
            <v>101667.74</v>
          </cell>
          <cell r="AB46">
            <v>101667.74</v>
          </cell>
          <cell r="AC46">
            <v>103407.96</v>
          </cell>
          <cell r="AD46">
            <v>104713.53</v>
          </cell>
          <cell r="AE46">
            <v>109311.55</v>
          </cell>
          <cell r="AF46">
            <v>109311.55</v>
          </cell>
          <cell r="AG46">
            <v>109311.55</v>
          </cell>
          <cell r="AH46">
            <v>112193.1</v>
          </cell>
          <cell r="AI46">
            <v>114621.59</v>
          </cell>
          <cell r="AJ46">
            <v>116208.04</v>
          </cell>
          <cell r="AK46">
            <v>116208.04</v>
          </cell>
          <cell r="AL46">
            <v>116493.02</v>
          </cell>
          <cell r="AM46">
            <v>116493.02</v>
          </cell>
          <cell r="AN46">
            <v>130558.42</v>
          </cell>
          <cell r="AO46">
            <v>137772.24</v>
          </cell>
          <cell r="AP46">
            <v>137772.24</v>
          </cell>
          <cell r="AQ46">
            <v>137772.24</v>
          </cell>
          <cell r="AR46">
            <v>171506.32</v>
          </cell>
          <cell r="AS46">
            <v>175975.42</v>
          </cell>
          <cell r="AT46">
            <v>175975.42</v>
          </cell>
          <cell r="AU46">
            <v>175975.42</v>
          </cell>
          <cell r="AV46">
            <v>183226.51</v>
          </cell>
          <cell r="AW46">
            <v>183226.51</v>
          </cell>
          <cell r="AX46">
            <v>193766.65</v>
          </cell>
          <cell r="AY46">
            <v>226882.59</v>
          </cell>
          <cell r="AZ46">
            <v>231084.36</v>
          </cell>
          <cell r="BA46">
            <v>257105.62</v>
          </cell>
          <cell r="BB46">
            <v>257105.62</v>
          </cell>
          <cell r="BC46">
            <v>257105.62</v>
          </cell>
          <cell r="BD46">
            <v>261693.96</v>
          </cell>
          <cell r="BE46">
            <v>264583.96000000002</v>
          </cell>
          <cell r="BF46">
            <v>276177.28000000003</v>
          </cell>
          <cell r="BG46">
            <v>276177.28000000003</v>
          </cell>
          <cell r="BH46">
            <v>291022.12</v>
          </cell>
          <cell r="BI46">
            <v>300501.67</v>
          </cell>
          <cell r="BJ46">
            <v>309368.67</v>
          </cell>
          <cell r="BK46">
            <v>320816.65000000002</v>
          </cell>
          <cell r="BL46">
            <v>327012.13</v>
          </cell>
          <cell r="BM46">
            <v>334724.40000000002</v>
          </cell>
          <cell r="BN46">
            <v>350785.03</v>
          </cell>
          <cell r="BO46">
            <v>369954.24</v>
          </cell>
          <cell r="BP46">
            <v>374507.14</v>
          </cell>
          <cell r="BQ46">
            <v>377927.62</v>
          </cell>
          <cell r="BR46">
            <v>377927.62</v>
          </cell>
          <cell r="BS46">
            <v>382923.75</v>
          </cell>
          <cell r="BT46">
            <v>382923.75</v>
          </cell>
          <cell r="BU46">
            <v>391230.25</v>
          </cell>
          <cell r="BV46">
            <v>394868.36</v>
          </cell>
          <cell r="BW46">
            <v>394868.36</v>
          </cell>
          <cell r="BX46">
            <v>394868.36</v>
          </cell>
          <cell r="BY46">
            <v>397716.84</v>
          </cell>
          <cell r="BZ46">
            <v>398766.84</v>
          </cell>
          <cell r="CA46">
            <v>398766.84</v>
          </cell>
          <cell r="CE46" t="str">
            <v>-</v>
          </cell>
          <cell r="CG46">
            <v>0</v>
          </cell>
        </row>
        <row r="47">
          <cell r="A47" t="str">
            <v>1.3.3.1.01.00006</v>
          </cell>
          <cell r="B47" t="str">
            <v>Maquinas e Equipamentos - Produção</v>
          </cell>
          <cell r="C47">
            <v>1076554.32</v>
          </cell>
          <cell r="D47">
            <v>2454719.58</v>
          </cell>
          <cell r="E47">
            <v>2531453.9</v>
          </cell>
          <cell r="F47">
            <v>2733939.18</v>
          </cell>
          <cell r="G47">
            <v>3125511.1</v>
          </cell>
          <cell r="H47">
            <v>3125511.1</v>
          </cell>
          <cell r="I47">
            <v>3630511.1</v>
          </cell>
          <cell r="J47">
            <v>2735511.1</v>
          </cell>
          <cell r="K47">
            <v>2735511.1</v>
          </cell>
          <cell r="L47">
            <v>2743011.1</v>
          </cell>
          <cell r="M47">
            <v>2748011.1</v>
          </cell>
          <cell r="N47">
            <v>2538601.79</v>
          </cell>
          <cell r="O47">
            <v>2548381.79</v>
          </cell>
          <cell r="P47">
            <v>581381.79</v>
          </cell>
          <cell r="Q47">
            <v>595141.79</v>
          </cell>
          <cell r="R47">
            <v>610341.79</v>
          </cell>
          <cell r="S47">
            <v>610341.79</v>
          </cell>
          <cell r="T47">
            <v>610341.79</v>
          </cell>
          <cell r="U47">
            <v>610341.79</v>
          </cell>
          <cell r="V47">
            <v>642991.79</v>
          </cell>
          <cell r="W47">
            <v>642991.79</v>
          </cell>
          <cell r="X47">
            <v>642991.79</v>
          </cell>
          <cell r="Y47">
            <v>648991.79</v>
          </cell>
          <cell r="Z47">
            <v>648991.79</v>
          </cell>
          <cell r="AA47">
            <v>669231.79</v>
          </cell>
          <cell r="AB47">
            <v>669231.79</v>
          </cell>
          <cell r="AC47">
            <v>674231.79</v>
          </cell>
          <cell r="AD47">
            <v>744609.79</v>
          </cell>
          <cell r="AE47">
            <v>744609.79</v>
          </cell>
          <cell r="AF47">
            <v>933209.79</v>
          </cell>
          <cell r="AG47">
            <v>933209.79</v>
          </cell>
          <cell r="AH47">
            <v>933209.79</v>
          </cell>
          <cell r="AI47">
            <v>933209.79</v>
          </cell>
          <cell r="AJ47">
            <v>933209.79</v>
          </cell>
          <cell r="AK47">
            <v>933209.79</v>
          </cell>
          <cell r="AL47">
            <v>1337455.3599999999</v>
          </cell>
          <cell r="AM47">
            <v>1360955.36</v>
          </cell>
          <cell r="AN47">
            <v>1360955.36</v>
          </cell>
          <cell r="AO47">
            <v>1460955.36</v>
          </cell>
          <cell r="AP47">
            <v>1460955.36</v>
          </cell>
          <cell r="AQ47">
            <v>1460955.36</v>
          </cell>
          <cell r="AR47">
            <v>1577418.03</v>
          </cell>
          <cell r="AS47">
            <v>1577418.03</v>
          </cell>
          <cell r="AT47">
            <v>1577418.03</v>
          </cell>
          <cell r="AU47">
            <v>1748225.93</v>
          </cell>
          <cell r="AV47">
            <v>1842153.87</v>
          </cell>
          <cell r="AW47">
            <v>1884983.87</v>
          </cell>
          <cell r="AX47">
            <v>1884983.87</v>
          </cell>
          <cell r="AY47">
            <v>1938150.56</v>
          </cell>
          <cell r="AZ47">
            <v>1961784.94</v>
          </cell>
          <cell r="BA47">
            <v>2023219.94</v>
          </cell>
          <cell r="BB47">
            <v>2165787.34</v>
          </cell>
          <cell r="BC47">
            <v>2188255.84</v>
          </cell>
          <cell r="BD47">
            <v>2195015.84</v>
          </cell>
          <cell r="BE47">
            <v>2197975.84</v>
          </cell>
          <cell r="BF47">
            <v>2243953.88</v>
          </cell>
          <cell r="BG47">
            <v>2243953.88</v>
          </cell>
          <cell r="BH47">
            <v>4399842.43</v>
          </cell>
          <cell r="BI47">
            <v>3120706.72</v>
          </cell>
          <cell r="BJ47">
            <v>3165969.85</v>
          </cell>
          <cell r="BK47">
            <v>3205199.47</v>
          </cell>
          <cell r="BL47">
            <v>3344478.64</v>
          </cell>
          <cell r="BM47">
            <v>3344478.64</v>
          </cell>
          <cell r="BN47">
            <v>3344478.64</v>
          </cell>
          <cell r="BO47">
            <v>3344478.64</v>
          </cell>
          <cell r="BP47">
            <v>3159756.74</v>
          </cell>
          <cell r="BQ47">
            <v>3710659.16</v>
          </cell>
          <cell r="BR47">
            <v>3814078.59</v>
          </cell>
          <cell r="BS47">
            <v>3814078.59</v>
          </cell>
          <cell r="BT47">
            <v>3814078.59</v>
          </cell>
          <cell r="BU47">
            <v>3821828.64</v>
          </cell>
          <cell r="BV47">
            <v>3852683.64</v>
          </cell>
          <cell r="BW47">
            <v>3852683.64</v>
          </cell>
          <cell r="BX47">
            <v>3852757.91</v>
          </cell>
          <cell r="BY47">
            <v>3852832.17</v>
          </cell>
          <cell r="BZ47">
            <v>3884963.27</v>
          </cell>
          <cell r="CA47">
            <v>3899792.26</v>
          </cell>
          <cell r="CE47" t="str">
            <v>-</v>
          </cell>
          <cell r="CG47">
            <v>0</v>
          </cell>
        </row>
        <row r="48">
          <cell r="A48" t="str">
            <v>1.SEM CONTA</v>
          </cell>
          <cell r="B48" t="str">
            <v>Máquinas e Equipamentos - Prestação de Serviço</v>
          </cell>
          <cell r="G48">
            <v>0</v>
          </cell>
          <cell r="H48">
            <v>0</v>
          </cell>
          <cell r="M48">
            <v>0</v>
          </cell>
          <cell r="N48">
            <v>0</v>
          </cell>
          <cell r="O48">
            <v>0</v>
          </cell>
          <cell r="P48">
            <v>1967000</v>
          </cell>
          <cell r="Q48">
            <v>2472000</v>
          </cell>
          <cell r="R48">
            <v>2472000</v>
          </cell>
          <cell r="S48">
            <v>2472000</v>
          </cell>
          <cell r="T48">
            <v>2472000</v>
          </cell>
          <cell r="U48">
            <v>2472000</v>
          </cell>
          <cell r="V48">
            <v>2472000</v>
          </cell>
          <cell r="W48">
            <v>2472000</v>
          </cell>
          <cell r="X48">
            <v>2472000</v>
          </cell>
          <cell r="Y48">
            <v>2472000</v>
          </cell>
          <cell r="Z48">
            <v>2472000</v>
          </cell>
          <cell r="AA48">
            <v>2472000</v>
          </cell>
          <cell r="AB48">
            <v>2472000</v>
          </cell>
          <cell r="AC48">
            <v>2472000</v>
          </cell>
          <cell r="AD48">
            <v>2295500</v>
          </cell>
          <cell r="AE48">
            <v>2295500</v>
          </cell>
          <cell r="AF48">
            <v>2315500</v>
          </cell>
          <cell r="AG48">
            <v>2315500</v>
          </cell>
          <cell r="AH48">
            <v>2315500</v>
          </cell>
          <cell r="AI48">
            <v>2315500</v>
          </cell>
          <cell r="AJ48">
            <v>2315500</v>
          </cell>
          <cell r="AK48">
            <v>2315500</v>
          </cell>
          <cell r="AL48">
            <v>2315500</v>
          </cell>
          <cell r="AM48">
            <v>2514768.44</v>
          </cell>
          <cell r="AN48">
            <v>2514768.44</v>
          </cell>
          <cell r="AO48">
            <v>2514768.44</v>
          </cell>
          <cell r="AP48">
            <v>3169768.44</v>
          </cell>
          <cell r="AQ48">
            <v>3169768.44</v>
          </cell>
          <cell r="AR48">
            <v>3108025.77</v>
          </cell>
          <cell r="AS48">
            <v>3108025.77</v>
          </cell>
          <cell r="AT48">
            <v>3108025.77</v>
          </cell>
          <cell r="AU48">
            <v>3108025.77</v>
          </cell>
          <cell r="AV48">
            <v>3219969.3</v>
          </cell>
          <cell r="AW48">
            <v>3219969.3</v>
          </cell>
          <cell r="AX48">
            <v>3180931.87</v>
          </cell>
          <cell r="AY48">
            <v>3180931.87</v>
          </cell>
          <cell r="AZ48">
            <v>3180931.87</v>
          </cell>
          <cell r="BA48">
            <v>3180931.87</v>
          </cell>
          <cell r="BB48">
            <v>2643053.87</v>
          </cell>
          <cell r="BC48">
            <v>2643053.87</v>
          </cell>
          <cell r="BD48">
            <v>2638053.87</v>
          </cell>
          <cell r="BE48">
            <v>2633053.87</v>
          </cell>
          <cell r="BF48">
            <v>2526093.46</v>
          </cell>
          <cell r="BG48">
            <v>2526093.46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E48" t="str">
            <v>-</v>
          </cell>
          <cell r="CG48">
            <v>0</v>
          </cell>
        </row>
        <row r="49">
          <cell r="A49" t="str">
            <v>1.SEM CONTA</v>
          </cell>
          <cell r="B49" t="str">
            <v>Máquinas e Equipamentos - Leasing Financeiro - Serviço</v>
          </cell>
          <cell r="C49">
            <v>0</v>
          </cell>
          <cell r="D49">
            <v>222077.17</v>
          </cell>
          <cell r="E49">
            <v>505000</v>
          </cell>
          <cell r="F49">
            <v>505000</v>
          </cell>
          <cell r="G49">
            <v>505000</v>
          </cell>
          <cell r="H49">
            <v>505000</v>
          </cell>
          <cell r="J49">
            <v>505000</v>
          </cell>
          <cell r="K49">
            <v>505000</v>
          </cell>
          <cell r="L49">
            <v>505000</v>
          </cell>
          <cell r="M49">
            <v>505000</v>
          </cell>
          <cell r="N49">
            <v>505000</v>
          </cell>
          <cell r="O49">
            <v>505000</v>
          </cell>
          <cell r="P49">
            <v>505000</v>
          </cell>
          <cell r="Q49">
            <v>505000</v>
          </cell>
          <cell r="R49">
            <v>505000</v>
          </cell>
          <cell r="S49">
            <v>505000</v>
          </cell>
          <cell r="T49">
            <v>505000</v>
          </cell>
          <cell r="U49">
            <v>505000</v>
          </cell>
          <cell r="V49">
            <v>505000</v>
          </cell>
          <cell r="W49">
            <v>505000</v>
          </cell>
          <cell r="X49">
            <v>505000</v>
          </cell>
          <cell r="Y49">
            <v>505000</v>
          </cell>
          <cell r="Z49">
            <v>505000</v>
          </cell>
          <cell r="AA49">
            <v>505000</v>
          </cell>
          <cell r="AB49">
            <v>505000</v>
          </cell>
          <cell r="AC49">
            <v>505000</v>
          </cell>
          <cell r="AD49">
            <v>505000</v>
          </cell>
          <cell r="AE49">
            <v>505000</v>
          </cell>
          <cell r="AF49">
            <v>505000</v>
          </cell>
          <cell r="AG49">
            <v>505000</v>
          </cell>
          <cell r="AH49">
            <v>505000</v>
          </cell>
          <cell r="AI49">
            <v>505000</v>
          </cell>
          <cell r="AJ49">
            <v>505000</v>
          </cell>
          <cell r="AK49">
            <v>505000</v>
          </cell>
          <cell r="AL49">
            <v>505000</v>
          </cell>
          <cell r="AM49">
            <v>505000</v>
          </cell>
          <cell r="AN49">
            <v>505000</v>
          </cell>
          <cell r="AO49">
            <v>505000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E49" t="str">
            <v>-</v>
          </cell>
          <cell r="CG49">
            <v>0</v>
          </cell>
        </row>
        <row r="50">
          <cell r="A50" t="str">
            <v>1.3.3.1.01.00007</v>
          </cell>
          <cell r="B50" t="str">
            <v>Instalacoes</v>
          </cell>
          <cell r="C50">
            <v>2398</v>
          </cell>
          <cell r="D50">
            <v>2398</v>
          </cell>
          <cell r="E50">
            <v>2398</v>
          </cell>
          <cell r="F50">
            <v>3967.71</v>
          </cell>
          <cell r="G50">
            <v>148211.51999999999</v>
          </cell>
          <cell r="H50">
            <v>149961.25</v>
          </cell>
          <cell r="I50">
            <v>149961.25</v>
          </cell>
          <cell r="J50">
            <v>149961.25</v>
          </cell>
          <cell r="K50">
            <v>149961.25</v>
          </cell>
          <cell r="L50">
            <v>149961.25</v>
          </cell>
          <cell r="M50">
            <v>149961.25</v>
          </cell>
          <cell r="N50">
            <v>149961.25</v>
          </cell>
          <cell r="O50">
            <v>149961.25</v>
          </cell>
          <cell r="P50">
            <v>149961.25</v>
          </cell>
          <cell r="Q50">
            <v>166526.75</v>
          </cell>
          <cell r="R50">
            <v>166526.75</v>
          </cell>
          <cell r="S50">
            <v>166526.75</v>
          </cell>
          <cell r="T50">
            <v>166526.75</v>
          </cell>
          <cell r="U50">
            <v>181526.75</v>
          </cell>
          <cell r="V50">
            <v>181526.75</v>
          </cell>
          <cell r="W50">
            <v>181526.75</v>
          </cell>
          <cell r="X50">
            <v>178848.53</v>
          </cell>
          <cell r="Y50">
            <v>179928.57</v>
          </cell>
          <cell r="Z50">
            <v>181148.59</v>
          </cell>
          <cell r="AA50">
            <v>181148.59</v>
          </cell>
          <cell r="AB50">
            <v>181148.59</v>
          </cell>
          <cell r="AC50">
            <v>181148.59</v>
          </cell>
          <cell r="AD50">
            <v>333453.23</v>
          </cell>
          <cell r="AE50">
            <v>348765.15</v>
          </cell>
          <cell r="AF50">
            <v>365990.40000000002</v>
          </cell>
          <cell r="AG50">
            <v>365990.40000000002</v>
          </cell>
          <cell r="AH50">
            <v>418237.49</v>
          </cell>
          <cell r="AI50">
            <v>428090.5</v>
          </cell>
          <cell r="AJ50">
            <v>446389.89</v>
          </cell>
          <cell r="AK50">
            <v>457311.59</v>
          </cell>
          <cell r="AL50">
            <v>458975.79</v>
          </cell>
          <cell r="AM50">
            <v>459543.33</v>
          </cell>
          <cell r="AN50">
            <v>459763.33</v>
          </cell>
          <cell r="AO50">
            <v>486931.42</v>
          </cell>
          <cell r="AP50">
            <v>491167.95</v>
          </cell>
          <cell r="AQ50">
            <v>515486.8</v>
          </cell>
          <cell r="AR50">
            <v>538769.17000000004</v>
          </cell>
          <cell r="AS50">
            <v>608133.56999999995</v>
          </cell>
          <cell r="AT50">
            <v>608133.56999999995</v>
          </cell>
          <cell r="AU50">
            <v>618448.65</v>
          </cell>
          <cell r="AV50">
            <v>681742.68</v>
          </cell>
          <cell r="AW50">
            <v>751856.52</v>
          </cell>
          <cell r="AX50">
            <v>802046.52</v>
          </cell>
          <cell r="AY50">
            <v>884279.42</v>
          </cell>
          <cell r="AZ50">
            <v>949997.38</v>
          </cell>
          <cell r="BA50">
            <v>1017768.33</v>
          </cell>
          <cell r="BB50">
            <v>1051386.1399999999</v>
          </cell>
          <cell r="BC50">
            <v>1075354.92</v>
          </cell>
          <cell r="BD50">
            <v>1130200.8400000001</v>
          </cell>
          <cell r="BE50">
            <v>1168285.23</v>
          </cell>
          <cell r="BF50">
            <v>1244740.6399999999</v>
          </cell>
          <cell r="BG50">
            <v>1244740.6399999999</v>
          </cell>
          <cell r="BH50">
            <v>1250737.6399999999</v>
          </cell>
          <cell r="BI50">
            <v>1124402.72</v>
          </cell>
          <cell r="BJ50">
            <v>1230843.69</v>
          </cell>
          <cell r="BK50">
            <v>1398436.65</v>
          </cell>
          <cell r="BL50">
            <v>1544979.43</v>
          </cell>
          <cell r="BM50">
            <v>1569042.33</v>
          </cell>
          <cell r="BN50">
            <v>1576068.81</v>
          </cell>
          <cell r="BO50">
            <v>1578903.26</v>
          </cell>
          <cell r="BP50">
            <v>1585237.06</v>
          </cell>
          <cell r="BQ50">
            <v>1597336.69</v>
          </cell>
          <cell r="BR50">
            <v>1613686.5</v>
          </cell>
          <cell r="BS50">
            <v>1621196.5</v>
          </cell>
          <cell r="BT50">
            <v>1621196.5</v>
          </cell>
          <cell r="BU50">
            <v>1627125.24</v>
          </cell>
          <cell r="BV50">
            <v>1633599.14</v>
          </cell>
          <cell r="BW50">
            <v>1639999.57</v>
          </cell>
          <cell r="BX50">
            <v>1676182.66</v>
          </cell>
          <cell r="BY50">
            <v>1724282.24</v>
          </cell>
          <cell r="BZ50">
            <v>1791241.39</v>
          </cell>
          <cell r="CA50">
            <v>1824194.14</v>
          </cell>
          <cell r="CE50" t="str">
            <v>-</v>
          </cell>
          <cell r="CG50">
            <v>0</v>
          </cell>
        </row>
        <row r="51">
          <cell r="A51" t="str">
            <v>1.3.3.1.01.00008</v>
          </cell>
          <cell r="B51" t="str">
            <v>Ferramentas / Moldes</v>
          </cell>
          <cell r="C51">
            <v>4594.5</v>
          </cell>
          <cell r="D51">
            <v>4594.5</v>
          </cell>
          <cell r="E51">
            <v>4594.5</v>
          </cell>
          <cell r="F51">
            <v>13902.88</v>
          </cell>
          <cell r="G51">
            <v>41810.629999999997</v>
          </cell>
          <cell r="H51">
            <v>41810.629999999997</v>
          </cell>
          <cell r="I51">
            <v>41810.629999999997</v>
          </cell>
          <cell r="J51">
            <v>41810.629999999997</v>
          </cell>
          <cell r="K51">
            <v>59444.53</v>
          </cell>
          <cell r="L51">
            <v>60691.88</v>
          </cell>
          <cell r="M51">
            <v>60691.88</v>
          </cell>
          <cell r="N51">
            <v>64317.02</v>
          </cell>
          <cell r="O51">
            <v>64317.02</v>
          </cell>
          <cell r="P51">
            <v>70100.06</v>
          </cell>
          <cell r="Q51">
            <v>70980.06</v>
          </cell>
          <cell r="R51">
            <v>70980.06</v>
          </cell>
          <cell r="S51">
            <v>70980.06</v>
          </cell>
          <cell r="T51">
            <v>70980.06</v>
          </cell>
          <cell r="U51">
            <v>70980.06</v>
          </cell>
          <cell r="V51">
            <v>72586.61</v>
          </cell>
          <cell r="W51">
            <v>72586.61</v>
          </cell>
          <cell r="X51">
            <v>89269.57</v>
          </cell>
          <cell r="Y51">
            <v>90414.37</v>
          </cell>
          <cell r="Z51">
            <v>97498.67</v>
          </cell>
          <cell r="AA51">
            <v>99973.98</v>
          </cell>
          <cell r="AB51">
            <v>101010.89</v>
          </cell>
          <cell r="AC51">
            <v>101010.89</v>
          </cell>
          <cell r="AD51">
            <v>101010.89</v>
          </cell>
          <cell r="AE51">
            <v>101524.36</v>
          </cell>
          <cell r="AF51">
            <v>101524.36</v>
          </cell>
          <cell r="AG51">
            <v>101524.36</v>
          </cell>
          <cell r="AH51">
            <v>101524.36</v>
          </cell>
          <cell r="AI51">
            <v>114932.81</v>
          </cell>
          <cell r="AJ51">
            <v>116155.31</v>
          </cell>
          <cell r="AK51">
            <v>116425.31</v>
          </cell>
          <cell r="AL51">
            <v>116425.31</v>
          </cell>
          <cell r="AM51">
            <v>124625.31</v>
          </cell>
          <cell r="AN51">
            <v>124625.31</v>
          </cell>
          <cell r="AO51">
            <v>126837.17</v>
          </cell>
          <cell r="AP51">
            <v>126837.17</v>
          </cell>
          <cell r="AQ51">
            <v>128546.72</v>
          </cell>
          <cell r="AR51">
            <v>129863.72</v>
          </cell>
          <cell r="AS51">
            <v>129863.72</v>
          </cell>
          <cell r="AT51">
            <v>129863.72</v>
          </cell>
          <cell r="AU51">
            <v>145726.76999999999</v>
          </cell>
          <cell r="AV51">
            <v>160720.79</v>
          </cell>
          <cell r="AW51">
            <v>165221.07999999999</v>
          </cell>
          <cell r="AX51">
            <v>178559.63</v>
          </cell>
          <cell r="AY51">
            <v>178559.63</v>
          </cell>
          <cell r="AZ51">
            <v>192507.13</v>
          </cell>
          <cell r="BA51">
            <v>194153.23</v>
          </cell>
          <cell r="BB51">
            <v>194153.23</v>
          </cell>
          <cell r="BC51">
            <v>211958.91</v>
          </cell>
          <cell r="BD51">
            <v>226699.8</v>
          </cell>
          <cell r="BE51">
            <v>232693.04</v>
          </cell>
          <cell r="BF51">
            <v>232693.04</v>
          </cell>
          <cell r="BG51">
            <v>232693.04</v>
          </cell>
          <cell r="BH51">
            <v>233600.04</v>
          </cell>
          <cell r="BI51">
            <v>233965.14</v>
          </cell>
          <cell r="BJ51">
            <v>234420.14</v>
          </cell>
          <cell r="BK51">
            <v>237250.14</v>
          </cell>
          <cell r="BL51">
            <v>250436.77</v>
          </cell>
          <cell r="BM51">
            <v>250436.77</v>
          </cell>
          <cell r="BN51">
            <v>263205.78999999998</v>
          </cell>
          <cell r="BO51">
            <v>290531.07</v>
          </cell>
          <cell r="BP51">
            <v>319490.32</v>
          </cell>
          <cell r="BQ51">
            <v>333865.65000000002</v>
          </cell>
          <cell r="BR51">
            <v>345330.06</v>
          </cell>
          <cell r="BS51">
            <v>369351.77</v>
          </cell>
          <cell r="BT51">
            <v>369351.77</v>
          </cell>
          <cell r="BU51">
            <v>377401.81</v>
          </cell>
          <cell r="BV51">
            <v>382315.41</v>
          </cell>
          <cell r="BW51">
            <v>409071.13</v>
          </cell>
          <cell r="BX51">
            <v>409881.13</v>
          </cell>
          <cell r="BY51">
            <v>445682.01</v>
          </cell>
          <cell r="BZ51">
            <v>450848.74</v>
          </cell>
          <cell r="CA51">
            <v>457529.06</v>
          </cell>
          <cell r="CE51" t="str">
            <v>-</v>
          </cell>
          <cell r="CG51">
            <v>0</v>
          </cell>
        </row>
        <row r="52">
          <cell r="A52" t="str">
            <v>1.3.3.1.01.00010</v>
          </cell>
          <cell r="B52" t="str">
            <v>Aparelhos de Telefonia</v>
          </cell>
          <cell r="C52">
            <v>3536.84</v>
          </cell>
          <cell r="D52">
            <v>4635.84</v>
          </cell>
          <cell r="E52">
            <v>4635.84</v>
          </cell>
          <cell r="F52">
            <v>3970</v>
          </cell>
          <cell r="G52">
            <v>7414.28</v>
          </cell>
          <cell r="H52">
            <v>7414.28</v>
          </cell>
          <cell r="I52">
            <v>7414.28</v>
          </cell>
          <cell r="J52">
            <v>7414.28</v>
          </cell>
          <cell r="K52">
            <v>7414.28</v>
          </cell>
          <cell r="L52">
            <v>7414.28</v>
          </cell>
          <cell r="M52">
            <v>7414.28</v>
          </cell>
          <cell r="N52">
            <v>7414.28</v>
          </cell>
          <cell r="O52">
            <v>7414.28</v>
          </cell>
          <cell r="P52">
            <v>7414.28</v>
          </cell>
          <cell r="Q52">
            <v>7414.28</v>
          </cell>
          <cell r="R52">
            <v>7414.28</v>
          </cell>
          <cell r="S52">
            <v>7414.28</v>
          </cell>
          <cell r="T52">
            <v>7414.28</v>
          </cell>
          <cell r="U52">
            <v>7414.28</v>
          </cell>
          <cell r="V52">
            <v>7934.28</v>
          </cell>
          <cell r="W52">
            <v>8196.1200000000008</v>
          </cell>
          <cell r="X52">
            <v>8196.1200000000008</v>
          </cell>
          <cell r="Y52">
            <v>8196.1200000000008</v>
          </cell>
          <cell r="Z52">
            <v>8196.1200000000008</v>
          </cell>
          <cell r="AA52">
            <v>8196.1200000000008</v>
          </cell>
          <cell r="AB52">
            <v>8196.1200000000008</v>
          </cell>
          <cell r="AC52">
            <v>8196.1200000000008</v>
          </cell>
          <cell r="AD52">
            <v>8196.1200000000008</v>
          </cell>
          <cell r="AE52">
            <v>8196.1200000000008</v>
          </cell>
          <cell r="AF52">
            <v>8196.1200000000008</v>
          </cell>
          <cell r="AG52">
            <v>8196.1200000000008</v>
          </cell>
          <cell r="AH52">
            <v>8196.1200000000008</v>
          </cell>
          <cell r="AI52">
            <v>8196.1200000000008</v>
          </cell>
          <cell r="AJ52">
            <v>8196.1200000000008</v>
          </cell>
          <cell r="AK52">
            <v>8196.1200000000008</v>
          </cell>
          <cell r="AL52">
            <v>8196.1200000000008</v>
          </cell>
          <cell r="AM52">
            <v>8196.1200000000008</v>
          </cell>
          <cell r="AN52">
            <v>8196.1200000000008</v>
          </cell>
          <cell r="AO52">
            <v>8196.1200000000008</v>
          </cell>
          <cell r="AP52">
            <v>8196.1200000000008</v>
          </cell>
          <cell r="AQ52">
            <v>8196.1200000000008</v>
          </cell>
          <cell r="AR52">
            <v>8196.1200000000008</v>
          </cell>
          <cell r="AS52">
            <v>8196.1200000000008</v>
          </cell>
          <cell r="AT52">
            <v>8196.1200000000008</v>
          </cell>
          <cell r="AU52">
            <v>8196.1200000000008</v>
          </cell>
          <cell r="AV52">
            <v>8196.1200000000008</v>
          </cell>
          <cell r="AW52">
            <v>8196.1200000000008</v>
          </cell>
          <cell r="AX52">
            <v>8196.1200000000008</v>
          </cell>
          <cell r="AY52">
            <v>8530.02</v>
          </cell>
          <cell r="AZ52">
            <v>8530.02</v>
          </cell>
          <cell r="BA52">
            <v>9115.6</v>
          </cell>
          <cell r="BB52">
            <v>9115.6</v>
          </cell>
          <cell r="BC52">
            <v>9115.6</v>
          </cell>
          <cell r="BD52">
            <v>9115.6</v>
          </cell>
          <cell r="BE52">
            <v>9115.6</v>
          </cell>
          <cell r="BF52">
            <v>9115.6</v>
          </cell>
          <cell r="BG52">
            <v>9115.6</v>
          </cell>
          <cell r="BH52">
            <v>9115.6</v>
          </cell>
          <cell r="BI52">
            <v>9115.6</v>
          </cell>
          <cell r="BJ52">
            <v>9115.6</v>
          </cell>
          <cell r="BK52">
            <v>9115.6</v>
          </cell>
          <cell r="BL52">
            <v>9115.6</v>
          </cell>
          <cell r="BM52">
            <v>9115.6</v>
          </cell>
          <cell r="BN52">
            <v>9115.6</v>
          </cell>
          <cell r="BO52">
            <v>9115.6</v>
          </cell>
          <cell r="BP52">
            <v>9115.6</v>
          </cell>
          <cell r="BQ52">
            <v>9115.6</v>
          </cell>
          <cell r="BR52">
            <v>9115.6</v>
          </cell>
          <cell r="BS52">
            <v>9115.6</v>
          </cell>
          <cell r="BT52">
            <v>9115.6</v>
          </cell>
          <cell r="BU52">
            <v>9115.6</v>
          </cell>
          <cell r="BV52">
            <v>9115.6</v>
          </cell>
          <cell r="BW52">
            <v>9386.5300000000007</v>
          </cell>
          <cell r="BX52">
            <v>9386.5300000000007</v>
          </cell>
          <cell r="BY52">
            <v>9386.5300000000007</v>
          </cell>
          <cell r="BZ52">
            <v>9386.5300000000007</v>
          </cell>
          <cell r="CA52">
            <v>9386.5300000000007</v>
          </cell>
          <cell r="CE52" t="str">
            <v>-</v>
          </cell>
          <cell r="CG52">
            <v>0</v>
          </cell>
        </row>
        <row r="53">
          <cell r="A53" t="str">
            <v>1.3.3.1.01.00012</v>
          </cell>
          <cell r="B53" t="str">
            <v>Benfeitorias em Imoveis de Terceiros</v>
          </cell>
          <cell r="C53">
            <v>2300</v>
          </cell>
          <cell r="D53">
            <v>25642.2</v>
          </cell>
          <cell r="E53">
            <v>25642.2</v>
          </cell>
          <cell r="F53">
            <v>89443.71</v>
          </cell>
          <cell r="G53">
            <v>264562.96999999997</v>
          </cell>
          <cell r="H53">
            <v>264562.96999999997</v>
          </cell>
          <cell r="I53">
            <v>264562.96999999997</v>
          </cell>
          <cell r="J53">
            <v>264562.96999999997</v>
          </cell>
          <cell r="K53">
            <v>264562.96999999997</v>
          </cell>
          <cell r="L53">
            <v>264562.96999999997</v>
          </cell>
          <cell r="M53">
            <v>264562.96999999997</v>
          </cell>
          <cell r="N53">
            <v>264562.96999999997</v>
          </cell>
          <cell r="O53">
            <v>264562.96999999997</v>
          </cell>
          <cell r="P53">
            <v>268992.96999999997</v>
          </cell>
          <cell r="Q53">
            <v>288719.21000000002</v>
          </cell>
          <cell r="R53">
            <v>295400.90999999997</v>
          </cell>
          <cell r="S53">
            <v>299180.51</v>
          </cell>
          <cell r="T53">
            <v>299180.51</v>
          </cell>
          <cell r="U53">
            <v>302180.51</v>
          </cell>
          <cell r="V53">
            <v>308974.06</v>
          </cell>
          <cell r="W53">
            <v>314869.15999999997</v>
          </cell>
          <cell r="X53">
            <v>365243.37</v>
          </cell>
          <cell r="Y53">
            <v>371852.35</v>
          </cell>
          <cell r="Z53">
            <v>404028.3</v>
          </cell>
          <cell r="AA53">
            <v>407946.8</v>
          </cell>
          <cell r="AB53">
            <v>411632.9</v>
          </cell>
          <cell r="AC53">
            <v>433978.91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5579.92</v>
          </cell>
          <cell r="BA53">
            <v>13822.67</v>
          </cell>
          <cell r="BB53">
            <v>15855.87</v>
          </cell>
          <cell r="BC53">
            <v>18505.87</v>
          </cell>
          <cell r="BD53">
            <v>18505.87</v>
          </cell>
          <cell r="BE53">
            <v>18505.87</v>
          </cell>
          <cell r="BF53">
            <v>23424.65</v>
          </cell>
          <cell r="BG53">
            <v>23424.65</v>
          </cell>
          <cell r="BH53">
            <v>23966.65</v>
          </cell>
          <cell r="BI53">
            <v>30276.65</v>
          </cell>
          <cell r="BJ53">
            <v>37741.980000000003</v>
          </cell>
          <cell r="BK53">
            <v>46044.68</v>
          </cell>
          <cell r="BL53">
            <v>46044.68</v>
          </cell>
          <cell r="BM53">
            <v>46044.68</v>
          </cell>
          <cell r="BN53">
            <v>50558.48</v>
          </cell>
          <cell r="BO53">
            <v>56160.08</v>
          </cell>
          <cell r="BP53">
            <v>58760.08</v>
          </cell>
          <cell r="BQ53">
            <v>58760.08</v>
          </cell>
          <cell r="BR53">
            <v>61560.08</v>
          </cell>
          <cell r="BS53">
            <v>61560.08</v>
          </cell>
          <cell r="BT53">
            <v>61560.08</v>
          </cell>
          <cell r="BU53">
            <v>77260.08</v>
          </cell>
          <cell r="BV53">
            <v>77260.08</v>
          </cell>
          <cell r="BW53">
            <v>84300.08</v>
          </cell>
          <cell r="BX53">
            <v>93594.31</v>
          </cell>
          <cell r="BY53">
            <v>93594.31</v>
          </cell>
          <cell r="BZ53">
            <v>97114.31</v>
          </cell>
          <cell r="CA53">
            <v>105463.21</v>
          </cell>
          <cell r="CE53" t="str">
            <v>-</v>
          </cell>
          <cell r="CG53">
            <v>0</v>
          </cell>
        </row>
        <row r="54">
          <cell r="A54" t="str">
            <v>1.3.3.1.03</v>
          </cell>
          <cell r="B54" t="str">
            <v>Imobilizado em Andamento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21019.18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</row>
        <row r="55">
          <cell r="A55" t="str">
            <v>1.3.3.1.99</v>
          </cell>
          <cell r="B55" t="str">
            <v>Depreciacao/Amortizacao Acumulada</v>
          </cell>
          <cell r="C55">
            <v>-126832.55</v>
          </cell>
          <cell r="D55">
            <v>-351704.52</v>
          </cell>
          <cell r="E55">
            <v>-655111.49</v>
          </cell>
          <cell r="F55">
            <v>-948933.63</v>
          </cell>
          <cell r="G55">
            <v>-1447188.83</v>
          </cell>
          <cell r="H55">
            <v>-1495076.91</v>
          </cell>
          <cell r="I55">
            <v>-1542964.99</v>
          </cell>
          <cell r="J55">
            <v>-1352192.55</v>
          </cell>
          <cell r="K55">
            <v>-1397730.63</v>
          </cell>
          <cell r="L55">
            <v>-1443268.71</v>
          </cell>
          <cell r="M55">
            <v>-1488806.79</v>
          </cell>
          <cell r="N55">
            <v>-1432290.01</v>
          </cell>
          <cell r="O55">
            <v>-1475120.51</v>
          </cell>
          <cell r="P55">
            <v>-1519968.47</v>
          </cell>
          <cell r="Q55">
            <v>-1557649.77</v>
          </cell>
          <cell r="R55">
            <v>-1607362.59</v>
          </cell>
          <cell r="S55">
            <v>-1657075.42</v>
          </cell>
          <cell r="T55">
            <v>-1657075.42</v>
          </cell>
          <cell r="U55">
            <v>-1707010.2</v>
          </cell>
          <cell r="V55">
            <v>-1703319.38</v>
          </cell>
          <cell r="W55">
            <v>-1752623.63</v>
          </cell>
          <cell r="X55">
            <v>-1803232.86</v>
          </cell>
          <cell r="Y55">
            <v>-1821629.42</v>
          </cell>
          <cell r="Z55">
            <v>-1869531.84</v>
          </cell>
          <cell r="AA55">
            <v>-1920214.11</v>
          </cell>
          <cell r="AB55">
            <v>-1971768.77</v>
          </cell>
          <cell r="AC55">
            <v>-2000474.25</v>
          </cell>
          <cell r="AD55">
            <v>-1960549.15</v>
          </cell>
          <cell r="AE55">
            <v>-2013079.55</v>
          </cell>
          <cell r="AF55">
            <v>-2065779.35</v>
          </cell>
          <cell r="AG55">
            <v>-2065779.35</v>
          </cell>
          <cell r="AH55">
            <v>-2120341</v>
          </cell>
          <cell r="AI55">
            <v>-2220423.64</v>
          </cell>
          <cell r="AJ55">
            <v>-2276726.61</v>
          </cell>
          <cell r="AK55">
            <v>-2333875.3199999998</v>
          </cell>
          <cell r="AL55">
            <v>-2391117.29</v>
          </cell>
          <cell r="AM55">
            <v>-2452830.85</v>
          </cell>
          <cell r="AN55">
            <v>-2516669.71</v>
          </cell>
          <cell r="AO55">
            <v>-2581566.59</v>
          </cell>
          <cell r="AP55">
            <v>-2964149.35</v>
          </cell>
          <cell r="AQ55">
            <v>-3037879.86</v>
          </cell>
          <cell r="AR55">
            <v>-3108208.49</v>
          </cell>
          <cell r="AS55">
            <v>-3183941.61</v>
          </cell>
          <cell r="AT55">
            <v>-3183941.61</v>
          </cell>
          <cell r="AU55">
            <v>-3260335.62</v>
          </cell>
          <cell r="AV55">
            <v>-3338410.84</v>
          </cell>
          <cell r="AW55">
            <v>-3402462.65</v>
          </cell>
          <cell r="AX55">
            <v>-3451154.94</v>
          </cell>
          <cell r="AY55">
            <v>-3516852.23</v>
          </cell>
          <cell r="AZ55">
            <v>-3584083.44</v>
          </cell>
          <cell r="BA55">
            <v>-3653398.34</v>
          </cell>
          <cell r="BB55">
            <v>-3349271.88</v>
          </cell>
          <cell r="BC55">
            <v>-3416060.55</v>
          </cell>
          <cell r="BD55">
            <v>-3483441.72</v>
          </cell>
          <cell r="BE55">
            <v>-3550591.04</v>
          </cell>
          <cell r="BF55">
            <v>-2904838.36</v>
          </cell>
          <cell r="BG55">
            <v>-2904838.36</v>
          </cell>
          <cell r="BH55">
            <v>-2687155.35</v>
          </cell>
          <cell r="BI55">
            <v>-1759694.33</v>
          </cell>
          <cell r="BJ55">
            <v>-1639386.18</v>
          </cell>
          <cell r="BK55">
            <v>-1695266.4</v>
          </cell>
          <cell r="BL55">
            <v>-1753100.61</v>
          </cell>
          <cell r="BM55">
            <v>-1813550.58</v>
          </cell>
          <cell r="BN55">
            <v>-1874339.4</v>
          </cell>
          <cell r="BO55">
            <v>-1935546.47</v>
          </cell>
          <cell r="BP55">
            <v>-1952466.76</v>
          </cell>
          <cell r="BQ55">
            <v>-2012719.79</v>
          </cell>
          <cell r="BR55">
            <v>-2077423.09</v>
          </cell>
          <cell r="BS55">
            <v>-2143362.86</v>
          </cell>
          <cell r="BT55">
            <v>-2143362.86</v>
          </cell>
          <cell r="BU55">
            <v>-2209462.77</v>
          </cell>
          <cell r="BV55">
            <v>-2275951.1</v>
          </cell>
          <cell r="BW55">
            <v>-2342856.9900000002</v>
          </cell>
          <cell r="BX55">
            <v>-2409846.35</v>
          </cell>
          <cell r="BY55">
            <v>-2480049.17</v>
          </cell>
          <cell r="BZ55">
            <v>-2550946.2400000002</v>
          </cell>
          <cell r="CA55">
            <v>-2622821.12</v>
          </cell>
          <cell r="CE55" t="str">
            <v>-</v>
          </cell>
          <cell r="CG55">
            <v>0</v>
          </cell>
        </row>
        <row r="56">
          <cell r="A56" t="str">
            <v>1.3.3.5.99</v>
          </cell>
          <cell r="B56" t="str">
            <v>Depreciações - Leasing Financeiro</v>
          </cell>
          <cell r="C56">
            <v>0</v>
          </cell>
          <cell r="D56">
            <v>-36807.68</v>
          </cell>
          <cell r="E56">
            <v>-103997</v>
          </cell>
          <cell r="F56">
            <v>-201282.95</v>
          </cell>
          <cell r="G56">
            <v>-195174.09</v>
          </cell>
          <cell r="H56">
            <v>-200406.01</v>
          </cell>
          <cell r="I56">
            <v>-205637.93</v>
          </cell>
          <cell r="J56">
            <v>-210869.85</v>
          </cell>
          <cell r="K56">
            <v>-216101.77</v>
          </cell>
          <cell r="L56">
            <v>-221333.69</v>
          </cell>
          <cell r="M56">
            <v>-226565.61</v>
          </cell>
          <cell r="N56">
            <v>-231797.53</v>
          </cell>
          <cell r="O56">
            <v>-237029.45</v>
          </cell>
          <cell r="P56">
            <v>-242261.37</v>
          </cell>
          <cell r="Q56">
            <v>-247493.29</v>
          </cell>
          <cell r="R56">
            <v>-252725.21</v>
          </cell>
          <cell r="S56">
            <v>-257957.13</v>
          </cell>
          <cell r="T56">
            <v>-257957.13</v>
          </cell>
          <cell r="U56">
            <v>-263189.05</v>
          </cell>
          <cell r="V56">
            <v>-268420.96999999997</v>
          </cell>
          <cell r="W56">
            <v>-273652.89</v>
          </cell>
          <cell r="X56">
            <v>-278884.81</v>
          </cell>
          <cell r="Y56">
            <v>-284116.73</v>
          </cell>
          <cell r="Z56">
            <v>-289348.65000000002</v>
          </cell>
          <cell r="AA56">
            <v>-294580.57</v>
          </cell>
          <cell r="AB56">
            <v>-299812.49</v>
          </cell>
          <cell r="AC56">
            <v>-305044.40999999997</v>
          </cell>
          <cell r="AD56">
            <v>-310276.33</v>
          </cell>
          <cell r="AE56">
            <v>-315508.25</v>
          </cell>
          <cell r="AF56">
            <v>-320740.17</v>
          </cell>
          <cell r="AG56">
            <v>-320740.17</v>
          </cell>
          <cell r="AH56">
            <v>-325972.09000000003</v>
          </cell>
          <cell r="AI56">
            <v>-286166.44</v>
          </cell>
          <cell r="AJ56">
            <v>-290374.77</v>
          </cell>
          <cell r="AK56">
            <v>-294583.09999999998</v>
          </cell>
          <cell r="AL56">
            <v>-298791.43</v>
          </cell>
          <cell r="AM56">
            <v>-302999.76</v>
          </cell>
          <cell r="AN56">
            <v>-307208.09000000003</v>
          </cell>
          <cell r="AO56">
            <v>-311416.42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E56" t="str">
            <v>-</v>
          </cell>
          <cell r="CG56">
            <v>0</v>
          </cell>
        </row>
        <row r="57">
          <cell r="A57" t="str">
            <v>1.3.4</v>
          </cell>
          <cell r="B57" t="str">
            <v>INTANGIVEL</v>
          </cell>
          <cell r="C57">
            <v>10115</v>
          </cell>
          <cell r="D57">
            <v>144865.93</v>
          </cell>
          <cell r="E57">
            <v>114149.22</v>
          </cell>
          <cell r="F57">
            <v>83505.780000000013</v>
          </cell>
          <cell r="G57">
            <v>52862.340000000011</v>
          </cell>
          <cell r="H57">
            <v>50308.720000000016</v>
          </cell>
          <cell r="I57">
            <v>47755.100000000006</v>
          </cell>
          <cell r="J57">
            <v>45201.48000000001</v>
          </cell>
          <cell r="K57">
            <v>42647.860000000015</v>
          </cell>
          <cell r="L57">
            <v>40094.240000000005</v>
          </cell>
          <cell r="M57">
            <v>37540.62000000001</v>
          </cell>
          <cell r="N57">
            <v>34987.000000000015</v>
          </cell>
          <cell r="O57">
            <v>32433.380000000005</v>
          </cell>
          <cell r="P57">
            <v>29879.760000000009</v>
          </cell>
          <cell r="Q57">
            <v>27326.140000000014</v>
          </cell>
          <cell r="R57">
            <v>24772.520000000019</v>
          </cell>
          <cell r="S57">
            <v>22218.900000000023</v>
          </cell>
          <cell r="T57">
            <v>22218.900000000023</v>
          </cell>
          <cell r="U57">
            <v>19665.28</v>
          </cell>
          <cell r="V57">
            <v>17111.660000000003</v>
          </cell>
          <cell r="W57">
            <v>14558.040000000008</v>
          </cell>
          <cell r="X57">
            <v>12004.420000000013</v>
          </cell>
          <cell r="Y57">
            <v>9450.8000000000175</v>
          </cell>
          <cell r="Z57">
            <v>6897.1800000000221</v>
          </cell>
          <cell r="AA57">
            <v>4343.5599999999977</v>
          </cell>
          <cell r="AB57">
            <v>1789.9400000000023</v>
          </cell>
          <cell r="AC57">
            <v>355</v>
          </cell>
          <cell r="AD57">
            <v>300355</v>
          </cell>
          <cell r="AE57">
            <v>295355</v>
          </cell>
          <cell r="AF57">
            <v>290355</v>
          </cell>
          <cell r="AG57">
            <v>290355</v>
          </cell>
          <cell r="AH57">
            <v>285355</v>
          </cell>
          <cell r="AI57">
            <v>280355</v>
          </cell>
          <cell r="AJ57">
            <v>275355</v>
          </cell>
          <cell r="AK57">
            <v>270355</v>
          </cell>
          <cell r="AL57">
            <v>265355</v>
          </cell>
          <cell r="AM57">
            <v>260354.99999999997</v>
          </cell>
          <cell r="AN57">
            <v>255354.99999999997</v>
          </cell>
          <cell r="AO57">
            <v>279920.74</v>
          </cell>
          <cell r="AP57">
            <v>274427.98</v>
          </cell>
          <cell r="AQ57">
            <v>268935.21999999997</v>
          </cell>
          <cell r="AR57">
            <v>263442.45999999996</v>
          </cell>
          <cell r="AS57">
            <v>272641.33999999997</v>
          </cell>
          <cell r="AT57">
            <v>272641.33999999997</v>
          </cell>
          <cell r="AU57">
            <v>266903.71999999997</v>
          </cell>
          <cell r="AV57">
            <v>261166.09999999998</v>
          </cell>
          <cell r="AW57">
            <v>255428.47999999998</v>
          </cell>
          <cell r="AX57">
            <v>249690.86</v>
          </cell>
          <cell r="AY57">
            <v>243953.24</v>
          </cell>
          <cell r="AZ57">
            <v>238215.62</v>
          </cell>
          <cell r="BA57">
            <v>232478</v>
          </cell>
          <cell r="BB57">
            <v>226740.38</v>
          </cell>
          <cell r="BC57">
            <v>239580.02000000002</v>
          </cell>
          <cell r="BD57">
            <v>233532.77999999997</v>
          </cell>
          <cell r="BE57">
            <v>227485.53999999998</v>
          </cell>
          <cell r="BF57">
            <v>227438.25</v>
          </cell>
          <cell r="BG57">
            <v>227438.25</v>
          </cell>
          <cell r="BH57">
            <v>221391.01</v>
          </cell>
          <cell r="BI57">
            <v>215343.77000000002</v>
          </cell>
          <cell r="BJ57">
            <v>483817.2</v>
          </cell>
          <cell r="BK57">
            <v>477361.28</v>
          </cell>
          <cell r="BL57">
            <v>470905.36000000004</v>
          </cell>
          <cell r="BM57">
            <v>464449.44000000006</v>
          </cell>
          <cell r="BN57">
            <v>457993.52</v>
          </cell>
          <cell r="BO57">
            <v>451537.60000000003</v>
          </cell>
          <cell r="BP57">
            <v>445081.68000000005</v>
          </cell>
          <cell r="BQ57">
            <v>438625.76</v>
          </cell>
          <cell r="BR57">
            <v>428003.17000000004</v>
          </cell>
          <cell r="BS57">
            <v>417380.58</v>
          </cell>
          <cell r="BT57">
            <v>417380.58</v>
          </cell>
          <cell r="BU57">
            <v>406757.99000000005</v>
          </cell>
          <cell r="BV57">
            <v>396135.4</v>
          </cell>
          <cell r="BW57">
            <v>385512.81000000006</v>
          </cell>
          <cell r="BX57">
            <v>394000.34</v>
          </cell>
          <cell r="BY57">
            <v>383059.25000000006</v>
          </cell>
          <cell r="BZ57">
            <v>620230.84000000008</v>
          </cell>
          <cell r="CA57">
            <v>1105154.53</v>
          </cell>
          <cell r="CE57" t="str">
            <v>-</v>
          </cell>
          <cell r="CG57">
            <v>0</v>
          </cell>
        </row>
        <row r="58">
          <cell r="A58" t="str">
            <v>1.3.4.1.01.00004</v>
          </cell>
          <cell r="B58" t="str">
            <v>Modelos, Projetos e Prototipos</v>
          </cell>
          <cell r="H58">
            <v>0</v>
          </cell>
          <cell r="T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300000</v>
          </cell>
          <cell r="AE58">
            <v>300000</v>
          </cell>
          <cell r="AF58">
            <v>300000</v>
          </cell>
          <cell r="AG58">
            <v>300000</v>
          </cell>
          <cell r="AH58">
            <v>300000</v>
          </cell>
          <cell r="AI58">
            <v>300000</v>
          </cell>
          <cell r="AJ58">
            <v>300000</v>
          </cell>
          <cell r="AK58">
            <v>300000</v>
          </cell>
          <cell r="AL58">
            <v>300000</v>
          </cell>
          <cell r="AM58">
            <v>300000</v>
          </cell>
          <cell r="AN58">
            <v>300000</v>
          </cell>
          <cell r="AO58">
            <v>300000</v>
          </cell>
          <cell r="AP58">
            <v>300000</v>
          </cell>
          <cell r="AQ58">
            <v>300000</v>
          </cell>
          <cell r="AR58">
            <v>300000</v>
          </cell>
          <cell r="AS58">
            <v>300000</v>
          </cell>
          <cell r="AT58">
            <v>300000</v>
          </cell>
          <cell r="AU58">
            <v>300000</v>
          </cell>
          <cell r="AV58">
            <v>300000</v>
          </cell>
          <cell r="AW58">
            <v>300000</v>
          </cell>
          <cell r="AX58">
            <v>300000</v>
          </cell>
          <cell r="AY58">
            <v>300000</v>
          </cell>
          <cell r="AZ58">
            <v>300000</v>
          </cell>
          <cell r="BA58">
            <v>300000</v>
          </cell>
          <cell r="BB58">
            <v>300000</v>
          </cell>
          <cell r="BC58">
            <v>300000</v>
          </cell>
          <cell r="BD58">
            <v>300000</v>
          </cell>
          <cell r="BE58">
            <v>300000</v>
          </cell>
          <cell r="BF58">
            <v>300000</v>
          </cell>
          <cell r="BG58">
            <v>300000</v>
          </cell>
          <cell r="BH58">
            <v>300000</v>
          </cell>
          <cell r="BI58">
            <v>300000</v>
          </cell>
          <cell r="BJ58">
            <v>550000</v>
          </cell>
          <cell r="BK58">
            <v>550000</v>
          </cell>
          <cell r="BL58">
            <v>550000</v>
          </cell>
          <cell r="BM58">
            <v>550000</v>
          </cell>
          <cell r="BN58">
            <v>550000</v>
          </cell>
          <cell r="BO58">
            <v>550000</v>
          </cell>
          <cell r="BP58">
            <v>550000</v>
          </cell>
          <cell r="BQ58">
            <v>550000</v>
          </cell>
          <cell r="BR58">
            <v>550000</v>
          </cell>
          <cell r="BS58">
            <v>550000</v>
          </cell>
          <cell r="BT58">
            <v>550000</v>
          </cell>
          <cell r="BU58">
            <v>550000</v>
          </cell>
          <cell r="BV58">
            <v>550000</v>
          </cell>
          <cell r="BW58">
            <v>550000</v>
          </cell>
          <cell r="BX58">
            <v>550000</v>
          </cell>
          <cell r="BY58">
            <v>550000</v>
          </cell>
          <cell r="BZ58">
            <v>550000</v>
          </cell>
          <cell r="CA58">
            <v>1050000</v>
          </cell>
          <cell r="CE58" t="str">
            <v>-</v>
          </cell>
          <cell r="CG58">
            <v>0</v>
          </cell>
        </row>
        <row r="59">
          <cell r="A59" t="str">
            <v>1.3.4.1.01.00001</v>
          </cell>
          <cell r="B59" t="str">
            <v>Direito Uso Software</v>
          </cell>
          <cell r="C59">
            <v>4800</v>
          </cell>
          <cell r="D59">
            <v>153298.63</v>
          </cell>
          <cell r="E59">
            <v>153217.23000000001</v>
          </cell>
          <cell r="F59">
            <v>153217.23000000001</v>
          </cell>
          <cell r="G59">
            <v>153217.23000000001</v>
          </cell>
          <cell r="H59">
            <v>153217.23000000001</v>
          </cell>
          <cell r="I59">
            <v>153217.23000000001</v>
          </cell>
          <cell r="J59">
            <v>153217.23000000001</v>
          </cell>
          <cell r="K59">
            <v>153217.23000000001</v>
          </cell>
          <cell r="L59">
            <v>153217.23000000001</v>
          </cell>
          <cell r="M59">
            <v>153217.23000000001</v>
          </cell>
          <cell r="N59">
            <v>153217.23000000001</v>
          </cell>
          <cell r="O59">
            <v>153217.23000000001</v>
          </cell>
          <cell r="P59">
            <v>153217.23000000001</v>
          </cell>
          <cell r="Q59">
            <v>153217.23000000001</v>
          </cell>
          <cell r="R59">
            <v>153217.23000000001</v>
          </cell>
          <cell r="S59">
            <v>153217.23000000001</v>
          </cell>
          <cell r="T59">
            <v>153217.23000000001</v>
          </cell>
          <cell r="U59">
            <v>153217.23000000001</v>
          </cell>
          <cell r="V59">
            <v>153217.23000000001</v>
          </cell>
          <cell r="W59">
            <v>153217.23000000001</v>
          </cell>
          <cell r="X59">
            <v>153217.23000000001</v>
          </cell>
          <cell r="Y59">
            <v>153217.23000000001</v>
          </cell>
          <cell r="Z59">
            <v>153217.23000000001</v>
          </cell>
          <cell r="AA59">
            <v>153217.23000000001</v>
          </cell>
          <cell r="AB59">
            <v>153217.23000000001</v>
          </cell>
          <cell r="AC59">
            <v>153217.23000000001</v>
          </cell>
          <cell r="AD59">
            <v>153217.23000000001</v>
          </cell>
          <cell r="AE59">
            <v>153217.23000000001</v>
          </cell>
          <cell r="AF59">
            <v>153217.23000000001</v>
          </cell>
          <cell r="AG59">
            <v>153217.23000000001</v>
          </cell>
          <cell r="AH59">
            <v>153217.23000000001</v>
          </cell>
          <cell r="AI59">
            <v>153217.23000000001</v>
          </cell>
          <cell r="AJ59">
            <v>153217.23000000001</v>
          </cell>
          <cell r="AK59">
            <v>153217.23000000001</v>
          </cell>
          <cell r="AL59">
            <v>153217.23000000001</v>
          </cell>
          <cell r="AM59">
            <v>153217.23000000001</v>
          </cell>
          <cell r="AN59">
            <v>153217.23000000001</v>
          </cell>
          <cell r="AO59">
            <v>182782.97</v>
          </cell>
          <cell r="AP59">
            <v>182290.21</v>
          </cell>
          <cell r="AQ59">
            <v>181797.45</v>
          </cell>
          <cell r="AR59">
            <v>181304.69</v>
          </cell>
          <cell r="AS59">
            <v>195503.57</v>
          </cell>
          <cell r="AT59">
            <v>195503.57</v>
          </cell>
          <cell r="AU59">
            <v>197474.61</v>
          </cell>
          <cell r="AV59">
            <v>197474.61</v>
          </cell>
          <cell r="AW59">
            <v>197474.61</v>
          </cell>
          <cell r="AX59">
            <v>197474.61</v>
          </cell>
          <cell r="AY59">
            <v>197474.61</v>
          </cell>
          <cell r="AZ59">
            <v>197474.61</v>
          </cell>
          <cell r="BA59">
            <v>197474.61</v>
          </cell>
          <cell r="BB59">
            <v>197474.61</v>
          </cell>
          <cell r="BC59">
            <v>216051.87</v>
          </cell>
          <cell r="BD59">
            <v>216051.87</v>
          </cell>
          <cell r="BE59">
            <v>216051.87</v>
          </cell>
          <cell r="BF59">
            <v>216051.87</v>
          </cell>
          <cell r="BG59">
            <v>216051.87</v>
          </cell>
          <cell r="BH59">
            <v>216051.87</v>
          </cell>
          <cell r="BI59">
            <v>216051.87</v>
          </cell>
          <cell r="BJ59">
            <v>240572.54</v>
          </cell>
          <cell r="BK59">
            <v>240572.54</v>
          </cell>
          <cell r="BL59">
            <v>240572.54</v>
          </cell>
          <cell r="BM59">
            <v>240572.54</v>
          </cell>
          <cell r="BN59">
            <v>240572.54</v>
          </cell>
          <cell r="BO59">
            <v>240572.54</v>
          </cell>
          <cell r="BP59">
            <v>240572.54</v>
          </cell>
          <cell r="BQ59">
            <v>240572.54</v>
          </cell>
          <cell r="BR59">
            <v>240572.54</v>
          </cell>
          <cell r="BS59">
            <v>240572.54</v>
          </cell>
          <cell r="BT59">
            <v>240572.54</v>
          </cell>
          <cell r="BU59">
            <v>240572.54</v>
          </cell>
          <cell r="BV59">
            <v>240572.54</v>
          </cell>
          <cell r="BW59">
            <v>240572.54</v>
          </cell>
          <cell r="BX59">
            <v>259682.66</v>
          </cell>
          <cell r="BY59">
            <v>259682.66</v>
          </cell>
          <cell r="BZ59">
            <v>507795.34</v>
          </cell>
          <cell r="CA59">
            <v>507795.34</v>
          </cell>
          <cell r="CE59" t="str">
            <v>-</v>
          </cell>
          <cell r="CG59">
            <v>0</v>
          </cell>
        </row>
        <row r="60">
          <cell r="A60" t="str">
            <v>1.3.4.1.01.00002</v>
          </cell>
          <cell r="B60" t="str">
            <v>Marcas e Patentes</v>
          </cell>
          <cell r="C60">
            <v>355</v>
          </cell>
          <cell r="D60">
            <v>355</v>
          </cell>
          <cell r="E60">
            <v>355</v>
          </cell>
          <cell r="F60">
            <v>355</v>
          </cell>
          <cell r="G60">
            <v>355</v>
          </cell>
          <cell r="H60">
            <v>355</v>
          </cell>
          <cell r="I60">
            <v>355</v>
          </cell>
          <cell r="J60">
            <v>355</v>
          </cell>
          <cell r="K60">
            <v>355</v>
          </cell>
          <cell r="L60">
            <v>355</v>
          </cell>
          <cell r="M60">
            <v>355</v>
          </cell>
          <cell r="N60">
            <v>355</v>
          </cell>
          <cell r="O60">
            <v>355</v>
          </cell>
          <cell r="P60">
            <v>355</v>
          </cell>
          <cell r="Q60">
            <v>355</v>
          </cell>
          <cell r="R60">
            <v>355</v>
          </cell>
          <cell r="S60">
            <v>355</v>
          </cell>
          <cell r="T60">
            <v>355</v>
          </cell>
          <cell r="U60">
            <v>355</v>
          </cell>
          <cell r="V60">
            <v>355</v>
          </cell>
          <cell r="W60">
            <v>355</v>
          </cell>
          <cell r="X60">
            <v>355</v>
          </cell>
          <cell r="Y60">
            <v>355</v>
          </cell>
          <cell r="Z60">
            <v>355</v>
          </cell>
          <cell r="AA60">
            <v>355</v>
          </cell>
          <cell r="AB60">
            <v>355</v>
          </cell>
          <cell r="AC60">
            <v>355</v>
          </cell>
          <cell r="AD60">
            <v>355</v>
          </cell>
          <cell r="AE60">
            <v>355</v>
          </cell>
          <cell r="AF60">
            <v>355</v>
          </cell>
          <cell r="AG60">
            <v>355</v>
          </cell>
          <cell r="AH60">
            <v>355</v>
          </cell>
          <cell r="AI60">
            <v>355</v>
          </cell>
          <cell r="AJ60">
            <v>355</v>
          </cell>
          <cell r="AK60">
            <v>355</v>
          </cell>
          <cell r="AL60">
            <v>355</v>
          </cell>
          <cell r="AM60">
            <v>355</v>
          </cell>
          <cell r="AN60">
            <v>355</v>
          </cell>
          <cell r="AO60">
            <v>355</v>
          </cell>
          <cell r="AP60">
            <v>355</v>
          </cell>
          <cell r="AQ60">
            <v>355</v>
          </cell>
          <cell r="AR60">
            <v>355</v>
          </cell>
          <cell r="AS60">
            <v>355</v>
          </cell>
          <cell r="AT60">
            <v>355</v>
          </cell>
          <cell r="AU60">
            <v>355</v>
          </cell>
          <cell r="AV60">
            <v>355</v>
          </cell>
          <cell r="AW60">
            <v>355</v>
          </cell>
          <cell r="AX60">
            <v>355</v>
          </cell>
          <cell r="AY60">
            <v>355</v>
          </cell>
          <cell r="AZ60">
            <v>355</v>
          </cell>
          <cell r="BA60">
            <v>355</v>
          </cell>
          <cell r="BB60">
            <v>355</v>
          </cell>
          <cell r="BC60">
            <v>355</v>
          </cell>
          <cell r="BD60">
            <v>355</v>
          </cell>
          <cell r="BE60">
            <v>355</v>
          </cell>
          <cell r="BF60">
            <v>355</v>
          </cell>
          <cell r="BG60">
            <v>355</v>
          </cell>
          <cell r="BH60">
            <v>355</v>
          </cell>
          <cell r="BI60">
            <v>355</v>
          </cell>
          <cell r="BJ60">
            <v>355</v>
          </cell>
          <cell r="BK60">
            <v>355</v>
          </cell>
          <cell r="BL60">
            <v>355</v>
          </cell>
          <cell r="BM60">
            <v>355</v>
          </cell>
          <cell r="BN60">
            <v>355</v>
          </cell>
          <cell r="BO60">
            <v>355</v>
          </cell>
          <cell r="BP60">
            <v>355</v>
          </cell>
          <cell r="BQ60">
            <v>355</v>
          </cell>
          <cell r="BR60">
            <v>355</v>
          </cell>
          <cell r="BS60">
            <v>355</v>
          </cell>
          <cell r="BT60">
            <v>355</v>
          </cell>
          <cell r="BU60">
            <v>355</v>
          </cell>
          <cell r="BV60">
            <v>355</v>
          </cell>
          <cell r="BW60">
            <v>355</v>
          </cell>
          <cell r="BX60">
            <v>355</v>
          </cell>
          <cell r="BY60">
            <v>355</v>
          </cell>
          <cell r="BZ60">
            <v>355</v>
          </cell>
          <cell r="CA60">
            <v>355</v>
          </cell>
          <cell r="CE60" t="str">
            <v>-</v>
          </cell>
          <cell r="CG60">
            <v>0</v>
          </cell>
        </row>
        <row r="61">
          <cell r="A61" t="str">
            <v>1.3.4.1.01.00003</v>
          </cell>
          <cell r="B61" t="str">
            <v>Paginas de Internet / Sites</v>
          </cell>
          <cell r="C61">
            <v>6000</v>
          </cell>
          <cell r="D61">
            <v>6000</v>
          </cell>
          <cell r="E61">
            <v>6000</v>
          </cell>
          <cell r="F61">
            <v>6000</v>
          </cell>
          <cell r="G61">
            <v>6000</v>
          </cell>
          <cell r="H61">
            <v>6000</v>
          </cell>
          <cell r="I61">
            <v>6000</v>
          </cell>
          <cell r="J61">
            <v>6000</v>
          </cell>
          <cell r="K61">
            <v>6000</v>
          </cell>
          <cell r="L61">
            <v>6000</v>
          </cell>
          <cell r="M61">
            <v>6000</v>
          </cell>
          <cell r="N61">
            <v>6000</v>
          </cell>
          <cell r="O61">
            <v>6000</v>
          </cell>
          <cell r="P61">
            <v>6000</v>
          </cell>
          <cell r="Q61">
            <v>6000</v>
          </cell>
          <cell r="R61">
            <v>6000</v>
          </cell>
          <cell r="S61">
            <v>6000</v>
          </cell>
          <cell r="T61">
            <v>6000</v>
          </cell>
          <cell r="U61">
            <v>6000</v>
          </cell>
          <cell r="V61">
            <v>6000</v>
          </cell>
          <cell r="W61">
            <v>6000</v>
          </cell>
          <cell r="X61">
            <v>6000</v>
          </cell>
          <cell r="Y61">
            <v>6000</v>
          </cell>
          <cell r="Z61">
            <v>6000</v>
          </cell>
          <cell r="AA61">
            <v>6000</v>
          </cell>
          <cell r="AB61">
            <v>6000</v>
          </cell>
          <cell r="AC61">
            <v>6000</v>
          </cell>
          <cell r="AD61">
            <v>6000</v>
          </cell>
          <cell r="AE61">
            <v>6000</v>
          </cell>
          <cell r="AF61">
            <v>6000</v>
          </cell>
          <cell r="AG61">
            <v>6000</v>
          </cell>
          <cell r="AH61">
            <v>6000</v>
          </cell>
          <cell r="AI61">
            <v>6000</v>
          </cell>
          <cell r="AJ61">
            <v>6000</v>
          </cell>
          <cell r="AK61">
            <v>6000</v>
          </cell>
          <cell r="AL61">
            <v>6000</v>
          </cell>
          <cell r="AM61">
            <v>6000</v>
          </cell>
          <cell r="AN61">
            <v>6000</v>
          </cell>
          <cell r="AO61">
            <v>6000</v>
          </cell>
          <cell r="AP61">
            <v>6000</v>
          </cell>
          <cell r="AQ61">
            <v>6000</v>
          </cell>
          <cell r="AR61">
            <v>6000</v>
          </cell>
          <cell r="AS61">
            <v>6000</v>
          </cell>
          <cell r="AT61">
            <v>6000</v>
          </cell>
          <cell r="AU61">
            <v>6000</v>
          </cell>
          <cell r="AV61">
            <v>6000</v>
          </cell>
          <cell r="AW61">
            <v>6000</v>
          </cell>
          <cell r="AX61">
            <v>6000</v>
          </cell>
          <cell r="AY61">
            <v>6000</v>
          </cell>
          <cell r="AZ61">
            <v>6000</v>
          </cell>
          <cell r="BA61">
            <v>6000</v>
          </cell>
          <cell r="BB61">
            <v>6000</v>
          </cell>
          <cell r="BC61">
            <v>6000</v>
          </cell>
          <cell r="BD61">
            <v>6000</v>
          </cell>
          <cell r="BE61">
            <v>6000</v>
          </cell>
          <cell r="BF61">
            <v>6000</v>
          </cell>
          <cell r="BG61">
            <v>6000</v>
          </cell>
          <cell r="BH61">
            <v>6000</v>
          </cell>
          <cell r="BI61">
            <v>6000</v>
          </cell>
          <cell r="BJ61">
            <v>6000</v>
          </cell>
          <cell r="BK61">
            <v>6000</v>
          </cell>
          <cell r="BL61">
            <v>6000</v>
          </cell>
          <cell r="BM61">
            <v>6000</v>
          </cell>
          <cell r="BN61">
            <v>6000</v>
          </cell>
          <cell r="BO61">
            <v>6000</v>
          </cell>
          <cell r="BP61">
            <v>6000</v>
          </cell>
          <cell r="BQ61">
            <v>6000</v>
          </cell>
          <cell r="BR61">
            <v>6000</v>
          </cell>
          <cell r="BS61">
            <v>6000</v>
          </cell>
          <cell r="BT61">
            <v>6000</v>
          </cell>
          <cell r="BU61">
            <v>6000</v>
          </cell>
          <cell r="BV61">
            <v>6000</v>
          </cell>
          <cell r="BW61">
            <v>6000</v>
          </cell>
          <cell r="BX61">
            <v>6000</v>
          </cell>
          <cell r="BY61">
            <v>6000</v>
          </cell>
          <cell r="BZ61">
            <v>6000</v>
          </cell>
          <cell r="CA61">
            <v>6000</v>
          </cell>
          <cell r="CE61" t="str">
            <v>-</v>
          </cell>
          <cell r="CG61">
            <v>0</v>
          </cell>
        </row>
        <row r="62">
          <cell r="A62" t="str">
            <v>1.3.4.1.99</v>
          </cell>
          <cell r="B62" t="str">
            <v>Amortizacao Acumulada</v>
          </cell>
          <cell r="C62">
            <v>-1040</v>
          </cell>
          <cell r="D62">
            <v>-14787.7</v>
          </cell>
          <cell r="E62">
            <v>-45423.01</v>
          </cell>
          <cell r="F62">
            <v>-76066.45</v>
          </cell>
          <cell r="G62">
            <v>-106709.89</v>
          </cell>
          <cell r="H62">
            <v>-109263.51</v>
          </cell>
          <cell r="I62">
            <v>-111817.13</v>
          </cell>
          <cell r="J62">
            <v>-114370.75</v>
          </cell>
          <cell r="K62">
            <v>-116924.37</v>
          </cell>
          <cell r="L62">
            <v>-119477.99</v>
          </cell>
          <cell r="M62">
            <v>-122031.61</v>
          </cell>
          <cell r="N62">
            <v>-124585.23</v>
          </cell>
          <cell r="O62">
            <v>-127138.85</v>
          </cell>
          <cell r="P62">
            <v>-129692.47</v>
          </cell>
          <cell r="Q62">
            <v>-132246.09</v>
          </cell>
          <cell r="R62">
            <v>-134799.71</v>
          </cell>
          <cell r="S62">
            <v>-137353.32999999999</v>
          </cell>
          <cell r="T62">
            <v>-137353.32999999999</v>
          </cell>
          <cell r="U62">
            <v>-139906.95000000001</v>
          </cell>
          <cell r="V62">
            <v>-142460.57</v>
          </cell>
          <cell r="W62">
            <v>-145014.19</v>
          </cell>
          <cell r="X62">
            <v>-147567.81</v>
          </cell>
          <cell r="Y62">
            <v>-150121.43</v>
          </cell>
          <cell r="Z62">
            <v>-152675.04999999999</v>
          </cell>
          <cell r="AA62">
            <v>-155228.67000000001</v>
          </cell>
          <cell r="AB62">
            <v>-157782.29</v>
          </cell>
          <cell r="AC62">
            <v>-159217.23000000001</v>
          </cell>
          <cell r="AD62">
            <v>-159217.23000000001</v>
          </cell>
          <cell r="AE62">
            <v>-164217.23000000001</v>
          </cell>
          <cell r="AF62">
            <v>-169217.23</v>
          </cell>
          <cell r="AG62">
            <v>-169217.23</v>
          </cell>
          <cell r="AH62">
            <v>-174217.23</v>
          </cell>
          <cell r="AI62">
            <v>-179217.23</v>
          </cell>
          <cell r="AJ62">
            <v>-184217.23</v>
          </cell>
          <cell r="AK62">
            <v>-189217.23</v>
          </cell>
          <cell r="AL62">
            <v>-194217.23</v>
          </cell>
          <cell r="AM62">
            <v>-199217.23</v>
          </cell>
          <cell r="AN62">
            <v>-204217.23</v>
          </cell>
          <cell r="AO62">
            <v>-209217.23</v>
          </cell>
          <cell r="AP62">
            <v>-214217.23</v>
          </cell>
          <cell r="AQ62">
            <v>-219217.23</v>
          </cell>
          <cell r="AR62">
            <v>-224217.23</v>
          </cell>
          <cell r="AS62">
            <v>-229217.23</v>
          </cell>
          <cell r="AT62">
            <v>-229217.23</v>
          </cell>
          <cell r="AU62">
            <v>-236925.89</v>
          </cell>
          <cell r="AV62">
            <v>-242663.51</v>
          </cell>
          <cell r="AW62">
            <v>-248401.13</v>
          </cell>
          <cell r="AX62">
            <v>-254138.75</v>
          </cell>
          <cell r="AY62">
            <v>-259876.37</v>
          </cell>
          <cell r="AZ62">
            <v>-265613.99</v>
          </cell>
          <cell r="BA62">
            <v>-271351.61</v>
          </cell>
          <cell r="BB62">
            <v>-277089.23</v>
          </cell>
          <cell r="BC62">
            <v>-282826.84999999998</v>
          </cell>
          <cell r="BD62">
            <v>-288874.09000000003</v>
          </cell>
          <cell r="BE62">
            <v>-294921.33</v>
          </cell>
          <cell r="BF62">
            <v>-294968.62</v>
          </cell>
          <cell r="BG62">
            <v>-294968.62</v>
          </cell>
          <cell r="BH62">
            <v>-301015.86</v>
          </cell>
          <cell r="BI62">
            <v>-307063.09999999998</v>
          </cell>
          <cell r="BJ62">
            <v>-313110.34000000003</v>
          </cell>
          <cell r="BK62">
            <v>-319566.26</v>
          </cell>
          <cell r="BL62">
            <v>-326022.18</v>
          </cell>
          <cell r="BM62">
            <v>-332478.09999999998</v>
          </cell>
          <cell r="BN62">
            <v>-338934.02</v>
          </cell>
          <cell r="BO62">
            <v>-345389.94</v>
          </cell>
          <cell r="BP62">
            <v>-351845.86</v>
          </cell>
          <cell r="BQ62">
            <v>-358301.78</v>
          </cell>
          <cell r="BR62">
            <v>-368924.37</v>
          </cell>
          <cell r="BS62">
            <v>-379546.96</v>
          </cell>
          <cell r="BT62">
            <v>-379546.96</v>
          </cell>
          <cell r="BU62">
            <v>-390169.55</v>
          </cell>
          <cell r="BV62">
            <v>-400792.14</v>
          </cell>
          <cell r="BW62">
            <v>-411414.73</v>
          </cell>
          <cell r="BX62">
            <v>-422037.32</v>
          </cell>
          <cell r="BY62">
            <v>-432978.41</v>
          </cell>
          <cell r="BZ62">
            <v>-443919.5</v>
          </cell>
          <cell r="CA62">
            <v>-458995.81</v>
          </cell>
          <cell r="CE62" t="str">
            <v>-</v>
          </cell>
          <cell r="CG62">
            <v>0</v>
          </cell>
        </row>
        <row r="63">
          <cell r="A63" t="str">
            <v>2</v>
          </cell>
          <cell r="B63" t="str">
            <v>PASSIVO</v>
          </cell>
          <cell r="C63">
            <v>9164134.2300000004</v>
          </cell>
          <cell r="D63">
            <v>15928567.056647997</v>
          </cell>
          <cell r="E63">
            <v>18115640.609999996</v>
          </cell>
          <cell r="F63">
            <v>19099089.045553122</v>
          </cell>
          <cell r="G63">
            <v>20080671.909999996</v>
          </cell>
          <cell r="H63">
            <v>19951358.099999998</v>
          </cell>
          <cell r="I63">
            <v>20388146.799999997</v>
          </cell>
          <cell r="J63">
            <v>21134725.100511994</v>
          </cell>
          <cell r="K63">
            <v>21116567.900512002</v>
          </cell>
          <cell r="L63">
            <v>20081934.700511999</v>
          </cell>
          <cell r="M63">
            <v>20764089.520512</v>
          </cell>
          <cell r="N63">
            <v>20868985.07</v>
          </cell>
          <cell r="O63">
            <v>21615281.309999999</v>
          </cell>
          <cell r="P63">
            <v>23611777.509999998</v>
          </cell>
          <cell r="Q63">
            <v>23698933.22854</v>
          </cell>
          <cell r="R63">
            <v>22820035.72854</v>
          </cell>
          <cell r="S63">
            <v>22561261.008540004</v>
          </cell>
          <cell r="T63">
            <v>22561261.008540004</v>
          </cell>
          <cell r="U63">
            <v>23359306.8112</v>
          </cell>
          <cell r="V63">
            <v>23236741.441199996</v>
          </cell>
          <cell r="W63">
            <v>24152712.5812</v>
          </cell>
          <cell r="X63">
            <v>24178445.161199998</v>
          </cell>
          <cell r="Y63">
            <v>25145784.109999999</v>
          </cell>
          <cell r="Z63">
            <v>25610028.331200004</v>
          </cell>
          <cell r="AA63">
            <v>26333032.071199998</v>
          </cell>
          <cell r="AB63">
            <v>26007283.131200001</v>
          </cell>
          <cell r="AC63">
            <v>27405217.411199998</v>
          </cell>
          <cell r="AD63">
            <v>26471722.391200002</v>
          </cell>
          <cell r="AE63">
            <v>27295074.601199999</v>
          </cell>
          <cell r="AF63">
            <v>26624542.5812</v>
          </cell>
          <cell r="AG63">
            <v>26624542.5812</v>
          </cell>
          <cell r="AH63">
            <v>27192665.060000002</v>
          </cell>
          <cell r="AI63">
            <v>29082318.210000001</v>
          </cell>
          <cell r="AJ63">
            <v>28289557.999999996</v>
          </cell>
          <cell r="AK63">
            <v>27423588.279999997</v>
          </cell>
          <cell r="AL63">
            <v>28750053.299999997</v>
          </cell>
          <cell r="AM63">
            <v>30365438.350000001</v>
          </cell>
          <cell r="AN63">
            <v>31502136.389999997</v>
          </cell>
          <cell r="AO63">
            <v>34397397.199999996</v>
          </cell>
          <cell r="AP63">
            <v>36030393.460000001</v>
          </cell>
          <cell r="AQ63">
            <v>36651293.329999998</v>
          </cell>
          <cell r="AR63">
            <v>38718362.829999998</v>
          </cell>
          <cell r="AS63">
            <v>41534024.170000002</v>
          </cell>
          <cell r="AT63">
            <v>41534024.170000002</v>
          </cell>
          <cell r="AU63">
            <v>42427559.200000003</v>
          </cell>
          <cell r="AV63">
            <v>45912597.200000003</v>
          </cell>
          <cell r="AW63">
            <v>48717474.430000007</v>
          </cell>
          <cell r="AX63">
            <v>51096883.650000006</v>
          </cell>
          <cell r="AY63">
            <v>53608927.24000001</v>
          </cell>
          <cell r="AZ63">
            <v>54694782.700000003</v>
          </cell>
          <cell r="BA63">
            <v>56776794.970000006</v>
          </cell>
          <cell r="BB63">
            <v>58327570.930000007</v>
          </cell>
          <cell r="BC63">
            <v>61348830.260000005</v>
          </cell>
          <cell r="BD63">
            <v>62511484.949999996</v>
          </cell>
          <cell r="BE63">
            <v>63205259.170000002</v>
          </cell>
          <cell r="BF63">
            <v>63547764.300000004</v>
          </cell>
          <cell r="BG63">
            <v>63547764.300000004</v>
          </cell>
          <cell r="BH63">
            <v>63412138.480000004</v>
          </cell>
          <cell r="BI63">
            <v>65824224.149999999</v>
          </cell>
          <cell r="BJ63">
            <v>68592950.150000006</v>
          </cell>
          <cell r="BK63">
            <v>69031893.649999991</v>
          </cell>
          <cell r="BL63">
            <v>69788884.159999996</v>
          </cell>
          <cell r="BM63">
            <v>71587626.930000007</v>
          </cell>
          <cell r="BN63">
            <v>73415057.25999999</v>
          </cell>
          <cell r="BO63">
            <v>75757290.719999999</v>
          </cell>
          <cell r="BP63">
            <v>78253639.780000001</v>
          </cell>
          <cell r="BQ63">
            <v>76388813.210000008</v>
          </cell>
          <cell r="BR63">
            <v>77043825.960000008</v>
          </cell>
          <cell r="BS63">
            <v>76043176.385000005</v>
          </cell>
          <cell r="BT63">
            <v>76043176.385000005</v>
          </cell>
          <cell r="BU63">
            <v>74187494.11999999</v>
          </cell>
          <cell r="BV63">
            <v>75259400.150000006</v>
          </cell>
          <cell r="BW63">
            <v>77767676.909999996</v>
          </cell>
          <cell r="BX63">
            <v>78561122.299999997</v>
          </cell>
          <cell r="BY63">
            <v>83550845.099999994</v>
          </cell>
          <cell r="BZ63">
            <v>85406108.039999992</v>
          </cell>
          <cell r="CA63" t="e">
            <v>#VALUE!</v>
          </cell>
          <cell r="CE63" t="str">
            <v>-</v>
          </cell>
          <cell r="CG63">
            <v>0</v>
          </cell>
        </row>
        <row r="64">
          <cell r="A64" t="str">
            <v>2.1</v>
          </cell>
          <cell r="B64" t="str">
            <v>PASSIVO CIRCULANTE</v>
          </cell>
          <cell r="C64">
            <v>1157650.8699999999</v>
          </cell>
          <cell r="D64">
            <v>3085288.57</v>
          </cell>
          <cell r="E64">
            <v>2328171.5100000002</v>
          </cell>
          <cell r="F64">
            <v>1977250.31</v>
          </cell>
          <cell r="G64">
            <v>2218569.44</v>
          </cell>
          <cell r="H64">
            <v>1855363.626164</v>
          </cell>
          <cell r="I64">
            <v>2102075.2223319998</v>
          </cell>
          <cell r="J64">
            <v>2524658.3699999996</v>
          </cell>
          <cell r="K64">
            <v>4418951.5005320003</v>
          </cell>
          <cell r="L64">
            <v>3628602.4073359999</v>
          </cell>
          <cell r="M64">
            <v>4190456.2819719994</v>
          </cell>
          <cell r="N64">
            <v>3837626.61</v>
          </cell>
          <cell r="O64">
            <v>4181199.95</v>
          </cell>
          <cell r="P64">
            <v>5163946.8599999994</v>
          </cell>
          <cell r="Q64">
            <v>4648894.67</v>
          </cell>
          <cell r="R64">
            <v>3850704.56</v>
          </cell>
          <cell r="S64">
            <v>3574845.68</v>
          </cell>
          <cell r="T64">
            <v>3574845.68</v>
          </cell>
          <cell r="U64">
            <v>4240240.41</v>
          </cell>
          <cell r="V64">
            <v>3982115.09</v>
          </cell>
          <cell r="W64">
            <v>4645215.9600000009</v>
          </cell>
          <cell r="X64">
            <v>4932792.58</v>
          </cell>
          <cell r="Y64">
            <v>5435800.0800000001</v>
          </cell>
          <cell r="Z64">
            <v>5929445.0899999999</v>
          </cell>
          <cell r="AA64">
            <v>5346479.5999999996</v>
          </cell>
          <cell r="AB64">
            <v>4767918.1899999995</v>
          </cell>
          <cell r="AC64">
            <v>5439279.2000000002</v>
          </cell>
          <cell r="AD64">
            <v>4601028.5699999994</v>
          </cell>
          <cell r="AE64">
            <v>5140428.8499999987</v>
          </cell>
          <cell r="AF64">
            <v>4359028.2700000005</v>
          </cell>
          <cell r="AG64">
            <v>4359028.2700000005</v>
          </cell>
          <cell r="AH64">
            <v>4518076.4200000009</v>
          </cell>
          <cell r="AI64">
            <v>5676236.1799999997</v>
          </cell>
          <cell r="AJ64">
            <v>5017736.5599999996</v>
          </cell>
          <cell r="AK64">
            <v>4223135.53</v>
          </cell>
          <cell r="AL64">
            <v>5043760.03</v>
          </cell>
          <cell r="AM64">
            <v>5281483.07</v>
          </cell>
          <cell r="AN64">
            <v>5306304.9700000007</v>
          </cell>
          <cell r="AO64">
            <v>6213179.6399999997</v>
          </cell>
          <cell r="AP64">
            <v>6544902.8000000007</v>
          </cell>
          <cell r="AQ64">
            <v>5627326.0899999989</v>
          </cell>
          <cell r="AR64">
            <v>6811276.8500000006</v>
          </cell>
          <cell r="AS64">
            <v>7399664.0299999993</v>
          </cell>
          <cell r="AT64">
            <v>7399664.0299999993</v>
          </cell>
          <cell r="AU64">
            <v>7067120.0100000007</v>
          </cell>
          <cell r="AV64">
            <v>9881824.6699999999</v>
          </cell>
          <cell r="AW64">
            <v>11104272.280000001</v>
          </cell>
          <cell r="AX64">
            <v>11280696.939999999</v>
          </cell>
          <cell r="AY64">
            <v>11821769.469999999</v>
          </cell>
          <cell r="AZ64">
            <v>13054494.84</v>
          </cell>
          <cell r="BA64">
            <v>12540398.5</v>
          </cell>
          <cell r="BB64">
            <v>11645578.850000001</v>
          </cell>
          <cell r="BC64">
            <v>11811686.220000001</v>
          </cell>
          <cell r="BD64">
            <v>11826637.49</v>
          </cell>
          <cell r="BE64">
            <v>11199305.09</v>
          </cell>
          <cell r="BF64">
            <v>11108943.82</v>
          </cell>
          <cell r="BG64">
            <v>11108943.82</v>
          </cell>
          <cell r="BH64">
            <v>10476482.960000001</v>
          </cell>
          <cell r="BI64">
            <v>12007472.190000001</v>
          </cell>
          <cell r="BJ64">
            <v>13407026.93</v>
          </cell>
          <cell r="BK64">
            <v>12333383.76</v>
          </cell>
          <cell r="BL64">
            <v>11829168.389999999</v>
          </cell>
          <cell r="BM64">
            <v>12494064.739999998</v>
          </cell>
          <cell r="BN64">
            <v>11415691.609999999</v>
          </cell>
          <cell r="BO64">
            <v>13074127.109999998</v>
          </cell>
          <cell r="BP64">
            <v>14263107.84</v>
          </cell>
          <cell r="BQ64">
            <v>12436007.780000001</v>
          </cell>
          <cell r="BR64">
            <v>11206599.790000001</v>
          </cell>
          <cell r="BS64">
            <v>10315450.719999999</v>
          </cell>
          <cell r="BT64">
            <v>10315450.719999999</v>
          </cell>
          <cell r="BU64">
            <v>8339144.5899999999</v>
          </cell>
          <cell r="BV64">
            <v>9438914.1400000006</v>
          </cell>
          <cell r="BW64">
            <v>10936292.640000001</v>
          </cell>
          <cell r="BX64">
            <v>11192656.84</v>
          </cell>
          <cell r="BY64">
            <v>14560498.960000001</v>
          </cell>
          <cell r="BZ64">
            <v>15097779.859999999</v>
          </cell>
          <cell r="CA64" t="e">
            <v>#VALUE!</v>
          </cell>
          <cell r="CE64" t="str">
            <v>-</v>
          </cell>
          <cell r="CG64">
            <v>0</v>
          </cell>
        </row>
        <row r="65">
          <cell r="A65" t="str">
            <v>2.1.1.1.01</v>
          </cell>
          <cell r="B65" t="str">
            <v>Fornecedores Nacionais</v>
          </cell>
          <cell r="C65">
            <v>149369.21</v>
          </cell>
          <cell r="D65">
            <v>520678.65</v>
          </cell>
          <cell r="E65">
            <v>530028.29</v>
          </cell>
          <cell r="F65">
            <v>529280.31999999995</v>
          </cell>
          <cell r="G65">
            <v>548164.75</v>
          </cell>
          <cell r="H65">
            <v>614165.23</v>
          </cell>
          <cell r="I65">
            <v>786376.51</v>
          </cell>
          <cell r="J65">
            <v>879835.53</v>
          </cell>
          <cell r="K65">
            <v>909666.89</v>
          </cell>
          <cell r="L65">
            <v>1341763.04</v>
          </cell>
          <cell r="M65">
            <v>1438326.07</v>
          </cell>
          <cell r="N65">
            <v>1414367.04</v>
          </cell>
          <cell r="O65">
            <v>1613373.63</v>
          </cell>
          <cell r="P65">
            <v>1984753.24</v>
          </cell>
          <cell r="Q65">
            <v>1621115.08</v>
          </cell>
          <cell r="R65">
            <v>1059846.1499999999</v>
          </cell>
          <cell r="S65">
            <v>591950.37</v>
          </cell>
          <cell r="T65">
            <v>591950.37</v>
          </cell>
          <cell r="U65">
            <v>1070339.33</v>
          </cell>
          <cell r="V65">
            <v>1407681.15</v>
          </cell>
          <cell r="W65">
            <v>1886208.73</v>
          </cell>
          <cell r="X65">
            <v>2017047.45</v>
          </cell>
          <cell r="Y65">
            <v>2194824.5299999998</v>
          </cell>
          <cell r="Z65">
            <v>1894584.34</v>
          </cell>
          <cell r="AA65">
            <v>1213339.2</v>
          </cell>
          <cell r="AB65">
            <v>1071145.77</v>
          </cell>
          <cell r="AC65">
            <v>1489306.41</v>
          </cell>
          <cell r="AD65">
            <v>2187203.92</v>
          </cell>
          <cell r="AE65">
            <v>2177038.09</v>
          </cell>
          <cell r="AF65">
            <v>1462923.24</v>
          </cell>
          <cell r="AG65">
            <v>1462923.24</v>
          </cell>
          <cell r="AH65">
            <v>1838067.33</v>
          </cell>
          <cell r="AI65">
            <v>2355052.0099999998</v>
          </cell>
          <cell r="AJ65">
            <v>1812435.14</v>
          </cell>
          <cell r="AK65">
            <v>894549.5</v>
          </cell>
          <cell r="AL65">
            <v>862513.16</v>
          </cell>
          <cell r="AM65">
            <v>1086925.6200000001</v>
          </cell>
          <cell r="AN65">
            <v>2241912.41</v>
          </cell>
          <cell r="AO65">
            <v>2565038.0099999998</v>
          </cell>
          <cell r="AP65">
            <v>2556746.54</v>
          </cell>
          <cell r="AQ65">
            <v>2208341.5099999998</v>
          </cell>
          <cell r="AR65">
            <v>2914759.25</v>
          </cell>
          <cell r="AS65">
            <v>2763954.82</v>
          </cell>
          <cell r="AT65">
            <v>2763954.82</v>
          </cell>
          <cell r="AU65">
            <v>2473880.4300000002</v>
          </cell>
          <cell r="AV65">
            <v>3340220.21</v>
          </cell>
          <cell r="AW65">
            <v>3920176.37</v>
          </cell>
          <cell r="AX65">
            <v>4364837.42</v>
          </cell>
          <cell r="AY65">
            <v>4691801.7699999996</v>
          </cell>
          <cell r="AZ65">
            <v>4905657.2300000004</v>
          </cell>
          <cell r="BA65">
            <v>5024769.0599999996</v>
          </cell>
          <cell r="BB65">
            <v>4122144.79</v>
          </cell>
          <cell r="BC65">
            <v>3611594.01</v>
          </cell>
          <cell r="BD65">
            <v>4143806.15</v>
          </cell>
          <cell r="BE65">
            <v>3327623.87</v>
          </cell>
          <cell r="BF65">
            <v>2539758.56</v>
          </cell>
          <cell r="BG65">
            <v>2539758.56</v>
          </cell>
          <cell r="BH65">
            <v>2739477.82</v>
          </cell>
          <cell r="BI65">
            <v>3792926.25</v>
          </cell>
          <cell r="BJ65">
            <v>4249314.96</v>
          </cell>
          <cell r="BK65">
            <v>3873619.07</v>
          </cell>
          <cell r="BL65">
            <v>4274894.83</v>
          </cell>
          <cell r="BM65">
            <v>4176042.67</v>
          </cell>
          <cell r="BN65">
            <v>4351851.4800000004</v>
          </cell>
          <cell r="BO65">
            <v>3693984.13</v>
          </cell>
          <cell r="BP65">
            <v>2951514.68</v>
          </cell>
          <cell r="BQ65">
            <v>3029685.42</v>
          </cell>
          <cell r="BR65">
            <v>2521647.63</v>
          </cell>
          <cell r="BS65">
            <v>2073299.29</v>
          </cell>
          <cell r="BT65">
            <v>2073299.29</v>
          </cell>
          <cell r="BU65">
            <v>1751789.64</v>
          </cell>
          <cell r="BV65">
            <v>1598007.39</v>
          </cell>
          <cell r="BW65">
            <v>1805447.19</v>
          </cell>
          <cell r="BX65">
            <v>2037290.4</v>
          </cell>
          <cell r="BY65">
            <v>3258592.46</v>
          </cell>
          <cell r="BZ65">
            <v>3717769.43</v>
          </cell>
          <cell r="CA65">
            <v>4219567.38</v>
          </cell>
          <cell r="CE65" t="str">
            <v>-</v>
          </cell>
          <cell r="CG65">
            <v>0</v>
          </cell>
        </row>
        <row r="66">
          <cell r="A66" t="str">
            <v>2.1.1.1.02</v>
          </cell>
          <cell r="B66" t="str">
            <v>Fornecedor - Compras para Entrega Futura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0</v>
          </cell>
          <cell r="CE66" t="str">
            <v>-</v>
          </cell>
          <cell r="CG66">
            <v>0</v>
          </cell>
        </row>
        <row r="67">
          <cell r="A67" t="str">
            <v>2.1.1.1.03</v>
          </cell>
          <cell r="B67" t="str">
            <v>Fornecedores No Exterior</v>
          </cell>
          <cell r="C67">
            <v>0</v>
          </cell>
          <cell r="D67">
            <v>777851.74</v>
          </cell>
          <cell r="E67">
            <v>343274.65</v>
          </cell>
          <cell r="F67">
            <v>0</v>
          </cell>
          <cell r="G67">
            <v>384067.26</v>
          </cell>
          <cell r="H67">
            <v>0</v>
          </cell>
          <cell r="I67">
            <v>6457.3</v>
          </cell>
          <cell r="J67">
            <v>6663.65</v>
          </cell>
          <cell r="K67">
            <v>5517.2</v>
          </cell>
          <cell r="L67">
            <v>11336.03</v>
          </cell>
          <cell r="M67">
            <v>317918.59999999998</v>
          </cell>
          <cell r="N67">
            <v>4639.2</v>
          </cell>
          <cell r="O67">
            <v>6703.33</v>
          </cell>
          <cell r="P67">
            <v>6577.66</v>
          </cell>
          <cell r="Q67">
            <v>442818.17</v>
          </cell>
          <cell r="R67">
            <v>394639.77</v>
          </cell>
          <cell r="S67">
            <v>608579.86</v>
          </cell>
          <cell r="T67">
            <v>608579.86</v>
          </cell>
          <cell r="U67">
            <v>899432.09</v>
          </cell>
          <cell r="V67">
            <v>170697.45</v>
          </cell>
          <cell r="W67">
            <v>175438.6</v>
          </cell>
          <cell r="X67">
            <v>542278.56000000006</v>
          </cell>
          <cell r="Y67">
            <v>541118.47</v>
          </cell>
          <cell r="Z67">
            <v>1240675.74</v>
          </cell>
          <cell r="AA67">
            <v>969920.28</v>
          </cell>
          <cell r="AB67">
            <v>653434.28</v>
          </cell>
          <cell r="AC67">
            <v>899208.53</v>
          </cell>
          <cell r="AD67">
            <v>470223.31</v>
          </cell>
          <cell r="AE67">
            <v>1002399.8</v>
          </cell>
          <cell r="AF67">
            <v>1260466.68</v>
          </cell>
          <cell r="AG67">
            <v>1260466.68</v>
          </cell>
          <cell r="AH67">
            <v>1205959.49</v>
          </cell>
          <cell r="AI67">
            <v>1439809.54</v>
          </cell>
          <cell r="AJ67">
            <v>1414834.14</v>
          </cell>
          <cell r="AK67">
            <v>1330325.03</v>
          </cell>
          <cell r="AL67">
            <v>1895365.35</v>
          </cell>
          <cell r="AM67">
            <v>1301608.67</v>
          </cell>
          <cell r="AN67">
            <v>265284.15999999997</v>
          </cell>
          <cell r="AO67">
            <v>281993.01</v>
          </cell>
          <cell r="AP67">
            <v>147786.54999999999</v>
          </cell>
          <cell r="AQ67">
            <v>150265.98000000001</v>
          </cell>
          <cell r="AR67">
            <v>505894.95</v>
          </cell>
          <cell r="AS67">
            <v>122838.68</v>
          </cell>
          <cell r="AT67">
            <v>122838.68</v>
          </cell>
          <cell r="AU67">
            <v>384366.05</v>
          </cell>
          <cell r="AV67">
            <v>884735.97</v>
          </cell>
          <cell r="AW67">
            <v>996386.94</v>
          </cell>
          <cell r="AX67">
            <v>703492.9</v>
          </cell>
          <cell r="AY67">
            <v>226627.14</v>
          </cell>
          <cell r="AZ67">
            <v>201446.53</v>
          </cell>
          <cell r="BA67">
            <v>103285.13</v>
          </cell>
          <cell r="BB67">
            <v>103145.73</v>
          </cell>
          <cell r="BC67">
            <v>1719438.51</v>
          </cell>
          <cell r="BD67">
            <v>1127630.26</v>
          </cell>
          <cell r="BE67">
            <v>963267.72</v>
          </cell>
          <cell r="BF67">
            <v>296204.23</v>
          </cell>
          <cell r="BG67">
            <v>296204.23</v>
          </cell>
          <cell r="BH67">
            <v>902001.12</v>
          </cell>
          <cell r="BI67">
            <v>874054.93</v>
          </cell>
          <cell r="BJ67">
            <v>754773.37</v>
          </cell>
          <cell r="BK67">
            <v>659374.68000000005</v>
          </cell>
          <cell r="BL67">
            <v>562010.13</v>
          </cell>
          <cell r="BM67">
            <v>1659397.02</v>
          </cell>
          <cell r="BN67">
            <v>351893.41</v>
          </cell>
          <cell r="BO67">
            <v>1542184.34</v>
          </cell>
          <cell r="BP67">
            <v>2196001.86</v>
          </cell>
          <cell r="BQ67">
            <v>2378742.69</v>
          </cell>
          <cell r="BR67">
            <v>613862.43999999994</v>
          </cell>
          <cell r="BS67">
            <v>1669095.21</v>
          </cell>
          <cell r="BT67">
            <v>1669095.21</v>
          </cell>
          <cell r="BU67">
            <v>458360.69</v>
          </cell>
          <cell r="BV67">
            <v>1780305.33</v>
          </cell>
          <cell r="BW67">
            <v>2008219.17</v>
          </cell>
          <cell r="BX67">
            <v>1227030.6200000001</v>
          </cell>
          <cell r="BY67">
            <v>2814343.87</v>
          </cell>
          <cell r="BZ67">
            <v>2263210.14</v>
          </cell>
          <cell r="CA67">
            <v>1622676.79</v>
          </cell>
          <cell r="CE67" t="str">
            <v>-</v>
          </cell>
          <cell r="CG67">
            <v>0</v>
          </cell>
        </row>
        <row r="68">
          <cell r="A68" t="str">
            <v>2.1.1.2</v>
          </cell>
          <cell r="B68" t="str">
            <v>Emprestimos E Financimentos - TERCEIROS</v>
          </cell>
          <cell r="C68">
            <v>371108.5</v>
          </cell>
          <cell r="D68">
            <v>1118974.31</v>
          </cell>
          <cell r="E68">
            <v>671006.03</v>
          </cell>
          <cell r="F68">
            <v>581096.95999999996</v>
          </cell>
          <cell r="G68">
            <v>558976.97</v>
          </cell>
          <cell r="H68">
            <v>550196.25</v>
          </cell>
          <cell r="I68">
            <v>542825.88</v>
          </cell>
          <cell r="J68">
            <v>535455.51</v>
          </cell>
          <cell r="K68">
            <v>527902.6</v>
          </cell>
          <cell r="L68">
            <v>513414.64</v>
          </cell>
          <cell r="M68">
            <v>497888.98</v>
          </cell>
          <cell r="N68">
            <v>479540.56</v>
          </cell>
          <cell r="O68">
            <v>460928.09</v>
          </cell>
          <cell r="P68">
            <v>463495.35</v>
          </cell>
          <cell r="Q68">
            <v>550940.5</v>
          </cell>
          <cell r="R68">
            <v>528317.98</v>
          </cell>
          <cell r="S68">
            <v>507144.07</v>
          </cell>
          <cell r="T68">
            <v>507144.07</v>
          </cell>
          <cell r="U68">
            <v>483189.84</v>
          </cell>
          <cell r="V68">
            <v>475170.08</v>
          </cell>
          <cell r="W68">
            <v>452688.19</v>
          </cell>
          <cell r="X68">
            <v>429263.51</v>
          </cell>
          <cell r="Y68">
            <v>411417.93</v>
          </cell>
          <cell r="Z68">
            <v>382329.72</v>
          </cell>
          <cell r="AA68">
            <v>664516</v>
          </cell>
          <cell r="AB68">
            <v>633848.75</v>
          </cell>
          <cell r="AC68">
            <v>606310.96</v>
          </cell>
          <cell r="AD68">
            <v>589064.9</v>
          </cell>
          <cell r="AE68">
            <v>570291.37</v>
          </cell>
          <cell r="AF68">
            <v>552601.91</v>
          </cell>
          <cell r="AG68">
            <v>552601.91</v>
          </cell>
          <cell r="AH68">
            <v>533828.38</v>
          </cell>
          <cell r="AI68">
            <v>841465.26</v>
          </cell>
          <cell r="AJ68">
            <v>821281.16</v>
          </cell>
          <cell r="AK68">
            <v>804970.59</v>
          </cell>
          <cell r="AL68">
            <v>788660.17</v>
          </cell>
          <cell r="AM68">
            <v>787651.32</v>
          </cell>
          <cell r="AN68">
            <v>786498.8</v>
          </cell>
          <cell r="AO68">
            <v>1010346.34</v>
          </cell>
          <cell r="AP68">
            <v>891496.11</v>
          </cell>
          <cell r="AQ68">
            <v>890465.09</v>
          </cell>
          <cell r="AR68">
            <v>889434.07</v>
          </cell>
          <cell r="AS68">
            <v>1662596.6</v>
          </cell>
          <cell r="AT68">
            <v>1662596.6</v>
          </cell>
          <cell r="AU68">
            <v>1661565.58</v>
          </cell>
          <cell r="AV68">
            <v>1659326.16</v>
          </cell>
          <cell r="AW68">
            <v>1657086.74</v>
          </cell>
          <cell r="AX68">
            <v>1654847.32</v>
          </cell>
          <cell r="AY68">
            <v>1652607.9</v>
          </cell>
          <cell r="AZ68">
            <v>1650368.48</v>
          </cell>
          <cell r="BA68">
            <v>1648129.06</v>
          </cell>
          <cell r="BB68">
            <v>1644805.51</v>
          </cell>
          <cell r="BC68">
            <v>1642513.04</v>
          </cell>
          <cell r="BD68">
            <v>1639136.5</v>
          </cell>
          <cell r="BE68">
            <v>1714047.36</v>
          </cell>
          <cell r="BF68">
            <v>1710670.82</v>
          </cell>
          <cell r="BG68">
            <v>1710670.82</v>
          </cell>
          <cell r="BH68">
            <v>1707294.28</v>
          </cell>
          <cell r="BI68">
            <v>1739096.91</v>
          </cell>
          <cell r="BJ68">
            <v>1702958</v>
          </cell>
          <cell r="BK68">
            <v>1700789.86</v>
          </cell>
          <cell r="BL68">
            <v>1698621.72</v>
          </cell>
          <cell r="BM68">
            <v>1696453.58</v>
          </cell>
          <cell r="BN68">
            <v>2873859.77</v>
          </cell>
          <cell r="BO68">
            <v>2870638.73</v>
          </cell>
          <cell r="BP68">
            <v>2851854.71</v>
          </cell>
          <cell r="BQ68">
            <v>2744042.17</v>
          </cell>
          <cell r="BR68">
            <v>3239864.83</v>
          </cell>
          <cell r="BS68">
            <v>3145062.44</v>
          </cell>
          <cell r="BT68">
            <v>3145062.44</v>
          </cell>
          <cell r="BU68">
            <v>2955206.01</v>
          </cell>
          <cell r="BV68">
            <v>2845752.33</v>
          </cell>
          <cell r="BW68">
            <v>3110127.04</v>
          </cell>
          <cell r="BX68">
            <v>2966340.5</v>
          </cell>
          <cell r="BY68">
            <v>2855356.4</v>
          </cell>
          <cell r="BZ68">
            <v>2501859.02</v>
          </cell>
          <cell r="CA68">
            <v>2659787.75</v>
          </cell>
          <cell r="CE68" t="str">
            <v>-</v>
          </cell>
          <cell r="CG68">
            <v>0</v>
          </cell>
        </row>
        <row r="69">
          <cell r="A69" t="str">
            <v>2.1.1.4</v>
          </cell>
          <cell r="B69" t="str">
            <v>Salarios e Encargos Sociais</v>
          </cell>
          <cell r="C69">
            <v>61918.87</v>
          </cell>
          <cell r="D69">
            <v>171444.3</v>
          </cell>
          <cell r="E69">
            <v>104890.78</v>
          </cell>
          <cell r="F69">
            <v>86816.82</v>
          </cell>
          <cell r="G69">
            <v>183366.11</v>
          </cell>
          <cell r="H69">
            <v>163684.35999999999</v>
          </cell>
          <cell r="I69">
            <v>189878.94</v>
          </cell>
          <cell r="J69">
            <v>221741.97</v>
          </cell>
          <cell r="K69">
            <v>256124.55</v>
          </cell>
          <cell r="L69">
            <v>270394.48</v>
          </cell>
          <cell r="M69">
            <v>317709.02</v>
          </cell>
          <cell r="N69">
            <v>348629.05</v>
          </cell>
          <cell r="O69">
            <v>377043.74</v>
          </cell>
          <cell r="P69">
            <v>412521.3</v>
          </cell>
          <cell r="Q69">
            <v>456893.29</v>
          </cell>
          <cell r="R69">
            <v>427241.58</v>
          </cell>
          <cell r="S69">
            <v>136833.01</v>
          </cell>
          <cell r="T69">
            <v>136833.01</v>
          </cell>
          <cell r="U69">
            <v>214551.77</v>
          </cell>
          <cell r="V69">
            <v>248496.41</v>
          </cell>
          <cell r="W69">
            <v>290730.27</v>
          </cell>
          <cell r="X69">
            <v>336259.88</v>
          </cell>
          <cell r="Y69">
            <v>384048.4</v>
          </cell>
          <cell r="Z69">
            <v>430613.19</v>
          </cell>
          <cell r="AA69">
            <v>455028.59</v>
          </cell>
          <cell r="AB69">
            <v>451951.87</v>
          </cell>
          <cell r="AC69">
            <v>482667.07</v>
          </cell>
          <cell r="AD69">
            <v>514754.57</v>
          </cell>
          <cell r="AE69">
            <v>507341.3</v>
          </cell>
          <cell r="AF69">
            <v>265994.83</v>
          </cell>
          <cell r="AG69">
            <v>265994.83</v>
          </cell>
          <cell r="AH69">
            <v>350129</v>
          </cell>
          <cell r="AI69">
            <v>373132.04</v>
          </cell>
          <cell r="AJ69">
            <v>241936.48</v>
          </cell>
          <cell r="AK69">
            <v>354034.44</v>
          </cell>
          <cell r="AL69">
            <v>430751.11</v>
          </cell>
          <cell r="AM69">
            <v>429164.38</v>
          </cell>
          <cell r="AN69">
            <v>481831.16</v>
          </cell>
          <cell r="AO69">
            <v>466368.42</v>
          </cell>
          <cell r="AP69">
            <v>434319</v>
          </cell>
          <cell r="AQ69">
            <v>428337.96</v>
          </cell>
          <cell r="AR69">
            <v>499875.15</v>
          </cell>
          <cell r="AS69">
            <v>241275.38</v>
          </cell>
          <cell r="AT69">
            <v>241275.38</v>
          </cell>
          <cell r="AU69">
            <v>294998.71000000002</v>
          </cell>
          <cell r="AV69">
            <v>359922.58</v>
          </cell>
          <cell r="AW69">
            <v>371039.09</v>
          </cell>
          <cell r="AX69">
            <v>424104.54</v>
          </cell>
          <cell r="AY69">
            <v>487890.22</v>
          </cell>
          <cell r="AZ69">
            <v>683470.93</v>
          </cell>
          <cell r="BA69">
            <v>630991.23</v>
          </cell>
          <cell r="BB69">
            <v>679303.2</v>
          </cell>
          <cell r="BC69">
            <v>728468.7</v>
          </cell>
          <cell r="BD69">
            <v>833330.9</v>
          </cell>
          <cell r="BE69">
            <v>730665.67</v>
          </cell>
          <cell r="BF69">
            <v>327716.75</v>
          </cell>
          <cell r="BG69">
            <v>327716.75</v>
          </cell>
          <cell r="BH69">
            <v>385120.65</v>
          </cell>
          <cell r="BI69">
            <v>370604.5</v>
          </cell>
          <cell r="BJ69">
            <v>429198.6</v>
          </cell>
          <cell r="BK69">
            <v>496053.91</v>
          </cell>
          <cell r="BL69">
            <v>584532.37</v>
          </cell>
          <cell r="BM69">
            <v>648669.88</v>
          </cell>
          <cell r="BN69">
            <v>700198.47</v>
          </cell>
          <cell r="BO69">
            <v>792539.79</v>
          </cell>
          <cell r="BP69">
            <v>868849.19</v>
          </cell>
          <cell r="BQ69">
            <v>895951.39</v>
          </cell>
          <cell r="BR69">
            <v>834892.31</v>
          </cell>
          <cell r="BS69">
            <v>401595.77</v>
          </cell>
          <cell r="BT69">
            <v>401595.77</v>
          </cell>
          <cell r="BU69">
            <v>477562.46</v>
          </cell>
          <cell r="BV69">
            <v>530889.67000000004</v>
          </cell>
          <cell r="BW69">
            <v>590699.15</v>
          </cell>
          <cell r="BX69">
            <v>655919.74</v>
          </cell>
          <cell r="BY69">
            <v>728189.5</v>
          </cell>
          <cell r="BZ69">
            <v>814259.67</v>
          </cell>
          <cell r="CA69">
            <v>878988.08</v>
          </cell>
          <cell r="CE69" t="str">
            <v>-</v>
          </cell>
          <cell r="CG69">
            <v>0</v>
          </cell>
        </row>
        <row r="70">
          <cell r="A70" t="str">
            <v>2.1.1.5</v>
          </cell>
          <cell r="B70" t="str">
            <v>Impostos e Contribuicoes</v>
          </cell>
          <cell r="C70">
            <v>131946.46</v>
          </cell>
          <cell r="D70">
            <v>80030.78</v>
          </cell>
          <cell r="E70">
            <v>103998.2</v>
          </cell>
          <cell r="F70">
            <v>65784.759999999995</v>
          </cell>
          <cell r="G70">
            <v>53595.68</v>
          </cell>
          <cell r="H70">
            <v>136923.39000000001</v>
          </cell>
          <cell r="I70">
            <v>115446.68</v>
          </cell>
          <cell r="J70">
            <v>173345.92000000001</v>
          </cell>
          <cell r="K70">
            <v>216066.14</v>
          </cell>
          <cell r="L70">
            <v>126316.85</v>
          </cell>
          <cell r="M70">
            <v>131523.29999999999</v>
          </cell>
          <cell r="N70">
            <v>261598</v>
          </cell>
          <cell r="O70">
            <v>177848.77</v>
          </cell>
          <cell r="P70">
            <v>262535.71999999997</v>
          </cell>
          <cell r="Q70">
            <v>269793.40000000002</v>
          </cell>
          <cell r="R70">
            <v>152408.57</v>
          </cell>
          <cell r="S70">
            <v>150041.87</v>
          </cell>
          <cell r="T70">
            <v>150041.87</v>
          </cell>
          <cell r="U70">
            <v>192000.73</v>
          </cell>
          <cell r="V70">
            <v>176177.92000000001</v>
          </cell>
          <cell r="W70">
            <v>210567.74</v>
          </cell>
          <cell r="X70">
            <v>212313.9</v>
          </cell>
          <cell r="Y70">
            <v>242298.26</v>
          </cell>
          <cell r="Z70">
            <v>200236.56</v>
          </cell>
          <cell r="AA70">
            <v>243154.82</v>
          </cell>
          <cell r="AB70">
            <v>238456.82</v>
          </cell>
          <cell r="AC70">
            <v>291162.90000000002</v>
          </cell>
          <cell r="AD70">
            <v>313904.84000000003</v>
          </cell>
          <cell r="AE70">
            <v>280028.68</v>
          </cell>
          <cell r="AF70">
            <v>267377.90999999997</v>
          </cell>
          <cell r="AG70">
            <v>267377.90999999997</v>
          </cell>
          <cell r="AH70">
            <v>305818.15000000002</v>
          </cell>
          <cell r="AI70">
            <v>263810.71000000002</v>
          </cell>
          <cell r="AJ70">
            <v>264732.84999999998</v>
          </cell>
          <cell r="AK70">
            <v>339387.97</v>
          </cell>
          <cell r="AL70">
            <v>431911.57</v>
          </cell>
          <cell r="AM70">
            <v>519721.15</v>
          </cell>
          <cell r="AN70">
            <v>428755.75</v>
          </cell>
          <cell r="AO70">
            <v>463255.46</v>
          </cell>
          <cell r="AP70">
            <v>383490.76</v>
          </cell>
          <cell r="AQ70">
            <v>524063.75</v>
          </cell>
          <cell r="AR70">
            <v>414714.33</v>
          </cell>
          <cell r="AS70">
            <v>416463.81</v>
          </cell>
          <cell r="AT70">
            <v>416463.81</v>
          </cell>
          <cell r="AU70">
            <v>484368.95</v>
          </cell>
          <cell r="AV70">
            <v>519407.31</v>
          </cell>
          <cell r="AW70">
            <v>574830.11</v>
          </cell>
          <cell r="AX70">
            <v>642366.48</v>
          </cell>
          <cell r="AY70">
            <v>619650.77</v>
          </cell>
          <cell r="AZ70">
            <v>1051859.79</v>
          </cell>
          <cell r="BA70">
            <v>1069115.47</v>
          </cell>
          <cell r="BB70">
            <v>814066.03</v>
          </cell>
          <cell r="BC70">
            <v>889612.06</v>
          </cell>
          <cell r="BD70">
            <v>874619.73</v>
          </cell>
          <cell r="BE70">
            <v>1005231.59</v>
          </cell>
          <cell r="BF70">
            <v>928394.1</v>
          </cell>
          <cell r="BG70">
            <v>928394.1</v>
          </cell>
          <cell r="BH70">
            <v>676407.82</v>
          </cell>
          <cell r="BI70">
            <v>811053.06</v>
          </cell>
          <cell r="BJ70">
            <v>1288108.3700000001</v>
          </cell>
          <cell r="BK70">
            <v>1124357.5900000001</v>
          </cell>
          <cell r="BL70">
            <v>1162530.98</v>
          </cell>
          <cell r="BM70">
            <v>665765.54</v>
          </cell>
          <cell r="BN70">
            <v>356675.97</v>
          </cell>
          <cell r="BO70">
            <v>531553.68000000005</v>
          </cell>
          <cell r="BP70">
            <v>639785.68000000005</v>
          </cell>
          <cell r="BQ70">
            <v>320677.13</v>
          </cell>
          <cell r="BR70">
            <v>753831.88</v>
          </cell>
          <cell r="BS70">
            <v>277898.78000000003</v>
          </cell>
          <cell r="BT70">
            <v>277898.78000000003</v>
          </cell>
          <cell r="BU70">
            <v>652768.52</v>
          </cell>
          <cell r="BV70">
            <v>514088.65</v>
          </cell>
          <cell r="BW70">
            <v>369872.45</v>
          </cell>
          <cell r="BX70">
            <v>941443.95</v>
          </cell>
          <cell r="BY70">
            <v>580092.09</v>
          </cell>
          <cell r="BZ70">
            <v>782367.85</v>
          </cell>
          <cell r="CA70">
            <v>223066.39</v>
          </cell>
          <cell r="CE70" t="str">
            <v>-</v>
          </cell>
          <cell r="CG70">
            <v>0</v>
          </cell>
        </row>
        <row r="71">
          <cell r="A71" t="str">
            <v>2.1.1.5.01.00001</v>
          </cell>
          <cell r="B71" t="str">
            <v>IPI a Recolher</v>
          </cell>
          <cell r="T71">
            <v>0</v>
          </cell>
          <cell r="AE71">
            <v>6868.6</v>
          </cell>
          <cell r="AG71">
            <v>0</v>
          </cell>
          <cell r="AU71">
            <v>3493.56</v>
          </cell>
          <cell r="AV71">
            <v>2050.29</v>
          </cell>
          <cell r="AW71">
            <v>3196.37</v>
          </cell>
          <cell r="AX71">
            <v>1932.42</v>
          </cell>
          <cell r="AY71">
            <v>4214.3599999999997</v>
          </cell>
          <cell r="AZ71">
            <v>8752.01</v>
          </cell>
          <cell r="BA71">
            <v>2499.8200000000002</v>
          </cell>
          <cell r="BB71">
            <v>5117.38</v>
          </cell>
          <cell r="BC71">
            <v>4887.8500000000004</v>
          </cell>
          <cell r="BD71">
            <v>527.54999999999995</v>
          </cell>
          <cell r="BE71">
            <v>2375.92</v>
          </cell>
          <cell r="BF71">
            <v>4385.82</v>
          </cell>
          <cell r="BG71">
            <v>4385.82</v>
          </cell>
          <cell r="BH71">
            <v>1376.46</v>
          </cell>
          <cell r="BI71">
            <v>136.56</v>
          </cell>
          <cell r="BJ71">
            <v>3366.29</v>
          </cell>
          <cell r="BK71">
            <v>4725.78</v>
          </cell>
          <cell r="BL71">
            <v>5344.79</v>
          </cell>
          <cell r="BM71">
            <v>1331.15</v>
          </cell>
          <cell r="BN71">
            <v>3584.94</v>
          </cell>
          <cell r="BO71">
            <v>7536.52</v>
          </cell>
          <cell r="BP71">
            <v>7359.76</v>
          </cell>
          <cell r="BQ71">
            <v>3241.06</v>
          </cell>
          <cell r="BR71">
            <v>6756.78</v>
          </cell>
          <cell r="BS71">
            <v>886.39</v>
          </cell>
          <cell r="BT71">
            <v>886.39</v>
          </cell>
          <cell r="BU71">
            <v>6893.7</v>
          </cell>
          <cell r="BV71">
            <v>1488.54</v>
          </cell>
          <cell r="BW71">
            <v>21201.86</v>
          </cell>
          <cell r="BX71">
            <v>31371.57</v>
          </cell>
          <cell r="BY71">
            <v>6122.48</v>
          </cell>
          <cell r="BZ71">
            <v>5655.26</v>
          </cell>
          <cell r="CA71">
            <v>6868.6</v>
          </cell>
          <cell r="CE71" t="str">
            <v>-</v>
          </cell>
          <cell r="CG71">
            <v>0</v>
          </cell>
        </row>
        <row r="72">
          <cell r="A72" t="str">
            <v>2.1.1.5.01.00002</v>
          </cell>
          <cell r="B72" t="str">
            <v>ICMS a Recolher</v>
          </cell>
          <cell r="T72">
            <v>0</v>
          </cell>
          <cell r="AE72">
            <v>14988.53</v>
          </cell>
          <cell r="AG72">
            <v>0</v>
          </cell>
          <cell r="AU72">
            <v>16956.93</v>
          </cell>
          <cell r="AV72">
            <v>23067.75</v>
          </cell>
          <cell r="AW72">
            <v>9964.56</v>
          </cell>
          <cell r="AX72">
            <v>32962.400000000001</v>
          </cell>
          <cell r="AY72">
            <v>16982.060000000001</v>
          </cell>
          <cell r="AZ72">
            <v>167912.61</v>
          </cell>
          <cell r="BA72">
            <v>199625.76</v>
          </cell>
          <cell r="BB72">
            <v>20870.75</v>
          </cell>
          <cell r="BC72">
            <v>23855.47</v>
          </cell>
          <cell r="BD72">
            <v>70001.399999999994</v>
          </cell>
          <cell r="BE72">
            <v>235476.98</v>
          </cell>
          <cell r="BF72">
            <v>0</v>
          </cell>
          <cell r="BG72">
            <v>0</v>
          </cell>
          <cell r="BH72">
            <v>45487.57</v>
          </cell>
          <cell r="BI72">
            <v>121142.88</v>
          </cell>
          <cell r="BJ72">
            <v>398011.32</v>
          </cell>
          <cell r="BK72">
            <v>302773.77</v>
          </cell>
          <cell r="BL72">
            <v>338570.94</v>
          </cell>
          <cell r="BM72">
            <v>48419.519999999997</v>
          </cell>
          <cell r="BN72">
            <v>39063.07</v>
          </cell>
          <cell r="BO72">
            <v>187346.24</v>
          </cell>
          <cell r="BP72">
            <v>268551.96999999997</v>
          </cell>
          <cell r="BQ72">
            <v>101019.7</v>
          </cell>
          <cell r="BR72">
            <v>317525.8</v>
          </cell>
          <cell r="BS72">
            <v>56288.34</v>
          </cell>
          <cell r="BT72">
            <v>56288.34</v>
          </cell>
          <cell r="BU72">
            <v>237261.3</v>
          </cell>
          <cell r="BV72">
            <v>169241.22</v>
          </cell>
          <cell r="BW72">
            <v>98955.06</v>
          </cell>
          <cell r="BX72">
            <v>392450.12</v>
          </cell>
          <cell r="BY72">
            <v>26203.99</v>
          </cell>
          <cell r="BZ72">
            <v>223873.47</v>
          </cell>
          <cell r="CA72">
            <v>14988.53</v>
          </cell>
          <cell r="CE72" t="str">
            <v>-</v>
          </cell>
          <cell r="CG72">
            <v>0</v>
          </cell>
        </row>
        <row r="73">
          <cell r="A73" t="str">
            <v>2.1.1.5.02.00001</v>
          </cell>
          <cell r="B73" t="str">
            <v>Cofins a Recolher</v>
          </cell>
          <cell r="T73">
            <v>0</v>
          </cell>
          <cell r="AE73">
            <v>0</v>
          </cell>
          <cell r="AG73">
            <v>0</v>
          </cell>
          <cell r="AU73">
            <v>188385.38</v>
          </cell>
          <cell r="AV73">
            <v>190802.02</v>
          </cell>
          <cell r="AW73">
            <v>223203.76</v>
          </cell>
          <cell r="AX73">
            <v>261127.21</v>
          </cell>
          <cell r="AY73">
            <v>253858.17</v>
          </cell>
          <cell r="AZ73">
            <v>320444.45</v>
          </cell>
          <cell r="BA73">
            <v>312481.39</v>
          </cell>
          <cell r="BB73">
            <v>251398.97</v>
          </cell>
          <cell r="BC73">
            <v>307897.90000000002</v>
          </cell>
          <cell r="BD73">
            <v>250634.67</v>
          </cell>
          <cell r="BE73">
            <v>222635.26</v>
          </cell>
          <cell r="BF73">
            <v>188531.37</v>
          </cell>
          <cell r="BG73">
            <v>188531.37</v>
          </cell>
          <cell r="BH73">
            <v>108300.1</v>
          </cell>
          <cell r="BI73">
            <v>157046.98000000001</v>
          </cell>
          <cell r="BJ73">
            <v>258025.15</v>
          </cell>
          <cell r="BK73">
            <v>273668.90000000002</v>
          </cell>
          <cell r="BL73">
            <v>274289.40000000002</v>
          </cell>
          <cell r="BM73">
            <v>107567.17</v>
          </cell>
          <cell r="BN73">
            <v>93603.199999999997</v>
          </cell>
          <cell r="BO73">
            <v>112098.02</v>
          </cell>
          <cell r="BP73">
            <v>135665.15</v>
          </cell>
          <cell r="BQ73">
            <v>12018.75</v>
          </cell>
          <cell r="BR73">
            <v>188689.82</v>
          </cell>
          <cell r="BS73">
            <v>17044.73</v>
          </cell>
          <cell r="BT73">
            <v>17044.73</v>
          </cell>
          <cell r="BU73">
            <v>171541.74</v>
          </cell>
          <cell r="BV73">
            <v>117552.58</v>
          </cell>
          <cell r="BW73">
            <v>38717.919999999998</v>
          </cell>
          <cell r="BX73">
            <v>260324.8</v>
          </cell>
          <cell r="BY73">
            <v>284501.55</v>
          </cell>
          <cell r="BZ73">
            <v>290153.01</v>
          </cell>
          <cell r="CA73">
            <v>0</v>
          </cell>
          <cell r="CE73" t="str">
            <v>-</v>
          </cell>
          <cell r="CG73">
            <v>0</v>
          </cell>
        </row>
        <row r="74">
          <cell r="A74" t="str">
            <v>2.1.1.5.02.00002</v>
          </cell>
          <cell r="B74" t="str">
            <v>Pis a Recolher</v>
          </cell>
          <cell r="T74">
            <v>0</v>
          </cell>
          <cell r="AE74">
            <v>0</v>
          </cell>
          <cell r="AG74">
            <v>0</v>
          </cell>
          <cell r="AU74">
            <v>39883.370000000003</v>
          </cell>
          <cell r="AV74">
            <v>40710.199999999997</v>
          </cell>
          <cell r="AW74">
            <v>47591.55</v>
          </cell>
          <cell r="AX74">
            <v>55720.91</v>
          </cell>
          <cell r="AY74">
            <v>54228.72</v>
          </cell>
          <cell r="AZ74">
            <v>68362.42</v>
          </cell>
          <cell r="BA74">
            <v>67264.12</v>
          </cell>
          <cell r="BB74">
            <v>53883.59</v>
          </cell>
          <cell r="BC74">
            <v>65697.429999999993</v>
          </cell>
          <cell r="BD74">
            <v>53526.02</v>
          </cell>
          <cell r="BE74">
            <v>47586.37</v>
          </cell>
          <cell r="BF74">
            <v>40303.61</v>
          </cell>
          <cell r="BG74">
            <v>40303.61</v>
          </cell>
          <cell r="BH74">
            <v>22763.06</v>
          </cell>
          <cell r="BI74">
            <v>33177.83</v>
          </cell>
          <cell r="BJ74">
            <v>54674.7</v>
          </cell>
          <cell r="BK74">
            <v>58069.45</v>
          </cell>
          <cell r="BL74">
            <v>58570.78</v>
          </cell>
          <cell r="BM74">
            <v>21962.23</v>
          </cell>
          <cell r="BN74">
            <v>18930.63</v>
          </cell>
          <cell r="BO74">
            <v>22802.5</v>
          </cell>
          <cell r="BP74">
            <v>27686.14</v>
          </cell>
          <cell r="BQ74">
            <v>1447.41</v>
          </cell>
          <cell r="BR74">
            <v>39965.089999999997</v>
          </cell>
          <cell r="BS74">
            <v>2564.62</v>
          </cell>
          <cell r="BT74">
            <v>2564.62</v>
          </cell>
          <cell r="BU74">
            <v>34959.47</v>
          </cell>
          <cell r="BV74">
            <v>24369.439999999999</v>
          </cell>
          <cell r="BW74">
            <v>6871.97</v>
          </cell>
          <cell r="BX74">
            <v>55252</v>
          </cell>
          <cell r="BY74">
            <v>60177.18</v>
          </cell>
          <cell r="BZ74">
            <v>61424.02</v>
          </cell>
          <cell r="CA74">
            <v>0</v>
          </cell>
          <cell r="CE74" t="str">
            <v>-</v>
          </cell>
          <cell r="CG74">
            <v>0</v>
          </cell>
        </row>
        <row r="75">
          <cell r="A75" t="str">
            <v>2.1.1.6</v>
          </cell>
          <cell r="B75" t="str">
            <v>Provisao do Imposto de Renda e CSSLL</v>
          </cell>
          <cell r="C75">
            <v>196228.5</v>
          </cell>
          <cell r="D75">
            <v>248360.95999999999</v>
          </cell>
          <cell r="E75">
            <v>388113.93</v>
          </cell>
          <cell r="F75">
            <v>204830.34</v>
          </cell>
          <cell r="G75">
            <v>243524.34</v>
          </cell>
          <cell r="H75">
            <v>96554.026163999995</v>
          </cell>
          <cell r="I75">
            <v>184428.27233199999</v>
          </cell>
          <cell r="J75">
            <v>273733.87</v>
          </cell>
          <cell r="K75">
            <v>98363.170532000018</v>
          </cell>
          <cell r="L75">
            <v>183904.05733600003</v>
          </cell>
          <cell r="M75">
            <v>279212.64197200001</v>
          </cell>
          <cell r="N75">
            <v>145131.74</v>
          </cell>
          <cell r="O75">
            <v>250846.19</v>
          </cell>
          <cell r="P75">
            <v>443097.38</v>
          </cell>
          <cell r="Q75">
            <v>129481.53</v>
          </cell>
          <cell r="R75">
            <v>200488.91</v>
          </cell>
          <cell r="S75">
            <v>296461.13</v>
          </cell>
          <cell r="T75">
            <v>296461.13</v>
          </cell>
          <cell r="U75">
            <v>116271.75</v>
          </cell>
          <cell r="V75">
            <v>237532.68</v>
          </cell>
          <cell r="W75">
            <v>354260.77</v>
          </cell>
          <cell r="X75">
            <v>132738.88</v>
          </cell>
          <cell r="Y75">
            <v>266404</v>
          </cell>
          <cell r="Z75">
            <v>347416.31</v>
          </cell>
          <cell r="AA75">
            <v>171578.83</v>
          </cell>
          <cell r="AB75">
            <v>303289.49</v>
          </cell>
          <cell r="AC75">
            <v>439055.1</v>
          </cell>
          <cell r="AD75">
            <v>170534.58</v>
          </cell>
          <cell r="AE75">
            <v>301266.81</v>
          </cell>
          <cell r="AF75">
            <v>378448.41</v>
          </cell>
          <cell r="AG75">
            <v>378448.41</v>
          </cell>
          <cell r="AH75">
            <v>133979.46</v>
          </cell>
          <cell r="AI75">
            <v>246010.93</v>
          </cell>
          <cell r="AJ75">
            <v>320602.12</v>
          </cell>
          <cell r="AK75">
            <v>130555.58</v>
          </cell>
          <cell r="AL75">
            <v>225493.26</v>
          </cell>
          <cell r="AM75">
            <v>377856.24</v>
          </cell>
          <cell r="AN75">
            <v>202499.71</v>
          </cell>
          <cell r="AO75">
            <v>391708.19</v>
          </cell>
          <cell r="AP75">
            <v>585500.52</v>
          </cell>
          <cell r="AQ75">
            <v>257476.68</v>
          </cell>
          <cell r="AR75">
            <v>505819.84</v>
          </cell>
          <cell r="AS75">
            <v>662803.24</v>
          </cell>
          <cell r="AT75">
            <v>662803.24</v>
          </cell>
          <cell r="AU75">
            <v>214890.87</v>
          </cell>
          <cell r="AV75">
            <v>441563.08</v>
          </cell>
          <cell r="AW75">
            <v>665141.26</v>
          </cell>
          <cell r="AX75">
            <v>304724.05</v>
          </cell>
          <cell r="AY75">
            <v>611648.06000000006</v>
          </cell>
          <cell r="AZ75">
            <v>939843.89999999991</v>
          </cell>
          <cell r="BA75">
            <v>363224.00999999995</v>
          </cell>
          <cell r="BB75">
            <v>720844.32</v>
          </cell>
          <cell r="BC75">
            <v>143340.03999999998</v>
          </cell>
          <cell r="BD75">
            <v>313490.31999999995</v>
          </cell>
          <cell r="BE75">
            <v>603890.56999999995</v>
          </cell>
          <cell r="BF75">
            <v>873540.94</v>
          </cell>
          <cell r="BG75">
            <v>873540.94</v>
          </cell>
          <cell r="BH75">
            <v>391331.86000000004</v>
          </cell>
          <cell r="BI75">
            <v>915152.64</v>
          </cell>
          <cell r="BJ75">
            <v>1714200.15</v>
          </cell>
          <cell r="BK75">
            <v>812787.3899999999</v>
          </cell>
          <cell r="BL75">
            <v>1529739.39</v>
          </cell>
          <cell r="BM75">
            <v>2070148.18</v>
          </cell>
          <cell r="BN75">
            <v>726600.13</v>
          </cell>
          <cell r="BO75">
            <v>1452676.44</v>
          </cell>
          <cell r="BP75">
            <v>2089472.47</v>
          </cell>
          <cell r="BQ75">
            <v>99403.61</v>
          </cell>
          <cell r="BR75">
            <v>795609.85000000009</v>
          </cell>
          <cell r="BS75">
            <v>674221.3</v>
          </cell>
          <cell r="BT75">
            <v>674221.3</v>
          </cell>
          <cell r="BU75">
            <v>163011.29999999999</v>
          </cell>
          <cell r="BV75">
            <v>222816.16</v>
          </cell>
          <cell r="BW75">
            <v>495885.16000000003</v>
          </cell>
          <cell r="BX75">
            <v>975154.79</v>
          </cell>
          <cell r="BY75">
            <v>1967119.54</v>
          </cell>
          <cell r="BZ75">
            <v>2666343.17</v>
          </cell>
          <cell r="CA75" t="e">
            <v>#VALUE!</v>
          </cell>
          <cell r="CE75" t="str">
            <v>-</v>
          </cell>
          <cell r="CG75">
            <v>0</v>
          </cell>
        </row>
        <row r="76">
          <cell r="A76" t="str">
            <v>2.1.1.7.01</v>
          </cell>
          <cell r="B76" t="str">
            <v>Dividendos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 t="str">
            <v>0,00</v>
          </cell>
          <cell r="K76">
            <v>2190000</v>
          </cell>
          <cell r="L76">
            <v>1000000</v>
          </cell>
          <cell r="M76">
            <v>1000000</v>
          </cell>
          <cell r="N76">
            <v>1000000</v>
          </cell>
          <cell r="O76">
            <v>1000000</v>
          </cell>
          <cell r="P76">
            <v>1000000</v>
          </cell>
          <cell r="Q76">
            <v>1000000</v>
          </cell>
          <cell r="R76">
            <v>1000000</v>
          </cell>
          <cell r="S76">
            <v>1000000</v>
          </cell>
          <cell r="T76">
            <v>1000000</v>
          </cell>
          <cell r="U76">
            <v>1000000</v>
          </cell>
          <cell r="V76">
            <v>1000000</v>
          </cell>
          <cell r="W76">
            <v>1000000</v>
          </cell>
          <cell r="X76">
            <v>1000000</v>
          </cell>
          <cell r="Y76">
            <v>1000000</v>
          </cell>
          <cell r="Z76">
            <v>1000000</v>
          </cell>
          <cell r="AA76">
            <v>1000000</v>
          </cell>
          <cell r="AB76">
            <v>1000000</v>
          </cell>
          <cell r="AC76">
            <v>1000000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0</v>
          </cell>
          <cell r="CE76" t="str">
            <v>-</v>
          </cell>
          <cell r="CG76">
            <v>0</v>
          </cell>
        </row>
        <row r="77">
          <cell r="A77" t="str">
            <v>2.1.1.7.02</v>
          </cell>
          <cell r="B77" t="str">
            <v>Juros s/ Capital Proprio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0</v>
          </cell>
          <cell r="CE77" t="str">
            <v>-</v>
          </cell>
          <cell r="CG77">
            <v>0</v>
          </cell>
        </row>
        <row r="78">
          <cell r="A78" t="str">
            <v>2.1.1.8</v>
          </cell>
          <cell r="B78" t="str">
            <v>Adiantamento Terceiros</v>
          </cell>
          <cell r="C78">
            <v>238187.36</v>
          </cell>
          <cell r="D78">
            <v>153589.75000000003</v>
          </cell>
          <cell r="E78">
            <v>174440</v>
          </cell>
          <cell r="F78">
            <v>509441.11</v>
          </cell>
          <cell r="G78">
            <v>246874.33</v>
          </cell>
          <cell r="H78">
            <v>293840.37</v>
          </cell>
          <cell r="I78">
            <v>276661.64</v>
          </cell>
          <cell r="J78">
            <v>433881.92</v>
          </cell>
          <cell r="K78">
            <v>215361.45</v>
          </cell>
          <cell r="L78">
            <v>181523.81</v>
          </cell>
          <cell r="M78">
            <v>207928.17</v>
          </cell>
          <cell r="N78">
            <v>183771.51999999999</v>
          </cell>
          <cell r="O78">
            <v>294456.2</v>
          </cell>
          <cell r="P78">
            <v>590966.21</v>
          </cell>
          <cell r="Q78">
            <v>177852.7</v>
          </cell>
          <cell r="R78">
            <v>87761.600000000006</v>
          </cell>
          <cell r="S78">
            <v>283835.37</v>
          </cell>
          <cell r="T78">
            <v>283835.37</v>
          </cell>
          <cell r="U78">
            <v>264454.90000000002</v>
          </cell>
          <cell r="V78">
            <v>266359.40000000002</v>
          </cell>
          <cell r="W78">
            <v>275321.65999999997</v>
          </cell>
          <cell r="X78">
            <v>262890.40000000002</v>
          </cell>
          <cell r="Y78">
            <v>395688.49</v>
          </cell>
          <cell r="Z78">
            <v>433589.23</v>
          </cell>
          <cell r="AA78">
            <v>628941.88</v>
          </cell>
          <cell r="AB78">
            <v>415791.21</v>
          </cell>
          <cell r="AC78">
            <v>231568.23</v>
          </cell>
          <cell r="AD78">
            <v>355342.45</v>
          </cell>
          <cell r="AE78">
            <v>280205.67</v>
          </cell>
          <cell r="AF78">
            <v>171215.29</v>
          </cell>
          <cell r="AG78">
            <v>171215.29</v>
          </cell>
          <cell r="AH78">
            <v>150294.60999999999</v>
          </cell>
          <cell r="AI78">
            <v>156955.69</v>
          </cell>
          <cell r="AJ78">
            <v>141914.67000000001</v>
          </cell>
          <cell r="AK78">
            <v>369312.42</v>
          </cell>
          <cell r="AL78">
            <v>409065.41</v>
          </cell>
          <cell r="AM78">
            <v>778555.69</v>
          </cell>
          <cell r="AN78">
            <v>899522.98</v>
          </cell>
          <cell r="AO78">
            <v>1034470.21</v>
          </cell>
          <cell r="AP78">
            <v>1545563.32</v>
          </cell>
          <cell r="AQ78">
            <v>1168375.1200000001</v>
          </cell>
          <cell r="AR78">
            <v>1080779.26</v>
          </cell>
          <cell r="AS78">
            <v>1529731.5</v>
          </cell>
          <cell r="AT78">
            <v>1529731.5</v>
          </cell>
          <cell r="AU78">
            <v>1553049.42</v>
          </cell>
          <cell r="AV78">
            <v>2676649.36</v>
          </cell>
          <cell r="AW78">
            <v>2919611.77</v>
          </cell>
          <cell r="AX78">
            <v>3186324.23</v>
          </cell>
          <cell r="AY78">
            <v>3531543.61</v>
          </cell>
          <cell r="AZ78">
            <v>3621847.98</v>
          </cell>
          <cell r="BA78">
            <v>3700884.54</v>
          </cell>
          <cell r="BB78">
            <v>3561269.27</v>
          </cell>
          <cell r="BC78">
            <v>3076719.86</v>
          </cell>
          <cell r="BD78">
            <v>2894623.63</v>
          </cell>
          <cell r="BE78">
            <v>2854578.31</v>
          </cell>
          <cell r="BF78">
            <v>4432658.42</v>
          </cell>
          <cell r="BG78">
            <v>4432658.42</v>
          </cell>
          <cell r="BH78">
            <v>3674849.41</v>
          </cell>
          <cell r="BI78">
            <v>3504583.9</v>
          </cell>
          <cell r="BJ78">
            <v>3268473.48</v>
          </cell>
          <cell r="BK78">
            <v>3666401.26</v>
          </cell>
          <cell r="BL78">
            <v>2016838.97</v>
          </cell>
          <cell r="BM78">
            <v>1577587.87</v>
          </cell>
          <cell r="BN78">
            <v>2054612.38</v>
          </cell>
          <cell r="BO78">
            <v>2190550</v>
          </cell>
          <cell r="BP78">
            <v>2665629.25</v>
          </cell>
          <cell r="BQ78">
            <v>2967505.37</v>
          </cell>
          <cell r="BR78">
            <v>2446890.85</v>
          </cell>
          <cell r="BS78">
            <v>2074277.93</v>
          </cell>
          <cell r="BT78">
            <v>2074277.93</v>
          </cell>
          <cell r="BU78">
            <v>1880445.97</v>
          </cell>
          <cell r="BV78">
            <v>1947054.61</v>
          </cell>
          <cell r="BW78">
            <v>2556042.48</v>
          </cell>
          <cell r="BX78">
            <v>2389476.84</v>
          </cell>
          <cell r="BY78">
            <v>2356805.1</v>
          </cell>
          <cell r="BZ78">
            <v>2351970.58</v>
          </cell>
          <cell r="CA78">
            <v>2486105.54</v>
          </cell>
          <cell r="CE78" t="str">
            <v>-</v>
          </cell>
          <cell r="CG78">
            <v>0</v>
          </cell>
        </row>
        <row r="79">
          <cell r="A79" t="str">
            <v>2.1.SEM CONTA</v>
          </cell>
          <cell r="B79" t="str">
            <v>Outras Contas</v>
          </cell>
          <cell r="C79">
            <v>8891.9699999999993</v>
          </cell>
          <cell r="D79">
            <v>14358.08</v>
          </cell>
          <cell r="E79">
            <v>12419.630000000001</v>
          </cell>
          <cell r="F79">
            <v>0</v>
          </cell>
          <cell r="J79">
            <v>0</v>
          </cell>
          <cell r="K79">
            <v>-50.5</v>
          </cell>
          <cell r="L79">
            <v>-50.5</v>
          </cell>
          <cell r="M79">
            <v>-50.5</v>
          </cell>
          <cell r="N79">
            <v>-50.5</v>
          </cell>
          <cell r="O79">
            <v>-50.5</v>
          </cell>
          <cell r="P79">
            <v>-50.5</v>
          </cell>
          <cell r="Q79">
            <v>-50.5</v>
          </cell>
          <cell r="R79">
            <v>-50.5</v>
          </cell>
          <cell r="S79">
            <v>-50.5</v>
          </cell>
          <cell r="T79">
            <v>-50.5</v>
          </cell>
          <cell r="U79">
            <v>-50.5</v>
          </cell>
          <cell r="V79">
            <v>-50.5</v>
          </cell>
          <cell r="W79">
            <v>-50.5</v>
          </cell>
          <cell r="X79">
            <v>-50.5</v>
          </cell>
          <cell r="Y79">
            <v>-50.5</v>
          </cell>
          <cell r="Z79">
            <v>-50.5</v>
          </cell>
          <cell r="AA79">
            <v>-50.5</v>
          </cell>
          <cell r="AB79">
            <v>-50.5</v>
          </cell>
          <cell r="AC79">
            <v>-50.5</v>
          </cell>
          <cell r="AD79">
            <v>-50.5</v>
          </cell>
          <cell r="AE79">
            <v>-50.5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E79" t="str">
            <v>-</v>
          </cell>
          <cell r="CG79">
            <v>0</v>
          </cell>
        </row>
        <row r="80">
          <cell r="A80" t="str">
            <v>2.3</v>
          </cell>
          <cell r="B80" t="str">
            <v>PASSIVO NAO CIRCULANTE</v>
          </cell>
          <cell r="C80">
            <v>599920.86</v>
          </cell>
          <cell r="D80">
            <v>1564315.41</v>
          </cell>
          <cell r="E80">
            <v>1064846.18</v>
          </cell>
          <cell r="F80">
            <v>566353.97</v>
          </cell>
          <cell r="G80">
            <v>521214.71</v>
          </cell>
          <cell r="H80">
            <v>474664.43</v>
          </cell>
          <cell r="I80">
            <v>428114.15</v>
          </cell>
          <cell r="J80">
            <v>381563.87</v>
          </cell>
          <cell r="K80">
            <v>2335013.59</v>
          </cell>
          <cell r="L80">
            <v>2275499.96</v>
          </cell>
          <cell r="M80">
            <v>2217047.04</v>
          </cell>
          <cell r="N80">
            <v>2161798.56</v>
          </cell>
          <cell r="O80">
            <v>2111550.08</v>
          </cell>
          <cell r="P80">
            <v>2085015.12</v>
          </cell>
          <cell r="Q80">
            <v>2233735.62</v>
          </cell>
          <cell r="R80">
            <v>2185604.23</v>
          </cell>
          <cell r="S80">
            <v>2137472.88</v>
          </cell>
          <cell r="T80">
            <v>2137472.88</v>
          </cell>
          <cell r="U80">
            <v>2089341.53</v>
          </cell>
          <cell r="V80">
            <v>2069003.38</v>
          </cell>
          <cell r="W80">
            <v>2019663.55</v>
          </cell>
          <cell r="X80">
            <v>1212786.76</v>
          </cell>
          <cell r="Y80">
            <v>1165910.07</v>
          </cell>
          <cell r="Z80">
            <v>1134184.8</v>
          </cell>
          <cell r="AA80">
            <v>1728477.21</v>
          </cell>
          <cell r="AB80">
            <v>1670667.87</v>
          </cell>
          <cell r="AC80">
            <v>1612858.5899999999</v>
          </cell>
          <cell r="AD80">
            <v>702219.45</v>
          </cell>
          <cell r="AE80">
            <v>664478.56000000006</v>
          </cell>
          <cell r="AF80">
            <v>625653.6</v>
          </cell>
          <cell r="AG80">
            <v>625653.6</v>
          </cell>
          <cell r="AH80">
            <v>587912.71</v>
          </cell>
          <cell r="AI80">
            <v>1125171.82</v>
          </cell>
          <cell r="AJ80">
            <v>1062430.93</v>
          </cell>
          <cell r="AK80">
            <v>999690.04</v>
          </cell>
          <cell r="AL80">
            <v>936949.15</v>
          </cell>
          <cell r="AM80">
            <v>874208.26</v>
          </cell>
          <cell r="AN80">
            <v>811467.37</v>
          </cell>
          <cell r="AO80">
            <v>1698726.34</v>
          </cell>
          <cell r="AP80">
            <v>1625905.36</v>
          </cell>
          <cell r="AQ80">
            <v>1553084.38</v>
          </cell>
          <cell r="AR80">
            <v>1480263.4</v>
          </cell>
          <cell r="AS80">
            <v>2633248.87</v>
          </cell>
          <cell r="AT80">
            <v>2633248.87</v>
          </cell>
          <cell r="AU80">
            <v>2560427.89</v>
          </cell>
          <cell r="AV80">
            <v>2488815.31</v>
          </cell>
          <cell r="AW80">
            <v>2417202.73</v>
          </cell>
          <cell r="AX80">
            <v>2345590.15</v>
          </cell>
          <cell r="AY80">
            <v>2273977.5699999998</v>
          </cell>
          <cell r="AZ80">
            <v>2137848.86</v>
          </cell>
          <cell r="BA80">
            <v>2001720.15</v>
          </cell>
          <cell r="BB80">
            <v>1866675.51</v>
          </cell>
          <cell r="BC80">
            <v>1731630.87</v>
          </cell>
          <cell r="BD80">
            <v>1597670.3</v>
          </cell>
          <cell r="BE80">
            <v>1613760.58</v>
          </cell>
          <cell r="BF80">
            <v>1473276.06</v>
          </cell>
          <cell r="BG80">
            <v>1473276.06</v>
          </cell>
          <cell r="BH80">
            <v>1332791.54</v>
          </cell>
          <cell r="BI80">
            <v>1192307.02</v>
          </cell>
          <cell r="BJ80">
            <v>1051822.5</v>
          </cell>
          <cell r="BK80">
            <v>911337.98</v>
          </cell>
          <cell r="BL80">
            <v>770853.46</v>
          </cell>
          <cell r="BM80">
            <v>630368.93999999994</v>
          </cell>
          <cell r="BN80">
            <v>1601204.78</v>
          </cell>
          <cell r="BO80">
            <v>1458706.75</v>
          </cell>
          <cell r="BP80">
            <v>1436417.06</v>
          </cell>
          <cell r="BQ80">
            <v>1055878.31</v>
          </cell>
          <cell r="BR80">
            <v>1503431.35</v>
          </cell>
          <cell r="BS80">
            <v>1412661.7</v>
          </cell>
          <cell r="BT80">
            <v>1412661.7</v>
          </cell>
          <cell r="BU80">
            <v>1096929.3600000001</v>
          </cell>
          <cell r="BV80">
            <v>982484.05</v>
          </cell>
          <cell r="BW80">
            <v>1365602.4</v>
          </cell>
          <cell r="BX80">
            <v>1138463.67</v>
          </cell>
          <cell r="BY80">
            <v>1023970.36</v>
          </cell>
          <cell r="BZ80">
            <v>964335.28</v>
          </cell>
          <cell r="CA80">
            <v>1485331.97</v>
          </cell>
          <cell r="CE80" t="str">
            <v>-</v>
          </cell>
          <cell r="CG80">
            <v>0</v>
          </cell>
        </row>
        <row r="81">
          <cell r="A81" t="str">
            <v>2.3.1</v>
          </cell>
          <cell r="B81" t="str">
            <v>Emprestimos de Terceiros LP</v>
          </cell>
          <cell r="C81">
            <v>599920.86</v>
          </cell>
          <cell r="D81">
            <v>1564315.41</v>
          </cell>
          <cell r="E81">
            <v>1064846.18</v>
          </cell>
          <cell r="F81">
            <v>566353.97</v>
          </cell>
          <cell r="G81">
            <v>486214.71</v>
          </cell>
          <cell r="H81">
            <v>444664.43</v>
          </cell>
          <cell r="I81">
            <v>403114.15</v>
          </cell>
          <cell r="J81">
            <v>361563.87</v>
          </cell>
          <cell r="K81">
            <v>320013.59000000003</v>
          </cell>
          <cell r="L81">
            <v>285499.96000000002</v>
          </cell>
          <cell r="M81">
            <v>252047.04</v>
          </cell>
          <cell r="N81">
            <v>221798.56</v>
          </cell>
          <cell r="O81">
            <v>191550.07999999999</v>
          </cell>
          <cell r="P81">
            <v>185015.12</v>
          </cell>
          <cell r="Q81">
            <v>353735.62</v>
          </cell>
          <cell r="R81">
            <v>325604.23</v>
          </cell>
          <cell r="S81">
            <v>297472.88</v>
          </cell>
          <cell r="T81">
            <v>297472.88</v>
          </cell>
          <cell r="U81">
            <v>269341.53000000003</v>
          </cell>
          <cell r="V81">
            <v>269003.38</v>
          </cell>
          <cell r="W81">
            <v>239663.55</v>
          </cell>
          <cell r="X81">
            <v>212786.76</v>
          </cell>
          <cell r="Y81">
            <v>185910.07</v>
          </cell>
          <cell r="Z81">
            <v>174184.8</v>
          </cell>
          <cell r="AA81">
            <v>788477.21</v>
          </cell>
          <cell r="AB81">
            <v>750667.87</v>
          </cell>
          <cell r="AC81">
            <v>712858.59</v>
          </cell>
          <cell r="AD81">
            <v>702219.45</v>
          </cell>
          <cell r="AE81">
            <v>664478.56000000006</v>
          </cell>
          <cell r="AF81">
            <v>625653.6</v>
          </cell>
          <cell r="AG81">
            <v>625653.6</v>
          </cell>
          <cell r="AH81">
            <v>587912.71</v>
          </cell>
          <cell r="AI81">
            <v>1125171.82</v>
          </cell>
          <cell r="AJ81">
            <v>1062430.93</v>
          </cell>
          <cell r="AK81">
            <v>999690.04</v>
          </cell>
          <cell r="AL81">
            <v>936949.15</v>
          </cell>
          <cell r="AM81">
            <v>874208.26</v>
          </cell>
          <cell r="AN81">
            <v>811467.37</v>
          </cell>
          <cell r="AO81">
            <v>1698726.34</v>
          </cell>
          <cell r="AP81">
            <v>1625905.36</v>
          </cell>
          <cell r="AQ81">
            <v>1553084.38</v>
          </cell>
          <cell r="AR81">
            <v>1480263.4</v>
          </cell>
          <cell r="AS81">
            <v>2633248.87</v>
          </cell>
          <cell r="AT81">
            <v>2633248.87</v>
          </cell>
          <cell r="AU81">
            <v>2560427.89</v>
          </cell>
          <cell r="AV81">
            <v>2488815.31</v>
          </cell>
          <cell r="AW81">
            <v>2417202.73</v>
          </cell>
          <cell r="AX81">
            <v>2345590.15</v>
          </cell>
          <cell r="AY81">
            <v>2273977.5699999998</v>
          </cell>
          <cell r="AZ81">
            <v>2137848.86</v>
          </cell>
          <cell r="BA81">
            <v>2001720.15</v>
          </cell>
          <cell r="BB81">
            <v>1866675.51</v>
          </cell>
          <cell r="BC81">
            <v>1731630.87</v>
          </cell>
          <cell r="BD81">
            <v>1597670.3</v>
          </cell>
          <cell r="BE81">
            <v>1613760.58</v>
          </cell>
          <cell r="BF81">
            <v>1473276.06</v>
          </cell>
          <cell r="BG81">
            <v>1473276.06</v>
          </cell>
          <cell r="BH81">
            <v>1332791.54</v>
          </cell>
          <cell r="BI81">
            <v>1192307.02</v>
          </cell>
          <cell r="BJ81">
            <v>1051822.5</v>
          </cell>
          <cell r="BK81">
            <v>911337.98</v>
          </cell>
          <cell r="BL81">
            <v>770853.46</v>
          </cell>
          <cell r="BM81">
            <v>630368.93999999994</v>
          </cell>
          <cell r="BN81">
            <v>1601204.78</v>
          </cell>
          <cell r="BO81">
            <v>1458706.75</v>
          </cell>
          <cell r="BP81">
            <v>1436417.06</v>
          </cell>
          <cell r="BQ81">
            <v>1055878.31</v>
          </cell>
          <cell r="BR81">
            <v>1503431.35</v>
          </cell>
          <cell r="BS81">
            <v>1412661.7</v>
          </cell>
          <cell r="BT81">
            <v>1412661.7</v>
          </cell>
          <cell r="BU81">
            <v>1096929.3600000001</v>
          </cell>
          <cell r="BV81">
            <v>982484.05</v>
          </cell>
          <cell r="BW81">
            <v>1365602.4</v>
          </cell>
          <cell r="BX81">
            <v>1138463.67</v>
          </cell>
          <cell r="BY81">
            <v>1023970.36</v>
          </cell>
          <cell r="BZ81">
            <v>964335.28</v>
          </cell>
          <cell r="CA81">
            <v>1485331.97</v>
          </cell>
          <cell r="CE81" t="str">
            <v>-</v>
          </cell>
          <cell r="CG81">
            <v>0</v>
          </cell>
        </row>
        <row r="82">
          <cell r="A82" t="str">
            <v>2.SEM CONTA</v>
          </cell>
          <cell r="B82" t="str">
            <v>Fornecedores Nacionais LP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35000</v>
          </cell>
          <cell r="H82">
            <v>30000</v>
          </cell>
          <cell r="I82">
            <v>25000</v>
          </cell>
          <cell r="J82">
            <v>20000</v>
          </cell>
          <cell r="K82">
            <v>15000</v>
          </cell>
          <cell r="L82">
            <v>10000</v>
          </cell>
          <cell r="M82">
            <v>5000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0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0</v>
          </cell>
          <cell r="CE82" t="str">
            <v>-</v>
          </cell>
          <cell r="CG82">
            <v>0</v>
          </cell>
        </row>
        <row r="83">
          <cell r="A83" t="str">
            <v>2.SEM CONTA</v>
          </cell>
          <cell r="B83" t="str">
            <v>Dividendos</v>
          </cell>
          <cell r="C83">
            <v>0</v>
          </cell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2000000</v>
          </cell>
          <cell r="L83">
            <v>1980000</v>
          </cell>
          <cell r="M83">
            <v>1960000</v>
          </cell>
          <cell r="N83">
            <v>1940000</v>
          </cell>
          <cell r="O83">
            <v>1920000</v>
          </cell>
          <cell r="P83">
            <v>1900000</v>
          </cell>
          <cell r="Q83">
            <v>1880000</v>
          </cell>
          <cell r="R83">
            <v>1860000</v>
          </cell>
          <cell r="S83">
            <v>1840000</v>
          </cell>
          <cell r="T83">
            <v>1840000</v>
          </cell>
          <cell r="U83">
            <v>1820000</v>
          </cell>
          <cell r="V83">
            <v>1800000</v>
          </cell>
          <cell r="W83">
            <v>1780000</v>
          </cell>
          <cell r="X83">
            <v>1000000</v>
          </cell>
          <cell r="Y83">
            <v>980000</v>
          </cell>
          <cell r="Z83">
            <v>960000</v>
          </cell>
          <cell r="AA83">
            <v>940000</v>
          </cell>
          <cell r="AB83">
            <v>920000</v>
          </cell>
          <cell r="AC83">
            <v>900000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E83" t="str">
            <v>-</v>
          </cell>
          <cell r="CG83">
            <v>0</v>
          </cell>
        </row>
        <row r="84">
          <cell r="A84" t="str">
            <v>2.9</v>
          </cell>
          <cell r="B84" t="str">
            <v>PATRIMONIO LIQUIDO</v>
          </cell>
          <cell r="C84">
            <v>7406562.5000000009</v>
          </cell>
          <cell r="D84">
            <v>11278963.076647999</v>
          </cell>
          <cell r="E84">
            <v>14722622.919999996</v>
          </cell>
          <cell r="F84">
            <v>16555484.765553121</v>
          </cell>
          <cell r="G84">
            <v>17340887.759999998</v>
          </cell>
          <cell r="H84">
            <v>17621330.043835998</v>
          </cell>
          <cell r="I84">
            <v>17857957.427667998</v>
          </cell>
          <cell r="J84">
            <v>18228502.860511996</v>
          </cell>
          <cell r="K84">
            <v>14362602.809980001</v>
          </cell>
          <cell r="L84">
            <v>14177832.333176</v>
          </cell>
          <cell r="M84">
            <v>14356586.19854</v>
          </cell>
          <cell r="N84">
            <v>14869559.9</v>
          </cell>
          <cell r="O84">
            <v>15322531.279999999</v>
          </cell>
          <cell r="P84">
            <v>16362815.529999999</v>
          </cell>
          <cell r="Q84">
            <v>16816302.93854</v>
          </cell>
          <cell r="R84">
            <v>16783726.93854</v>
          </cell>
          <cell r="S84">
            <v>16848942.448540002</v>
          </cell>
          <cell r="T84">
            <v>16848942.448540002</v>
          </cell>
          <cell r="U84">
            <v>17029724.871199999</v>
          </cell>
          <cell r="V84">
            <v>17185622.971199997</v>
          </cell>
          <cell r="W84">
            <v>17487833.071199998</v>
          </cell>
          <cell r="X84">
            <v>18032865.821199998</v>
          </cell>
          <cell r="Y84">
            <v>18544073.960000001</v>
          </cell>
          <cell r="Z84">
            <v>18546398.441200003</v>
          </cell>
          <cell r="AA84">
            <v>19258075.2612</v>
          </cell>
          <cell r="AB84">
            <v>19568697.071200002</v>
          </cell>
          <cell r="AC84">
            <v>20353079.621199999</v>
          </cell>
          <cell r="AD84">
            <v>21168474.371200003</v>
          </cell>
          <cell r="AE84">
            <v>21490167.191199999</v>
          </cell>
          <cell r="AF84">
            <v>21639860.711199999</v>
          </cell>
          <cell r="AG84">
            <v>21639860.711199999</v>
          </cell>
          <cell r="AH84">
            <v>22086675.93</v>
          </cell>
          <cell r="AI84">
            <v>22280910.210000001</v>
          </cell>
          <cell r="AJ84">
            <v>22209390.509999998</v>
          </cell>
          <cell r="AK84">
            <v>22200762.709999997</v>
          </cell>
          <cell r="AL84">
            <v>22769344.119999997</v>
          </cell>
          <cell r="AM84">
            <v>24209747.02</v>
          </cell>
          <cell r="AN84">
            <v>25384364.049999997</v>
          </cell>
          <cell r="AO84">
            <v>26485491.219999999</v>
          </cell>
          <cell r="AP84">
            <v>27859585.299999997</v>
          </cell>
          <cell r="AQ84">
            <v>29470882.860000003</v>
          </cell>
          <cell r="AR84">
            <v>30426822.580000002</v>
          </cell>
          <cell r="AS84">
            <v>31501111.270000007</v>
          </cell>
          <cell r="AT84">
            <v>31501111.270000007</v>
          </cell>
          <cell r="AU84">
            <v>32800011.300000001</v>
          </cell>
          <cell r="AV84">
            <v>33541957.220000003</v>
          </cell>
          <cell r="AW84">
            <v>35195999.420000002</v>
          </cell>
          <cell r="AX84">
            <v>37470596.560000002</v>
          </cell>
          <cell r="AY84">
            <v>39513180.20000001</v>
          </cell>
          <cell r="AZ84">
            <v>39502439</v>
          </cell>
          <cell r="BA84">
            <v>42234676.320000008</v>
          </cell>
          <cell r="BB84">
            <v>44815316.570000008</v>
          </cell>
          <cell r="BC84">
            <v>47805513.170000009</v>
          </cell>
          <cell r="BD84">
            <v>49087177.159999996</v>
          </cell>
          <cell r="BE84">
            <v>50392193.5</v>
          </cell>
          <cell r="BF84">
            <v>50965544.420000002</v>
          </cell>
          <cell r="BG84">
            <v>50965544.420000002</v>
          </cell>
          <cell r="BH84">
            <v>51602863.980000004</v>
          </cell>
          <cell r="BI84">
            <v>52624444.939999998</v>
          </cell>
          <cell r="BJ84">
            <v>54134100.719999999</v>
          </cell>
          <cell r="BK84">
            <v>55787171.909999996</v>
          </cell>
          <cell r="BL84">
            <v>57188862.310000002</v>
          </cell>
          <cell r="BM84">
            <v>58463193.250000007</v>
          </cell>
          <cell r="BN84">
            <v>60398160.869999997</v>
          </cell>
          <cell r="BO84">
            <v>61224456.859999999</v>
          </cell>
          <cell r="BP84">
            <v>62554114.880000003</v>
          </cell>
          <cell r="BQ84">
            <v>62896927.120000005</v>
          </cell>
          <cell r="BR84">
            <v>64333794.82</v>
          </cell>
          <cell r="BS84">
            <v>64315063.965000011</v>
          </cell>
          <cell r="BT84">
            <v>64315063.965000011</v>
          </cell>
          <cell r="BU84">
            <v>64751420.169999994</v>
          </cell>
          <cell r="BV84">
            <v>64838001.960000001</v>
          </cell>
          <cell r="BW84">
            <v>65465781.869999997</v>
          </cell>
          <cell r="BX84">
            <v>66230001.789999999</v>
          </cell>
          <cell r="BY84">
            <v>67966375.779999986</v>
          </cell>
          <cell r="BZ84">
            <v>69343992.899999991</v>
          </cell>
          <cell r="CA84">
            <v>63575831.109999999</v>
          </cell>
          <cell r="CE84" t="str">
            <v>-</v>
          </cell>
          <cell r="CG84">
            <v>0</v>
          </cell>
        </row>
        <row r="85">
          <cell r="A85" t="str">
            <v>2.9.1</v>
          </cell>
          <cell r="B85" t="str">
            <v>Capital Social</v>
          </cell>
          <cell r="C85">
            <v>500000</v>
          </cell>
          <cell r="D85">
            <v>500000</v>
          </cell>
          <cell r="E85">
            <v>1000000</v>
          </cell>
          <cell r="F85">
            <v>1000000</v>
          </cell>
          <cell r="G85">
            <v>1000000</v>
          </cell>
          <cell r="H85">
            <v>1000000</v>
          </cell>
          <cell r="I85">
            <v>1000000</v>
          </cell>
          <cell r="J85">
            <v>1000000</v>
          </cell>
          <cell r="K85">
            <v>1000000</v>
          </cell>
          <cell r="L85">
            <v>1000000</v>
          </cell>
          <cell r="M85">
            <v>1000000</v>
          </cell>
          <cell r="N85">
            <v>1000000</v>
          </cell>
          <cell r="O85">
            <v>1000000</v>
          </cell>
          <cell r="P85">
            <v>1000000</v>
          </cell>
          <cell r="Q85">
            <v>1000000</v>
          </cell>
          <cell r="R85">
            <v>1000000</v>
          </cell>
          <cell r="S85">
            <v>1000000</v>
          </cell>
          <cell r="T85">
            <v>1000000</v>
          </cell>
          <cell r="U85">
            <v>1000000</v>
          </cell>
          <cell r="V85">
            <v>1000000</v>
          </cell>
          <cell r="W85">
            <v>1000000</v>
          </cell>
          <cell r="X85">
            <v>1000000</v>
          </cell>
          <cell r="Y85">
            <v>1000000</v>
          </cell>
          <cell r="Z85">
            <v>1000000</v>
          </cell>
          <cell r="AA85">
            <v>1000000</v>
          </cell>
          <cell r="AB85">
            <v>1000000</v>
          </cell>
          <cell r="AC85">
            <v>1000000</v>
          </cell>
          <cell r="AD85">
            <v>1000000</v>
          </cell>
          <cell r="AE85">
            <v>1000000</v>
          </cell>
          <cell r="AF85">
            <v>1000000</v>
          </cell>
          <cell r="AG85">
            <v>1000000</v>
          </cell>
          <cell r="AH85">
            <v>1000000</v>
          </cell>
          <cell r="AI85">
            <v>1000000</v>
          </cell>
          <cell r="AJ85">
            <v>1000000</v>
          </cell>
          <cell r="AK85">
            <v>1000000</v>
          </cell>
          <cell r="AL85">
            <v>1000000</v>
          </cell>
          <cell r="AM85">
            <v>1000000</v>
          </cell>
          <cell r="AN85">
            <v>1000000</v>
          </cell>
          <cell r="AO85">
            <v>1000000</v>
          </cell>
          <cell r="AP85">
            <v>1000000</v>
          </cell>
          <cell r="AQ85">
            <v>1000000</v>
          </cell>
          <cell r="AR85">
            <v>1000000</v>
          </cell>
          <cell r="AS85">
            <v>1000000</v>
          </cell>
          <cell r="AT85">
            <v>1000000</v>
          </cell>
          <cell r="AU85">
            <v>1000000</v>
          </cell>
          <cell r="AV85">
            <v>1000000</v>
          </cell>
          <cell r="AW85">
            <v>1000000</v>
          </cell>
          <cell r="AX85">
            <v>1000000</v>
          </cell>
          <cell r="AY85">
            <v>1000000</v>
          </cell>
          <cell r="AZ85">
            <v>1000000</v>
          </cell>
          <cell r="BA85">
            <v>1000000</v>
          </cell>
          <cell r="BB85">
            <v>1000000</v>
          </cell>
          <cell r="BC85">
            <v>1000000</v>
          </cell>
          <cell r="BD85">
            <v>1000000</v>
          </cell>
          <cell r="BE85">
            <v>1000000</v>
          </cell>
          <cell r="BF85">
            <v>1000000</v>
          </cell>
          <cell r="BG85">
            <v>1000000</v>
          </cell>
          <cell r="BH85">
            <v>1000000</v>
          </cell>
          <cell r="BI85">
            <v>1000000</v>
          </cell>
          <cell r="BJ85">
            <v>1000000</v>
          </cell>
          <cell r="BK85">
            <v>1000000</v>
          </cell>
          <cell r="BL85">
            <v>1000000</v>
          </cell>
          <cell r="BM85">
            <v>1000000</v>
          </cell>
          <cell r="BN85">
            <v>1000000</v>
          </cell>
          <cell r="BO85">
            <v>1000000</v>
          </cell>
          <cell r="BP85">
            <v>1000000</v>
          </cell>
          <cell r="BQ85">
            <v>1000000</v>
          </cell>
          <cell r="BR85">
            <v>1000000</v>
          </cell>
          <cell r="BS85">
            <v>1000000</v>
          </cell>
          <cell r="BT85">
            <v>1000000</v>
          </cell>
          <cell r="BU85">
            <v>1000000</v>
          </cell>
          <cell r="BV85">
            <v>1000000</v>
          </cell>
          <cell r="BW85">
            <v>1000000</v>
          </cell>
          <cell r="BX85">
            <v>1000000</v>
          </cell>
          <cell r="BY85">
            <v>1000000</v>
          </cell>
          <cell r="BZ85">
            <v>1000000</v>
          </cell>
          <cell r="CA85">
            <v>1000000</v>
          </cell>
          <cell r="CE85" t="str">
            <v>-</v>
          </cell>
          <cell r="CG85">
            <v>0</v>
          </cell>
        </row>
        <row r="86">
          <cell r="A86" t="str">
            <v>2.SEM CONTA</v>
          </cell>
          <cell r="B86" t="str">
            <v>Reservas de Capital</v>
          </cell>
          <cell r="C86">
            <v>2.66</v>
          </cell>
          <cell r="D86">
            <v>2.66</v>
          </cell>
          <cell r="E86">
            <v>0</v>
          </cell>
          <cell r="F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T86">
            <v>0</v>
          </cell>
          <cell r="AG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BR86">
            <v>0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BZ86">
            <v>0</v>
          </cell>
          <cell r="CA86">
            <v>0</v>
          </cell>
          <cell r="CE86" t="str">
            <v>-</v>
          </cell>
          <cell r="CG86">
            <v>0</v>
          </cell>
        </row>
        <row r="87">
          <cell r="A87" t="str">
            <v>2.9.4.1.01.00001</v>
          </cell>
          <cell r="B87" t="str">
            <v>Reserva de Lucros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49965544.420000002</v>
          </cell>
          <cell r="BH87">
            <v>49965544.420000002</v>
          </cell>
          <cell r="BI87">
            <v>49965544.420000002</v>
          </cell>
          <cell r="BJ87">
            <v>49965544.420000002</v>
          </cell>
          <cell r="BK87">
            <v>49965544.420000002</v>
          </cell>
          <cell r="BL87">
            <v>49965544.420000002</v>
          </cell>
          <cell r="BM87">
            <v>49965544.420000002</v>
          </cell>
          <cell r="BN87">
            <v>49965544.420000002</v>
          </cell>
          <cell r="BO87">
            <v>49965544.420000002</v>
          </cell>
          <cell r="BP87">
            <v>49965544.420000002</v>
          </cell>
          <cell r="BQ87">
            <v>49965544.420000002</v>
          </cell>
          <cell r="BR87">
            <v>49965544.420000002</v>
          </cell>
          <cell r="BS87">
            <v>49965544.420000002</v>
          </cell>
          <cell r="BT87">
            <v>63315063.965000011</v>
          </cell>
          <cell r="BU87">
            <v>63315063.969999999</v>
          </cell>
          <cell r="BV87">
            <v>63315063.969999999</v>
          </cell>
          <cell r="BW87">
            <v>63315063.969999999</v>
          </cell>
          <cell r="BX87">
            <v>63315063.969999999</v>
          </cell>
          <cell r="BY87">
            <v>63315063.969999999</v>
          </cell>
          <cell r="BZ87">
            <v>63315063.969999999</v>
          </cell>
          <cell r="CA87">
            <v>63315063.969999999</v>
          </cell>
          <cell r="CE87" t="str">
            <v>-</v>
          </cell>
          <cell r="CG87">
            <v>0</v>
          </cell>
        </row>
        <row r="88">
          <cell r="A88" t="str">
            <v>2.9.8.1.01.00002</v>
          </cell>
          <cell r="B88" t="str">
            <v>Lucros Acumulados</v>
          </cell>
          <cell r="C88">
            <v>2714499.53</v>
          </cell>
          <cell r="D88">
            <v>6906559.8400000008</v>
          </cell>
          <cell r="E88">
            <v>10278963.060000001</v>
          </cell>
          <cell r="F88">
            <v>13722622.92</v>
          </cell>
          <cell r="G88">
            <v>15555484.77</v>
          </cell>
          <cell r="H88">
            <v>16396378.839999998</v>
          </cell>
          <cell r="I88">
            <v>16396378.839999998</v>
          </cell>
          <cell r="J88">
            <v>16396378.839999998</v>
          </cell>
          <cell r="K88">
            <v>12206378.84</v>
          </cell>
          <cell r="L88">
            <v>12206378.84</v>
          </cell>
          <cell r="M88">
            <v>12206378.84</v>
          </cell>
          <cell r="N88">
            <v>12206378.84</v>
          </cell>
          <cell r="O88">
            <v>12206378.84</v>
          </cell>
          <cell r="P88">
            <v>12206378.84</v>
          </cell>
          <cell r="Q88">
            <v>12206378.84</v>
          </cell>
          <cell r="R88">
            <v>12206378.84</v>
          </cell>
          <cell r="S88">
            <v>12206378.84</v>
          </cell>
          <cell r="T88">
            <v>12206378.84</v>
          </cell>
          <cell r="U88">
            <v>15847594.449999999</v>
          </cell>
          <cell r="V88">
            <v>15847594.449999999</v>
          </cell>
          <cell r="W88">
            <v>15847594.449999999</v>
          </cell>
          <cell r="X88">
            <v>15859717.369999999</v>
          </cell>
          <cell r="Y88">
            <v>15865265.779999999</v>
          </cell>
          <cell r="Z88">
            <v>15865265.779999999</v>
          </cell>
          <cell r="AA88">
            <v>15865265.779999999</v>
          </cell>
          <cell r="AB88">
            <v>15865265.779999999</v>
          </cell>
          <cell r="AC88">
            <v>15865265.779999999</v>
          </cell>
          <cell r="AD88">
            <v>15865265.779999999</v>
          </cell>
          <cell r="AE88">
            <v>15862813.09</v>
          </cell>
          <cell r="AF88">
            <v>15862813.09</v>
          </cell>
          <cell r="AG88">
            <v>15862813.09</v>
          </cell>
          <cell r="AH88">
            <v>20639860.710000001</v>
          </cell>
          <cell r="AI88">
            <v>20639860.710000001</v>
          </cell>
          <cell r="AJ88">
            <v>20639860.710000001</v>
          </cell>
          <cell r="AK88">
            <v>20576440.449999999</v>
          </cell>
          <cell r="AL88">
            <v>20576440.449999999</v>
          </cell>
          <cell r="AM88">
            <v>20576440.449999999</v>
          </cell>
          <cell r="AN88">
            <v>20576440.449999999</v>
          </cell>
          <cell r="AO88">
            <v>20576440.449999999</v>
          </cell>
          <cell r="AP88">
            <v>20576440.449999999</v>
          </cell>
          <cell r="AQ88">
            <v>20576440.449999999</v>
          </cell>
          <cell r="AR88">
            <v>20576440.449999999</v>
          </cell>
          <cell r="AS88">
            <v>20576441.760000002</v>
          </cell>
          <cell r="AT88">
            <v>20576441.760000002</v>
          </cell>
          <cell r="AU88">
            <v>30501111.27</v>
          </cell>
          <cell r="AV88">
            <v>30501111.27</v>
          </cell>
          <cell r="AW88">
            <v>30501111.27</v>
          </cell>
          <cell r="AX88">
            <v>30501111.27</v>
          </cell>
          <cell r="AY88">
            <v>30501111.27</v>
          </cell>
          <cell r="AZ88">
            <v>30501111.27</v>
          </cell>
          <cell r="BA88">
            <v>30501111.27</v>
          </cell>
          <cell r="BB88">
            <v>30501111.27</v>
          </cell>
          <cell r="BC88">
            <v>30501111.27</v>
          </cell>
          <cell r="BD88">
            <v>30501111.27</v>
          </cell>
          <cell r="BE88">
            <v>30501111.27</v>
          </cell>
          <cell r="BF88">
            <v>30501111.27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E88" t="str">
            <v>-</v>
          </cell>
          <cell r="CG88">
            <v>0</v>
          </cell>
        </row>
        <row r="89">
          <cell r="A89" t="str">
            <v>2.9.8.1.01.00007</v>
          </cell>
          <cell r="B89" t="str">
            <v>Ajustes Exercicios Anteriores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285278.82</v>
          </cell>
          <cell r="BO89">
            <v>285278.82</v>
          </cell>
          <cell r="BP89">
            <v>286990.82</v>
          </cell>
          <cell r="BQ89">
            <v>286990.82</v>
          </cell>
          <cell r="BR89">
            <v>286990.82</v>
          </cell>
          <cell r="BS89">
            <v>286990.82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BZ89">
            <v>0</v>
          </cell>
          <cell r="CA89">
            <v>-127407.11</v>
          </cell>
          <cell r="CE89" t="str">
            <v>-</v>
          </cell>
          <cell r="CG89">
            <v>0</v>
          </cell>
        </row>
        <row r="90">
          <cell r="A90" t="str">
            <v>2.9.9.1.01.00900</v>
          </cell>
          <cell r="B90" t="str">
            <v>Lucro do Exercício</v>
          </cell>
          <cell r="C90">
            <v>4882023.78</v>
          </cell>
          <cell r="D90">
            <v>4909752.5666479971</v>
          </cell>
          <cell r="E90">
            <v>5990845.3499999959</v>
          </cell>
          <cell r="F90">
            <v>4094465.8455531197</v>
          </cell>
          <cell r="G90">
            <v>3017322.9899999974</v>
          </cell>
          <cell r="H90">
            <v>292019.20383600012</v>
          </cell>
          <cell r="I90">
            <v>599608.58766799991</v>
          </cell>
          <cell r="J90">
            <v>1092496.020512</v>
          </cell>
          <cell r="K90">
            <v>1546872.3399800002</v>
          </cell>
          <cell r="L90">
            <v>1720256.6631760004</v>
          </cell>
          <cell r="M90">
            <v>1921060.5285400006</v>
          </cell>
          <cell r="N90">
            <v>2519117.91</v>
          </cell>
          <cell r="O90">
            <v>3075609.29</v>
          </cell>
          <cell r="P90">
            <v>4194200.86</v>
          </cell>
          <cell r="Q90">
            <v>4774653.4685400007</v>
          </cell>
          <cell r="R90">
            <v>4828713.8785400009</v>
          </cell>
          <cell r="S90">
            <v>5065488.8285400001</v>
          </cell>
          <cell r="T90">
            <v>5065488.8285400001</v>
          </cell>
          <cell r="U90">
            <v>254542.06120000049</v>
          </cell>
          <cell r="V90">
            <v>487998.4412</v>
          </cell>
          <cell r="W90">
            <v>885121.56120000035</v>
          </cell>
          <cell r="X90">
            <v>1502337.3812000002</v>
          </cell>
          <cell r="Y90">
            <v>2086872.43</v>
          </cell>
          <cell r="Z90">
            <v>2221432.9312</v>
          </cell>
          <cell r="AA90">
            <v>3036503.0112000005</v>
          </cell>
          <cell r="AB90">
            <v>3433117.2711999998</v>
          </cell>
          <cell r="AC90">
            <v>4310840.6911999993</v>
          </cell>
          <cell r="AD90">
            <v>5219845.2412</v>
          </cell>
          <cell r="AE90">
            <v>5630506.0612000003</v>
          </cell>
          <cell r="AF90">
            <v>6065079.5811999999</v>
          </cell>
          <cell r="AG90">
            <v>6065079.5811999999</v>
          </cell>
          <cell r="AH90">
            <v>531662.90999999968</v>
          </cell>
          <cell r="AI90">
            <v>796562.63999999955</v>
          </cell>
          <cell r="AJ90">
            <v>827867.16999999946</v>
          </cell>
          <cell r="AK90">
            <v>952691.18999999901</v>
          </cell>
          <cell r="AL90">
            <v>1565175.04</v>
          </cell>
          <cell r="AM90">
            <v>3058475.21</v>
          </cell>
          <cell r="AN90">
            <v>4256043.7699999996</v>
          </cell>
          <cell r="AO90">
            <v>5571020.7300000004</v>
          </cell>
          <cell r="AP90">
            <v>7035103.5200000014</v>
          </cell>
          <cell r="AQ90">
            <v>8730357.9300000016</v>
          </cell>
          <cell r="AR90">
            <v>9841774.8700000029</v>
          </cell>
          <cell r="AS90">
            <v>11120726.820000004</v>
          </cell>
          <cell r="AT90">
            <v>11120726.820000004</v>
          </cell>
          <cell r="AU90">
            <v>1381027.6000000015</v>
          </cell>
          <cell r="AV90">
            <v>2326051.0700000026</v>
          </cell>
          <cell r="AW90">
            <v>4152840.3600000022</v>
          </cell>
          <cell r="AX90">
            <v>6669900.1400000025</v>
          </cell>
          <cell r="AY90">
            <v>9052770.4100000039</v>
          </cell>
          <cell r="AZ90">
            <v>11919284.500000004</v>
          </cell>
          <cell r="BA90">
            <v>14815002.720000006</v>
          </cell>
          <cell r="BB90">
            <v>17547119.830000006</v>
          </cell>
          <cell r="BC90">
            <v>20621001.550000004</v>
          </cell>
          <cell r="BD90">
            <v>22004411.670000002</v>
          </cell>
          <cell r="BE90">
            <v>23488691.050000001</v>
          </cell>
          <cell r="BF90">
            <v>24551941.23</v>
          </cell>
          <cell r="BG90">
            <v>0</v>
          </cell>
          <cell r="BH90">
            <v>713523.09000000032</v>
          </cell>
          <cell r="BI90">
            <v>1808194.0100000005</v>
          </cell>
          <cell r="BJ90">
            <v>3477547.1199999992</v>
          </cell>
          <cell r="BK90">
            <v>5205686.33</v>
          </cell>
          <cell r="BL90">
            <v>6709359.3299999982</v>
          </cell>
          <cell r="BM90">
            <v>8072486.9499999993</v>
          </cell>
          <cell r="BN90">
            <v>9799204.7299999986</v>
          </cell>
          <cell r="BO90">
            <v>11205559.930000002</v>
          </cell>
          <cell r="BP90">
            <v>12609569.850000003</v>
          </cell>
          <cell r="BQ90">
            <v>13038620.350000003</v>
          </cell>
          <cell r="BR90">
            <v>14552954.710000003</v>
          </cell>
          <cell r="BS90">
            <v>14712785.135000004</v>
          </cell>
          <cell r="BU90">
            <v>511528.04999999981</v>
          </cell>
          <cell r="BV90">
            <v>670298.63999999966</v>
          </cell>
          <cell r="BW90">
            <v>1378627.7799999993</v>
          </cell>
          <cell r="BX90">
            <v>2290796.3099999991</v>
          </cell>
          <cell r="BY90">
            <v>4101097.9299999988</v>
          </cell>
          <cell r="BZ90">
            <v>5560810.8000000007</v>
          </cell>
          <cell r="CA90" t="str">
            <v>Verificar</v>
          </cell>
          <cell r="CE90" t="str">
            <v>-</v>
          </cell>
          <cell r="CG90">
            <v>0</v>
          </cell>
        </row>
        <row r="91">
          <cell r="A91" t="str">
            <v>2.9.9.1.01.00002</v>
          </cell>
          <cell r="B91" t="str">
            <v>( - ) Dividendos</v>
          </cell>
          <cell r="C91">
            <v>-689963.47</v>
          </cell>
          <cell r="D91">
            <v>-1037351.99</v>
          </cell>
          <cell r="E91">
            <v>-2547185.4900000002</v>
          </cell>
          <cell r="F91">
            <v>-2261604</v>
          </cell>
          <cell r="G91">
            <v>-2231920</v>
          </cell>
          <cell r="H91">
            <v>-67068</v>
          </cell>
          <cell r="I91">
            <v>-138030</v>
          </cell>
          <cell r="J91">
            <v>-260372</v>
          </cell>
          <cell r="K91">
            <v>-390648.37</v>
          </cell>
          <cell r="L91">
            <v>-748803.16999999993</v>
          </cell>
          <cell r="M91">
            <v>-770853.16999999993</v>
          </cell>
          <cell r="N91">
            <v>-855936.85</v>
          </cell>
          <cell r="O91">
            <v>-959456.85</v>
          </cell>
          <cell r="P91">
            <v>-1037764.17</v>
          </cell>
          <cell r="Q91">
            <v>-1164729.3700000001</v>
          </cell>
          <cell r="R91">
            <v>-1251365.78</v>
          </cell>
          <cell r="S91">
            <v>-1422925.22</v>
          </cell>
          <cell r="T91">
            <v>-1422925.22</v>
          </cell>
          <cell r="U91">
            <v>-72411.64</v>
          </cell>
          <cell r="V91">
            <v>-149969.92000000001</v>
          </cell>
          <cell r="W91">
            <v>-244882.94</v>
          </cell>
          <cell r="X91">
            <v>-329188.93</v>
          </cell>
          <cell r="Y91">
            <v>-408064.25</v>
          </cell>
          <cell r="Z91">
            <v>-540300.27</v>
          </cell>
          <cell r="AA91">
            <v>-643693.53</v>
          </cell>
          <cell r="AB91">
            <v>-729685.98</v>
          </cell>
          <cell r="AC91">
            <v>-823026.85</v>
          </cell>
          <cell r="AD91">
            <v>-916636.65</v>
          </cell>
          <cell r="AE91">
            <v>-1003151.96</v>
          </cell>
          <cell r="AF91">
            <v>-1288031.96</v>
          </cell>
          <cell r="AG91">
            <v>-1288031.96</v>
          </cell>
          <cell r="AH91">
            <v>-84847.69</v>
          </cell>
          <cell r="AI91">
            <v>-155513.14000000001</v>
          </cell>
          <cell r="AJ91">
            <v>-258337.37</v>
          </cell>
          <cell r="AK91">
            <v>-328368.93</v>
          </cell>
          <cell r="AL91">
            <v>-372271.37</v>
          </cell>
          <cell r="AM91">
            <v>-425168.64000000001</v>
          </cell>
          <cell r="AN91">
            <v>-448120.17</v>
          </cell>
          <cell r="AO91">
            <v>-661969.96</v>
          </cell>
          <cell r="AP91">
            <v>-751958.67</v>
          </cell>
          <cell r="AQ91">
            <v>-835915.52</v>
          </cell>
          <cell r="AR91">
            <v>-991392.74</v>
          </cell>
          <cell r="AS91">
            <v>-1196057.31</v>
          </cell>
          <cell r="AT91">
            <v>-1196057.31</v>
          </cell>
          <cell r="AU91">
            <v>-82127.570000000007</v>
          </cell>
          <cell r="AV91">
            <v>-285205.12</v>
          </cell>
          <cell r="AW91">
            <v>-457952.21</v>
          </cell>
          <cell r="AX91">
            <v>-700414.85</v>
          </cell>
          <cell r="AY91">
            <v>-1040701.48</v>
          </cell>
          <cell r="AZ91">
            <v>-3917956.77</v>
          </cell>
          <cell r="BA91">
            <v>-4081437.67</v>
          </cell>
          <cell r="BB91">
            <v>-4232914.53</v>
          </cell>
          <cell r="BC91">
            <v>-4316599.6500000004</v>
          </cell>
          <cell r="BD91">
            <v>-4418345.78</v>
          </cell>
          <cell r="BE91">
            <v>-4597608.82</v>
          </cell>
          <cell r="BF91">
            <v>-5087508.08</v>
          </cell>
          <cell r="BG91">
            <v>0</v>
          </cell>
          <cell r="BH91">
            <v>-76203.53</v>
          </cell>
          <cell r="BI91">
            <v>-149293.49</v>
          </cell>
          <cell r="BJ91">
            <v>-308990.82</v>
          </cell>
          <cell r="BK91">
            <v>-384058.84</v>
          </cell>
          <cell r="BL91">
            <v>-486041.44</v>
          </cell>
          <cell r="BM91">
            <v>-574838.12</v>
          </cell>
          <cell r="BN91">
            <v>-651867.1</v>
          </cell>
          <cell r="BO91">
            <v>-1231926.31</v>
          </cell>
          <cell r="BP91">
            <v>-1307990.21</v>
          </cell>
          <cell r="BQ91">
            <v>-1394228.47</v>
          </cell>
          <cell r="BR91">
            <v>-1471695.13</v>
          </cell>
          <cell r="BS91">
            <v>-1650256.41</v>
          </cell>
          <cell r="BU91">
            <v>-75171.850000000006</v>
          </cell>
          <cell r="BV91">
            <v>-147360.65</v>
          </cell>
          <cell r="BW91">
            <v>-227909.88</v>
          </cell>
          <cell r="BX91">
            <v>-375858.49</v>
          </cell>
          <cell r="BY91">
            <v>-449786.12</v>
          </cell>
          <cell r="BZ91">
            <v>-531881.87</v>
          </cell>
          <cell r="CA91">
            <v>-611825.75</v>
          </cell>
          <cell r="CE91" t="str">
            <v>-</v>
          </cell>
          <cell r="CG91">
            <v>0</v>
          </cell>
        </row>
        <row r="92">
          <cell r="A92" t="str">
            <v>3.1.1.1.01.00001</v>
          </cell>
          <cell r="B92" t="str">
            <v>Venda de Produtos</v>
          </cell>
          <cell r="C92">
            <v>1305233.3400000001</v>
          </cell>
          <cell r="D92">
            <v>1639498.27</v>
          </cell>
          <cell r="E92">
            <v>8332640.2999999998</v>
          </cell>
          <cell r="F92">
            <v>12619853.310000001</v>
          </cell>
          <cell r="G92">
            <v>13168756.68</v>
          </cell>
          <cell r="H92">
            <v>947850.77</v>
          </cell>
          <cell r="I92">
            <v>1394543.29</v>
          </cell>
          <cell r="J92">
            <v>1253684.54</v>
          </cell>
          <cell r="K92">
            <v>1661797.05</v>
          </cell>
          <cell r="L92">
            <v>769827.44</v>
          </cell>
          <cell r="M92">
            <v>929925.86</v>
          </cell>
          <cell r="N92">
            <v>2187200.92</v>
          </cell>
          <cell r="O92">
            <v>2045181.74</v>
          </cell>
          <cell r="P92">
            <v>2247031.2799999998</v>
          </cell>
          <cell r="Q92">
            <v>1647412.5</v>
          </cell>
          <cell r="R92">
            <v>1006957.67</v>
          </cell>
          <cell r="S92">
            <v>472766.75</v>
          </cell>
          <cell r="T92">
            <v>16564179.810000001</v>
          </cell>
          <cell r="U92">
            <v>1366210.07</v>
          </cell>
          <cell r="V92">
            <v>1392304.38</v>
          </cell>
          <cell r="W92">
            <v>1781041.58</v>
          </cell>
          <cell r="X92">
            <v>1932142.57</v>
          </cell>
          <cell r="Y92">
            <v>1506830.59</v>
          </cell>
          <cell r="Z92">
            <v>1489626.98</v>
          </cell>
          <cell r="AA92">
            <v>1051532.76</v>
          </cell>
          <cell r="AB92">
            <v>873608.58</v>
          </cell>
          <cell r="AC92">
            <v>2385732.6</v>
          </cell>
          <cell r="AD92">
            <v>2862482.78</v>
          </cell>
          <cell r="AE92">
            <v>2000207.17</v>
          </cell>
          <cell r="AF92">
            <v>1484994.4</v>
          </cell>
          <cell r="AG92">
            <v>20126714.459999997</v>
          </cell>
          <cell r="AH92">
            <v>2380236.5499999998</v>
          </cell>
          <cell r="AI92">
            <v>1683913.48</v>
          </cell>
          <cell r="AJ92">
            <v>1167245.2</v>
          </cell>
          <cell r="AK92">
            <v>1092274.4099999999</v>
          </cell>
          <cell r="AL92">
            <v>1814205.24</v>
          </cell>
          <cell r="AM92">
            <v>3545061.24</v>
          </cell>
          <cell r="AN92">
            <v>3517699.38</v>
          </cell>
          <cell r="AO92">
            <v>3847892.59</v>
          </cell>
          <cell r="AP92">
            <v>3553860.46</v>
          </cell>
          <cell r="AQ92">
            <v>4699565</v>
          </cell>
          <cell r="AR92">
            <v>3926232.4</v>
          </cell>
          <cell r="AS92">
            <v>3545719.83</v>
          </cell>
          <cell r="AT92">
            <v>34773905.780000001</v>
          </cell>
          <cell r="AU92">
            <v>4386291.17</v>
          </cell>
          <cell r="AV92">
            <v>5042066.95</v>
          </cell>
          <cell r="AW92">
            <v>5154778.3</v>
          </cell>
          <cell r="AX92">
            <v>5198061.41</v>
          </cell>
          <cell r="AY92">
            <v>5678914.5899999999</v>
          </cell>
          <cell r="AZ92">
            <v>7509766.0599999996</v>
          </cell>
          <cell r="BA92">
            <v>7744603.4500000002</v>
          </cell>
          <cell r="BB92">
            <v>6555668.8300000001</v>
          </cell>
          <cell r="BC92">
            <v>8163755.4199999999</v>
          </cell>
          <cell r="BD92">
            <v>6881439.4199999999</v>
          </cell>
          <cell r="BE92">
            <v>6023303</v>
          </cell>
          <cell r="BF92">
            <v>6382278.2400000002</v>
          </cell>
          <cell r="BG92">
            <v>74720926.839999989</v>
          </cell>
          <cell r="BH92">
            <v>5223474.67</v>
          </cell>
          <cell r="BI92">
            <v>6968082.6500000004</v>
          </cell>
          <cell r="BJ92">
            <v>10041545.859999999</v>
          </cell>
          <cell r="BK92">
            <v>8289079.2400000002</v>
          </cell>
          <cell r="BL92">
            <v>7421306.5300000003</v>
          </cell>
          <cell r="BM92">
            <v>8027562.9100000001</v>
          </cell>
          <cell r="BN92">
            <v>5961995.5800000001</v>
          </cell>
          <cell r="BO92">
            <v>7130866.9800000004</v>
          </cell>
          <cell r="BP92">
            <v>7641209.6699999999</v>
          </cell>
          <cell r="BQ92">
            <v>5012914.8099999996</v>
          </cell>
          <cell r="BR92">
            <v>5707037.0999999996</v>
          </cell>
          <cell r="BS92">
            <v>4749371.9000000004</v>
          </cell>
          <cell r="BT92">
            <v>82174447.900000006</v>
          </cell>
          <cell r="BU92">
            <v>3605164.01</v>
          </cell>
          <cell r="BV92">
            <v>3701968.03</v>
          </cell>
          <cell r="BW92">
            <v>4957534.95</v>
          </cell>
          <cell r="BX92">
            <v>4435731.78</v>
          </cell>
          <cell r="BY92">
            <v>7658270.7599999998</v>
          </cell>
          <cell r="BZ92">
            <v>7505676.71</v>
          </cell>
          <cell r="CA92">
            <v>4547291.42</v>
          </cell>
          <cell r="CD92" t="str">
            <v>Venda de Produtos</v>
          </cell>
          <cell r="CE92">
            <v>36411637.660000004</v>
          </cell>
          <cell r="CF92">
            <v>3150000</v>
          </cell>
          <cell r="CG92">
            <v>3150000</v>
          </cell>
        </row>
        <row r="93">
          <cell r="A93" t="str">
            <v>3.1.1.1.01.00002</v>
          </cell>
          <cell r="B93" t="str">
            <v>Revenda de Mercadorias</v>
          </cell>
          <cell r="C93">
            <v>13114322.470000001</v>
          </cell>
          <cell r="D93">
            <v>17469414.649999999</v>
          </cell>
          <cell r="E93">
            <v>18074499.350000001</v>
          </cell>
          <cell r="F93">
            <v>10711886.609999999</v>
          </cell>
          <cell r="G93">
            <v>7959660.3600000003</v>
          </cell>
          <cell r="H93">
            <v>498151.9</v>
          </cell>
          <cell r="I93">
            <v>437130.42</v>
          </cell>
          <cell r="J93">
            <v>1271883.27</v>
          </cell>
          <cell r="K93">
            <v>604796.12</v>
          </cell>
          <cell r="L93">
            <v>370959.29</v>
          </cell>
          <cell r="M93">
            <v>1153082.47</v>
          </cell>
          <cell r="N93">
            <v>1434853.82</v>
          </cell>
          <cell r="O93">
            <v>839619.24</v>
          </cell>
          <cell r="P93">
            <v>1925123.09</v>
          </cell>
          <cell r="Q93">
            <v>1476516.71</v>
          </cell>
          <cell r="R93">
            <v>976712.09</v>
          </cell>
          <cell r="S93">
            <v>549835.01</v>
          </cell>
          <cell r="T93">
            <v>11538663.430000002</v>
          </cell>
          <cell r="U93">
            <v>1197171.97</v>
          </cell>
          <cell r="V93">
            <v>828050.71</v>
          </cell>
          <cell r="W93">
            <v>965558.99</v>
          </cell>
          <cell r="X93">
            <v>937029.35</v>
          </cell>
          <cell r="Y93">
            <v>1422535.51</v>
          </cell>
          <cell r="Z93">
            <v>763554.44</v>
          </cell>
          <cell r="AA93">
            <v>1534446.99</v>
          </cell>
          <cell r="AB93">
            <v>1489649.2</v>
          </cell>
          <cell r="AC93">
            <v>1524081.73</v>
          </cell>
          <cell r="AD93">
            <v>1089235.46</v>
          </cell>
          <cell r="AE93">
            <v>1108567</v>
          </cell>
          <cell r="AF93">
            <v>780577.63</v>
          </cell>
          <cell r="AG93">
            <v>13640458.980000002</v>
          </cell>
          <cell r="AH93">
            <v>730956.42</v>
          </cell>
          <cell r="AI93">
            <v>719781.66</v>
          </cell>
          <cell r="AJ93">
            <v>604247.57999999996</v>
          </cell>
          <cell r="AK93">
            <v>773561.06</v>
          </cell>
          <cell r="AL93">
            <v>886570.69</v>
          </cell>
          <cell r="AM93">
            <v>712684.48</v>
          </cell>
          <cell r="AN93">
            <v>1193338.1100000001</v>
          </cell>
          <cell r="AO93">
            <v>999598.24</v>
          </cell>
          <cell r="AP93">
            <v>944574.15</v>
          </cell>
          <cell r="AQ93">
            <v>1492960.97</v>
          </cell>
          <cell r="AR93">
            <v>1172526.6000000001</v>
          </cell>
          <cell r="AS93">
            <v>1346927.06</v>
          </cell>
          <cell r="AT93">
            <v>11577727.020000001</v>
          </cell>
          <cell r="AU93">
            <v>1323548.2</v>
          </cell>
          <cell r="AV93">
            <v>1035981.19</v>
          </cell>
          <cell r="AW93">
            <v>1638780.33</v>
          </cell>
          <cell r="AX93">
            <v>2803139.14</v>
          </cell>
          <cell r="AY93">
            <v>2200321.34</v>
          </cell>
          <cell r="AZ93">
            <v>2526450.2400000002</v>
          </cell>
          <cell r="BA93">
            <v>2656085.17</v>
          </cell>
          <cell r="BB93">
            <v>1590296.24</v>
          </cell>
          <cell r="BC93">
            <v>1727522.67</v>
          </cell>
          <cell r="BD93">
            <v>1359035.13</v>
          </cell>
          <cell r="BE93">
            <v>1205579.81</v>
          </cell>
          <cell r="BF93">
            <v>899539.32</v>
          </cell>
          <cell r="BG93">
            <v>20966278.779999997</v>
          </cell>
          <cell r="BH93">
            <v>1484543.99</v>
          </cell>
          <cell r="BI93">
            <v>1573573.17</v>
          </cell>
          <cell r="BJ93">
            <v>3269991</v>
          </cell>
          <cell r="BK93">
            <v>1197835.8</v>
          </cell>
          <cell r="BL93">
            <v>1377182.9</v>
          </cell>
          <cell r="BM93">
            <v>2157564.31</v>
          </cell>
          <cell r="BN93">
            <v>3014492.71</v>
          </cell>
          <cell r="BO93">
            <v>2360619.73</v>
          </cell>
          <cell r="BP93">
            <v>2656880.1800000002</v>
          </cell>
          <cell r="BQ93">
            <v>2468878.2999999998</v>
          </cell>
          <cell r="BR93">
            <v>2447627.15</v>
          </cell>
          <cell r="BS93">
            <v>2143648.13</v>
          </cell>
          <cell r="BT93">
            <v>26152837.369999997</v>
          </cell>
          <cell r="BU93">
            <v>2235765.83</v>
          </cell>
          <cell r="BV93">
            <v>2383687.9300000002</v>
          </cell>
          <cell r="BW93">
            <v>2621118.2999999998</v>
          </cell>
          <cell r="BX93">
            <v>2520042.42</v>
          </cell>
          <cell r="BY93">
            <v>3349536.09</v>
          </cell>
          <cell r="BZ93">
            <v>2354474.0299999998</v>
          </cell>
          <cell r="CA93">
            <v>2663704.73</v>
          </cell>
          <cell r="CD93" t="str">
            <v>Revenda de Mercadorias</v>
          </cell>
          <cell r="CE93">
            <v>18128329.329999998</v>
          </cell>
          <cell r="CF93">
            <v>1575000</v>
          </cell>
          <cell r="CG93">
            <v>1575000</v>
          </cell>
        </row>
        <row r="94">
          <cell r="A94" t="str">
            <v>3.1.1.1.01.00003</v>
          </cell>
          <cell r="B94" t="str">
            <v>Prestação de Serviços</v>
          </cell>
          <cell r="C94">
            <v>1681369.52</v>
          </cell>
          <cell r="D94">
            <v>1895626.3900000001</v>
          </cell>
          <cell r="E94">
            <v>3224317.54</v>
          </cell>
          <cell r="F94">
            <v>2722416.6400000001</v>
          </cell>
          <cell r="G94">
            <v>4125538.55</v>
          </cell>
          <cell r="H94">
            <v>352957.05</v>
          </cell>
          <cell r="I94">
            <v>233953.25</v>
          </cell>
          <cell r="J94">
            <v>225292.1</v>
          </cell>
          <cell r="K94">
            <v>192231.08</v>
          </cell>
          <cell r="L94">
            <v>377342.96</v>
          </cell>
          <cell r="M94">
            <v>165207.1</v>
          </cell>
          <cell r="N94">
            <v>361749.58</v>
          </cell>
          <cell r="O94">
            <v>122142.38</v>
          </cell>
          <cell r="P94">
            <v>392105.81</v>
          </cell>
          <cell r="Q94">
            <v>160322.13</v>
          </cell>
          <cell r="R94">
            <v>19814.52</v>
          </cell>
          <cell r="S94">
            <v>430384.89</v>
          </cell>
          <cell r="T94">
            <v>3033502.85</v>
          </cell>
          <cell r="U94">
            <v>200502.57</v>
          </cell>
          <cell r="V94">
            <v>213099.54</v>
          </cell>
          <cell r="W94">
            <v>179218.67</v>
          </cell>
          <cell r="X94">
            <v>216349.72</v>
          </cell>
          <cell r="Y94">
            <v>204810.46</v>
          </cell>
          <cell r="Z94">
            <v>39959.9</v>
          </cell>
          <cell r="AA94">
            <v>377623.95</v>
          </cell>
          <cell r="AB94">
            <v>201998.75</v>
          </cell>
          <cell r="AC94">
            <v>46830.65</v>
          </cell>
          <cell r="AD94">
            <v>263015.86</v>
          </cell>
          <cell r="AE94">
            <v>157919.22</v>
          </cell>
          <cell r="AF94">
            <v>158739.4</v>
          </cell>
          <cell r="AG94">
            <v>2260068.69</v>
          </cell>
          <cell r="AH94">
            <v>156317.93</v>
          </cell>
          <cell r="AI94">
            <v>156424.74</v>
          </cell>
          <cell r="AJ94">
            <v>175470.6</v>
          </cell>
          <cell r="AK94">
            <v>174021.33</v>
          </cell>
          <cell r="AL94">
            <v>102976.1</v>
          </cell>
          <cell r="AM94">
            <v>143354.26</v>
          </cell>
          <cell r="AN94">
            <v>255869.5</v>
          </cell>
          <cell r="AO94">
            <v>270343.40000000002</v>
          </cell>
          <cell r="AP94">
            <v>308284.2</v>
          </cell>
          <cell r="AQ94">
            <v>326068.46000000002</v>
          </cell>
          <cell r="AR94">
            <v>285271.28000000003</v>
          </cell>
          <cell r="AS94">
            <v>155689.94</v>
          </cell>
          <cell r="AT94">
            <v>2510091.7399999998</v>
          </cell>
          <cell r="AU94">
            <v>153965.16</v>
          </cell>
          <cell r="AV94">
            <v>259811.99</v>
          </cell>
          <cell r="AW94">
            <v>241262.56</v>
          </cell>
          <cell r="AX94">
            <v>250296.21</v>
          </cell>
          <cell r="AY94">
            <v>181470.19</v>
          </cell>
          <cell r="AZ94">
            <v>99500.63</v>
          </cell>
          <cell r="BA94">
            <v>258132.39</v>
          </cell>
          <cell r="BB94">
            <v>218977.59</v>
          </cell>
          <cell r="BC94">
            <v>208732.32</v>
          </cell>
          <cell r="BD94">
            <v>187311.04</v>
          </cell>
          <cell r="BE94">
            <v>253883.51</v>
          </cell>
          <cell r="BF94">
            <v>19128.099999999999</v>
          </cell>
          <cell r="BG94">
            <v>2332471.69</v>
          </cell>
          <cell r="BH94">
            <v>197734.99</v>
          </cell>
          <cell r="BI94">
            <v>37285.29</v>
          </cell>
          <cell r="BJ94">
            <v>51847.32</v>
          </cell>
          <cell r="BK94">
            <v>37077.79</v>
          </cell>
          <cell r="BL94">
            <v>69294.45</v>
          </cell>
          <cell r="BM94">
            <v>73111.179999999993</v>
          </cell>
          <cell r="BN94">
            <v>68472.509999999995</v>
          </cell>
          <cell r="BO94">
            <v>60052.07</v>
          </cell>
          <cell r="BP94">
            <v>36800.31</v>
          </cell>
          <cell r="BQ94">
            <v>128739.46</v>
          </cell>
          <cell r="BR94">
            <v>19854.88</v>
          </cell>
          <cell r="BS94">
            <v>37010.22</v>
          </cell>
          <cell r="BT94">
            <v>817280.46999999986</v>
          </cell>
          <cell r="BU94">
            <v>31629.95</v>
          </cell>
          <cell r="BV94">
            <v>23662.42</v>
          </cell>
          <cell r="BW94">
            <v>119141.97</v>
          </cell>
          <cell r="BX94">
            <v>92438.26</v>
          </cell>
          <cell r="BY94">
            <v>76177.77</v>
          </cell>
          <cell r="BZ94">
            <v>36745.230000000003</v>
          </cell>
          <cell r="CA94">
            <v>59465.42</v>
          </cell>
          <cell r="CD94" t="str">
            <v>Prestação de Serviços</v>
          </cell>
          <cell r="CE94">
            <v>439261.01999999996</v>
          </cell>
          <cell r="CF94">
            <v>237500</v>
          </cell>
          <cell r="CG94">
            <v>237500</v>
          </cell>
        </row>
        <row r="95">
          <cell r="A95" t="str">
            <v>3.1.1.1.01.00004</v>
          </cell>
          <cell r="B95" t="str">
            <v>Locações</v>
          </cell>
          <cell r="C95">
            <v>482625</v>
          </cell>
          <cell r="D95">
            <v>893856.34</v>
          </cell>
          <cell r="E95">
            <v>1019022.99</v>
          </cell>
          <cell r="F95">
            <v>331787.3</v>
          </cell>
          <cell r="G95">
            <v>890425</v>
          </cell>
          <cell r="H95">
            <v>26118.75</v>
          </cell>
          <cell r="I95">
            <v>95618.75</v>
          </cell>
          <cell r="J95">
            <v>70618.75</v>
          </cell>
          <cell r="K95">
            <v>85118.75</v>
          </cell>
          <cell r="L95">
            <v>65118.75</v>
          </cell>
          <cell r="M95">
            <v>93118.75</v>
          </cell>
          <cell r="N95">
            <v>65118.75</v>
          </cell>
          <cell r="O95">
            <v>65118.75</v>
          </cell>
          <cell r="P95">
            <v>65118.75</v>
          </cell>
          <cell r="Q95">
            <v>35118.75</v>
          </cell>
          <cell r="R95">
            <v>35118.75</v>
          </cell>
          <cell r="S95">
            <v>326247.15000000002</v>
          </cell>
          <cell r="T95">
            <v>1027553.4</v>
          </cell>
          <cell r="U95">
            <v>136732.76</v>
          </cell>
          <cell r="V95">
            <v>141732.76</v>
          </cell>
          <cell r="W95">
            <v>130240.23</v>
          </cell>
          <cell r="X95">
            <v>141734.25</v>
          </cell>
          <cell r="Y95">
            <v>137852.49</v>
          </cell>
          <cell r="Z95">
            <v>21399.69</v>
          </cell>
          <cell r="AA95">
            <v>258187.05</v>
          </cell>
          <cell r="AB95">
            <v>302732.76</v>
          </cell>
          <cell r="AC95">
            <v>178649.25</v>
          </cell>
          <cell r="AD95">
            <v>185973.15</v>
          </cell>
          <cell r="AE95">
            <v>208770.53</v>
          </cell>
          <cell r="AF95">
            <v>215851.05</v>
          </cell>
          <cell r="AG95">
            <v>2059855.97</v>
          </cell>
          <cell r="AH95">
            <v>146171.69</v>
          </cell>
          <cell r="AI95">
            <v>161732.76</v>
          </cell>
          <cell r="AJ95">
            <v>128969.34</v>
          </cell>
          <cell r="AK95">
            <v>136732.76</v>
          </cell>
          <cell r="AL95">
            <v>133362.12</v>
          </cell>
          <cell r="AM95">
            <v>136732.76</v>
          </cell>
          <cell r="AN95">
            <v>132851.04999999999</v>
          </cell>
          <cell r="AO95">
            <v>136732.76</v>
          </cell>
          <cell r="AP95">
            <v>136732.76</v>
          </cell>
          <cell r="AQ95">
            <v>130263.24</v>
          </cell>
          <cell r="AR95">
            <v>120333.07</v>
          </cell>
          <cell r="AS95">
            <v>87408.07</v>
          </cell>
          <cell r="AT95">
            <v>1588022.3800000001</v>
          </cell>
          <cell r="AU95">
            <v>120333.07</v>
          </cell>
          <cell r="AV95">
            <v>120333.07</v>
          </cell>
          <cell r="AW95">
            <v>108687.94</v>
          </cell>
          <cell r="AX95">
            <v>116451.36</v>
          </cell>
          <cell r="AY95">
            <v>116451.36</v>
          </cell>
          <cell r="AZ95">
            <v>79785.350000000006</v>
          </cell>
          <cell r="BA95">
            <v>83861.149999999994</v>
          </cell>
          <cell r="BB95">
            <v>120333.07</v>
          </cell>
          <cell r="BC95">
            <v>67169.789999999994</v>
          </cell>
          <cell r="BD95">
            <v>81192.479999999996</v>
          </cell>
          <cell r="BE95">
            <v>89383.46</v>
          </cell>
          <cell r="BF95">
            <v>0</v>
          </cell>
          <cell r="BG95">
            <v>1103982.1000000001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D95" t="str">
            <v>Locações</v>
          </cell>
          <cell r="CE95">
            <v>0</v>
          </cell>
          <cell r="CF95">
            <v>130000</v>
          </cell>
          <cell r="CG95">
            <v>130000</v>
          </cell>
        </row>
        <row r="96">
          <cell r="A96" t="str">
            <v>3.1.1.1.01.00006</v>
          </cell>
          <cell r="B96" t="str">
            <v>Exportação</v>
          </cell>
          <cell r="C96">
            <v>0</v>
          </cell>
          <cell r="D96">
            <v>0</v>
          </cell>
          <cell r="E96">
            <v>4199.7299999999996</v>
          </cell>
          <cell r="F96">
            <v>54681.97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26000</v>
          </cell>
          <cell r="O96">
            <v>0</v>
          </cell>
          <cell r="P96">
            <v>0</v>
          </cell>
          <cell r="Q96">
            <v>79632.800000000003</v>
          </cell>
          <cell r="R96">
            <v>0</v>
          </cell>
          <cell r="S96">
            <v>0</v>
          </cell>
          <cell r="T96">
            <v>105632.8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626040</v>
          </cell>
          <cell r="AQ96">
            <v>0</v>
          </cell>
          <cell r="AR96">
            <v>0</v>
          </cell>
          <cell r="AS96">
            <v>0</v>
          </cell>
          <cell r="AT96">
            <v>626040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853270.85</v>
          </cell>
          <cell r="AZ96">
            <v>184188.36</v>
          </cell>
          <cell r="BA96">
            <v>41113.17</v>
          </cell>
          <cell r="BB96">
            <v>2082253.61</v>
          </cell>
          <cell r="BC96">
            <v>0</v>
          </cell>
          <cell r="BD96">
            <v>581265.19999999995</v>
          </cell>
          <cell r="BE96">
            <v>0</v>
          </cell>
          <cell r="BF96">
            <v>0</v>
          </cell>
          <cell r="BG96">
            <v>3742091.1900000004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552919.6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552919.6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268891.24</v>
          </cell>
          <cell r="CA96">
            <v>0</v>
          </cell>
          <cell r="CD96" t="str">
            <v>Exportação</v>
          </cell>
          <cell r="CE96">
            <v>268891.24</v>
          </cell>
          <cell r="CF96">
            <v>157500</v>
          </cell>
          <cell r="CG96">
            <v>157500</v>
          </cell>
        </row>
        <row r="97">
          <cell r="A97" t="str">
            <v>3.1.1.1.01</v>
          </cell>
          <cell r="B97" t="str">
            <v>RECEITA OPERACIONAL BRUTA</v>
          </cell>
          <cell r="C97">
            <v>16583550.33</v>
          </cell>
          <cell r="D97">
            <v>21898395.649999999</v>
          </cell>
          <cell r="E97">
            <v>30654679.91</v>
          </cell>
          <cell r="F97">
            <v>26440625.830000002</v>
          </cell>
          <cell r="G97">
            <v>26144380.59</v>
          </cell>
          <cell r="H97">
            <v>1825078.47</v>
          </cell>
          <cell r="I97">
            <v>2161245.71</v>
          </cell>
          <cell r="J97">
            <v>2821478.66</v>
          </cell>
          <cell r="K97">
            <v>2543943</v>
          </cell>
          <cell r="L97">
            <v>1583248.44</v>
          </cell>
          <cell r="M97">
            <v>2341334.1800000002</v>
          </cell>
          <cell r="N97">
            <v>4074923.0700000003</v>
          </cell>
          <cell r="O97">
            <v>3072062.11</v>
          </cell>
          <cell r="P97">
            <v>4629378.93</v>
          </cell>
          <cell r="Q97">
            <v>3399002.8899999997</v>
          </cell>
          <cell r="R97">
            <v>2038603.03</v>
          </cell>
          <cell r="S97">
            <v>1779233.7999999998</v>
          </cell>
          <cell r="T97">
            <v>32269532.290000003</v>
          </cell>
          <cell r="U97">
            <v>2900617.37</v>
          </cell>
          <cell r="V97">
            <v>2575187.3899999997</v>
          </cell>
          <cell r="W97">
            <v>3056059.47</v>
          </cell>
          <cell r="X97">
            <v>3227255.89</v>
          </cell>
          <cell r="Y97">
            <v>3272029.05</v>
          </cell>
          <cell r="Z97">
            <v>2314541.0099999998</v>
          </cell>
          <cell r="AA97">
            <v>3221790.75</v>
          </cell>
          <cell r="AB97">
            <v>2867989.29</v>
          </cell>
          <cell r="AC97">
            <v>4135294.23</v>
          </cell>
          <cell r="AD97">
            <v>4400707.25</v>
          </cell>
          <cell r="AE97">
            <v>3475463.92</v>
          </cell>
          <cell r="AF97">
            <v>2640162.4799999995</v>
          </cell>
          <cell r="AG97">
            <v>38087098.099999994</v>
          </cell>
          <cell r="AH97">
            <v>3413682.59</v>
          </cell>
          <cell r="AI97">
            <v>2721852.6399999997</v>
          </cell>
          <cell r="AJ97">
            <v>2075932.72</v>
          </cell>
          <cell r="AK97">
            <v>2176589.56</v>
          </cell>
          <cell r="AL97">
            <v>2937114.15</v>
          </cell>
          <cell r="AM97">
            <v>4537832.74</v>
          </cell>
          <cell r="AN97">
            <v>5099758.04</v>
          </cell>
          <cell r="AO97">
            <v>5254566.99</v>
          </cell>
          <cell r="AP97">
            <v>5569491.5700000003</v>
          </cell>
          <cell r="AQ97">
            <v>6648857.6699999999</v>
          </cell>
          <cell r="AR97">
            <v>5504363.3500000006</v>
          </cell>
          <cell r="AS97">
            <v>5135744.9000000013</v>
          </cell>
          <cell r="AT97">
            <v>51075786.920000002</v>
          </cell>
          <cell r="AU97">
            <v>5984137.6000000006</v>
          </cell>
          <cell r="AV97">
            <v>6458193.2000000011</v>
          </cell>
          <cell r="AW97">
            <v>7143509.1299999999</v>
          </cell>
          <cell r="AX97">
            <v>8367948.120000001</v>
          </cell>
          <cell r="AY97">
            <v>9030428.3300000001</v>
          </cell>
          <cell r="AZ97">
            <v>10399690.640000001</v>
          </cell>
          <cell r="BA97">
            <v>10783795.330000002</v>
          </cell>
          <cell r="BB97">
            <v>10567529.34</v>
          </cell>
          <cell r="BC97">
            <v>10167180.199999999</v>
          </cell>
          <cell r="BD97">
            <v>9090243.2699999996</v>
          </cell>
          <cell r="BE97">
            <v>7572149.7800000003</v>
          </cell>
          <cell r="BF97">
            <v>7300945.6600000001</v>
          </cell>
          <cell r="BG97">
            <v>102865750.59999998</v>
          </cell>
          <cell r="BH97">
            <v>6905753.6500000004</v>
          </cell>
          <cell r="BI97">
            <v>8578941.1099999994</v>
          </cell>
          <cell r="BJ97">
            <v>13363384.18</v>
          </cell>
          <cell r="BK97">
            <v>9523992.8300000001</v>
          </cell>
          <cell r="BL97">
            <v>9420703.4799999986</v>
          </cell>
          <cell r="BM97">
            <v>10258238.4</v>
          </cell>
          <cell r="BN97">
            <v>9044960.7999999989</v>
          </cell>
          <cell r="BO97">
            <v>9551538.7800000012</v>
          </cell>
          <cell r="BP97">
            <v>10334890.16</v>
          </cell>
          <cell r="BQ97">
            <v>7610532.5699999994</v>
          </cell>
          <cell r="BR97">
            <v>8174519.1299999999</v>
          </cell>
          <cell r="BS97">
            <v>6930030.25</v>
          </cell>
          <cell r="BT97">
            <v>109697485.34</v>
          </cell>
          <cell r="BU97">
            <v>5872559.79</v>
          </cell>
          <cell r="BV97">
            <v>6109318.3799999999</v>
          </cell>
          <cell r="BW97">
            <v>7697795.2199999997</v>
          </cell>
          <cell r="BX97">
            <v>7048212.46</v>
          </cell>
          <cell r="BY97">
            <v>11083984.619999999</v>
          </cell>
          <cell r="BZ97">
            <v>10165787.210000001</v>
          </cell>
          <cell r="CA97">
            <v>7270461.5700000003</v>
          </cell>
          <cell r="CD97" t="str">
            <v>RECEITA OPERACIONAL BRUTA</v>
          </cell>
          <cell r="CE97">
            <v>55248119.25</v>
          </cell>
          <cell r="CF97">
            <v>5250000</v>
          </cell>
          <cell r="CG97">
            <v>5250000</v>
          </cell>
        </row>
        <row r="98">
          <cell r="A98" t="str">
            <v>3.1.1.2.01</v>
          </cell>
          <cell r="B98" t="str">
            <v>(-) Impostos s/ Vendas</v>
          </cell>
          <cell r="C98">
            <v>-2077720.78</v>
          </cell>
          <cell r="D98">
            <v>-3122370.2199999997</v>
          </cell>
          <cell r="E98">
            <v>-3814679.7800000003</v>
          </cell>
          <cell r="F98">
            <v>-3225472.29</v>
          </cell>
          <cell r="G98">
            <v>-3184143.34</v>
          </cell>
          <cell r="H98">
            <v>-230222.02</v>
          </cell>
          <cell r="I98">
            <v>-236237.64</v>
          </cell>
          <cell r="J98">
            <v>-348284.34</v>
          </cell>
          <cell r="K98">
            <v>-283130.57</v>
          </cell>
          <cell r="L98">
            <v>-175277.69</v>
          </cell>
          <cell r="M98">
            <v>-342546.78</v>
          </cell>
          <cell r="N98">
            <v>-448048.12</v>
          </cell>
          <cell r="O98">
            <v>-379516.83</v>
          </cell>
          <cell r="P98">
            <v>-584797.68999999994</v>
          </cell>
          <cell r="Q98">
            <v>-476573.08</v>
          </cell>
          <cell r="R98">
            <v>-273466.59999999998</v>
          </cell>
          <cell r="S98">
            <v>-166110.69</v>
          </cell>
          <cell r="T98">
            <v>-3944212.0500000003</v>
          </cell>
          <cell r="U98">
            <v>-337759.97</v>
          </cell>
          <cell r="V98">
            <v>-304120.86</v>
          </cell>
          <cell r="W98">
            <v>-343158.21</v>
          </cell>
          <cell r="X98">
            <v>-385898.68</v>
          </cell>
          <cell r="Y98">
            <v>-422127.38</v>
          </cell>
          <cell r="Z98">
            <v>-312179.20000000001</v>
          </cell>
          <cell r="AA98">
            <v>-428743.47</v>
          </cell>
          <cell r="AB98">
            <v>-356765.45</v>
          </cell>
          <cell r="AC98">
            <v>-514904.97</v>
          </cell>
          <cell r="AD98">
            <v>-542911.59</v>
          </cell>
          <cell r="AE98">
            <v>-448681.94</v>
          </cell>
          <cell r="AF98">
            <v>-391317.26</v>
          </cell>
          <cell r="AG98">
            <v>-4788568.9800000004</v>
          </cell>
          <cell r="AH98">
            <v>-431863.75</v>
          </cell>
          <cell r="AI98">
            <v>-351715.06</v>
          </cell>
          <cell r="AJ98">
            <v>-296805.06</v>
          </cell>
          <cell r="AK98">
            <v>-283861.01</v>
          </cell>
          <cell r="AL98">
            <v>-374723.96</v>
          </cell>
          <cell r="AM98">
            <v>-572834.47</v>
          </cell>
          <cell r="AN98">
            <v>-678791.72</v>
          </cell>
          <cell r="AO98">
            <v>-633026.55000000005</v>
          </cell>
          <cell r="AP98">
            <v>-655372.89</v>
          </cell>
          <cell r="AQ98">
            <v>-953076.46</v>
          </cell>
          <cell r="AR98">
            <v>-700185.58</v>
          </cell>
          <cell r="AS98">
            <v>-628226.67000000004</v>
          </cell>
          <cell r="AT98">
            <v>-6560483.1799999997</v>
          </cell>
          <cell r="AU98">
            <v>-786447.73</v>
          </cell>
          <cell r="AV98">
            <v>-907564.05</v>
          </cell>
          <cell r="AW98">
            <v>-1009010.24</v>
          </cell>
          <cell r="AX98">
            <v>-1103223.9099999999</v>
          </cell>
          <cell r="AY98">
            <v>-1110039.8700000001</v>
          </cell>
          <cell r="AZ98">
            <v>-1407613.37</v>
          </cell>
          <cell r="BA98">
            <v>-1295518.3400000001</v>
          </cell>
          <cell r="BB98">
            <v>-1118811.28</v>
          </cell>
          <cell r="BC98">
            <v>-1408202.55</v>
          </cell>
          <cell r="BD98">
            <v>-1201108.3600000001</v>
          </cell>
          <cell r="BE98">
            <v>-1005108.07</v>
          </cell>
          <cell r="BF98">
            <v>-981657.84</v>
          </cell>
          <cell r="BG98">
            <v>-13334305.609999999</v>
          </cell>
          <cell r="BH98">
            <v>-1179137.29</v>
          </cell>
          <cell r="BI98">
            <v>-1430553.1</v>
          </cell>
          <cell r="BJ98">
            <v>-2219755.7400000002</v>
          </cell>
          <cell r="BK98">
            <v>-1561877.73</v>
          </cell>
          <cell r="BL98">
            <v>-1584305.4000000001</v>
          </cell>
          <cell r="BM98">
            <v>-1758250.02</v>
          </cell>
          <cell r="BN98">
            <v>-1598050.38</v>
          </cell>
          <cell r="BO98">
            <v>-1712908.89</v>
          </cell>
          <cell r="BP98">
            <v>-1906829.9200000002</v>
          </cell>
          <cell r="BQ98">
            <v>-1447132.78</v>
          </cell>
          <cell r="BR98">
            <v>-1359327.6800000002</v>
          </cell>
          <cell r="BS98">
            <v>-1213447.8599999999</v>
          </cell>
          <cell r="BT98">
            <v>-18971576.789999999</v>
          </cell>
          <cell r="BU98">
            <v>-1063643.3</v>
          </cell>
          <cell r="BV98">
            <v>-1042996.55</v>
          </cell>
          <cell r="BW98">
            <v>-1361181.49</v>
          </cell>
          <cell r="BX98">
            <v>-1334750.77</v>
          </cell>
          <cell r="BY98">
            <v>-1880304.9400000002</v>
          </cell>
          <cell r="BZ98">
            <v>-1628710.52</v>
          </cell>
          <cell r="CA98">
            <v>-1358606.57</v>
          </cell>
          <cell r="CD98" t="str">
            <v>(-) Impostos s/ Vendas</v>
          </cell>
          <cell r="CE98">
            <v>-9670194.1400000006</v>
          </cell>
          <cell r="CF98">
            <v>-840000</v>
          </cell>
          <cell r="CG98">
            <v>-840000</v>
          </cell>
        </row>
        <row r="99">
          <cell r="A99" t="str">
            <v>3.1.1.2.02</v>
          </cell>
          <cell r="B99" t="str">
            <v>(-) Devoluções s/ Vendas</v>
          </cell>
          <cell r="C99">
            <v>-788595.49</v>
          </cell>
          <cell r="D99">
            <v>-956690.62</v>
          </cell>
          <cell r="E99">
            <v>-2043447.8699999999</v>
          </cell>
          <cell r="F99">
            <v>-1656960.49</v>
          </cell>
          <cell r="G99">
            <v>-1521337.96</v>
          </cell>
          <cell r="H99">
            <v>-82190.91</v>
          </cell>
          <cell r="I99">
            <v>-237801.78</v>
          </cell>
          <cell r="J99">
            <v>-75055.75</v>
          </cell>
          <cell r="K99">
            <v>-133054.32</v>
          </cell>
          <cell r="L99">
            <v>-24057.410000000003</v>
          </cell>
          <cell r="M99">
            <v>-907.68</v>
          </cell>
          <cell r="N99">
            <v>-344582.59</v>
          </cell>
          <cell r="O99">
            <v>-131491.07</v>
          </cell>
          <cell r="P99">
            <v>-546846.74</v>
          </cell>
          <cell r="Q99">
            <v>-96687.56</v>
          </cell>
          <cell r="R99">
            <v>-9304.39</v>
          </cell>
          <cell r="S99">
            <v>0</v>
          </cell>
          <cell r="T99">
            <v>-1681980.2000000002</v>
          </cell>
          <cell r="U99">
            <v>-133945.76999999999</v>
          </cell>
          <cell r="V99">
            <v>-39972.43</v>
          </cell>
          <cell r="W99">
            <v>-256920.22</v>
          </cell>
          <cell r="X99">
            <v>-16965.349999999999</v>
          </cell>
          <cell r="Y99">
            <v>-53610.74</v>
          </cell>
          <cell r="Z99">
            <v>0</v>
          </cell>
          <cell r="AA99">
            <v>-1375.26</v>
          </cell>
          <cell r="AB99">
            <v>-58310.79</v>
          </cell>
          <cell r="AC99">
            <v>-11649.93</v>
          </cell>
          <cell r="AD99">
            <v>-164433</v>
          </cell>
          <cell r="AE99">
            <v>-271399.8</v>
          </cell>
          <cell r="AF99">
            <v>-182926.65</v>
          </cell>
          <cell r="AG99">
            <v>-1191509.94</v>
          </cell>
          <cell r="AH99">
            <v>-40481.06</v>
          </cell>
          <cell r="AI99">
            <v>-20681.189999999999</v>
          </cell>
          <cell r="AJ99">
            <v>-2984.08</v>
          </cell>
          <cell r="AK99">
            <v>-134617.70000000001</v>
          </cell>
          <cell r="AL99">
            <v>-2445.8000000000002</v>
          </cell>
          <cell r="AM99">
            <v>-77488.740000000005</v>
          </cell>
          <cell r="AN99">
            <v>-277789.68</v>
          </cell>
          <cell r="AO99">
            <v>-153746.75999999998</v>
          </cell>
          <cell r="AP99">
            <v>-111862.68000000001</v>
          </cell>
          <cell r="AQ99">
            <v>-9853.18</v>
          </cell>
          <cell r="AR99">
            <v>-159846.54</v>
          </cell>
          <cell r="AS99">
            <v>-34297.24</v>
          </cell>
          <cell r="AT99">
            <v>-1026094.6500000001</v>
          </cell>
          <cell r="AU99">
            <v>-252764.27</v>
          </cell>
          <cell r="AV99">
            <v>-316380.53000000003</v>
          </cell>
          <cell r="AW99">
            <v>-104239.16</v>
          </cell>
          <cell r="AX99">
            <v>-159433.86000000002</v>
          </cell>
          <cell r="AY99">
            <v>-1678.64</v>
          </cell>
          <cell r="AZ99">
            <v>-123558.93999999999</v>
          </cell>
          <cell r="BA99">
            <v>-84745.73</v>
          </cell>
          <cell r="BB99">
            <v>-748255.39999999991</v>
          </cell>
          <cell r="BC99">
            <v>-151115.28999999998</v>
          </cell>
          <cell r="BD99">
            <v>-425796.69999999995</v>
          </cell>
          <cell r="BE99">
            <v>-401379.27</v>
          </cell>
          <cell r="BF99">
            <v>-802299.27</v>
          </cell>
          <cell r="BG99">
            <v>-3571647.0599999996</v>
          </cell>
          <cell r="BH99">
            <v>-379785.82999999996</v>
          </cell>
          <cell r="BI99">
            <v>-480449.19</v>
          </cell>
          <cell r="BJ99">
            <v>-745279.56</v>
          </cell>
          <cell r="BK99">
            <v>-720080.39</v>
          </cell>
          <cell r="BL99">
            <v>-4117.29</v>
          </cell>
          <cell r="BM99">
            <v>-628478.76</v>
          </cell>
          <cell r="BN99">
            <v>-313536.35000000003</v>
          </cell>
          <cell r="BO99">
            <v>-85172.77</v>
          </cell>
          <cell r="BP99">
            <v>-526239.27</v>
          </cell>
          <cell r="BQ99">
            <v>-950423.44</v>
          </cell>
          <cell r="BR99">
            <v>-181259.11</v>
          </cell>
          <cell r="BS99">
            <v>-194252.90999999997</v>
          </cell>
          <cell r="BT99">
            <v>-5209074.870000001</v>
          </cell>
          <cell r="BU99">
            <v>-285554.20999999996</v>
          </cell>
          <cell r="BV99">
            <v>-45716.69</v>
          </cell>
          <cell r="BW99">
            <v>-173214.72</v>
          </cell>
          <cell r="BX99">
            <v>-263173.8</v>
          </cell>
          <cell r="BY99">
            <v>-115775.93000000001</v>
          </cell>
          <cell r="BZ99">
            <v>-260001.58</v>
          </cell>
          <cell r="CA99">
            <v>-713410.84000000008</v>
          </cell>
          <cell r="CD99" t="str">
            <v>(-) Devoluções s/ Vendas</v>
          </cell>
          <cell r="CE99">
            <v>-1856847.77</v>
          </cell>
          <cell r="CF99">
            <v>0</v>
          </cell>
          <cell r="CG99">
            <v>0</v>
          </cell>
        </row>
        <row r="100">
          <cell r="A100" t="str">
            <v>3.1.1.2.02.00001</v>
          </cell>
          <cell r="B100" t="str">
            <v>Devolucoes - Terceiros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-95517.39</v>
          </cell>
          <cell r="I100">
            <v>-262152.5</v>
          </cell>
          <cell r="J100">
            <v>-91150.37</v>
          </cell>
          <cell r="K100">
            <v>-147028.03</v>
          </cell>
          <cell r="L100">
            <v>-29779.58</v>
          </cell>
          <cell r="M100">
            <v>-1124.05</v>
          </cell>
          <cell r="N100">
            <v>-386342.75</v>
          </cell>
          <cell r="O100">
            <v>-152310.17000000001</v>
          </cell>
          <cell r="P100">
            <v>-641413.58000000007</v>
          </cell>
          <cell r="Q100">
            <v>-106290.56000000001</v>
          </cell>
          <cell r="R100">
            <v>-11060.56</v>
          </cell>
          <cell r="S100">
            <v>0</v>
          </cell>
          <cell r="T100">
            <v>-1924169.5400000003</v>
          </cell>
          <cell r="U100">
            <v>-146000</v>
          </cell>
          <cell r="V100">
            <v>-44124.7</v>
          </cell>
          <cell r="W100">
            <v>-283303</v>
          </cell>
          <cell r="X100">
            <v>-17916.099999999999</v>
          </cell>
          <cell r="Y100">
            <v>-63368.639999999999</v>
          </cell>
          <cell r="Z100">
            <v>0</v>
          </cell>
          <cell r="AA100">
            <v>-1842.1399999999999</v>
          </cell>
          <cell r="AB100">
            <v>-63077</v>
          </cell>
          <cell r="AC100">
            <v>-13176.83</v>
          </cell>
          <cell r="AD100">
            <v>-183227.56</v>
          </cell>
          <cell r="AE100">
            <v>-305196.15000000002</v>
          </cell>
          <cell r="AF100">
            <v>-212000</v>
          </cell>
          <cell r="AG100">
            <v>-1333232.1200000001</v>
          </cell>
          <cell r="AH100">
            <v>-45961.45</v>
          </cell>
          <cell r="AI100">
            <v>-23638.02</v>
          </cell>
          <cell r="AJ100">
            <v>-3478.88</v>
          </cell>
          <cell r="AK100">
            <v>-147262.67000000001</v>
          </cell>
          <cell r="AL100">
            <v>-2881.81</v>
          </cell>
          <cell r="AM100">
            <v>-95244.77</v>
          </cell>
          <cell r="AN100">
            <v>-301204.81</v>
          </cell>
          <cell r="AO100">
            <v>-168526.08000000002</v>
          </cell>
          <cell r="AP100">
            <v>-125344.83</v>
          </cell>
          <cell r="AQ100">
            <v>-12528.24</v>
          </cell>
          <cell r="AR100">
            <v>-177964.59</v>
          </cell>
          <cell r="AS100">
            <v>-40905.96</v>
          </cell>
          <cell r="AT100">
            <v>-1144942.1099999999</v>
          </cell>
          <cell r="AU100">
            <v>-280173.61</v>
          </cell>
          <cell r="AV100">
            <v>-346768.14</v>
          </cell>
          <cell r="AW100">
            <v>-114132.21</v>
          </cell>
          <cell r="AX100">
            <v>-166857.48000000001</v>
          </cell>
          <cell r="AY100">
            <v>-2007.71</v>
          </cell>
          <cell r="AZ100">
            <v>-142681.71</v>
          </cell>
          <cell r="BA100">
            <v>-97705.67</v>
          </cell>
          <cell r="BB100">
            <v>-748962.08</v>
          </cell>
          <cell r="BC100">
            <v>-163893.24</v>
          </cell>
          <cell r="BD100">
            <v>-473639.41</v>
          </cell>
          <cell r="BE100">
            <v>-450430.56</v>
          </cell>
          <cell r="BF100">
            <v>-907751.49</v>
          </cell>
          <cell r="BG100">
            <v>-3895003.3099999996</v>
          </cell>
          <cell r="BH100">
            <v>-447532.97</v>
          </cell>
          <cell r="BI100">
            <v>-564980.61</v>
          </cell>
          <cell r="BJ100">
            <v>-906923.54</v>
          </cell>
          <cell r="BK100">
            <v>-842567.06</v>
          </cell>
          <cell r="BL100">
            <v>-5825</v>
          </cell>
          <cell r="BM100">
            <v>-711513.66</v>
          </cell>
          <cell r="BN100">
            <v>-378882.95</v>
          </cell>
          <cell r="BO100">
            <v>-106416.85</v>
          </cell>
          <cell r="BP100">
            <v>-598916.26</v>
          </cell>
          <cell r="BQ100">
            <v>-1216751.49</v>
          </cell>
          <cell r="BR100">
            <v>-215252.65</v>
          </cell>
          <cell r="BS100">
            <v>-222064.11</v>
          </cell>
          <cell r="BT100">
            <v>-6217627.1500000013</v>
          </cell>
          <cell r="BU100">
            <v>-342782.5</v>
          </cell>
          <cell r="BV100">
            <v>-58672.86</v>
          </cell>
          <cell r="BW100">
            <v>-204573.88</v>
          </cell>
          <cell r="BX100">
            <v>-314577.98</v>
          </cell>
          <cell r="BY100">
            <v>-144645.32</v>
          </cell>
          <cell r="BZ100">
            <v>-314916.05</v>
          </cell>
          <cell r="CA100">
            <v>-861846.68</v>
          </cell>
          <cell r="CD100" t="str">
            <v>(-) Devoluçõoes de Terceiro</v>
          </cell>
          <cell r="CE100">
            <v>-2242015.27</v>
          </cell>
          <cell r="CF100">
            <v>0</v>
          </cell>
          <cell r="CG100">
            <v>0</v>
          </cell>
        </row>
        <row r="101">
          <cell r="A101" t="str">
            <v>3.1</v>
          </cell>
          <cell r="B101" t="str">
            <v>RECEITA OPERACIONAL LÍQUIDA</v>
          </cell>
          <cell r="C101">
            <v>13717234.060000001</v>
          </cell>
          <cell r="D101">
            <v>17819334.809999999</v>
          </cell>
          <cell r="E101">
            <v>24796552.259999998</v>
          </cell>
          <cell r="F101">
            <v>21558193.050000004</v>
          </cell>
          <cell r="G101">
            <v>21438899.289999999</v>
          </cell>
          <cell r="H101">
            <v>1512665.54</v>
          </cell>
          <cell r="I101">
            <v>1687206.2899999998</v>
          </cell>
          <cell r="J101">
            <v>2398138.5700000003</v>
          </cell>
          <cell r="K101">
            <v>2127758.1100000003</v>
          </cell>
          <cell r="L101">
            <v>1383913.34</v>
          </cell>
          <cell r="M101">
            <v>1997879.7200000002</v>
          </cell>
          <cell r="N101">
            <v>3282292.3600000003</v>
          </cell>
          <cell r="O101">
            <v>2561054.21</v>
          </cell>
          <cell r="P101">
            <v>3497734.5</v>
          </cell>
          <cell r="Q101">
            <v>2825742.2499999995</v>
          </cell>
          <cell r="R101">
            <v>1755832.0400000003</v>
          </cell>
          <cell r="S101">
            <v>1613123.1099999999</v>
          </cell>
          <cell r="T101">
            <v>26643340.040000003</v>
          </cell>
          <cell r="U101">
            <v>2428911.6300000004</v>
          </cell>
          <cell r="V101">
            <v>2231094.0999999996</v>
          </cell>
          <cell r="W101">
            <v>2455981.04</v>
          </cell>
          <cell r="X101">
            <v>2824391.86</v>
          </cell>
          <cell r="Y101">
            <v>2796290.9299999997</v>
          </cell>
          <cell r="Z101">
            <v>2002361.8099999998</v>
          </cell>
          <cell r="AA101">
            <v>2791672.0200000005</v>
          </cell>
          <cell r="AB101">
            <v>2452913.0499999998</v>
          </cell>
          <cell r="AC101">
            <v>3608739.3299999996</v>
          </cell>
          <cell r="AD101">
            <v>3693362.66</v>
          </cell>
          <cell r="AE101">
            <v>2755382.18</v>
          </cell>
          <cell r="AF101">
            <v>2065918.5699999998</v>
          </cell>
          <cell r="AG101">
            <v>32107019.18</v>
          </cell>
          <cell r="AH101">
            <v>2941337.78</v>
          </cell>
          <cell r="AI101">
            <v>2349456.3899999997</v>
          </cell>
          <cell r="AJ101">
            <v>1776143.5799999998</v>
          </cell>
          <cell r="AK101">
            <v>1758110.85</v>
          </cell>
          <cell r="AL101">
            <v>2559944.39</v>
          </cell>
          <cell r="AM101">
            <v>3887509.5300000003</v>
          </cell>
          <cell r="AN101">
            <v>4143176.64</v>
          </cell>
          <cell r="AO101">
            <v>4467793.6800000006</v>
          </cell>
          <cell r="AP101">
            <v>4802256.0000000009</v>
          </cell>
          <cell r="AQ101">
            <v>5685928.0300000003</v>
          </cell>
          <cell r="AR101">
            <v>4644331.2300000004</v>
          </cell>
          <cell r="AS101">
            <v>4473220.9900000012</v>
          </cell>
          <cell r="AT101">
            <v>43489209.089999996</v>
          </cell>
          <cell r="AU101">
            <v>4944925.6000000015</v>
          </cell>
          <cell r="AV101">
            <v>5234248.620000001</v>
          </cell>
          <cell r="AW101">
            <v>6030259.7299999995</v>
          </cell>
          <cell r="AX101">
            <v>7105290.3500000006</v>
          </cell>
          <cell r="AY101">
            <v>7918709.8200000003</v>
          </cell>
          <cell r="AZ101">
            <v>8868518.3300000001</v>
          </cell>
          <cell r="BA101">
            <v>9403531.2600000016</v>
          </cell>
          <cell r="BB101">
            <v>8700462.6600000001</v>
          </cell>
          <cell r="BC101">
            <v>8607862.3599999994</v>
          </cell>
          <cell r="BD101">
            <v>7463338.209999999</v>
          </cell>
          <cell r="BE101">
            <v>6165662.4399999995</v>
          </cell>
          <cell r="BF101">
            <v>5516988.5500000007</v>
          </cell>
          <cell r="BG101">
            <v>85959797.929999977</v>
          </cell>
          <cell r="BH101">
            <v>5346830.53</v>
          </cell>
          <cell r="BI101">
            <v>6667938.8199999994</v>
          </cell>
          <cell r="BJ101">
            <v>10398348.879999999</v>
          </cell>
          <cell r="BK101">
            <v>7242034.71</v>
          </cell>
          <cell r="BL101">
            <v>7832280.7899999982</v>
          </cell>
          <cell r="BM101">
            <v>7871509.620000001</v>
          </cell>
          <cell r="BN101">
            <v>7133374.0699999994</v>
          </cell>
          <cell r="BO101">
            <v>7753457.120000002</v>
          </cell>
          <cell r="BP101">
            <v>7901820.9700000007</v>
          </cell>
          <cell r="BQ101">
            <v>5212976.3499999996</v>
          </cell>
          <cell r="BR101">
            <v>6633932.3399999989</v>
          </cell>
          <cell r="BS101">
            <v>5522329.4800000004</v>
          </cell>
          <cell r="BT101">
            <v>85516833.680000007</v>
          </cell>
          <cell r="BU101">
            <v>4523362.28</v>
          </cell>
          <cell r="BV101">
            <v>5020605.1399999997</v>
          </cell>
          <cell r="BW101">
            <v>6163399.0099999998</v>
          </cell>
          <cell r="BX101">
            <v>5450287.8899999997</v>
          </cell>
          <cell r="BY101">
            <v>9087903.75</v>
          </cell>
          <cell r="BZ101">
            <v>8277075.1100000013</v>
          </cell>
          <cell r="CA101">
            <v>5198444.16</v>
          </cell>
          <cell r="CD101" t="str">
            <v>RECEITA OPERACIONAL LÍQUIDA</v>
          </cell>
          <cell r="CE101">
            <v>43721077.340000004</v>
          </cell>
          <cell r="CF101">
            <v>4410000</v>
          </cell>
          <cell r="CG101">
            <v>4410000</v>
          </cell>
        </row>
        <row r="102">
          <cell r="A102" t="str">
            <v>4.1</v>
          </cell>
          <cell r="B102" t="str">
            <v>Custo dos Produtos / Merc. Vendidos</v>
          </cell>
          <cell r="C102">
            <v>-6786151.1500000004</v>
          </cell>
          <cell r="D102">
            <v>-9872807.570000004</v>
          </cell>
          <cell r="E102">
            <v>-14468351.000000002</v>
          </cell>
          <cell r="F102">
            <v>-14038268.550000001</v>
          </cell>
          <cell r="G102">
            <v>-14236314.180000002</v>
          </cell>
          <cell r="H102">
            <v>-917433.83</v>
          </cell>
          <cell r="I102">
            <v>-1013540.1900000001</v>
          </cell>
          <cell r="J102">
            <v>-1524372.4000000001</v>
          </cell>
          <cell r="K102">
            <v>-1305060.3</v>
          </cell>
          <cell r="L102">
            <v>-874446.1</v>
          </cell>
          <cell r="M102">
            <v>-1358559.56</v>
          </cell>
          <cell r="N102">
            <v>-2034131.15</v>
          </cell>
          <cell r="O102">
            <v>-1659240.12</v>
          </cell>
          <cell r="P102">
            <v>-1818924.36</v>
          </cell>
          <cell r="Q102">
            <v>-1800075.36</v>
          </cell>
          <cell r="R102">
            <v>-1253624.43</v>
          </cell>
          <cell r="S102">
            <v>-722141.85</v>
          </cell>
          <cell r="T102">
            <v>-16281549.649999997</v>
          </cell>
          <cell r="U102">
            <v>-1749016.91</v>
          </cell>
          <cell r="V102">
            <v>-1431427.34</v>
          </cell>
          <cell r="W102">
            <v>-1605255.39</v>
          </cell>
          <cell r="X102">
            <v>-1773507.37</v>
          </cell>
          <cell r="Y102">
            <v>-1765563.92</v>
          </cell>
          <cell r="Z102">
            <v>-1478159.6</v>
          </cell>
          <cell r="AA102">
            <v>-1521053.84</v>
          </cell>
          <cell r="AB102">
            <v>-1560143.08</v>
          </cell>
          <cell r="AC102">
            <v>-2191344.1800000002</v>
          </cell>
          <cell r="AD102">
            <v>-2286583.39</v>
          </cell>
          <cell r="AE102">
            <v>-1813987.43</v>
          </cell>
          <cell r="AF102">
            <v>-1228291.53</v>
          </cell>
          <cell r="AG102">
            <v>-20404333.98</v>
          </cell>
          <cell r="AH102">
            <v>-1889355.79</v>
          </cell>
          <cell r="AI102">
            <v>-1453070.63</v>
          </cell>
          <cell r="AJ102">
            <v>-1222706.57</v>
          </cell>
          <cell r="AK102">
            <v>-1213512.5900000001</v>
          </cell>
          <cell r="AL102">
            <v>-1526576.25</v>
          </cell>
          <cell r="AM102">
            <v>-1941653.0299999998</v>
          </cell>
          <cell r="AN102">
            <v>-2396020.77</v>
          </cell>
          <cell r="AO102">
            <v>-2532465.96</v>
          </cell>
          <cell r="AP102">
            <v>-2803458.1999999997</v>
          </cell>
          <cell r="AQ102">
            <v>-3338574.4499999997</v>
          </cell>
          <cell r="AR102">
            <v>-3006745.42</v>
          </cell>
          <cell r="AS102">
            <v>-2562979.8000000003</v>
          </cell>
          <cell r="AT102">
            <v>-25887119.459999997</v>
          </cell>
          <cell r="AU102">
            <v>-3053456.98</v>
          </cell>
          <cell r="AV102">
            <v>-3379678.69</v>
          </cell>
          <cell r="AW102">
            <v>-3594454.1</v>
          </cell>
          <cell r="AX102">
            <v>-3946802.1300000004</v>
          </cell>
          <cell r="AY102">
            <v>-4745916.2399999993</v>
          </cell>
          <cell r="AZ102">
            <v>-5219928.76</v>
          </cell>
          <cell r="BA102">
            <v>-5687378.5300000003</v>
          </cell>
          <cell r="BB102">
            <v>-5011838.4799999995</v>
          </cell>
          <cell r="BC102">
            <v>-4846781.0199999996</v>
          </cell>
          <cell r="BD102">
            <v>-5153393.17</v>
          </cell>
          <cell r="BE102">
            <v>-3769309.0999999996</v>
          </cell>
          <cell r="BF102">
            <v>-3903823.15</v>
          </cell>
          <cell r="BG102">
            <v>-52312760.349999994</v>
          </cell>
          <cell r="BH102">
            <v>-3623643.54</v>
          </cell>
          <cell r="BI102">
            <v>-4218428.7399999993</v>
          </cell>
          <cell r="BJ102">
            <v>-6713499.7800000003</v>
          </cell>
          <cell r="BK102">
            <v>-4087978.2199999997</v>
          </cell>
          <cell r="BL102">
            <v>-4918021.05</v>
          </cell>
          <cell r="BM102">
            <v>-4897134.66</v>
          </cell>
          <cell r="BN102">
            <v>-4287317.22</v>
          </cell>
          <cell r="BO102">
            <v>-5054587.0999999996</v>
          </cell>
          <cell r="BP102">
            <v>-4560338.0199999996</v>
          </cell>
          <cell r="BQ102">
            <v>-4044201.7</v>
          </cell>
          <cell r="BR102">
            <v>-3899260.6900000004</v>
          </cell>
          <cell r="BS102">
            <v>-4108655.87</v>
          </cell>
          <cell r="BT102">
            <v>-54413066.589999996</v>
          </cell>
          <cell r="BU102">
            <v>-3280572.5900000003</v>
          </cell>
          <cell r="BV102">
            <v>-3925153.01</v>
          </cell>
          <cell r="BW102">
            <v>-3985369.91</v>
          </cell>
          <cell r="BX102">
            <v>-3467460.5300000003</v>
          </cell>
          <cell r="BY102">
            <v>-5568837.1200000001</v>
          </cell>
          <cell r="BZ102">
            <v>-4999015.2699999996</v>
          </cell>
          <cell r="CA102">
            <v>-3713092.24</v>
          </cell>
          <cell r="CD102" t="str">
            <v>Custo dos Produtos / Merc. Vendidos</v>
          </cell>
          <cell r="CE102">
            <v>-28939500.670000002</v>
          </cell>
          <cell r="CF102">
            <v>-2646000</v>
          </cell>
          <cell r="CG102">
            <v>-2646000</v>
          </cell>
        </row>
        <row r="103">
          <cell r="A103" t="str">
            <v>SEM CONTA</v>
          </cell>
          <cell r="B103" t="str">
            <v>LUCRO BRUTO</v>
          </cell>
          <cell r="C103">
            <v>6931082.9100000001</v>
          </cell>
          <cell r="D103">
            <v>7946527.2399999946</v>
          </cell>
          <cell r="E103">
            <v>10328201.259999996</v>
          </cell>
          <cell r="F103">
            <v>7519924.5000000037</v>
          </cell>
          <cell r="G103">
            <v>7202585.1099999975</v>
          </cell>
          <cell r="H103">
            <v>595231.71000000008</v>
          </cell>
          <cell r="I103">
            <v>673666.09999999974</v>
          </cell>
          <cell r="J103">
            <v>873766.17000000016</v>
          </cell>
          <cell r="K103">
            <v>822697.81000000029</v>
          </cell>
          <cell r="L103">
            <v>509467.24000000011</v>
          </cell>
          <cell r="M103">
            <v>639320.16000000015</v>
          </cell>
          <cell r="N103">
            <v>1248161.2100000004</v>
          </cell>
          <cell r="O103">
            <v>901814.08999999985</v>
          </cell>
          <cell r="P103">
            <v>1678810.14</v>
          </cell>
          <cell r="Q103">
            <v>1025666.8899999994</v>
          </cell>
          <cell r="R103">
            <v>502207.61000000034</v>
          </cell>
          <cell r="S103">
            <v>890981.25999999989</v>
          </cell>
          <cell r="T103">
            <v>10361790.389999999</v>
          </cell>
          <cell r="U103">
            <v>679894.72000000044</v>
          </cell>
          <cell r="V103">
            <v>799666.75999999954</v>
          </cell>
          <cell r="W103">
            <v>850725.65000000014</v>
          </cell>
          <cell r="X103">
            <v>1050884.4899999998</v>
          </cell>
          <cell r="Y103">
            <v>1030727.0099999998</v>
          </cell>
          <cell r="Z103">
            <v>524202.20999999973</v>
          </cell>
          <cell r="AA103">
            <v>1270618.1800000004</v>
          </cell>
          <cell r="AB103">
            <v>892769.96999999974</v>
          </cell>
          <cell r="AC103">
            <v>1417395.1499999994</v>
          </cell>
          <cell r="AD103">
            <v>1406779.27</v>
          </cell>
          <cell r="AE103">
            <v>941394.75000000023</v>
          </cell>
          <cell r="AF103">
            <v>837627.0399999998</v>
          </cell>
          <cell r="AG103">
            <v>11702685.199999997</v>
          </cell>
          <cell r="AH103">
            <v>1051981.9899999998</v>
          </cell>
          <cell r="AI103">
            <v>896385.75999999978</v>
          </cell>
          <cell r="AJ103">
            <v>553437.00999999978</v>
          </cell>
          <cell r="AK103">
            <v>544598.26</v>
          </cell>
          <cell r="AL103">
            <v>1033368.1400000001</v>
          </cell>
          <cell r="AM103">
            <v>1945856.5000000005</v>
          </cell>
          <cell r="AN103">
            <v>1747155.87</v>
          </cell>
          <cell r="AO103">
            <v>1935327.7200000007</v>
          </cell>
          <cell r="AP103">
            <v>1998797.8000000012</v>
          </cell>
          <cell r="AQ103">
            <v>2347353.5800000005</v>
          </cell>
          <cell r="AR103">
            <v>1637585.8100000005</v>
          </cell>
          <cell r="AS103">
            <v>1910241.1900000009</v>
          </cell>
          <cell r="AT103">
            <v>17602089.630000003</v>
          </cell>
          <cell r="AU103">
            <v>1891468.6200000015</v>
          </cell>
          <cell r="AV103">
            <v>1854569.9300000011</v>
          </cell>
          <cell r="AW103">
            <v>2435805.6299999994</v>
          </cell>
          <cell r="AX103">
            <v>3158488.22</v>
          </cell>
          <cell r="AY103">
            <v>3172793.580000001</v>
          </cell>
          <cell r="AZ103">
            <v>3648589.5700000003</v>
          </cell>
          <cell r="BA103">
            <v>3716152.7300000014</v>
          </cell>
          <cell r="BB103">
            <v>3688624.1800000006</v>
          </cell>
          <cell r="BC103">
            <v>3761081.34</v>
          </cell>
          <cell r="BD103">
            <v>2309945.0399999991</v>
          </cell>
          <cell r="BE103">
            <v>2396353.34</v>
          </cell>
          <cell r="BF103">
            <v>1613165.4000000008</v>
          </cell>
          <cell r="BG103">
            <v>33647037.579999983</v>
          </cell>
          <cell r="BH103">
            <v>1723186.9900000002</v>
          </cell>
          <cell r="BI103">
            <v>2449510.08</v>
          </cell>
          <cell r="BJ103">
            <v>3684849.0999999987</v>
          </cell>
          <cell r="BK103">
            <v>3154056.49</v>
          </cell>
          <cell r="BL103">
            <v>2914259.7399999984</v>
          </cell>
          <cell r="BM103">
            <v>2974374.9600000009</v>
          </cell>
          <cell r="BN103">
            <v>2846056.8499999996</v>
          </cell>
          <cell r="BO103">
            <v>2698870.0200000023</v>
          </cell>
          <cell r="BP103">
            <v>3341482.9500000011</v>
          </cell>
          <cell r="BQ103">
            <v>1168774.6499999994</v>
          </cell>
          <cell r="BR103">
            <v>2734671.6499999985</v>
          </cell>
          <cell r="BS103">
            <v>1413673.6100000003</v>
          </cell>
          <cell r="BT103">
            <v>31103767.090000011</v>
          </cell>
          <cell r="BU103">
            <v>1242789.69</v>
          </cell>
          <cell r="BV103">
            <v>1095452.1299999999</v>
          </cell>
          <cell r="BW103">
            <v>2178029.0999999996</v>
          </cell>
          <cell r="BX103">
            <v>1982827.3599999994</v>
          </cell>
          <cell r="BY103">
            <v>3519066.63</v>
          </cell>
          <cell r="BZ103">
            <v>3278059.8400000017</v>
          </cell>
          <cell r="CA103">
            <v>1485351.92</v>
          </cell>
          <cell r="CD103" t="str">
            <v>LUCRO BRUTO</v>
          </cell>
          <cell r="CE103">
            <v>14781576.670000002</v>
          </cell>
          <cell r="CF103">
            <v>1764000</v>
          </cell>
          <cell r="CG103">
            <v>1764000</v>
          </cell>
        </row>
        <row r="104">
          <cell r="A104" t="str">
            <v>4.2.1.1</v>
          </cell>
          <cell r="B104" t="str">
            <v>Despesas com Vendas</v>
          </cell>
          <cell r="C104">
            <v>-1127487.45</v>
          </cell>
          <cell r="D104">
            <v>-1341788.03</v>
          </cell>
          <cell r="E104">
            <v>-1832119.71</v>
          </cell>
          <cell r="F104">
            <v>-1223228.6399999999</v>
          </cell>
          <cell r="G104">
            <v>-1407893.32</v>
          </cell>
          <cell r="H104">
            <v>-85916.29</v>
          </cell>
          <cell r="I104">
            <v>-110275.79</v>
          </cell>
          <cell r="J104">
            <v>-115899.96</v>
          </cell>
          <cell r="K104">
            <v>-118661.15000000001</v>
          </cell>
          <cell r="L104">
            <v>-63646.659999999996</v>
          </cell>
          <cell r="M104">
            <v>-210501.36</v>
          </cell>
          <cell r="N104">
            <v>-132843.67000000001</v>
          </cell>
          <cell r="O104">
            <v>-171180.63</v>
          </cell>
          <cell r="P104">
            <v>-176120.63</v>
          </cell>
          <cell r="Q104">
            <v>-164316.19</v>
          </cell>
          <cell r="R104">
            <v>-219030.94</v>
          </cell>
          <cell r="S104">
            <v>-323782.81</v>
          </cell>
          <cell r="T104">
            <v>-1892176.08</v>
          </cell>
          <cell r="U104">
            <v>-179718.77</v>
          </cell>
          <cell r="V104">
            <v>-268169.46999999997</v>
          </cell>
          <cell r="W104">
            <v>-171439.93</v>
          </cell>
          <cell r="X104">
            <v>-161967.54</v>
          </cell>
          <cell r="Y104">
            <v>-163301.63</v>
          </cell>
          <cell r="Z104">
            <v>-171637.44</v>
          </cell>
          <cell r="AA104">
            <v>-150313.88</v>
          </cell>
          <cell r="AB104">
            <v>-180095.57</v>
          </cell>
          <cell r="AC104">
            <v>-247551.02</v>
          </cell>
          <cell r="AD104">
            <v>-162634.75</v>
          </cell>
          <cell r="AE104">
            <v>-198989.55</v>
          </cell>
          <cell r="AF104">
            <v>-170700.77</v>
          </cell>
          <cell r="AG104">
            <v>-2226520.3200000003</v>
          </cell>
          <cell r="AH104">
            <v>-176432.23</v>
          </cell>
          <cell r="AI104">
            <v>-321227.96999999997</v>
          </cell>
          <cell r="AJ104">
            <v>-148634.1</v>
          </cell>
          <cell r="AK104">
            <v>-116107.58</v>
          </cell>
          <cell r="AL104">
            <v>-148782.76999999999</v>
          </cell>
          <cell r="AM104">
            <v>-138210.34</v>
          </cell>
          <cell r="AN104">
            <v>-165742.85</v>
          </cell>
          <cell r="AO104">
            <v>-157175.23000000001</v>
          </cell>
          <cell r="AP104">
            <v>-177107.85</v>
          </cell>
          <cell r="AQ104">
            <v>-197458.79</v>
          </cell>
          <cell r="AR104">
            <v>-191403.84</v>
          </cell>
          <cell r="AS104">
            <v>-170273.54</v>
          </cell>
          <cell r="AT104">
            <v>-2108557.0900000003</v>
          </cell>
          <cell r="AU104">
            <v>-158203.44</v>
          </cell>
          <cell r="AV104">
            <v>-396872.58999999997</v>
          </cell>
          <cell r="AW104">
            <v>-166343.57</v>
          </cell>
          <cell r="AX104">
            <v>-173706.23</v>
          </cell>
          <cell r="AY104">
            <v>-208430.27000000002</v>
          </cell>
          <cell r="AZ104">
            <v>-207290.84</v>
          </cell>
          <cell r="BA104">
            <v>-261359.77000000002</v>
          </cell>
          <cell r="BB104">
            <v>-259688.84</v>
          </cell>
          <cell r="BC104">
            <v>-307595.21999999997</v>
          </cell>
          <cell r="BD104">
            <v>-531020.89</v>
          </cell>
          <cell r="BE104">
            <v>-418443.93</v>
          </cell>
          <cell r="BF104">
            <v>-350119.93</v>
          </cell>
          <cell r="BG104">
            <v>-3439075.5200000009</v>
          </cell>
          <cell r="BH104">
            <v>-357200.12</v>
          </cell>
          <cell r="BI104">
            <v>-610154.16999999993</v>
          </cell>
          <cell r="BJ104">
            <v>-475119.15</v>
          </cell>
          <cell r="BK104">
            <v>-422949.57</v>
          </cell>
          <cell r="BL104">
            <v>-570897.87</v>
          </cell>
          <cell r="BM104">
            <v>-454645.55</v>
          </cell>
          <cell r="BN104">
            <v>-377098.23</v>
          </cell>
          <cell r="BO104">
            <v>-404368.99</v>
          </cell>
          <cell r="BP104">
            <v>-687589.79</v>
          </cell>
          <cell r="BQ104">
            <v>-489327.61</v>
          </cell>
          <cell r="BR104">
            <v>-421300.4</v>
          </cell>
          <cell r="BS104">
            <v>-497142.17</v>
          </cell>
          <cell r="BT104">
            <v>-5767793.6200000001</v>
          </cell>
          <cell r="BU104">
            <v>-480388.37</v>
          </cell>
          <cell r="BV104">
            <v>-564865.05000000005</v>
          </cell>
          <cell r="BW104">
            <v>-613271.92999999993</v>
          </cell>
          <cell r="BX104">
            <v>-319703.99</v>
          </cell>
          <cell r="BY104">
            <v>-339245.8</v>
          </cell>
          <cell r="BZ104">
            <v>-489465.16</v>
          </cell>
          <cell r="CA104">
            <v>-603462.56999999995</v>
          </cell>
          <cell r="CD104" t="str">
            <v>Despesas com Vendas</v>
          </cell>
          <cell r="CE104">
            <v>-3410402.87</v>
          </cell>
          <cell r="CF104">
            <v>-195804</v>
          </cell>
          <cell r="CG104">
            <v>-195804</v>
          </cell>
        </row>
        <row r="105">
          <cell r="A105" t="str">
            <v>SEM CONTA</v>
          </cell>
          <cell r="B105" t="str">
            <v>Despesas Gerais Administrativas</v>
          </cell>
          <cell r="C105">
            <v>-333507.28999999998</v>
          </cell>
          <cell r="D105">
            <v>-522504.53</v>
          </cell>
          <cell r="E105">
            <v>-696229.96000000008</v>
          </cell>
          <cell r="F105">
            <v>-884805.73</v>
          </cell>
          <cell r="G105">
            <v>-1085026.8499999999</v>
          </cell>
          <cell r="H105">
            <v>-96945.420000000013</v>
          </cell>
          <cell r="I105">
            <v>-117265.57</v>
          </cell>
          <cell r="J105">
            <v>-107485.56</v>
          </cell>
          <cell r="K105">
            <v>-110788.01000000001</v>
          </cell>
          <cell r="L105">
            <v>-139917.9</v>
          </cell>
          <cell r="M105">
            <v>-117075.02000000002</v>
          </cell>
          <cell r="N105">
            <v>-154006.54</v>
          </cell>
          <cell r="O105">
            <v>-111268.35</v>
          </cell>
          <cell r="P105">
            <v>-135318.91</v>
          </cell>
          <cell r="Q105">
            <v>-126326.71</v>
          </cell>
          <cell r="R105">
            <v>-129271.07</v>
          </cell>
          <cell r="S105">
            <v>-124377.75</v>
          </cell>
          <cell r="T105">
            <v>-1470046.81</v>
          </cell>
          <cell r="U105">
            <v>-124981.77</v>
          </cell>
          <cell r="V105">
            <v>-136526.92000000001</v>
          </cell>
          <cell r="W105">
            <v>-124038.5</v>
          </cell>
          <cell r="X105">
            <v>-108210.66</v>
          </cell>
          <cell r="Y105">
            <v>-118333.2</v>
          </cell>
          <cell r="Z105">
            <v>-119639.19</v>
          </cell>
          <cell r="AA105">
            <v>-144145.31</v>
          </cell>
          <cell r="AB105">
            <v>-108460.88</v>
          </cell>
          <cell r="AC105">
            <v>-135547.62</v>
          </cell>
          <cell r="AD105">
            <v>-124000.28</v>
          </cell>
          <cell r="AE105">
            <v>-118193.41</v>
          </cell>
          <cell r="AF105">
            <v>-106844.46</v>
          </cell>
          <cell r="AG105">
            <v>-1468922.2</v>
          </cell>
          <cell r="AH105">
            <v>-124482.36</v>
          </cell>
          <cell r="AI105">
            <v>-99806.55</v>
          </cell>
          <cell r="AJ105">
            <v>-130483.2</v>
          </cell>
          <cell r="AK105">
            <v>-74779.27</v>
          </cell>
          <cell r="AL105">
            <v>-85997.29</v>
          </cell>
          <cell r="AM105">
            <v>-106731.6</v>
          </cell>
          <cell r="AN105">
            <v>-118655.93</v>
          </cell>
          <cell r="AO105">
            <v>-133578.04</v>
          </cell>
          <cell r="AP105">
            <v>-135791.29999999999</v>
          </cell>
          <cell r="AQ105">
            <v>-124481.59</v>
          </cell>
          <cell r="AR105">
            <v>-151028.1</v>
          </cell>
          <cell r="AS105">
            <v>-165760.07999999999</v>
          </cell>
          <cell r="AT105">
            <v>-1451575.3100000003</v>
          </cell>
          <cell r="AU105">
            <v>-141887.57</v>
          </cell>
          <cell r="AV105">
            <v>-204513.45</v>
          </cell>
          <cell r="AW105">
            <v>-126017.39</v>
          </cell>
          <cell r="AX105">
            <v>-155055.21</v>
          </cell>
          <cell r="AY105">
            <v>-192711.92</v>
          </cell>
          <cell r="AZ105">
            <v>-243574.25</v>
          </cell>
          <cell r="BA105">
            <v>-214863.19</v>
          </cell>
          <cell r="BB105">
            <v>-230962.65</v>
          </cell>
          <cell r="BC105">
            <v>-199214.72</v>
          </cell>
          <cell r="BD105">
            <v>-298891.84000000003</v>
          </cell>
          <cell r="BE105">
            <v>-275529.73</v>
          </cell>
          <cell r="BF105">
            <v>-258474.29</v>
          </cell>
          <cell r="BG105">
            <v>-2541696.21</v>
          </cell>
          <cell r="BH105">
            <v>-207194.2</v>
          </cell>
          <cell r="BI105">
            <v>-309071.42</v>
          </cell>
          <cell r="BJ105">
            <v>-273960.58</v>
          </cell>
          <cell r="BK105">
            <v>-268865.90000000002</v>
          </cell>
          <cell r="BL105">
            <v>-286542.7</v>
          </cell>
          <cell r="BM105">
            <v>-307952.53000000003</v>
          </cell>
          <cell r="BN105">
            <v>-264628.96999999997</v>
          </cell>
          <cell r="BO105">
            <v>-314583.3</v>
          </cell>
          <cell r="BP105">
            <v>-323386.48</v>
          </cell>
          <cell r="BQ105">
            <v>-311238.07</v>
          </cell>
          <cell r="BR105">
            <v>-257067.44</v>
          </cell>
          <cell r="BS105">
            <v>-265504.03999999998</v>
          </cell>
          <cell r="BT105">
            <v>-3389995.63</v>
          </cell>
          <cell r="BU105">
            <v>-344019.45</v>
          </cell>
          <cell r="BV105">
            <v>-320062.59999999998</v>
          </cell>
          <cell r="BW105">
            <v>-289366</v>
          </cell>
          <cell r="BX105">
            <v>-278155.34999999998</v>
          </cell>
          <cell r="BY105">
            <v>-391610.73</v>
          </cell>
          <cell r="BZ105">
            <v>-311521.88</v>
          </cell>
          <cell r="CA105">
            <v>-302802.71999999997</v>
          </cell>
          <cell r="CD105" t="str">
            <v>Despesas Gerais Administrativas</v>
          </cell>
          <cell r="CE105">
            <v>-2237538.7299999995</v>
          </cell>
          <cell r="CF105">
            <v>-146400</v>
          </cell>
          <cell r="CG105">
            <v>-146400</v>
          </cell>
        </row>
        <row r="106">
          <cell r="A106" t="str">
            <v>4.2.1.2.20</v>
          </cell>
          <cell r="B106" t="str">
            <v>Despesas Tributárias</v>
          </cell>
          <cell r="C106">
            <v>-14974.07</v>
          </cell>
          <cell r="D106">
            <v>-7429.2599999999993</v>
          </cell>
          <cell r="E106">
            <v>-8699.6899999999987</v>
          </cell>
          <cell r="F106">
            <v>-58497.499999999985</v>
          </cell>
          <cell r="G106">
            <v>-23248.12</v>
          </cell>
          <cell r="H106">
            <v>-42.74</v>
          </cell>
          <cell r="I106">
            <v>-25.68</v>
          </cell>
          <cell r="J106">
            <v>-1385.63</v>
          </cell>
          <cell r="K106">
            <v>-4116.83</v>
          </cell>
          <cell r="L106">
            <v>-538.80999999999995</v>
          </cell>
          <cell r="M106">
            <v>-583.33000000000004</v>
          </cell>
          <cell r="N106">
            <v>-36769.83</v>
          </cell>
          <cell r="O106">
            <v>-154.88</v>
          </cell>
          <cell r="P106">
            <v>-2816.97</v>
          </cell>
          <cell r="Q106">
            <v>-24.23</v>
          </cell>
          <cell r="R106">
            <v>-539.41999999999996</v>
          </cell>
          <cell r="S106">
            <v>-50.57</v>
          </cell>
          <cell r="T106">
            <v>-47048.920000000006</v>
          </cell>
          <cell r="U106">
            <v>-190.06</v>
          </cell>
          <cell r="V106">
            <v>-549.92999999999995</v>
          </cell>
          <cell r="W106">
            <v>-7671.08</v>
          </cell>
          <cell r="X106">
            <v>-4118.32</v>
          </cell>
          <cell r="Y106">
            <v>-5753.29</v>
          </cell>
          <cell r="Z106">
            <v>-518.54</v>
          </cell>
          <cell r="AA106">
            <v>-1630.21</v>
          </cell>
          <cell r="AB106">
            <v>-963.01</v>
          </cell>
          <cell r="AC106">
            <v>-969.93</v>
          </cell>
          <cell r="AD106">
            <v>-15434.83</v>
          </cell>
          <cell r="AE106">
            <v>-2064.4899999999998</v>
          </cell>
          <cell r="AF106">
            <v>-1425.92</v>
          </cell>
          <cell r="AG106">
            <v>-41289.609999999993</v>
          </cell>
          <cell r="AH106">
            <v>-1150.27</v>
          </cell>
          <cell r="AI106">
            <v>-7941.9</v>
          </cell>
          <cell r="AJ106">
            <v>-15546.61</v>
          </cell>
          <cell r="AK106">
            <v>-6167.14</v>
          </cell>
          <cell r="AL106">
            <v>-423.59</v>
          </cell>
          <cell r="AM106">
            <v>-22539.81</v>
          </cell>
          <cell r="AN106">
            <v>-3337.15</v>
          </cell>
          <cell r="AO106">
            <v>-391.79</v>
          </cell>
          <cell r="AP106">
            <v>-20165.36</v>
          </cell>
          <cell r="AQ106">
            <v>-2590.0300000000002</v>
          </cell>
          <cell r="AR106">
            <v>-423.07</v>
          </cell>
          <cell r="AS106">
            <v>-12.21</v>
          </cell>
          <cell r="AT106">
            <v>-80688.930000000008</v>
          </cell>
          <cell r="AU106">
            <v>-2658.42</v>
          </cell>
          <cell r="AV106">
            <v>-12805.15</v>
          </cell>
          <cell r="AW106">
            <v>-973.6</v>
          </cell>
          <cell r="AX106">
            <v>-3770.93</v>
          </cell>
          <cell r="AY106">
            <v>-17.68</v>
          </cell>
          <cell r="AZ106">
            <v>-26.87</v>
          </cell>
          <cell r="BA106">
            <v>-23842.38</v>
          </cell>
          <cell r="BB106">
            <v>-1329.55</v>
          </cell>
          <cell r="BC106">
            <v>-928.54</v>
          </cell>
          <cell r="BD106">
            <v>-18813.310000000001</v>
          </cell>
          <cell r="BE106">
            <v>-3974.91</v>
          </cell>
          <cell r="BF106">
            <v>-336.49</v>
          </cell>
          <cell r="BG106">
            <v>-69477.830000000016</v>
          </cell>
          <cell r="BH106">
            <v>-2390.5</v>
          </cell>
          <cell r="BI106">
            <v>-18126.36</v>
          </cell>
          <cell r="BJ106">
            <v>-1148.07</v>
          </cell>
          <cell r="BK106">
            <v>-17030.650000000001</v>
          </cell>
          <cell r="BL106">
            <v>-2082.35</v>
          </cell>
          <cell r="BM106">
            <v>-2263.23</v>
          </cell>
          <cell r="BN106">
            <v>-5898.4</v>
          </cell>
          <cell r="BO106">
            <v>-304.2</v>
          </cell>
          <cell r="BP106">
            <v>-3289.03</v>
          </cell>
          <cell r="BQ106">
            <v>-5000.99</v>
          </cell>
          <cell r="BR106">
            <v>-71.77</v>
          </cell>
          <cell r="BS106">
            <v>-171.35</v>
          </cell>
          <cell r="BT106">
            <v>-57776.899999999994</v>
          </cell>
          <cell r="BU106">
            <v>-3795.1</v>
          </cell>
          <cell r="BV106">
            <v>-13513.09</v>
          </cell>
          <cell r="BW106">
            <v>-6807.7</v>
          </cell>
          <cell r="BX106">
            <v>-30611.22</v>
          </cell>
          <cell r="BY106">
            <v>-5210.6000000000004</v>
          </cell>
          <cell r="BZ106">
            <v>-2140.62</v>
          </cell>
          <cell r="CA106">
            <v>-43750.15</v>
          </cell>
          <cell r="CD106" t="str">
            <v>Despesas Tributárias</v>
          </cell>
          <cell r="CE106">
            <v>-105828.48000000001</v>
          </cell>
          <cell r="CF106">
            <v>-8820</v>
          </cell>
          <cell r="CG106">
            <v>-8820</v>
          </cell>
        </row>
        <row r="107">
          <cell r="A107" t="str">
            <v>4.2.1.2.25</v>
          </cell>
          <cell r="B107" t="str">
            <v>Depreciações / Amortizações</v>
          </cell>
          <cell r="C107">
            <v>-104154.41</v>
          </cell>
          <cell r="D107">
            <v>-246603.63</v>
          </cell>
          <cell r="E107">
            <v>-413841.65</v>
          </cell>
          <cell r="F107">
            <v>-457825.96</v>
          </cell>
          <cell r="G107">
            <v>-574287.56000000006</v>
          </cell>
          <cell r="H107">
            <v>-55673.62</v>
          </cell>
          <cell r="I107">
            <v>-55673.62</v>
          </cell>
          <cell r="J107">
            <v>-53323.62</v>
          </cell>
          <cell r="K107">
            <v>-53323.62</v>
          </cell>
          <cell r="L107">
            <v>-53323.62</v>
          </cell>
          <cell r="M107">
            <v>-53323.62</v>
          </cell>
          <cell r="N107">
            <v>-53323.62</v>
          </cell>
          <cell r="O107">
            <v>-50616.04</v>
          </cell>
          <cell r="P107">
            <v>-57966.83</v>
          </cell>
          <cell r="Q107">
            <v>-52466.84</v>
          </cell>
          <cell r="R107">
            <v>-57498.36</v>
          </cell>
          <cell r="S107">
            <v>-57498.37</v>
          </cell>
          <cell r="T107">
            <v>-654011.78</v>
          </cell>
          <cell r="U107">
            <v>-57720.32</v>
          </cell>
          <cell r="V107">
            <v>-55982.8</v>
          </cell>
          <cell r="W107">
            <v>-57089.79</v>
          </cell>
          <cell r="X107">
            <v>-58394.77</v>
          </cell>
          <cell r="Y107">
            <v>-58931.24</v>
          </cell>
          <cell r="Z107">
            <v>-58121.29</v>
          </cell>
          <cell r="AA107">
            <v>-58467.81</v>
          </cell>
          <cell r="AB107">
            <v>-59340.2</v>
          </cell>
          <cell r="AC107">
            <v>-58259.38</v>
          </cell>
          <cell r="AD107">
            <v>-52704.95</v>
          </cell>
          <cell r="AE107">
            <v>-62762.32</v>
          </cell>
          <cell r="AF107">
            <v>-62931.72</v>
          </cell>
          <cell r="AG107">
            <v>-700706.58999999985</v>
          </cell>
          <cell r="AH107">
            <v>-64793.57</v>
          </cell>
          <cell r="AI107">
            <v>-65276.99</v>
          </cell>
          <cell r="AJ107">
            <v>-65511.3</v>
          </cell>
          <cell r="AK107">
            <v>-66357.039999999994</v>
          </cell>
          <cell r="AL107">
            <v>-66450.3</v>
          </cell>
          <cell r="AM107">
            <v>-70921.89</v>
          </cell>
          <cell r="AN107">
            <v>-73047.19</v>
          </cell>
          <cell r="AO107">
            <v>-74105.210000000006</v>
          </cell>
          <cell r="AP107">
            <v>-76659.100000000006</v>
          </cell>
          <cell r="AQ107">
            <v>-79223.27</v>
          </cell>
          <cell r="AR107">
            <v>-79154.73</v>
          </cell>
          <cell r="AS107">
            <v>-81225.88</v>
          </cell>
          <cell r="AT107">
            <v>-862726.47</v>
          </cell>
          <cell r="AU107">
            <v>-82131.63</v>
          </cell>
          <cell r="AV107">
            <v>-83812.84</v>
          </cell>
          <cell r="AW107">
            <v>-69789.429999999993</v>
          </cell>
          <cell r="AX107">
            <v>-70094.080000000002</v>
          </cell>
          <cell r="AY107">
            <v>-71434.91</v>
          </cell>
          <cell r="AZ107">
            <v>-72968.83</v>
          </cell>
          <cell r="BA107">
            <v>-75052.52</v>
          </cell>
          <cell r="BB107">
            <v>-71089.81</v>
          </cell>
          <cell r="BC107">
            <v>-72526.289999999994</v>
          </cell>
          <cell r="BD107">
            <v>-73428.41</v>
          </cell>
          <cell r="BE107">
            <v>-73863.23</v>
          </cell>
          <cell r="BF107">
            <v>277684.63</v>
          </cell>
          <cell r="BG107">
            <v>-538507.35000000009</v>
          </cell>
          <cell r="BH107">
            <v>-70197.56</v>
          </cell>
          <cell r="BI107">
            <v>-59132.88</v>
          </cell>
          <cell r="BJ107">
            <v>-57405.760000000002</v>
          </cell>
          <cell r="BK107">
            <v>-62336.14</v>
          </cell>
          <cell r="BL107">
            <v>-64290.13</v>
          </cell>
          <cell r="BM107">
            <v>-66905.89</v>
          </cell>
          <cell r="BN107">
            <v>-67244.740000000005</v>
          </cell>
          <cell r="BO107">
            <v>-67662.990000000005</v>
          </cell>
          <cell r="BP107">
            <v>-66551.039999999994</v>
          </cell>
          <cell r="BQ107">
            <v>-66982.64</v>
          </cell>
          <cell r="BR107">
            <v>-75325.89</v>
          </cell>
          <cell r="BS107">
            <v>-76562.36</v>
          </cell>
          <cell r="BT107">
            <v>-800598.02</v>
          </cell>
          <cell r="BU107">
            <v>-76722.5</v>
          </cell>
          <cell r="BV107">
            <v>-77110.92</v>
          </cell>
          <cell r="BW107">
            <v>-77528.479999999996</v>
          </cell>
          <cell r="BX107">
            <v>-77611.95</v>
          </cell>
          <cell r="BY107">
            <v>-81143.91</v>
          </cell>
          <cell r="BZ107">
            <v>-81838.16</v>
          </cell>
          <cell r="CA107">
            <v>-86951.19</v>
          </cell>
          <cell r="CD107" t="str">
            <v>Depreciações / Amortizações</v>
          </cell>
          <cell r="CE107">
            <v>-558907.1100000001</v>
          </cell>
          <cell r="CF107">
            <v>-90000</v>
          </cell>
          <cell r="CG107">
            <v>-90000</v>
          </cell>
        </row>
        <row r="108">
          <cell r="A108" t="str">
            <v>4.2.1.2.90.00001</v>
          </cell>
          <cell r="B108" t="str">
            <v>Doação/Patrocinio com Incetivos Fiscais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-35000</v>
          </cell>
          <cell r="BQ108">
            <v>0</v>
          </cell>
          <cell r="BR108">
            <v>0</v>
          </cell>
          <cell r="BS108">
            <v>-3000</v>
          </cell>
          <cell r="BT108">
            <v>-38000</v>
          </cell>
          <cell r="BU108">
            <v>0</v>
          </cell>
          <cell r="BV108">
            <v>0</v>
          </cell>
          <cell r="BW108">
            <v>0</v>
          </cell>
          <cell r="BX108">
            <v>0</v>
          </cell>
          <cell r="BY108">
            <v>0</v>
          </cell>
          <cell r="BZ108">
            <v>0</v>
          </cell>
          <cell r="CA108">
            <v>0</v>
          </cell>
          <cell r="CD108" t="str">
            <v>Doação/Patrocinio com Incetivos Fiscais</v>
          </cell>
          <cell r="CE108">
            <v>0</v>
          </cell>
          <cell r="CF108">
            <v>0</v>
          </cell>
          <cell r="CG108">
            <v>0</v>
          </cell>
        </row>
        <row r="109">
          <cell r="A109" t="str">
            <v>4.2</v>
          </cell>
          <cell r="B109" t="str">
            <v>Total Despesas Operacionais</v>
          </cell>
          <cell r="C109">
            <v>-1580123.22</v>
          </cell>
          <cell r="D109">
            <v>-2118325.4500000002</v>
          </cell>
          <cell r="E109">
            <v>-2950891.01</v>
          </cell>
          <cell r="F109">
            <v>-2624357.83</v>
          </cell>
          <cell r="G109">
            <v>-3090455.85</v>
          </cell>
          <cell r="H109">
            <v>-238578.07</v>
          </cell>
          <cell r="I109">
            <v>-283240.65999999997</v>
          </cell>
          <cell r="J109">
            <v>-278094.77</v>
          </cell>
          <cell r="K109">
            <v>-286889.61000000004</v>
          </cell>
          <cell r="L109">
            <v>-257426.99</v>
          </cell>
          <cell r="M109">
            <v>-381483.33</v>
          </cell>
          <cell r="N109">
            <v>-376943.66000000003</v>
          </cell>
          <cell r="O109">
            <v>-333219.89999999997</v>
          </cell>
          <cell r="P109">
            <v>-372223.34</v>
          </cell>
          <cell r="Q109">
            <v>-343133.97</v>
          </cell>
          <cell r="R109">
            <v>-406339.79</v>
          </cell>
          <cell r="S109">
            <v>-505709.5</v>
          </cell>
          <cell r="T109">
            <v>-4063283.59</v>
          </cell>
          <cell r="U109">
            <v>-362610.92</v>
          </cell>
          <cell r="V109">
            <v>-461229.12</v>
          </cell>
          <cell r="W109">
            <v>-360239.3</v>
          </cell>
          <cell r="X109">
            <v>-332691.29000000004</v>
          </cell>
          <cell r="Y109">
            <v>-346319.35999999999</v>
          </cell>
          <cell r="Z109">
            <v>-349916.45999999996</v>
          </cell>
          <cell r="AA109">
            <v>-354557.21</v>
          </cell>
          <cell r="AB109">
            <v>-348859.66000000003</v>
          </cell>
          <cell r="AC109">
            <v>-442327.95</v>
          </cell>
          <cell r="AD109">
            <v>-354774.81000000006</v>
          </cell>
          <cell r="AE109">
            <v>-382009.76999999996</v>
          </cell>
          <cell r="AF109">
            <v>-341902.87</v>
          </cell>
          <cell r="AG109">
            <v>-4437438.7200000007</v>
          </cell>
          <cell r="AH109">
            <v>-366858.43000000005</v>
          </cell>
          <cell r="AI109">
            <v>-494253.41</v>
          </cell>
          <cell r="AJ109">
            <v>-360175.20999999996</v>
          </cell>
          <cell r="AK109">
            <v>-263411.03000000003</v>
          </cell>
          <cell r="AL109">
            <v>-301653.95</v>
          </cell>
          <cell r="AM109">
            <v>-338403.64</v>
          </cell>
          <cell r="AN109">
            <v>-360783.12000000005</v>
          </cell>
          <cell r="AO109">
            <v>-365250.27</v>
          </cell>
          <cell r="AP109">
            <v>-409723.61</v>
          </cell>
          <cell r="AQ109">
            <v>-403753.68000000005</v>
          </cell>
          <cell r="AR109">
            <v>-422009.74</v>
          </cell>
          <cell r="AS109">
            <v>-417271.71</v>
          </cell>
          <cell r="AT109">
            <v>-4503547.8</v>
          </cell>
          <cell r="AU109">
            <v>-384881.06</v>
          </cell>
          <cell r="AV109">
            <v>-698004.03</v>
          </cell>
          <cell r="AW109">
            <v>-363123.99</v>
          </cell>
          <cell r="AX109">
            <v>-402626.45</v>
          </cell>
          <cell r="AY109">
            <v>-472594.78</v>
          </cell>
          <cell r="AZ109">
            <v>-523860.79</v>
          </cell>
          <cell r="BA109">
            <v>-575117.86</v>
          </cell>
          <cell r="BB109">
            <v>-563070.85</v>
          </cell>
          <cell r="BC109">
            <v>-580264.7699999999</v>
          </cell>
          <cell r="BD109">
            <v>-922154.45000000007</v>
          </cell>
          <cell r="BE109">
            <v>-771811.79999999993</v>
          </cell>
          <cell r="BF109">
            <v>-331246.08000000002</v>
          </cell>
          <cell r="BG109">
            <v>-6588756.9100000001</v>
          </cell>
          <cell r="BH109">
            <v>-636982.38000000012</v>
          </cell>
          <cell r="BI109">
            <v>-996484.82999999984</v>
          </cell>
          <cell r="BJ109">
            <v>-807633.55999999994</v>
          </cell>
          <cell r="BK109">
            <v>-771182.26</v>
          </cell>
          <cell r="BL109">
            <v>-923813.05</v>
          </cell>
          <cell r="BM109">
            <v>-831767.20000000007</v>
          </cell>
          <cell r="BN109">
            <v>-714870.34</v>
          </cell>
          <cell r="BO109">
            <v>-786919.48</v>
          </cell>
          <cell r="BP109">
            <v>-1115816.3400000001</v>
          </cell>
          <cell r="BQ109">
            <v>-872549.30999999994</v>
          </cell>
          <cell r="BR109">
            <v>-753765.50000000012</v>
          </cell>
          <cell r="BS109">
            <v>-842379.91999999993</v>
          </cell>
          <cell r="BT109">
            <v>-10054164.17</v>
          </cell>
          <cell r="BU109">
            <v>-904925.42</v>
          </cell>
          <cell r="BV109">
            <v>-975551.66</v>
          </cell>
          <cell r="BW109">
            <v>-986974.10999999987</v>
          </cell>
          <cell r="BX109">
            <v>-706082.50999999989</v>
          </cell>
          <cell r="BY109">
            <v>-817211.04</v>
          </cell>
          <cell r="BZ109">
            <v>-884965.82000000007</v>
          </cell>
          <cell r="CA109">
            <v>-1036966.6299999999</v>
          </cell>
          <cell r="CD109" t="str">
            <v>Total Despesas Operacionais</v>
          </cell>
          <cell r="CE109">
            <v>-6312677.1900000004</v>
          </cell>
          <cell r="CF109">
            <v>-441024</v>
          </cell>
          <cell r="CG109">
            <v>-441024</v>
          </cell>
        </row>
        <row r="110">
          <cell r="A110">
            <v>9</v>
          </cell>
          <cell r="B110" t="str">
            <v>RESULTADO DAS OPERAÇÕES (E.B.I.T.)</v>
          </cell>
          <cell r="C110">
            <v>5350959.6900000004</v>
          </cell>
          <cell r="D110">
            <v>5828201.7899999944</v>
          </cell>
          <cell r="E110">
            <v>7377310.2499999963</v>
          </cell>
          <cell r="F110">
            <v>4895566.6700000037</v>
          </cell>
          <cell r="G110">
            <v>4112129.2599999974</v>
          </cell>
          <cell r="H110">
            <v>356653.64000000007</v>
          </cell>
          <cell r="I110">
            <v>390425.43999999977</v>
          </cell>
          <cell r="J110">
            <v>595671.40000000014</v>
          </cell>
          <cell r="K110">
            <v>535808.20000000019</v>
          </cell>
          <cell r="L110">
            <v>252040.25000000012</v>
          </cell>
          <cell r="M110">
            <v>257836.83000000013</v>
          </cell>
          <cell r="N110">
            <v>871217.5500000004</v>
          </cell>
          <cell r="O110">
            <v>568594.18999999994</v>
          </cell>
          <cell r="P110">
            <v>1306586.7999999998</v>
          </cell>
          <cell r="Q110">
            <v>682532.91999999946</v>
          </cell>
          <cell r="R110">
            <v>95867.820000000356</v>
          </cell>
          <cell r="S110">
            <v>385271.75999999989</v>
          </cell>
          <cell r="T110">
            <v>6298506.8000000007</v>
          </cell>
          <cell r="U110">
            <v>317283.80000000045</v>
          </cell>
          <cell r="V110">
            <v>338437.63999999955</v>
          </cell>
          <cell r="W110">
            <v>490486.35000000015</v>
          </cell>
          <cell r="X110">
            <v>718193.19999999972</v>
          </cell>
          <cell r="Y110">
            <v>684407.64999999979</v>
          </cell>
          <cell r="Z110">
            <v>174285.74999999977</v>
          </cell>
          <cell r="AA110">
            <v>916060.97000000044</v>
          </cell>
          <cell r="AB110">
            <v>543910.30999999971</v>
          </cell>
          <cell r="AC110">
            <v>975067.19999999949</v>
          </cell>
          <cell r="AD110">
            <v>1052004.46</v>
          </cell>
          <cell r="AE110">
            <v>559384.98000000021</v>
          </cell>
          <cell r="AF110">
            <v>495724.16999999981</v>
          </cell>
          <cell r="AG110">
            <v>7265246.4799999995</v>
          </cell>
          <cell r="AH110">
            <v>685123.55999999971</v>
          </cell>
          <cell r="AI110">
            <v>402132.3499999998</v>
          </cell>
          <cell r="AJ110">
            <v>193261.79999999981</v>
          </cell>
          <cell r="AK110">
            <v>281187.23</v>
          </cell>
          <cell r="AL110">
            <v>731714.19000000018</v>
          </cell>
          <cell r="AM110">
            <v>1607452.8600000003</v>
          </cell>
          <cell r="AN110">
            <v>1386372.75</v>
          </cell>
          <cell r="AO110">
            <v>1570077.4500000007</v>
          </cell>
          <cell r="AP110">
            <v>1589074.1900000013</v>
          </cell>
          <cell r="AQ110">
            <v>1943599.9000000004</v>
          </cell>
          <cell r="AR110">
            <v>1215576.0700000005</v>
          </cell>
          <cell r="AS110">
            <v>1492969.4800000009</v>
          </cell>
          <cell r="AT110">
            <v>13098541.830000004</v>
          </cell>
          <cell r="AU110">
            <v>1506587.5600000015</v>
          </cell>
          <cell r="AV110">
            <v>1156565.9000000011</v>
          </cell>
          <cell r="AW110">
            <v>2072681.6399999994</v>
          </cell>
          <cell r="AX110">
            <v>2755861.77</v>
          </cell>
          <cell r="AY110">
            <v>2700198.8000000007</v>
          </cell>
          <cell r="AZ110">
            <v>3124728.7800000003</v>
          </cell>
          <cell r="BA110">
            <v>3141034.8700000015</v>
          </cell>
          <cell r="BB110">
            <v>3125553.3300000005</v>
          </cell>
          <cell r="BC110">
            <v>3180816.57</v>
          </cell>
          <cell r="BD110">
            <v>1387790.5899999989</v>
          </cell>
          <cell r="BE110">
            <v>1624541.54</v>
          </cell>
          <cell r="BF110">
            <v>1281919.3200000008</v>
          </cell>
          <cell r="BG110">
            <v>27058280.669999983</v>
          </cell>
          <cell r="BH110">
            <v>1086204.6100000001</v>
          </cell>
          <cell r="BI110">
            <v>1453025.2500000002</v>
          </cell>
          <cell r="BJ110">
            <v>2877215.5399999986</v>
          </cell>
          <cell r="BK110">
            <v>2382874.2300000004</v>
          </cell>
          <cell r="BL110">
            <v>1990446.6899999983</v>
          </cell>
          <cell r="BM110">
            <v>2142607.7600000007</v>
          </cell>
          <cell r="BN110">
            <v>2131186.5099999998</v>
          </cell>
          <cell r="BO110">
            <v>1911950.5400000024</v>
          </cell>
          <cell r="BP110">
            <v>2225666.6100000013</v>
          </cell>
          <cell r="BQ110">
            <v>296225.3399999995</v>
          </cell>
          <cell r="BR110">
            <v>1980906.1499999985</v>
          </cell>
          <cell r="BS110">
            <v>571293.69000000041</v>
          </cell>
          <cell r="BT110">
            <v>21049602.920000009</v>
          </cell>
          <cell r="BU110">
            <v>337864.2699999999</v>
          </cell>
          <cell r="BV110">
            <v>119900.46999999986</v>
          </cell>
          <cell r="BW110">
            <v>1191054.9899999998</v>
          </cell>
          <cell r="BX110">
            <v>1276744.8499999996</v>
          </cell>
          <cell r="BY110">
            <v>2701855.59</v>
          </cell>
          <cell r="BZ110">
            <v>2393094.0200000014</v>
          </cell>
          <cell r="CA110">
            <v>448385.29000000004</v>
          </cell>
          <cell r="CD110" t="str">
            <v>RESULTADO DAS OPERAÇÕES (E.B.I.T.)</v>
          </cell>
          <cell r="CE110">
            <v>8468899.4800000004</v>
          </cell>
          <cell r="CF110">
            <v>1322976</v>
          </cell>
          <cell r="CG110">
            <v>1322976</v>
          </cell>
        </row>
        <row r="111">
          <cell r="A111" t="str">
            <v>4.3.1.1.01</v>
          </cell>
          <cell r="B111" t="str">
            <v>Receitas Financeiras</v>
          </cell>
          <cell r="C111">
            <v>93666.77</v>
          </cell>
          <cell r="D111">
            <v>313918.63000000006</v>
          </cell>
          <cell r="E111">
            <v>455031.03999999998</v>
          </cell>
          <cell r="F111">
            <v>519670.41000000003</v>
          </cell>
          <cell r="G111">
            <v>357752.22</v>
          </cell>
          <cell r="H111">
            <v>45408.14</v>
          </cell>
          <cell r="I111">
            <v>17053.71</v>
          </cell>
          <cell r="J111">
            <v>17258.240000000002</v>
          </cell>
          <cell r="K111">
            <v>27577.8</v>
          </cell>
          <cell r="L111">
            <v>15865.07</v>
          </cell>
          <cell r="M111">
            <v>17468.3</v>
          </cell>
          <cell r="N111">
            <v>15628.77</v>
          </cell>
          <cell r="O111">
            <v>18661.72</v>
          </cell>
          <cell r="P111">
            <v>20504.71</v>
          </cell>
          <cell r="Q111">
            <v>29789.39</v>
          </cell>
          <cell r="R111">
            <v>19411.78</v>
          </cell>
          <cell r="S111">
            <v>16147.63</v>
          </cell>
          <cell r="T111">
            <v>260775.25999999998</v>
          </cell>
          <cell r="U111">
            <v>19777.47</v>
          </cell>
          <cell r="V111">
            <v>20916.189999999999</v>
          </cell>
          <cell r="W111">
            <v>21304.14</v>
          </cell>
          <cell r="X111">
            <v>25220.44</v>
          </cell>
          <cell r="Y111">
            <v>29796.34</v>
          </cell>
          <cell r="Z111">
            <v>19383.95</v>
          </cell>
          <cell r="AA111">
            <v>36898.639999999999</v>
          </cell>
          <cell r="AB111">
            <v>21861.01</v>
          </cell>
          <cell r="AC111">
            <v>21080.639999999999</v>
          </cell>
          <cell r="AD111">
            <v>25202.35</v>
          </cell>
          <cell r="AE111">
            <v>13634.62</v>
          </cell>
          <cell r="AF111">
            <v>24563.03</v>
          </cell>
          <cell r="AG111">
            <v>279638.82</v>
          </cell>
          <cell r="AH111">
            <v>20402.7</v>
          </cell>
          <cell r="AI111">
            <v>15596.42</v>
          </cell>
          <cell r="AJ111">
            <v>-3032.75</v>
          </cell>
          <cell r="AK111">
            <v>4291.5200000000004</v>
          </cell>
          <cell r="AL111">
            <v>10264.67</v>
          </cell>
          <cell r="AM111">
            <v>10482.280000000001</v>
          </cell>
          <cell r="AN111">
            <v>19851.3</v>
          </cell>
          <cell r="AO111">
            <v>12023.6</v>
          </cell>
          <cell r="AP111">
            <v>15138.6</v>
          </cell>
          <cell r="AQ111">
            <v>15232.84</v>
          </cell>
          <cell r="AR111">
            <v>16129.49</v>
          </cell>
          <cell r="AS111">
            <v>18320.36</v>
          </cell>
          <cell r="AT111">
            <v>154701.03000000003</v>
          </cell>
          <cell r="AU111">
            <v>18251.489999999998</v>
          </cell>
          <cell r="AV111">
            <v>12667.91</v>
          </cell>
          <cell r="AW111">
            <v>23122.47</v>
          </cell>
          <cell r="AX111">
            <v>23413.17</v>
          </cell>
          <cell r="AY111">
            <v>29890.799999999999</v>
          </cell>
          <cell r="AZ111">
            <v>65596.37</v>
          </cell>
          <cell r="BA111">
            <v>36023.229999999996</v>
          </cell>
          <cell r="BB111">
            <v>40039.75</v>
          </cell>
          <cell r="BC111">
            <v>30744.639999999999</v>
          </cell>
          <cell r="BD111">
            <v>60277.33</v>
          </cell>
          <cell r="BE111">
            <v>48647.11</v>
          </cell>
          <cell r="BF111">
            <v>83956.74</v>
          </cell>
          <cell r="BG111">
            <v>472631.01</v>
          </cell>
          <cell r="BH111">
            <v>54298.600000000006</v>
          </cell>
          <cell r="BI111">
            <v>71454.39</v>
          </cell>
          <cell r="BJ111">
            <v>111764.22</v>
          </cell>
          <cell r="BK111">
            <v>113003.93</v>
          </cell>
          <cell r="BL111">
            <v>136687.13</v>
          </cell>
          <cell r="BM111">
            <v>144714.93</v>
          </cell>
          <cell r="BN111">
            <v>138071.63</v>
          </cell>
          <cell r="BO111">
            <v>176201.60000000001</v>
          </cell>
          <cell r="BP111">
            <v>148184.94</v>
          </cell>
          <cell r="BQ111">
            <v>145122.87</v>
          </cell>
          <cell r="BR111">
            <v>140270.73000000001</v>
          </cell>
          <cell r="BS111">
            <v>149480.04999999999</v>
          </cell>
          <cell r="BT111">
            <v>1529255.0199999998</v>
          </cell>
          <cell r="BU111">
            <v>155874.54</v>
          </cell>
          <cell r="BV111">
            <v>128257.07</v>
          </cell>
          <cell r="BW111">
            <v>173576.94</v>
          </cell>
          <cell r="BX111">
            <v>136088.29999999999</v>
          </cell>
          <cell r="BY111">
            <v>189371.88</v>
          </cell>
          <cell r="BZ111">
            <v>181551.46</v>
          </cell>
          <cell r="CA111">
            <v>184247.33</v>
          </cell>
          <cell r="CD111" t="str">
            <v>Receitas Financeiras</v>
          </cell>
          <cell r="CE111">
            <v>1148967.52</v>
          </cell>
          <cell r="CF111">
            <v>13000</v>
          </cell>
          <cell r="CG111">
            <v>13000</v>
          </cell>
        </row>
        <row r="112">
          <cell r="A112" t="str">
            <v>4.3.1.1.02</v>
          </cell>
          <cell r="B112" t="str">
            <v>Despesas Financeiras</v>
          </cell>
          <cell r="C112">
            <v>-61392</v>
          </cell>
          <cell r="D112">
            <v>-188706.6</v>
          </cell>
          <cell r="E112">
            <v>-234186.72</v>
          </cell>
          <cell r="F112">
            <v>-186455.88999999998</v>
          </cell>
          <cell r="G112">
            <v>-203555.34</v>
          </cell>
          <cell r="H112">
            <v>-15495.08</v>
          </cell>
          <cell r="I112">
            <v>-14298.16</v>
          </cell>
          <cell r="J112">
            <v>-9719.2800000000007</v>
          </cell>
          <cell r="K112">
            <v>-10916.95</v>
          </cell>
          <cell r="L112">
            <v>-12493.21</v>
          </cell>
          <cell r="M112">
            <v>-9307.17</v>
          </cell>
          <cell r="N112">
            <v>-9863.34</v>
          </cell>
          <cell r="O112">
            <v>-6435.57</v>
          </cell>
          <cell r="P112">
            <v>-14617.8</v>
          </cell>
          <cell r="Q112">
            <v>-14653.61</v>
          </cell>
          <cell r="R112">
            <v>-10922.32</v>
          </cell>
          <cell r="S112">
            <v>-11380.42</v>
          </cell>
          <cell r="T112">
            <v>-140102.91000000003</v>
          </cell>
          <cell r="U112">
            <v>-10680.21</v>
          </cell>
          <cell r="V112">
            <v>-9674.74</v>
          </cell>
          <cell r="W112">
            <v>-8761.82</v>
          </cell>
          <cell r="X112">
            <v>-11124.68</v>
          </cell>
          <cell r="Y112">
            <v>-9812.64</v>
          </cell>
          <cell r="Z112">
            <v>-8372.7999999999993</v>
          </cell>
          <cell r="AA112">
            <v>-7810.15</v>
          </cell>
          <cell r="AB112">
            <v>-14497.33</v>
          </cell>
          <cell r="AC112">
            <v>-12755.09</v>
          </cell>
          <cell r="AD112">
            <v>-12270.15</v>
          </cell>
          <cell r="AE112">
            <v>-12065.19</v>
          </cell>
          <cell r="AF112">
            <v>-11365.45</v>
          </cell>
          <cell r="AG112">
            <v>-129190.24999999999</v>
          </cell>
          <cell r="AH112">
            <v>-11361.03</v>
          </cell>
          <cell r="AI112">
            <v>-11078.93</v>
          </cell>
          <cell r="AJ112">
            <v>-15664.49</v>
          </cell>
          <cell r="AK112">
            <v>-17505.38</v>
          </cell>
          <cell r="AL112">
            <v>-15552.06</v>
          </cell>
          <cell r="AM112">
            <v>-16898.04</v>
          </cell>
          <cell r="AN112">
            <v>-20132.150000000001</v>
          </cell>
          <cell r="AO112">
            <v>-112769.16</v>
          </cell>
          <cell r="AP112">
            <v>-15889.45</v>
          </cell>
          <cell r="AQ112">
            <v>-15446.03</v>
          </cell>
          <cell r="AR112">
            <v>-16033.01</v>
          </cell>
          <cell r="AS112">
            <v>-14883.66</v>
          </cell>
          <cell r="AT112">
            <v>-283213.38999999996</v>
          </cell>
          <cell r="AU112">
            <v>-16351.92</v>
          </cell>
          <cell r="AV112">
            <v>-12943.07</v>
          </cell>
          <cell r="AW112">
            <v>-19773.080000000002</v>
          </cell>
          <cell r="AX112">
            <v>-20944.349999999999</v>
          </cell>
          <cell r="AY112">
            <v>-14980.37</v>
          </cell>
          <cell r="AZ112">
            <v>-25955.3</v>
          </cell>
          <cell r="BA112">
            <v>-59415.78</v>
          </cell>
          <cell r="BB112">
            <v>-26321.23</v>
          </cell>
          <cell r="BC112">
            <v>-25747.61</v>
          </cell>
          <cell r="BD112">
            <v>-29288.78</v>
          </cell>
          <cell r="BE112">
            <v>-44788.74</v>
          </cell>
          <cell r="BF112">
            <v>-30168.780000000002</v>
          </cell>
          <cell r="BG112">
            <v>-326679.01000000007</v>
          </cell>
          <cell r="BH112">
            <v>-30359.96</v>
          </cell>
          <cell r="BI112">
            <v>-27954.75</v>
          </cell>
          <cell r="BJ112">
            <v>-530755.26</v>
          </cell>
          <cell r="BK112">
            <v>-46820.53</v>
          </cell>
          <cell r="BL112">
            <v>-34679.93</v>
          </cell>
          <cell r="BM112">
            <v>-525854.5</v>
          </cell>
          <cell r="BN112">
            <v>-52674.68</v>
          </cell>
          <cell r="BO112">
            <v>-23070.29</v>
          </cell>
          <cell r="BP112">
            <v>-546776.42999999993</v>
          </cell>
          <cell r="BQ112">
            <v>-103170.42</v>
          </cell>
          <cell r="BR112">
            <v>-27563.89</v>
          </cell>
          <cell r="BS112">
            <v>-530795.54</v>
          </cell>
          <cell r="BT112">
            <v>-2480476.1799999997</v>
          </cell>
          <cell r="BU112">
            <v>-68699.66</v>
          </cell>
          <cell r="BV112">
            <v>-55269.47</v>
          </cell>
          <cell r="BW112">
            <v>-525091.77</v>
          </cell>
          <cell r="BX112">
            <v>-66996.820000000007</v>
          </cell>
          <cell r="BY112">
            <v>-43625.680000000008</v>
          </cell>
          <cell r="BZ112">
            <v>-543435.29</v>
          </cell>
          <cell r="CA112">
            <v>-61248.94</v>
          </cell>
          <cell r="CD112" t="str">
            <v>Despesas Financeiras</v>
          </cell>
          <cell r="CE112">
            <v>-1364367.63</v>
          </cell>
          <cell r="CF112">
            <v>-25000</v>
          </cell>
          <cell r="CG112">
            <v>-25000</v>
          </cell>
        </row>
        <row r="113">
          <cell r="A113" t="str">
            <v>4.3.1.1.03</v>
          </cell>
          <cell r="B113" t="str">
            <v>Variações Monetárias / Cambiais Líquidas</v>
          </cell>
          <cell r="C113">
            <v>72410.98</v>
          </cell>
          <cell r="D113">
            <v>-117402.63999999998</v>
          </cell>
          <cell r="E113">
            <v>-231237.61000000002</v>
          </cell>
          <cell r="F113">
            <v>46439.07</v>
          </cell>
          <cell r="G113">
            <v>-14087.69</v>
          </cell>
          <cell r="H113">
            <v>1206.5300000000007</v>
          </cell>
          <cell r="I113">
            <v>2282.64</v>
          </cell>
          <cell r="J113">
            <v>1137.6500000000001</v>
          </cell>
          <cell r="K113">
            <v>5270.4400000000005</v>
          </cell>
          <cell r="L113">
            <v>6513.1</v>
          </cell>
          <cell r="M113">
            <v>11454.91</v>
          </cell>
          <cell r="N113">
            <v>-8560.58</v>
          </cell>
          <cell r="O113">
            <v>11385.49</v>
          </cell>
          <cell r="P113">
            <v>-3156.72</v>
          </cell>
          <cell r="Q113">
            <v>-4273.5600000000004</v>
          </cell>
          <cell r="R113">
            <v>-6858.72</v>
          </cell>
          <cell r="S113">
            <v>-15675.59</v>
          </cell>
          <cell r="T113">
            <v>725.58999999999651</v>
          </cell>
          <cell r="U113">
            <v>35361.629999999997</v>
          </cell>
          <cell r="V113">
            <v>-15508.91</v>
          </cell>
          <cell r="W113">
            <v>10822.54</v>
          </cell>
          <cell r="X113">
            <v>-853.57</v>
          </cell>
          <cell r="Y113">
            <v>462.28</v>
          </cell>
          <cell r="Z113">
            <v>21770.27</v>
          </cell>
          <cell r="AA113">
            <v>31053</v>
          </cell>
          <cell r="AB113">
            <v>-48118.55</v>
          </cell>
          <cell r="AC113">
            <v>9928.39</v>
          </cell>
          <cell r="AD113">
            <v>8433.23</v>
          </cell>
          <cell r="AE113">
            <v>-17389.63</v>
          </cell>
          <cell r="AF113">
            <v>30605.119999999999</v>
          </cell>
          <cell r="AG113">
            <v>66565.799999999974</v>
          </cell>
          <cell r="AH113">
            <v>-47582.63</v>
          </cell>
          <cell r="AI113">
            <v>-45953.72</v>
          </cell>
          <cell r="AJ113">
            <v>-100188.81</v>
          </cell>
          <cell r="AK113">
            <v>-30095.03</v>
          </cell>
          <cell r="AL113">
            <v>-51195.119999999995</v>
          </cell>
          <cell r="AM113">
            <v>38405.9</v>
          </cell>
          <cell r="AN113">
            <v>-4408.010000000002</v>
          </cell>
          <cell r="AO113">
            <v>28647.920000000002</v>
          </cell>
          <cell r="AP113">
            <v>77145.780000000013</v>
          </cell>
          <cell r="AQ113">
            <v>9344.369999999999</v>
          </cell>
          <cell r="AR113">
            <v>-30596.160000000003</v>
          </cell>
          <cell r="AS113">
            <v>1594.0900000000001</v>
          </cell>
          <cell r="AT113">
            <v>-154881.41999999998</v>
          </cell>
          <cell r="AU113">
            <v>73250</v>
          </cell>
          <cell r="AV113">
            <v>-34353.5</v>
          </cell>
          <cell r="AW113">
            <v>-47514.75</v>
          </cell>
          <cell r="AX113">
            <v>49685.87</v>
          </cell>
          <cell r="AY113">
            <v>2234.8900000000067</v>
          </cell>
          <cell r="AZ113">
            <v>-86687.51999999999</v>
          </cell>
          <cell r="BA113">
            <v>33729.75</v>
          </cell>
          <cell r="BB113">
            <v>-2812.9500000000044</v>
          </cell>
          <cell r="BC113">
            <v>64612.710000000006</v>
          </cell>
          <cell r="BD113">
            <v>35448.939999999988</v>
          </cell>
          <cell r="BE113">
            <v>-50252.369999999995</v>
          </cell>
          <cell r="BF113">
            <v>-22372.959999999999</v>
          </cell>
          <cell r="BG113">
            <v>14968.110000000008</v>
          </cell>
          <cell r="BH113">
            <v>-76017.109999999986</v>
          </cell>
          <cell r="BI113">
            <v>-69179.58</v>
          </cell>
          <cell r="BJ113">
            <v>-31422.429999999993</v>
          </cell>
          <cell r="BK113">
            <v>60603.040000000001</v>
          </cell>
          <cell r="BL113">
            <v>-107213.45</v>
          </cell>
          <cell r="BM113">
            <v>178393.78999999998</v>
          </cell>
          <cell r="BN113">
            <v>9215.3699999999953</v>
          </cell>
          <cell r="BO113">
            <v>-8164.48</v>
          </cell>
          <cell r="BP113">
            <v>-61243.08</v>
          </cell>
          <cell r="BQ113">
            <v>78397.199999999983</v>
          </cell>
          <cell r="BR113">
            <v>-32101.130000000005</v>
          </cell>
          <cell r="BS113">
            <v>8120.1699999999983</v>
          </cell>
          <cell r="BT113">
            <v>-50611.690000000017</v>
          </cell>
          <cell r="BU113">
            <v>32025.049999999996</v>
          </cell>
          <cell r="BV113">
            <v>-65601.45</v>
          </cell>
          <cell r="BW113">
            <v>83258.569999999992</v>
          </cell>
          <cell r="BX113">
            <v>44075.83</v>
          </cell>
          <cell r="BY113">
            <v>-46861.420000000006</v>
          </cell>
          <cell r="BZ113">
            <v>126200.31</v>
          </cell>
          <cell r="CA113">
            <v>51363.31</v>
          </cell>
          <cell r="CD113" t="str">
            <v>Variações Monetárias / Cambiais Líquidas</v>
          </cell>
          <cell r="CE113">
            <v>224460.19999999998</v>
          </cell>
          <cell r="CF113">
            <v>-13000</v>
          </cell>
          <cell r="CG113">
            <v>-13000</v>
          </cell>
        </row>
        <row r="114">
          <cell r="A114" t="str">
            <v>SEM CONTA</v>
          </cell>
          <cell r="B114" t="str">
            <v>Ajustes Financeiros</v>
          </cell>
          <cell r="C114">
            <v>130435.37</v>
          </cell>
          <cell r="D114">
            <v>32016.78</v>
          </cell>
          <cell r="E114">
            <v>0</v>
          </cell>
          <cell r="F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T114">
            <v>0</v>
          </cell>
          <cell r="AG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BR114">
            <v>0</v>
          </cell>
          <cell r="BS114">
            <v>0</v>
          </cell>
          <cell r="BT114">
            <v>0</v>
          </cell>
          <cell r="BU114">
            <v>0</v>
          </cell>
          <cell r="BV114">
            <v>0</v>
          </cell>
          <cell r="BW114">
            <v>0</v>
          </cell>
          <cell r="BX114">
            <v>0</v>
          </cell>
          <cell r="BY114">
            <v>0</v>
          </cell>
          <cell r="BZ114">
            <v>0</v>
          </cell>
          <cell r="CA114">
            <v>0</v>
          </cell>
          <cell r="CD114" t="str">
            <v>Ajustes Financeiros</v>
          </cell>
          <cell r="CE114">
            <v>0</v>
          </cell>
          <cell r="CF114">
            <v>0</v>
          </cell>
          <cell r="CG114">
            <v>0</v>
          </cell>
        </row>
        <row r="115">
          <cell r="A115" t="str">
            <v>4.3</v>
          </cell>
          <cell r="B115" t="str">
            <v>Total Efeitos Financeiros Líquidos</v>
          </cell>
          <cell r="C115">
            <v>235121.12</v>
          </cell>
          <cell r="D115">
            <v>39826.170000000071</v>
          </cell>
          <cell r="E115">
            <v>-10393.290000000037</v>
          </cell>
          <cell r="F115">
            <v>379653.59</v>
          </cell>
          <cell r="G115">
            <v>140109.18999999997</v>
          </cell>
          <cell r="H115">
            <v>31119.589999999997</v>
          </cell>
          <cell r="I115">
            <v>5038.1899999999987</v>
          </cell>
          <cell r="J115">
            <v>8676.61</v>
          </cell>
          <cell r="K115">
            <v>21931.29</v>
          </cell>
          <cell r="L115">
            <v>9884.9600000000009</v>
          </cell>
          <cell r="M115">
            <v>19616.04</v>
          </cell>
          <cell r="N115">
            <v>-2795.1499999999996</v>
          </cell>
          <cell r="O115">
            <v>23611.64</v>
          </cell>
          <cell r="P115">
            <v>2730.19</v>
          </cell>
          <cell r="Q115">
            <v>10862.219999999998</v>
          </cell>
          <cell r="R115">
            <v>1630.7399999999989</v>
          </cell>
          <cell r="S115">
            <v>-10908.380000000001</v>
          </cell>
          <cell r="T115">
            <v>121397.94</v>
          </cell>
          <cell r="U115">
            <v>44458.89</v>
          </cell>
          <cell r="V115">
            <v>-4267.4600000000009</v>
          </cell>
          <cell r="W115">
            <v>23364.86</v>
          </cell>
          <cell r="X115">
            <v>13242.189999999999</v>
          </cell>
          <cell r="Y115">
            <v>20445.98</v>
          </cell>
          <cell r="Z115">
            <v>32781.42</v>
          </cell>
          <cell r="AA115">
            <v>60141.49</v>
          </cell>
          <cell r="AB115">
            <v>-40754.870000000003</v>
          </cell>
          <cell r="AC115">
            <v>18253.939999999999</v>
          </cell>
          <cell r="AD115">
            <v>21365.43</v>
          </cell>
          <cell r="AE115">
            <v>-15820.2</v>
          </cell>
          <cell r="AF115">
            <v>43802.7</v>
          </cell>
          <cell r="AG115">
            <v>217014.37</v>
          </cell>
          <cell r="AH115">
            <v>-38540.959999999999</v>
          </cell>
          <cell r="AI115">
            <v>-41436.230000000003</v>
          </cell>
          <cell r="AJ115">
            <v>-118886.04999999999</v>
          </cell>
          <cell r="AK115">
            <v>-43308.89</v>
          </cell>
          <cell r="AL115">
            <v>-56482.509999999995</v>
          </cell>
          <cell r="AM115">
            <v>31990.14</v>
          </cell>
          <cell r="AN115">
            <v>-4688.8600000000042</v>
          </cell>
          <cell r="AO115">
            <v>-72097.64</v>
          </cell>
          <cell r="AP115">
            <v>76394.930000000008</v>
          </cell>
          <cell r="AQ115">
            <v>9131.1799999999985</v>
          </cell>
          <cell r="AR115">
            <v>-30499.680000000004</v>
          </cell>
          <cell r="AS115">
            <v>5030.7900000000009</v>
          </cell>
          <cell r="AT115">
            <v>-283393.78000000003</v>
          </cell>
          <cell r="AU115">
            <v>75149.569999999992</v>
          </cell>
          <cell r="AV115">
            <v>-34628.660000000003</v>
          </cell>
          <cell r="AW115">
            <v>-44165.36</v>
          </cell>
          <cell r="AX115">
            <v>52154.69</v>
          </cell>
          <cell r="AY115">
            <v>17145.320000000007</v>
          </cell>
          <cell r="AZ115">
            <v>-47046.45</v>
          </cell>
          <cell r="BA115">
            <v>10337.199999999997</v>
          </cell>
          <cell r="BB115">
            <v>10905.569999999996</v>
          </cell>
          <cell r="BC115">
            <v>69609.740000000005</v>
          </cell>
          <cell r="BD115">
            <v>66437.489999999991</v>
          </cell>
          <cell r="BE115">
            <v>-46393.999999999993</v>
          </cell>
          <cell r="BF115">
            <v>31415.000000000007</v>
          </cell>
          <cell r="BG115">
            <v>160920.10999999996</v>
          </cell>
          <cell r="BH115">
            <v>-52078.469999999979</v>
          </cell>
          <cell r="BI115">
            <v>-25679.940000000002</v>
          </cell>
          <cell r="BJ115">
            <v>-450413.47000000003</v>
          </cell>
          <cell r="BK115">
            <v>126786.44</v>
          </cell>
          <cell r="BL115">
            <v>-5206.2499999999854</v>
          </cell>
          <cell r="BM115">
            <v>-202745.78000000003</v>
          </cell>
          <cell r="BN115">
            <v>94612.32</v>
          </cell>
          <cell r="BO115">
            <v>144966.82999999999</v>
          </cell>
          <cell r="BP115">
            <v>-459834.56999999995</v>
          </cell>
          <cell r="BQ115">
            <v>120349.64999999998</v>
          </cell>
          <cell r="BR115">
            <v>80605.710000000006</v>
          </cell>
          <cell r="BS115">
            <v>-373195.32000000007</v>
          </cell>
          <cell r="BT115">
            <v>-1001832.85</v>
          </cell>
          <cell r="BU115">
            <v>119199.93</v>
          </cell>
          <cell r="BV115">
            <v>7386.1500000000087</v>
          </cell>
          <cell r="BW115">
            <v>-268256.26</v>
          </cell>
          <cell r="BX115">
            <v>113167.30999999998</v>
          </cell>
          <cell r="BY115">
            <v>98884.78</v>
          </cell>
          <cell r="BZ115">
            <v>-235683.52000000008</v>
          </cell>
          <cell r="CA115">
            <v>174361.69999999998</v>
          </cell>
          <cell r="CD115" t="str">
            <v>Total Efeitos Financeiros Líquidos</v>
          </cell>
          <cell r="CE115">
            <v>9060.0899999998801</v>
          </cell>
          <cell r="CF115">
            <v>-25000</v>
          </cell>
          <cell r="CG115">
            <v>-25000</v>
          </cell>
        </row>
        <row r="116">
          <cell r="A116" t="str">
            <v>4.4</v>
          </cell>
          <cell r="B116" t="str">
            <v>RESULTADO COM PARTICIP. SOCIETÁRIA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M116">
            <v>18659.580000000002</v>
          </cell>
          <cell r="N116">
            <v>0</v>
          </cell>
          <cell r="O116">
            <v>0</v>
          </cell>
          <cell r="P116">
            <v>51192.44</v>
          </cell>
          <cell r="Q116">
            <v>-461</v>
          </cell>
          <cell r="R116">
            <v>27569.23</v>
          </cell>
          <cell r="S116">
            <v>-20418.86</v>
          </cell>
          <cell r="T116">
            <v>76541.39</v>
          </cell>
          <cell r="U116">
            <v>8721.1200000000008</v>
          </cell>
          <cell r="V116">
            <v>-2089.7399999999998</v>
          </cell>
          <cell r="W116">
            <v>0</v>
          </cell>
          <cell r="X116">
            <v>19334.3</v>
          </cell>
          <cell r="Y116">
            <v>11881.55</v>
          </cell>
          <cell r="Z116">
            <v>18072.310000000001</v>
          </cell>
          <cell r="AA116">
            <v>12899.15</v>
          </cell>
          <cell r="AB116">
            <v>25169.48</v>
          </cell>
          <cell r="AC116">
            <v>36317.699999999997</v>
          </cell>
          <cell r="AD116">
            <v>13021.94</v>
          </cell>
          <cell r="AE116">
            <v>20375.580000000002</v>
          </cell>
          <cell r="AF116">
            <v>4949.8999999999996</v>
          </cell>
          <cell r="AG116">
            <v>168653.28999999995</v>
          </cell>
          <cell r="AH116">
            <v>19059.78</v>
          </cell>
          <cell r="AI116">
            <v>16235.08</v>
          </cell>
          <cell r="AJ116">
            <v>46838.81</v>
          </cell>
          <cell r="AK116">
            <v>17501.259999999998</v>
          </cell>
          <cell r="AL116">
            <v>32189.85</v>
          </cell>
          <cell r="AM116">
            <v>32834.25</v>
          </cell>
          <cell r="AN116">
            <v>18384.38</v>
          </cell>
          <cell r="AO116">
            <v>10705.63</v>
          </cell>
          <cell r="AP116">
            <v>7837.99</v>
          </cell>
          <cell r="AQ116">
            <v>0.01</v>
          </cell>
          <cell r="AR116">
            <v>50384.71</v>
          </cell>
          <cell r="AS116">
            <v>-33649.14</v>
          </cell>
          <cell r="AT116">
            <v>218322.61</v>
          </cell>
          <cell r="AU116">
            <v>14181.34</v>
          </cell>
          <cell r="AV116">
            <v>49758.44</v>
          </cell>
          <cell r="AW116">
            <v>40506.36</v>
          </cell>
          <cell r="AX116">
            <v>9103.2000000000007</v>
          </cell>
          <cell r="AY116">
            <v>-27549.84</v>
          </cell>
          <cell r="AZ116">
            <v>139587.35999999999</v>
          </cell>
          <cell r="BA116">
            <v>107563.45</v>
          </cell>
          <cell r="BB116">
            <v>-48322.13</v>
          </cell>
          <cell r="BC116">
            <v>160300.32</v>
          </cell>
          <cell r="BD116">
            <v>241140.65</v>
          </cell>
          <cell r="BE116">
            <v>129340.42</v>
          </cell>
          <cell r="BF116">
            <v>-205724.92</v>
          </cell>
          <cell r="BG116">
            <v>609884.65</v>
          </cell>
          <cell r="BH116">
            <v>43888.77</v>
          </cell>
          <cell r="BI116">
            <v>155010.04999999999</v>
          </cell>
          <cell r="BJ116">
            <v>38504.949999999997</v>
          </cell>
          <cell r="BK116">
            <v>29734.22</v>
          </cell>
          <cell r="BL116">
            <v>233859.56</v>
          </cell>
          <cell r="BM116">
            <v>31714.880000000001</v>
          </cell>
          <cell r="BN116">
            <v>223431.31</v>
          </cell>
          <cell r="BO116">
            <v>73989.14</v>
          </cell>
          <cell r="BP116">
            <v>139155.43</v>
          </cell>
          <cell r="BQ116">
            <v>112012.35</v>
          </cell>
          <cell r="BR116">
            <v>147503.74</v>
          </cell>
          <cell r="BS116">
            <v>8332.31</v>
          </cell>
          <cell r="BT116">
            <v>1237136.7100000002</v>
          </cell>
          <cell r="BU116">
            <v>205974.81</v>
          </cell>
          <cell r="BV116">
            <v>99739.17</v>
          </cell>
          <cell r="BW116">
            <v>57074.41</v>
          </cell>
          <cell r="BX116">
            <v>1</v>
          </cell>
          <cell r="BY116">
            <v>1</v>
          </cell>
          <cell r="BZ116">
            <v>1</v>
          </cell>
          <cell r="CA116">
            <v>1</v>
          </cell>
          <cell r="CD116" t="str">
            <v>RESULTADO COM PARTICIP. SOCIETÁRIA</v>
          </cell>
          <cell r="CE116">
            <v>362792.39</v>
          </cell>
          <cell r="CF116">
            <v>20000</v>
          </cell>
          <cell r="CG116">
            <v>20000</v>
          </cell>
        </row>
        <row r="117">
          <cell r="A117" t="str">
            <v>SEM CONTA</v>
          </cell>
          <cell r="B117" t="str">
            <v>LUCRO (PREJUÍZO) OPERACIONAL</v>
          </cell>
          <cell r="C117">
            <v>5586080.8100000005</v>
          </cell>
          <cell r="D117">
            <v>5868027.9599999944</v>
          </cell>
          <cell r="E117">
            <v>7366916.9599999962</v>
          </cell>
          <cell r="F117">
            <v>5275220.2600000035</v>
          </cell>
          <cell r="G117">
            <v>4252238.4499999974</v>
          </cell>
          <cell r="H117">
            <v>387773.2300000001</v>
          </cell>
          <cell r="I117">
            <v>395463.62999999977</v>
          </cell>
          <cell r="J117">
            <v>604348.01000000013</v>
          </cell>
          <cell r="K117">
            <v>557739.49000000022</v>
          </cell>
          <cell r="L117">
            <v>261925.21000000011</v>
          </cell>
          <cell r="M117">
            <v>296112.45000000013</v>
          </cell>
          <cell r="N117">
            <v>868422.40000000037</v>
          </cell>
          <cell r="O117">
            <v>592205.82999999996</v>
          </cell>
          <cell r="P117">
            <v>1360509.4299999997</v>
          </cell>
          <cell r="Q117">
            <v>692934.13999999943</v>
          </cell>
          <cell r="R117">
            <v>125067.79000000036</v>
          </cell>
          <cell r="S117">
            <v>353944.5199999999</v>
          </cell>
          <cell r="T117">
            <v>6496446.1299999999</v>
          </cell>
          <cell r="U117">
            <v>370463.81000000046</v>
          </cell>
          <cell r="V117">
            <v>332080.43999999954</v>
          </cell>
          <cell r="W117">
            <v>513851.21000000014</v>
          </cell>
          <cell r="X117">
            <v>750769.68999999971</v>
          </cell>
          <cell r="Y117">
            <v>716735.17999999982</v>
          </cell>
          <cell r="Z117">
            <v>225139.47999999975</v>
          </cell>
          <cell r="AA117">
            <v>989101.61000000045</v>
          </cell>
          <cell r="AB117">
            <v>528324.91999999969</v>
          </cell>
          <cell r="AC117">
            <v>1029638.8399999994</v>
          </cell>
          <cell r="AD117">
            <v>1086391.8299999998</v>
          </cell>
          <cell r="AE117">
            <v>563940.36000000022</v>
          </cell>
          <cell r="AF117">
            <v>544476.76999999979</v>
          </cell>
          <cell r="AG117">
            <v>7650914.1399999997</v>
          </cell>
          <cell r="AH117">
            <v>665642.37999999977</v>
          </cell>
          <cell r="AI117">
            <v>376931.19999999984</v>
          </cell>
          <cell r="AJ117">
            <v>121214.55999999982</v>
          </cell>
          <cell r="AK117">
            <v>255379.59999999998</v>
          </cell>
          <cell r="AL117">
            <v>707421.53000000014</v>
          </cell>
          <cell r="AM117">
            <v>1672277.2500000002</v>
          </cell>
          <cell r="AN117">
            <v>1400068.2699999998</v>
          </cell>
          <cell r="AO117">
            <v>1508685.4400000006</v>
          </cell>
          <cell r="AP117">
            <v>1673307.1100000013</v>
          </cell>
          <cell r="AQ117">
            <v>1952731.0900000003</v>
          </cell>
          <cell r="AR117">
            <v>1235461.1000000006</v>
          </cell>
          <cell r="AS117">
            <v>1464351.1300000011</v>
          </cell>
          <cell r="AT117">
            <v>13033470.660000002</v>
          </cell>
          <cell r="AU117">
            <v>1595918.4700000016</v>
          </cell>
          <cell r="AV117">
            <v>1171695.6800000011</v>
          </cell>
          <cell r="AW117">
            <v>2069022.6399999994</v>
          </cell>
          <cell r="AX117">
            <v>2817119.66</v>
          </cell>
          <cell r="AY117">
            <v>2689794.2800000007</v>
          </cell>
          <cell r="AZ117">
            <v>3217269.69</v>
          </cell>
          <cell r="BA117">
            <v>3258935.5200000019</v>
          </cell>
          <cell r="BB117">
            <v>3088136.7700000005</v>
          </cell>
          <cell r="BC117">
            <v>3410726.63</v>
          </cell>
          <cell r="BD117">
            <v>1695368.7299999988</v>
          </cell>
          <cell r="BE117">
            <v>1707487.96</v>
          </cell>
          <cell r="BF117">
            <v>1107609.4000000008</v>
          </cell>
          <cell r="BG117">
            <v>27829085.429999981</v>
          </cell>
          <cell r="BH117">
            <v>1078014.9100000001</v>
          </cell>
          <cell r="BI117">
            <v>1582355.3600000003</v>
          </cell>
          <cell r="BJ117">
            <v>2465307.0199999986</v>
          </cell>
          <cell r="BK117">
            <v>2539394.8900000006</v>
          </cell>
          <cell r="BL117">
            <v>2219099.9999999981</v>
          </cell>
          <cell r="BM117">
            <v>1971576.8600000006</v>
          </cell>
          <cell r="BN117">
            <v>2449230.1399999997</v>
          </cell>
          <cell r="BO117">
            <v>2130906.5100000026</v>
          </cell>
          <cell r="BP117">
            <v>1904987.4700000014</v>
          </cell>
          <cell r="BQ117">
            <v>528587.3399999995</v>
          </cell>
          <cell r="BR117">
            <v>2209015.5999999987</v>
          </cell>
          <cell r="BS117">
            <v>206430.68000000034</v>
          </cell>
          <cell r="BT117">
            <v>21284906.780000009</v>
          </cell>
          <cell r="BU117">
            <v>663039.00999999989</v>
          </cell>
          <cell r="BV117">
            <v>227025.78999999986</v>
          </cell>
          <cell r="BW117">
            <v>979873.13999999978</v>
          </cell>
          <cell r="BX117">
            <v>1389913.1599999997</v>
          </cell>
          <cell r="BY117">
            <v>2800741.3699999996</v>
          </cell>
          <cell r="BZ117">
            <v>2157411.5000000014</v>
          </cell>
          <cell r="CA117">
            <v>622747.99</v>
          </cell>
          <cell r="CD117" t="str">
            <v>LUCRO (PREJUÍZO) OPERACIONAL</v>
          </cell>
          <cell r="CE117">
            <v>8840751.9600000009</v>
          </cell>
          <cell r="CF117">
            <v>1292976</v>
          </cell>
          <cell r="CG117">
            <v>1292976</v>
          </cell>
        </row>
        <row r="118">
          <cell r="A118" t="str">
            <v>4.9</v>
          </cell>
          <cell r="B118" t="str">
            <v>Outras Receitas e Despesas</v>
          </cell>
          <cell r="C118">
            <v>2500</v>
          </cell>
          <cell r="D118">
            <v>1504.6799999999996</v>
          </cell>
          <cell r="E118">
            <v>-15437.440000000002</v>
          </cell>
          <cell r="F118">
            <v>10180.129999999996</v>
          </cell>
          <cell r="G118">
            <v>18660.93</v>
          </cell>
          <cell r="H118">
            <v>800</v>
          </cell>
          <cell r="I118">
            <v>0</v>
          </cell>
          <cell r="J118">
            <v>-1000</v>
          </cell>
          <cell r="K118">
            <v>-5000</v>
          </cell>
          <cell r="L118">
            <v>-3000</v>
          </cell>
          <cell r="M118">
            <v>0</v>
          </cell>
          <cell r="N118">
            <v>-114854.45</v>
          </cell>
          <cell r="O118">
            <v>70000</v>
          </cell>
          <cell r="P118">
            <v>-49666.67</v>
          </cell>
          <cell r="Q118">
            <v>17000</v>
          </cell>
          <cell r="S118">
            <v>0</v>
          </cell>
          <cell r="T118">
            <v>-85721.12</v>
          </cell>
          <cell r="U118">
            <v>0</v>
          </cell>
          <cell r="V118">
            <v>22636.87</v>
          </cell>
          <cell r="W118">
            <v>0</v>
          </cell>
          <cell r="X118">
            <v>0</v>
          </cell>
          <cell r="Y118">
            <v>1000</v>
          </cell>
          <cell r="Z118">
            <v>-9566.67</v>
          </cell>
          <cell r="AA118">
            <v>0</v>
          </cell>
          <cell r="AB118">
            <v>0</v>
          </cell>
          <cell r="AC118">
            <v>1000</v>
          </cell>
          <cell r="AD118">
            <v>-4400</v>
          </cell>
          <cell r="AE118">
            <v>-25000</v>
          </cell>
          <cell r="AF118">
            <v>0</v>
          </cell>
          <cell r="AG118">
            <v>-14329.800000000001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-4500</v>
          </cell>
          <cell r="AP118">
            <v>-900</v>
          </cell>
          <cell r="AQ118">
            <v>0</v>
          </cell>
          <cell r="AR118">
            <v>124299.00000000003</v>
          </cell>
          <cell r="AS118">
            <v>-3000</v>
          </cell>
          <cell r="AT118">
            <v>115899.00000000003</v>
          </cell>
          <cell r="AU118">
            <v>0</v>
          </cell>
          <cell r="AV118">
            <v>0</v>
          </cell>
          <cell r="AW118">
            <v>0</v>
          </cell>
          <cell r="AX118">
            <v>4664.1699999999983</v>
          </cell>
          <cell r="AY118">
            <v>0</v>
          </cell>
          <cell r="AZ118">
            <v>0</v>
          </cell>
          <cell r="BA118">
            <v>0</v>
          </cell>
          <cell r="BB118">
            <v>1600.6500000000233</v>
          </cell>
          <cell r="BC118">
            <v>0</v>
          </cell>
          <cell r="BD118">
            <v>1525</v>
          </cell>
          <cell r="BE118">
            <v>67191.67</v>
          </cell>
          <cell r="BF118">
            <v>247702.22999999998</v>
          </cell>
          <cell r="BG118">
            <v>322683.71999999997</v>
          </cell>
          <cell r="BH118">
            <v>26833.330000000016</v>
          </cell>
          <cell r="BI118">
            <v>36136.339999999851</v>
          </cell>
          <cell r="BJ118">
            <v>6241.6699999999837</v>
          </cell>
          <cell r="BK118">
            <v>1525</v>
          </cell>
          <cell r="BL118">
            <v>1525</v>
          </cell>
          <cell r="BM118">
            <v>-14475</v>
          </cell>
          <cell r="BN118">
            <v>4087.77</v>
          </cell>
          <cell r="BO118">
            <v>1525</v>
          </cell>
          <cell r="BP118">
            <v>145431.39000000001</v>
          </cell>
          <cell r="BQ118">
            <v>-133.23000000000002</v>
          </cell>
          <cell r="BR118">
            <v>1525</v>
          </cell>
          <cell r="BS118">
            <v>1525</v>
          </cell>
          <cell r="BT118">
            <v>211747.26999999984</v>
          </cell>
          <cell r="BU118">
            <v>1525</v>
          </cell>
          <cell r="BV118">
            <v>1525</v>
          </cell>
          <cell r="BW118">
            <v>1525</v>
          </cell>
          <cell r="BX118">
            <v>1525</v>
          </cell>
          <cell r="BY118">
            <v>1525</v>
          </cell>
          <cell r="BZ118">
            <v>1525</v>
          </cell>
          <cell r="CA118">
            <v>4035.62</v>
          </cell>
          <cell r="CD118" t="str">
            <v>Outras Receitas e Despesas</v>
          </cell>
          <cell r="CE118">
            <v>13185.619999999999</v>
          </cell>
          <cell r="CF118">
            <v>0</v>
          </cell>
          <cell r="CG118">
            <v>0</v>
          </cell>
        </row>
        <row r="119">
          <cell r="A119" t="str">
            <v>SEM CONTA</v>
          </cell>
          <cell r="B119" t="str">
            <v>LUCRO (PREJUÍZO) ANTES IRPJ / CSSL</v>
          </cell>
          <cell r="C119">
            <v>5588580.8100000005</v>
          </cell>
          <cell r="D119">
            <v>5869532.6399999941</v>
          </cell>
          <cell r="E119">
            <v>7351479.5199999958</v>
          </cell>
          <cell r="F119">
            <v>5285400.3900000034</v>
          </cell>
          <cell r="G119">
            <v>4270899.3799999971</v>
          </cell>
          <cell r="H119">
            <v>388573.2300000001</v>
          </cell>
          <cell r="I119">
            <v>395463.62999999977</v>
          </cell>
          <cell r="J119">
            <v>603348.01000000013</v>
          </cell>
          <cell r="K119">
            <v>552739.49000000022</v>
          </cell>
          <cell r="L119">
            <v>258925.21000000011</v>
          </cell>
          <cell r="M119">
            <v>296112.45000000013</v>
          </cell>
          <cell r="N119">
            <v>753567.95000000042</v>
          </cell>
          <cell r="O119">
            <v>662205.82999999996</v>
          </cell>
          <cell r="P119">
            <v>1310842.7599999998</v>
          </cell>
          <cell r="Q119">
            <v>709934.13999999943</v>
          </cell>
          <cell r="R119">
            <v>125067.79000000036</v>
          </cell>
          <cell r="S119">
            <v>353944.5199999999</v>
          </cell>
          <cell r="T119">
            <v>6410725.0099999998</v>
          </cell>
          <cell r="U119">
            <v>370463.81000000046</v>
          </cell>
          <cell r="V119">
            <v>354717.30999999953</v>
          </cell>
          <cell r="W119">
            <v>513851.21000000014</v>
          </cell>
          <cell r="X119">
            <v>750769.68999999971</v>
          </cell>
          <cell r="Y119">
            <v>717735.17999999982</v>
          </cell>
          <cell r="Z119">
            <v>215572.80999999974</v>
          </cell>
          <cell r="AA119">
            <v>989101.61000000045</v>
          </cell>
          <cell r="AB119">
            <v>528324.91999999969</v>
          </cell>
          <cell r="AC119">
            <v>1030638.8399999994</v>
          </cell>
          <cell r="AD119">
            <v>1081991.8299999998</v>
          </cell>
          <cell r="AE119">
            <v>538940.36000000022</v>
          </cell>
          <cell r="AF119">
            <v>544476.76999999979</v>
          </cell>
          <cell r="AG119">
            <v>7636584.3399999989</v>
          </cell>
          <cell r="AH119">
            <v>665642.37999999977</v>
          </cell>
          <cell r="AI119">
            <v>376931.19999999984</v>
          </cell>
          <cell r="AJ119">
            <v>121214.55999999982</v>
          </cell>
          <cell r="AK119">
            <v>255379.59999999998</v>
          </cell>
          <cell r="AL119">
            <v>707421.53000000014</v>
          </cell>
          <cell r="AM119">
            <v>1672277.2500000002</v>
          </cell>
          <cell r="AN119">
            <v>1400068.2699999998</v>
          </cell>
          <cell r="AO119">
            <v>1504185.4400000006</v>
          </cell>
          <cell r="AP119">
            <v>1672407.1100000013</v>
          </cell>
          <cell r="AQ119">
            <v>1952731.0900000003</v>
          </cell>
          <cell r="AR119">
            <v>1359760.1000000006</v>
          </cell>
          <cell r="AS119">
            <v>1461351.1300000011</v>
          </cell>
          <cell r="AT119">
            <v>13149369.660000002</v>
          </cell>
          <cell r="AU119">
            <v>1595918.4700000016</v>
          </cell>
          <cell r="AV119">
            <v>1171695.6800000011</v>
          </cell>
          <cell r="AW119">
            <v>2069022.6399999994</v>
          </cell>
          <cell r="AX119">
            <v>2821783.83</v>
          </cell>
          <cell r="AY119">
            <v>2689794.2800000007</v>
          </cell>
          <cell r="AZ119">
            <v>3217269.69</v>
          </cell>
          <cell r="BA119">
            <v>3258935.5200000019</v>
          </cell>
          <cell r="BB119">
            <v>3089737.4200000004</v>
          </cell>
          <cell r="BC119">
            <v>3410726.63</v>
          </cell>
          <cell r="BD119">
            <v>1696893.7299999988</v>
          </cell>
          <cell r="BE119">
            <v>1774679.63</v>
          </cell>
          <cell r="BF119">
            <v>1355311.6300000008</v>
          </cell>
          <cell r="BG119">
            <v>28151769.14999998</v>
          </cell>
          <cell r="BH119">
            <v>1104848.2400000002</v>
          </cell>
          <cell r="BI119">
            <v>1618491.7000000002</v>
          </cell>
          <cell r="BJ119">
            <v>2471548.6899999985</v>
          </cell>
          <cell r="BK119">
            <v>2540919.8900000006</v>
          </cell>
          <cell r="BL119">
            <v>2220624.9999999981</v>
          </cell>
          <cell r="BM119">
            <v>1957101.8600000006</v>
          </cell>
          <cell r="BN119">
            <v>2453317.9099999997</v>
          </cell>
          <cell r="BO119">
            <v>2132431.5100000026</v>
          </cell>
          <cell r="BP119">
            <v>2050418.8600000013</v>
          </cell>
          <cell r="BQ119">
            <v>528454.10999999952</v>
          </cell>
          <cell r="BR119">
            <v>2210540.5999999987</v>
          </cell>
          <cell r="BS119">
            <v>207955.68000000034</v>
          </cell>
          <cell r="BT119">
            <v>21496654.050000008</v>
          </cell>
          <cell r="BU119">
            <v>664564.00999999989</v>
          </cell>
          <cell r="BV119">
            <v>228550.78999999986</v>
          </cell>
          <cell r="BW119">
            <v>981398.13999999978</v>
          </cell>
          <cell r="BX119">
            <v>1391438.1599999997</v>
          </cell>
          <cell r="BY119">
            <v>2802266.3699999996</v>
          </cell>
          <cell r="BZ119">
            <v>2158936.5000000014</v>
          </cell>
          <cell r="CA119">
            <v>626783.61</v>
          </cell>
          <cell r="CD119" t="str">
            <v>LUCRO (PREJUÍZO) ANTES IRPJ / CSSL</v>
          </cell>
          <cell r="CE119">
            <v>8853937.5800000001</v>
          </cell>
          <cell r="CF119">
            <v>1292976</v>
          </cell>
          <cell r="CG119">
            <v>1292976</v>
          </cell>
        </row>
        <row r="120">
          <cell r="A120">
            <v>6</v>
          </cell>
          <cell r="B120" t="str">
            <v>Provisão CSLL</v>
          </cell>
          <cell r="C120">
            <v>-229164.18</v>
          </cell>
          <cell r="D120">
            <v>-307710.54025199998</v>
          </cell>
          <cell r="E120">
            <v>-429916.53</v>
          </cell>
          <cell r="F120">
            <v>-377956.10263887991</v>
          </cell>
          <cell r="G120">
            <v>-389187.38</v>
          </cell>
          <cell r="H120">
            <v>-29623.352813999998</v>
          </cell>
          <cell r="I120">
            <v>-27922.126967999997</v>
          </cell>
          <cell r="J120">
            <v>-36133.749755999997</v>
          </cell>
          <cell r="K120">
            <v>-31793.035932000006</v>
          </cell>
          <cell r="L120">
            <v>-26095.261104000005</v>
          </cell>
          <cell r="M120">
            <v>-31195.240236000001</v>
          </cell>
          <cell r="N120">
            <v>-48383.56</v>
          </cell>
          <cell r="O120">
            <v>-36049.120000000003</v>
          </cell>
          <cell r="P120">
            <v>-68021.59</v>
          </cell>
          <cell r="Q120">
            <v>-42711.33</v>
          </cell>
          <cell r="R120">
            <v>-24516.26</v>
          </cell>
          <cell r="S120">
            <v>-34239.879999999997</v>
          </cell>
          <cell r="T120">
            <v>-436684.50680999999</v>
          </cell>
          <cell r="U120">
            <v>-37681.78</v>
          </cell>
          <cell r="V120">
            <v>-38358.61</v>
          </cell>
          <cell r="W120">
            <v>-37914.5</v>
          </cell>
          <cell r="X120">
            <v>-43156.15</v>
          </cell>
          <cell r="Y120">
            <v>-43449.17</v>
          </cell>
          <cell r="Z120">
            <v>-27911.25</v>
          </cell>
          <cell r="AA120">
            <v>-53381.61</v>
          </cell>
          <cell r="AB120">
            <v>-41435</v>
          </cell>
          <cell r="AC120">
            <v>-51237.2</v>
          </cell>
          <cell r="AD120">
            <v>-56215.29</v>
          </cell>
          <cell r="AE120">
            <v>-41855.230000000003</v>
          </cell>
          <cell r="AF120">
            <v>-35015.919999999998</v>
          </cell>
          <cell r="AG120">
            <v>-507611.70999999996</v>
          </cell>
          <cell r="AH120">
            <v>-44044.54</v>
          </cell>
          <cell r="AI120">
            <v>-36414.379999999997</v>
          </cell>
          <cell r="AJ120">
            <v>-28910.34</v>
          </cell>
          <cell r="AK120">
            <v>-39568.9</v>
          </cell>
          <cell r="AL120">
            <v>-32728.3</v>
          </cell>
          <cell r="AM120">
            <v>-58815.11</v>
          </cell>
          <cell r="AN120">
            <v>-65671.399999999994</v>
          </cell>
          <cell r="AO120">
            <v>-62888.51</v>
          </cell>
          <cell r="AP120">
            <v>-68773.86</v>
          </cell>
          <cell r="AQ120">
            <v>-84918.52</v>
          </cell>
          <cell r="AR120">
            <v>-79202.2</v>
          </cell>
          <cell r="AS120">
            <v>-61507.56</v>
          </cell>
          <cell r="AT120">
            <v>-663443.61999999988</v>
          </cell>
          <cell r="AU120">
            <v>-71664.350000000006</v>
          </cell>
          <cell r="AV120">
            <v>-75566.92</v>
          </cell>
          <cell r="AW120">
            <v>-82169.3</v>
          </cell>
          <cell r="AX120">
            <v>-101770.71</v>
          </cell>
          <cell r="AY120">
            <v>-104696.46</v>
          </cell>
          <cell r="AZ120">
            <v>-119881.15000000001</v>
          </cell>
          <cell r="BA120">
            <v>-123829.04</v>
          </cell>
          <cell r="BB120">
            <v>-120066</v>
          </cell>
          <cell r="BC120">
            <v>-115241.79</v>
          </cell>
          <cell r="BD120">
            <v>-105396.1</v>
          </cell>
          <cell r="BE120">
            <v>-95117.46</v>
          </cell>
          <cell r="BF120">
            <v>-94579.98</v>
          </cell>
          <cell r="BG120">
            <v>-1209979.26</v>
          </cell>
          <cell r="BH120">
            <v>-104115.48</v>
          </cell>
          <cell r="BI120">
            <v>-139717.26999999999</v>
          </cell>
          <cell r="BJ120">
            <v>-213934.12</v>
          </cell>
          <cell r="BK120">
            <v>-217265.47</v>
          </cell>
          <cell r="BL120">
            <v>-192428.47</v>
          </cell>
          <cell r="BM120">
            <v>-160404.95000000001</v>
          </cell>
          <cell r="BN120">
            <v>-196041.21</v>
          </cell>
          <cell r="BO120">
            <v>-196431.96</v>
          </cell>
          <cell r="BP120">
            <v>-185137.66</v>
          </cell>
          <cell r="BQ120">
            <v>-31606.84</v>
          </cell>
          <cell r="BR120">
            <v>-190113.42</v>
          </cell>
          <cell r="BS120">
            <v>-19171.97</v>
          </cell>
          <cell r="BT120">
            <v>-1846368.8199999998</v>
          </cell>
          <cell r="BU120">
            <v>-41038.93</v>
          </cell>
          <cell r="BV120">
            <v>-19000.64</v>
          </cell>
          <cell r="BW120">
            <v>-72812.38</v>
          </cell>
          <cell r="BX120">
            <v>-127394.9</v>
          </cell>
          <cell r="BY120">
            <v>-263108.32</v>
          </cell>
          <cell r="BZ120">
            <v>-185618.02</v>
          </cell>
          <cell r="CA120" t="str">
            <v>Verificar</v>
          </cell>
          <cell r="CD120" t="str">
            <v>Provisão CSLL</v>
          </cell>
          <cell r="CE120">
            <v>-708973.19000000006</v>
          </cell>
          <cell r="CF120">
            <v>-70560</v>
          </cell>
          <cell r="CG120">
            <v>-70560</v>
          </cell>
        </row>
        <row r="121">
          <cell r="A121">
            <v>7</v>
          </cell>
          <cell r="B121" t="str">
            <v>Provisão IRPJ</v>
          </cell>
          <cell r="C121">
            <v>-477392.85</v>
          </cell>
          <cell r="D121">
            <v>-652069.53309999988</v>
          </cell>
          <cell r="E121">
            <v>-930717.64</v>
          </cell>
          <cell r="F121">
            <v>-812978.44180800009</v>
          </cell>
          <cell r="G121">
            <v>-864389.01</v>
          </cell>
          <cell r="H121">
            <v>-66930.673349999997</v>
          </cell>
          <cell r="I121">
            <v>-59952.119200000001</v>
          </cell>
          <cell r="J121">
            <v>-74326.827399999995</v>
          </cell>
          <cell r="K121">
            <v>-66570.134600000005</v>
          </cell>
          <cell r="L121">
            <v>-59445.625700000004</v>
          </cell>
          <cell r="M121">
            <v>-64113.344400000002</v>
          </cell>
          <cell r="N121">
            <v>-96748.18</v>
          </cell>
          <cell r="O121">
            <v>-69665.33</v>
          </cell>
          <cell r="P121">
            <v>-124229.6</v>
          </cell>
          <cell r="Q121">
            <v>-86770.2</v>
          </cell>
          <cell r="R121">
            <v>-46491.12</v>
          </cell>
          <cell r="S121">
            <v>-82929.69</v>
          </cell>
          <cell r="T121">
            <v>-898172.84464999987</v>
          </cell>
          <cell r="U121">
            <v>-78589.968800000002</v>
          </cell>
          <cell r="V121">
            <v>-82902.320000000007</v>
          </cell>
          <cell r="W121">
            <v>-78813.59</v>
          </cell>
          <cell r="X121">
            <v>-89582.73</v>
          </cell>
          <cell r="Y121">
            <v>-90215.95</v>
          </cell>
          <cell r="Z121">
            <v>-53101.06</v>
          </cell>
          <cell r="AA121">
            <v>-120649.92</v>
          </cell>
          <cell r="AB121">
            <v>-90275.67</v>
          </cell>
          <cell r="AC121">
            <v>-101678.21</v>
          </cell>
          <cell r="AD121">
            <v>-116771.99</v>
          </cell>
          <cell r="AE121">
            <v>-86424.31</v>
          </cell>
          <cell r="AF121">
            <v>-74887.33</v>
          </cell>
          <cell r="AG121">
            <v>-1063893.0488</v>
          </cell>
          <cell r="AH121">
            <v>-89934.93</v>
          </cell>
          <cell r="AI121">
            <v>-75617.09</v>
          </cell>
          <cell r="AJ121">
            <v>-60999.69</v>
          </cell>
          <cell r="AK121">
            <v>-90986.68</v>
          </cell>
          <cell r="AL121">
            <v>-62209.38</v>
          </cell>
          <cell r="AM121">
            <v>-120161.97</v>
          </cell>
          <cell r="AN121">
            <v>-136828.31</v>
          </cell>
          <cell r="AO121">
            <v>-126319.97</v>
          </cell>
          <cell r="AP121">
            <v>-139550.46</v>
          </cell>
          <cell r="AQ121">
            <v>-172558.16</v>
          </cell>
          <cell r="AR121">
            <v>-169140.96</v>
          </cell>
          <cell r="AS121">
            <v>-120891.62</v>
          </cell>
          <cell r="AT121">
            <v>-1365199.2199999997</v>
          </cell>
          <cell r="AU121">
            <v>-143226.51999999999</v>
          </cell>
          <cell r="AV121">
            <v>-151105.29</v>
          </cell>
          <cell r="AW121">
            <v>-160064.04999999999</v>
          </cell>
          <cell r="AX121">
            <v>-202953.34</v>
          </cell>
          <cell r="AY121">
            <v>-202227.55</v>
          </cell>
          <cell r="AZ121">
            <v>-230874.44999999998</v>
          </cell>
          <cell r="BA121">
            <v>-239388.26</v>
          </cell>
          <cell r="BB121">
            <v>-237554.31</v>
          </cell>
          <cell r="BC121">
            <v>-221603.12</v>
          </cell>
          <cell r="BD121">
            <v>-208087.51</v>
          </cell>
          <cell r="BE121">
            <v>-195282.79</v>
          </cell>
          <cell r="BF121">
            <v>-197481.47</v>
          </cell>
          <cell r="BG121">
            <v>-2389848.66</v>
          </cell>
          <cell r="BH121">
            <v>-287209.67</v>
          </cell>
          <cell r="BI121">
            <v>-384103.51</v>
          </cell>
          <cell r="BJ121">
            <v>-588261.46</v>
          </cell>
          <cell r="BK121">
            <v>-595515.21</v>
          </cell>
          <cell r="BL121">
            <v>-524523.53</v>
          </cell>
          <cell r="BM121">
            <v>-433569.29</v>
          </cell>
          <cell r="BN121">
            <v>-530558.92000000004</v>
          </cell>
          <cell r="BO121">
            <v>-529644.35</v>
          </cell>
          <cell r="BP121">
            <v>-461271.28</v>
          </cell>
          <cell r="BQ121">
            <v>-67796.77</v>
          </cell>
          <cell r="BR121">
            <v>-506092.82</v>
          </cell>
          <cell r="BS121">
            <v>-28953.285</v>
          </cell>
          <cell r="BT121">
            <v>-4937500.0949999997</v>
          </cell>
          <cell r="BU121">
            <v>-111997.03</v>
          </cell>
          <cell r="BV121">
            <v>-50779.56</v>
          </cell>
          <cell r="BW121">
            <v>-200256.62</v>
          </cell>
          <cell r="BX121">
            <v>-351874.73</v>
          </cell>
          <cell r="BY121">
            <v>-728856.43</v>
          </cell>
          <cell r="BZ121">
            <v>-513605.61</v>
          </cell>
          <cell r="CA121" t="str">
            <v>Verificar</v>
          </cell>
          <cell r="CD121" t="str">
            <v>Provisão IRPJ</v>
          </cell>
          <cell r="CE121">
            <v>-1957369.98</v>
          </cell>
          <cell r="CF121">
            <v>-141120</v>
          </cell>
          <cell r="CG121">
            <v>-141120</v>
          </cell>
        </row>
        <row r="122">
          <cell r="A122">
            <v>8</v>
          </cell>
          <cell r="B122" t="str">
            <v>Lucro (Prejuizo) Líquido</v>
          </cell>
          <cell r="C122">
            <v>4882023.7800000012</v>
          </cell>
          <cell r="D122">
            <v>4909752.5666479943</v>
          </cell>
          <cell r="E122">
            <v>5990845.3499999959</v>
          </cell>
          <cell r="F122">
            <v>4094465.8455531234</v>
          </cell>
          <cell r="G122">
            <v>3017322.9899999974</v>
          </cell>
          <cell r="H122">
            <v>292019.20383600012</v>
          </cell>
          <cell r="I122">
            <v>307589.38383199979</v>
          </cell>
          <cell r="J122">
            <v>492887.43284400011</v>
          </cell>
          <cell r="K122">
            <v>454376.31946800021</v>
          </cell>
          <cell r="L122">
            <v>173384.3231960001</v>
          </cell>
          <cell r="M122">
            <v>200803.86536400014</v>
          </cell>
          <cell r="N122">
            <v>608436.21000000043</v>
          </cell>
          <cell r="O122">
            <v>556491.38</v>
          </cell>
          <cell r="P122">
            <v>1118591.5699999996</v>
          </cell>
          <cell r="Q122">
            <v>580452.60999999952</v>
          </cell>
          <cell r="R122">
            <v>54060.41000000036</v>
          </cell>
          <cell r="S122">
            <v>236774.9499999999</v>
          </cell>
          <cell r="T122">
            <v>5075867.6585400002</v>
          </cell>
          <cell r="U122">
            <v>254192.06120000049</v>
          </cell>
          <cell r="V122">
            <v>233456.37999999954</v>
          </cell>
          <cell r="W122">
            <v>397123.12000000011</v>
          </cell>
          <cell r="X122">
            <v>618030.80999999971</v>
          </cell>
          <cell r="Y122">
            <v>584070.05999999982</v>
          </cell>
          <cell r="Z122">
            <v>134560.49999999974</v>
          </cell>
          <cell r="AA122">
            <v>815070.08000000042</v>
          </cell>
          <cell r="AB122">
            <v>396614.24999999971</v>
          </cell>
          <cell r="AC122">
            <v>877723.42999999947</v>
          </cell>
          <cell r="AD122">
            <v>909004.54999999981</v>
          </cell>
          <cell r="AE122">
            <v>410660.82000000024</v>
          </cell>
          <cell r="AF122">
            <v>434573.51999999979</v>
          </cell>
          <cell r="AG122">
            <v>6065079.581199999</v>
          </cell>
          <cell r="AH122">
            <v>531662.90999999968</v>
          </cell>
          <cell r="AI122">
            <v>264899.72999999986</v>
          </cell>
          <cell r="AJ122">
            <v>31304.529999999824</v>
          </cell>
          <cell r="AK122">
            <v>124824.01999999999</v>
          </cell>
          <cell r="AL122">
            <v>612483.85000000009</v>
          </cell>
          <cell r="AM122">
            <v>1493300.1700000002</v>
          </cell>
          <cell r="AN122">
            <v>1197568.5599999998</v>
          </cell>
          <cell r="AO122">
            <v>1314976.9600000007</v>
          </cell>
          <cell r="AP122">
            <v>1464082.7900000012</v>
          </cell>
          <cell r="AQ122">
            <v>1695254.4100000004</v>
          </cell>
          <cell r="AR122">
            <v>1111416.9400000006</v>
          </cell>
          <cell r="AS122">
            <v>1278951.9500000011</v>
          </cell>
          <cell r="AT122">
            <v>11120726.820000004</v>
          </cell>
          <cell r="AU122">
            <v>1381027.6000000015</v>
          </cell>
          <cell r="AV122">
            <v>945023.47000000114</v>
          </cell>
          <cell r="AW122">
            <v>1826789.2899999993</v>
          </cell>
          <cell r="AX122">
            <v>2517059.7800000003</v>
          </cell>
          <cell r="AY122">
            <v>2382870.2700000009</v>
          </cell>
          <cell r="AZ122">
            <v>2866514.09</v>
          </cell>
          <cell r="BA122">
            <v>2895718.2200000016</v>
          </cell>
          <cell r="BB122">
            <v>2732117.1100000003</v>
          </cell>
          <cell r="BC122">
            <v>3073881.7199999997</v>
          </cell>
          <cell r="BD122">
            <v>1383410.1199999987</v>
          </cell>
          <cell r="BE122">
            <v>1484279.38</v>
          </cell>
          <cell r="BF122">
            <v>1063250.1800000009</v>
          </cell>
          <cell r="BG122">
            <v>24551941.229999978</v>
          </cell>
          <cell r="BH122">
            <v>713523.09000000032</v>
          </cell>
          <cell r="BI122">
            <v>1094670.9200000002</v>
          </cell>
          <cell r="BJ122">
            <v>1669353.1099999985</v>
          </cell>
          <cell r="BK122">
            <v>1728139.2100000004</v>
          </cell>
          <cell r="BL122">
            <v>1503672.9999999981</v>
          </cell>
          <cell r="BM122">
            <v>1363127.6200000006</v>
          </cell>
          <cell r="BN122">
            <v>1726717.7799999998</v>
          </cell>
          <cell r="BO122">
            <v>1406355.2000000025</v>
          </cell>
          <cell r="BP122">
            <v>1404009.9200000013</v>
          </cell>
          <cell r="BQ122">
            <v>429050.49999999948</v>
          </cell>
          <cell r="BR122">
            <v>1514334.3599999987</v>
          </cell>
          <cell r="BS122">
            <v>159830.42500000034</v>
          </cell>
          <cell r="BT122">
            <v>14712785.135000009</v>
          </cell>
          <cell r="BU122">
            <v>511528.04999999981</v>
          </cell>
          <cell r="BV122">
            <v>158770.58999999985</v>
          </cell>
          <cell r="BW122">
            <v>708329.13999999978</v>
          </cell>
          <cell r="BX122">
            <v>912168.5299999998</v>
          </cell>
          <cell r="BY122">
            <v>1810301.6199999996</v>
          </cell>
          <cell r="BZ122">
            <v>1459712.8700000015</v>
          </cell>
          <cell r="CA122" t="e">
            <v>#VALUE!</v>
          </cell>
          <cell r="CD122" t="str">
            <v>Lucro (Prejuizo) Líquido</v>
          </cell>
          <cell r="CE122" t="e">
            <v>#VALUE!</v>
          </cell>
          <cell r="CF122">
            <v>1081296</v>
          </cell>
          <cell r="CG122">
            <v>1081296</v>
          </cell>
        </row>
        <row r="123">
          <cell r="A123" t="str">
            <v>4.3.1.1.02.00008</v>
          </cell>
          <cell r="B123" t="str">
            <v>Reversão Juros s/ Capital Proprio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0</v>
          </cell>
          <cell r="BJ123">
            <v>500000</v>
          </cell>
          <cell r="BK123">
            <v>0</v>
          </cell>
          <cell r="BL123">
            <v>0</v>
          </cell>
          <cell r="BM123">
            <v>500000</v>
          </cell>
          <cell r="BN123">
            <v>0</v>
          </cell>
          <cell r="BO123">
            <v>0</v>
          </cell>
          <cell r="BP123">
            <v>500000</v>
          </cell>
          <cell r="BQ123">
            <v>0</v>
          </cell>
          <cell r="BR123">
            <v>0</v>
          </cell>
          <cell r="BS123">
            <v>500000</v>
          </cell>
          <cell r="BT123">
            <v>2000000</v>
          </cell>
          <cell r="BU123">
            <v>0</v>
          </cell>
          <cell r="BV123">
            <v>0</v>
          </cell>
          <cell r="BW123">
            <v>500000</v>
          </cell>
          <cell r="BX123">
            <v>0</v>
          </cell>
          <cell r="BY123">
            <v>0</v>
          </cell>
          <cell r="BZ123">
            <v>500000</v>
          </cell>
          <cell r="CA123">
            <v>0</v>
          </cell>
          <cell r="CD123" t="str">
            <v>Reversão Juros s/ Capital Proprio</v>
          </cell>
          <cell r="CE123">
            <v>1000000</v>
          </cell>
          <cell r="CF123">
            <v>166666.67000000001</v>
          </cell>
          <cell r="CG123">
            <v>166666.67000000001</v>
          </cell>
        </row>
        <row r="124">
          <cell r="A124" t="str">
            <v>D16</v>
          </cell>
          <cell r="B124" t="str">
            <v>Lucro Antes dos Juros s/ Capital Proprio</v>
          </cell>
          <cell r="C124">
            <v>4882023.7800000012</v>
          </cell>
          <cell r="D124">
            <v>4909752.5666479943</v>
          </cell>
          <cell r="E124">
            <v>5990845.3499999959</v>
          </cell>
          <cell r="F124">
            <v>4094465.8455531234</v>
          </cell>
          <cell r="G124">
            <v>3017322.9899999974</v>
          </cell>
          <cell r="H124">
            <v>292019.20383600012</v>
          </cell>
          <cell r="I124">
            <v>307589.38383199979</v>
          </cell>
          <cell r="J124">
            <v>492887.43284400011</v>
          </cell>
          <cell r="K124">
            <v>454376.31946800021</v>
          </cell>
          <cell r="L124">
            <v>173384.3231960001</v>
          </cell>
          <cell r="M124">
            <v>200803.86536400014</v>
          </cell>
          <cell r="N124">
            <v>608436.21000000043</v>
          </cell>
          <cell r="O124">
            <v>556491.38</v>
          </cell>
          <cell r="P124">
            <v>1118591.5699999996</v>
          </cell>
          <cell r="Q124">
            <v>580452.60999999952</v>
          </cell>
          <cell r="R124">
            <v>54060.41000000036</v>
          </cell>
          <cell r="S124">
            <v>236774.9499999999</v>
          </cell>
          <cell r="T124">
            <v>5075867.6585400002</v>
          </cell>
          <cell r="U124">
            <v>254192.06120000049</v>
          </cell>
          <cell r="V124">
            <v>233456.37999999954</v>
          </cell>
          <cell r="W124">
            <v>397123.12000000011</v>
          </cell>
          <cell r="X124">
            <v>618030.80999999971</v>
          </cell>
          <cell r="Y124">
            <v>584070.05999999982</v>
          </cell>
          <cell r="Z124">
            <v>134560.49999999974</v>
          </cell>
          <cell r="AA124">
            <v>815070.08000000042</v>
          </cell>
          <cell r="AB124">
            <v>396614.24999999971</v>
          </cell>
          <cell r="AC124">
            <v>877723.42999999947</v>
          </cell>
          <cell r="AD124">
            <v>909004.54999999981</v>
          </cell>
          <cell r="AE124">
            <v>410660.82000000024</v>
          </cell>
          <cell r="AF124">
            <v>434573.51999999979</v>
          </cell>
          <cell r="AG124">
            <v>6065079.581199999</v>
          </cell>
          <cell r="AH124">
            <v>531662.90999999968</v>
          </cell>
          <cell r="AI124">
            <v>264899.72999999986</v>
          </cell>
          <cell r="AJ124">
            <v>31304.529999999824</v>
          </cell>
          <cell r="AK124">
            <v>124824.01999999999</v>
          </cell>
          <cell r="AL124">
            <v>612483.85000000009</v>
          </cell>
          <cell r="AM124">
            <v>1493300.1700000002</v>
          </cell>
          <cell r="AN124">
            <v>1197568.5599999998</v>
          </cell>
          <cell r="AO124">
            <v>1314976.9600000007</v>
          </cell>
          <cell r="AP124">
            <v>1464082.7900000012</v>
          </cell>
          <cell r="AQ124">
            <v>1695254.4100000004</v>
          </cell>
          <cell r="AR124">
            <v>1111416.9400000006</v>
          </cell>
          <cell r="AS124">
            <v>1278951.9500000011</v>
          </cell>
          <cell r="AT124">
            <v>11120726.820000004</v>
          </cell>
          <cell r="AU124">
            <v>1381027.6000000015</v>
          </cell>
          <cell r="AV124">
            <v>945023.47000000114</v>
          </cell>
          <cell r="AW124">
            <v>1826789.2899999993</v>
          </cell>
          <cell r="AX124">
            <v>2517059.7800000003</v>
          </cell>
          <cell r="AY124">
            <v>2382870.2700000009</v>
          </cell>
          <cell r="AZ124">
            <v>2866514.09</v>
          </cell>
          <cell r="BA124">
            <v>2895718.2200000016</v>
          </cell>
          <cell r="BB124">
            <v>2732117.1100000003</v>
          </cell>
          <cell r="BC124">
            <v>3073881.7199999997</v>
          </cell>
          <cell r="BD124">
            <v>1383410.1199999987</v>
          </cell>
          <cell r="BE124">
            <v>1484279.38</v>
          </cell>
          <cell r="BF124">
            <v>1063250.1800000009</v>
          </cell>
          <cell r="BG124">
            <v>24551941.23</v>
          </cell>
          <cell r="BH124">
            <v>713523.09000000032</v>
          </cell>
          <cell r="BI124">
            <v>1094670.9200000002</v>
          </cell>
          <cell r="BJ124">
            <v>2169353.1099999985</v>
          </cell>
          <cell r="BK124">
            <v>1728139.2100000004</v>
          </cell>
          <cell r="BL124">
            <v>1503672.9999999981</v>
          </cell>
          <cell r="BM124">
            <v>1863127.6200000006</v>
          </cell>
          <cell r="BN124">
            <v>1726717.7799999998</v>
          </cell>
          <cell r="BO124">
            <v>1406355.2000000025</v>
          </cell>
          <cell r="BP124">
            <v>1904009.9200000013</v>
          </cell>
          <cell r="BQ124">
            <v>429050.49999999948</v>
          </cell>
          <cell r="BR124">
            <v>1514334.3599999987</v>
          </cell>
          <cell r="BS124">
            <v>659830.42500000028</v>
          </cell>
          <cell r="BT124">
            <v>16712785.135000009</v>
          </cell>
          <cell r="BU124">
            <v>511528.04999999981</v>
          </cell>
          <cell r="BV124">
            <v>158770.58999999985</v>
          </cell>
          <cell r="BW124">
            <v>1208329.1399999997</v>
          </cell>
          <cell r="BX124">
            <v>912168.5299999998</v>
          </cell>
          <cell r="BY124">
            <v>1810301.6199999996</v>
          </cell>
          <cell r="BZ124">
            <v>1959712.8700000015</v>
          </cell>
          <cell r="CA124" t="e">
            <v>#VALUE!</v>
          </cell>
          <cell r="CD124" t="str">
            <v>Lucro Antes dos Juros s/ Capital Proprio</v>
          </cell>
          <cell r="CE124" t="e">
            <v>#VALUE!</v>
          </cell>
          <cell r="CF124">
            <v>1081296</v>
          </cell>
          <cell r="CG124">
            <v>1081296</v>
          </cell>
        </row>
        <row r="125">
          <cell r="A125" t="str">
            <v>RL10</v>
          </cell>
          <cell r="B125" t="str">
            <v>RECEITA LÍQUIDA - VENDAS PRODUTOS</v>
          </cell>
          <cell r="H125">
            <v>912850.77</v>
          </cell>
          <cell r="I125">
            <v>1134543.29</v>
          </cell>
          <cell r="J125">
            <v>1194100.54</v>
          </cell>
          <cell r="K125">
            <v>1515797.05</v>
          </cell>
          <cell r="L125">
            <v>742327.44</v>
          </cell>
          <cell r="M125">
            <v>928607.48</v>
          </cell>
          <cell r="N125">
            <v>1794134.12</v>
          </cell>
          <cell r="O125">
            <v>1727281.73</v>
          </cell>
          <cell r="P125">
            <v>1718837.99</v>
          </cell>
          <cell r="Q125">
            <v>1381706.97</v>
          </cell>
          <cell r="R125">
            <v>889036.86</v>
          </cell>
          <cell r="S125">
            <v>420961.83</v>
          </cell>
          <cell r="T125">
            <v>14360186.07</v>
          </cell>
          <cell r="U125">
            <v>1219767.7</v>
          </cell>
          <cell r="V125">
            <v>1242963.21</v>
          </cell>
          <cell r="W125">
            <v>1464773.02</v>
          </cell>
          <cell r="X125">
            <v>1866814.79</v>
          </cell>
          <cell r="Y125">
            <v>1346916.3</v>
          </cell>
          <cell r="Z125">
            <v>1304348.73</v>
          </cell>
          <cell r="AA125">
            <v>932724.53</v>
          </cell>
          <cell r="AB125">
            <v>766927.37</v>
          </cell>
          <cell r="AC125">
            <v>2114311.9300000002</v>
          </cell>
          <cell r="AD125">
            <v>2572983.33</v>
          </cell>
          <cell r="AE125">
            <v>1596275.44</v>
          </cell>
          <cell r="AF125">
            <v>1069737.8500000001</v>
          </cell>
          <cell r="AG125">
            <v>17498544.199999999</v>
          </cell>
          <cell r="AH125">
            <v>2093354.41</v>
          </cell>
          <cell r="AI125">
            <v>1472458.34</v>
          </cell>
          <cell r="AJ125">
            <v>1025977.63</v>
          </cell>
          <cell r="AK125">
            <v>935412.21</v>
          </cell>
          <cell r="AL125">
            <v>1489577.25</v>
          </cell>
          <cell r="AM125">
            <v>3078087.87</v>
          </cell>
          <cell r="AN125">
            <v>2965562.11</v>
          </cell>
          <cell r="AO125">
            <v>3395496.45</v>
          </cell>
          <cell r="AP125">
            <v>3756074.21</v>
          </cell>
          <cell r="AQ125">
            <v>4137213.13</v>
          </cell>
          <cell r="AR125">
            <v>3643315.35</v>
          </cell>
          <cell r="AS125">
            <v>3065602.31</v>
          </cell>
          <cell r="AT125">
            <v>31058131.27</v>
          </cell>
          <cell r="AU125">
            <v>3898339.05</v>
          </cell>
          <cell r="AV125">
            <v>4396022.7699999996</v>
          </cell>
          <cell r="AW125">
            <v>4520016.32</v>
          </cell>
          <cell r="AX125">
            <v>4546357.0899999971</v>
          </cell>
          <cell r="AY125">
            <v>5818242.6800000025</v>
          </cell>
          <cell r="AZ125">
            <v>6768182.6799999978</v>
          </cell>
          <cell r="BA125">
            <v>6422165.6399999969</v>
          </cell>
          <cell r="BB125">
            <v>7677380.9399999985</v>
          </cell>
          <cell r="BC125">
            <v>6465840.9900000039</v>
          </cell>
          <cell r="BD125">
            <v>6522696.7599999988</v>
          </cell>
          <cell r="BE125">
            <v>5273315.3400000017</v>
          </cell>
          <cell r="BF125">
            <v>5059325.29</v>
          </cell>
          <cell r="BG125">
            <v>67367885.549999997</v>
          </cell>
          <cell r="BH125">
            <v>4389706.0200000014</v>
          </cell>
          <cell r="BI125">
            <v>5889639.8299999982</v>
          </cell>
          <cell r="BJ125">
            <v>8462971.2599999998</v>
          </cell>
          <cell r="BK125">
            <v>6996283.2700000005</v>
          </cell>
          <cell r="BL125">
            <v>6678469.1699999999</v>
          </cell>
          <cell r="BM125">
            <v>6688550.9499999974</v>
          </cell>
          <cell r="BN125">
            <v>4954309.2200000016</v>
          </cell>
          <cell r="BO125">
            <v>5940127.7200000025</v>
          </cell>
          <cell r="BP125">
            <v>6279589.8899999978</v>
          </cell>
          <cell r="BQ125">
            <v>4108754.6600000015</v>
          </cell>
          <cell r="BR125">
            <v>4859139.9599999981</v>
          </cell>
          <cell r="BS125">
            <v>3647716.8700000006</v>
          </cell>
          <cell r="BT125">
            <v>68895258.820000008</v>
          </cell>
          <cell r="BU125">
            <v>2672973.83</v>
          </cell>
          <cell r="BV125">
            <v>3084892.8800000008</v>
          </cell>
          <cell r="BW125">
            <v>3993771.1300000004</v>
          </cell>
          <cell r="BX125">
            <v>3299833.36</v>
          </cell>
          <cell r="BY125" t="str">
            <v>Verificar</v>
          </cell>
          <cell r="BZ125" t="str">
            <v>Verificar</v>
          </cell>
          <cell r="CA125" t="str">
            <v>Verificar</v>
          </cell>
          <cell r="CE125">
            <v>13051471.200000001</v>
          </cell>
          <cell r="CG125">
            <v>0</v>
          </cell>
        </row>
        <row r="126">
          <cell r="A126" t="str">
            <v>RL11</v>
          </cell>
          <cell r="B126" t="str">
            <v>RECEITA LÍQUIDA - REVENDAS MERCADORIAS</v>
          </cell>
          <cell r="H126">
            <v>437634.50999999989</v>
          </cell>
          <cell r="I126">
            <v>426391.16999999993</v>
          </cell>
          <cell r="J126">
            <v>1210369.4300000004</v>
          </cell>
          <cell r="K126">
            <v>595386.68000000005</v>
          </cell>
          <cell r="L126">
            <v>361793.62999999995</v>
          </cell>
          <cell r="M126">
            <v>1125402.5899999999</v>
          </cell>
          <cell r="N126">
            <v>1167085.07</v>
          </cell>
          <cell r="O126">
            <v>691141.08</v>
          </cell>
          <cell r="P126">
            <v>1394190.39</v>
          </cell>
          <cell r="Q126">
            <v>1236741.3599999999</v>
          </cell>
          <cell r="R126">
            <v>849101.52</v>
          </cell>
          <cell r="S126">
            <v>487248.13</v>
          </cell>
          <cell r="T126">
            <v>9982485.5600000005</v>
          </cell>
          <cell r="U126">
            <v>1058294.8899999999</v>
          </cell>
          <cell r="V126">
            <v>717333.15</v>
          </cell>
          <cell r="W126">
            <v>980636.14</v>
          </cell>
          <cell r="X126">
            <v>932929.07</v>
          </cell>
          <cell r="Y126">
            <v>1244216.3500000001</v>
          </cell>
          <cell r="Z126">
            <v>647387.31000000006</v>
          </cell>
          <cell r="AA126">
            <v>1289250.1800000002</v>
          </cell>
          <cell r="AB126">
            <v>1267155.2</v>
          </cell>
          <cell r="AC126">
            <v>1276554.1299999999</v>
          </cell>
          <cell r="AD126">
            <v>1124540.27</v>
          </cell>
          <cell r="AE126">
            <v>1108413.72</v>
          </cell>
          <cell r="AF126">
            <v>825902.46</v>
          </cell>
          <cell r="AG126">
            <v>12472612.870000001</v>
          </cell>
          <cell r="AH126">
            <v>613644.85</v>
          </cell>
          <cell r="AI126">
            <v>642077.56999999995</v>
          </cell>
          <cell r="AJ126">
            <v>504979.05</v>
          </cell>
          <cell r="AK126">
            <v>836142.35</v>
          </cell>
          <cell r="AL126">
            <v>877915.58</v>
          </cell>
          <cell r="AM126">
            <v>653364.1</v>
          </cell>
          <cell r="AN126">
            <v>1172685.7</v>
          </cell>
          <cell r="AO126">
            <v>869987.43</v>
          </cell>
          <cell r="AP126">
            <v>759307.31</v>
          </cell>
          <cell r="AQ126">
            <v>1235180.22</v>
          </cell>
          <cell r="AR126">
            <v>1008902.47</v>
          </cell>
          <cell r="AS126">
            <v>1149701.52</v>
          </cell>
          <cell r="AT126">
            <v>10323888.149999999</v>
          </cell>
          <cell r="AU126">
            <v>1135674.95</v>
          </cell>
          <cell r="AV126">
            <v>876695.37</v>
          </cell>
          <cell r="AW126">
            <v>1375312.6</v>
          </cell>
          <cell r="AX126">
            <v>2376665.9099999997</v>
          </cell>
          <cell r="AY126">
            <v>1823563.3899999994</v>
          </cell>
          <cell r="AZ126">
            <v>2055692.22</v>
          </cell>
          <cell r="BA126">
            <v>1230947.2</v>
          </cell>
          <cell r="BB126">
            <v>1454121.28</v>
          </cell>
          <cell r="BC126">
            <v>1441263.9899999974</v>
          </cell>
          <cell r="BD126">
            <v>1129733.1300000018</v>
          </cell>
          <cell r="BE126">
            <v>974999.76000000106</v>
          </cell>
          <cell r="BF126">
            <v>1242593.42</v>
          </cell>
          <cell r="BG126">
            <v>17117263.219999999</v>
          </cell>
          <cell r="BH126">
            <v>1164839.8700000001</v>
          </cell>
          <cell r="BI126">
            <v>1212547.95</v>
          </cell>
          <cell r="BJ126">
            <v>2637700.39</v>
          </cell>
          <cell r="BK126">
            <v>938669.8</v>
          </cell>
          <cell r="BL126">
            <v>1102829.8800000006</v>
          </cell>
          <cell r="BM126">
            <v>1700203.2599999993</v>
          </cell>
          <cell r="BN126">
            <v>2436675.9999999963</v>
          </cell>
          <cell r="BO126">
            <v>1854072.1300000008</v>
          </cell>
          <cell r="BP126">
            <v>2120239.9199999976</v>
          </cell>
          <cell r="BQ126">
            <v>1947914.27</v>
          </cell>
          <cell r="BR126">
            <v>1944919.8900000015</v>
          </cell>
          <cell r="BS126">
            <v>2043870.29</v>
          </cell>
          <cell r="BT126">
            <v>21104483.649999995</v>
          </cell>
          <cell r="BU126">
            <v>1794894.3100000017</v>
          </cell>
          <cell r="BV126">
            <v>1914832.6699999988</v>
          </cell>
          <cell r="BW126">
            <v>1924768.620000001</v>
          </cell>
          <cell r="BX126">
            <v>2045419.08</v>
          </cell>
          <cell r="BY126" t="str">
            <v>Verificar</v>
          </cell>
          <cell r="BZ126" t="str">
            <v>Verificar</v>
          </cell>
          <cell r="CA126" t="str">
            <v>Verificar</v>
          </cell>
          <cell r="CE126">
            <v>7679914.6800000016</v>
          </cell>
          <cell r="CG126">
            <v>0</v>
          </cell>
        </row>
        <row r="127">
          <cell r="A127" t="str">
            <v>RL12</v>
          </cell>
          <cell r="B127" t="str">
            <v>RECEITA LÍQUIDA - SERVIÇOS E LOCAÇÕES</v>
          </cell>
          <cell r="H127">
            <v>379075.8</v>
          </cell>
          <cell r="I127">
            <v>329572</v>
          </cell>
          <cell r="J127">
            <v>295910.84999999998</v>
          </cell>
          <cell r="K127">
            <v>277349.82999999996</v>
          </cell>
          <cell r="L127">
            <v>257349.83</v>
          </cell>
          <cell r="M127">
            <v>258325.85</v>
          </cell>
          <cell r="N127">
            <v>400128.17</v>
          </cell>
          <cell r="O127">
            <v>180426.08000000002</v>
          </cell>
          <cell r="P127">
            <v>440535.86</v>
          </cell>
          <cell r="Q127">
            <v>188307.26</v>
          </cell>
          <cell r="R127">
            <v>54933.27</v>
          </cell>
          <cell r="S127">
            <v>707655.86</v>
          </cell>
          <cell r="T127">
            <v>3769570.66</v>
          </cell>
          <cell r="U127">
            <v>324926.25</v>
          </cell>
          <cell r="V127">
            <v>341880.94</v>
          </cell>
          <cell r="W127">
            <v>298163.65000000002</v>
          </cell>
          <cell r="X127">
            <v>345013.89</v>
          </cell>
          <cell r="Y127">
            <v>330155.77</v>
          </cell>
          <cell r="Z127">
            <v>59119.95</v>
          </cell>
          <cell r="AA127">
            <v>594215.49</v>
          </cell>
          <cell r="AB127">
            <v>486308.81</v>
          </cell>
          <cell r="AC127">
            <v>217249.89</v>
          </cell>
          <cell r="AD127">
            <v>432600.9</v>
          </cell>
          <cell r="AE127">
            <v>353305.57</v>
          </cell>
          <cell r="AF127">
            <v>360917.89</v>
          </cell>
          <cell r="AG127">
            <v>4143859</v>
          </cell>
          <cell r="AH127">
            <v>283972.63</v>
          </cell>
          <cell r="AI127">
            <v>306544.71999999997</v>
          </cell>
          <cell r="AJ127">
            <v>293327.89</v>
          </cell>
          <cell r="AK127">
            <v>299411.56</v>
          </cell>
          <cell r="AL127">
            <v>273292.44</v>
          </cell>
          <cell r="AM127">
            <v>264129.68</v>
          </cell>
          <cell r="AN127">
            <v>362025.45</v>
          </cell>
          <cell r="AO127">
            <v>392217.87</v>
          </cell>
          <cell r="AP127">
            <v>282295.8</v>
          </cell>
          <cell r="AQ127">
            <v>424208.09</v>
          </cell>
          <cell r="AR127">
            <v>377085.38</v>
          </cell>
          <cell r="AS127">
            <v>225298.61</v>
          </cell>
          <cell r="AT127">
            <v>3783810.1199999992</v>
          </cell>
          <cell r="AU127">
            <v>256875.3</v>
          </cell>
          <cell r="AV127">
            <v>367724.58</v>
          </cell>
          <cell r="AW127">
            <v>325704.24</v>
          </cell>
          <cell r="AX127">
            <v>341241.21</v>
          </cell>
          <cell r="AY127">
            <v>278605.53000000003</v>
          </cell>
          <cell r="AZ127">
            <v>168202.37</v>
          </cell>
          <cell r="BA127">
            <v>313969.89</v>
          </cell>
          <cell r="BB127">
            <v>316237.99</v>
          </cell>
          <cell r="BC127">
            <v>255703.87</v>
          </cell>
          <cell r="BD127">
            <v>250028.32</v>
          </cell>
          <cell r="BE127">
            <v>315998</v>
          </cell>
          <cell r="BF127">
            <v>17517.36</v>
          </cell>
          <cell r="BG127">
            <v>3207808.66</v>
          </cell>
          <cell r="BH127">
            <v>179444.49</v>
          </cell>
          <cell r="BI127">
            <v>32417.599999999999</v>
          </cell>
          <cell r="BJ127">
            <v>44813.4</v>
          </cell>
          <cell r="BK127">
            <v>31958.42</v>
          </cell>
          <cell r="BL127">
            <v>60290.67</v>
          </cell>
          <cell r="BM127">
            <v>70487.460000000006</v>
          </cell>
          <cell r="BN127">
            <v>59509.99</v>
          </cell>
          <cell r="BO127">
            <v>54497.23</v>
          </cell>
          <cell r="BP127">
            <v>33396.299999999996</v>
          </cell>
          <cell r="BQ127">
            <v>116831.04000000001</v>
          </cell>
          <cell r="BR127">
            <v>18018.310000000001</v>
          </cell>
          <cell r="BS127">
            <v>33586.76999999999</v>
          </cell>
          <cell r="BT127">
            <v>735251.68000000017</v>
          </cell>
          <cell r="BU127">
            <v>28704.179999999997</v>
          </cell>
          <cell r="BV127">
            <v>20763.79</v>
          </cell>
          <cell r="BW127">
            <v>96633.86</v>
          </cell>
          <cell r="BX127">
            <v>77838.100000000006</v>
          </cell>
          <cell r="BY127" t="str">
            <v>Verificar</v>
          </cell>
          <cell r="BZ127" t="str">
            <v>Verificar</v>
          </cell>
          <cell r="CA127" t="str">
            <v>Verificar</v>
          </cell>
          <cell r="CE127">
            <v>223939.93000000002</v>
          </cell>
          <cell r="CG127">
            <v>0</v>
          </cell>
        </row>
        <row r="128">
          <cell r="A128" t="str">
            <v>C13</v>
          </cell>
          <cell r="B128" t="str">
            <v>CUSTO - VENDAS PRODUTOS</v>
          </cell>
          <cell r="H128">
            <v>385952.36</v>
          </cell>
          <cell r="I128">
            <v>570674.17000000004</v>
          </cell>
          <cell r="J128">
            <v>471789.79</v>
          </cell>
          <cell r="K128">
            <v>784883.67999999993</v>
          </cell>
          <cell r="L128">
            <v>319549.77</v>
          </cell>
          <cell r="M128">
            <v>498084.24</v>
          </cell>
          <cell r="N128">
            <v>963651.8</v>
          </cell>
          <cell r="O128">
            <v>863646.78</v>
          </cell>
          <cell r="P128">
            <v>969764.92</v>
          </cell>
          <cell r="Q128">
            <v>747482.75</v>
          </cell>
          <cell r="R128">
            <v>443762.94</v>
          </cell>
          <cell r="S128">
            <v>196444.7</v>
          </cell>
          <cell r="T128">
            <v>7215687.9000000004</v>
          </cell>
          <cell r="U128">
            <v>714993.34</v>
          </cell>
          <cell r="V128">
            <v>634573.93999999994</v>
          </cell>
          <cell r="W128">
            <v>860564.22</v>
          </cell>
          <cell r="X128">
            <v>873550.06</v>
          </cell>
          <cell r="Y128">
            <v>682193.1</v>
          </cell>
          <cell r="Z128">
            <v>676213.21</v>
          </cell>
          <cell r="AA128">
            <v>448880.41</v>
          </cell>
          <cell r="AB128">
            <v>396233.2</v>
          </cell>
          <cell r="AC128">
            <v>1005753.79</v>
          </cell>
          <cell r="AD128">
            <v>1399047.01</v>
          </cell>
          <cell r="AE128">
            <v>797981.49</v>
          </cell>
          <cell r="AF128">
            <v>553008.17000000004</v>
          </cell>
          <cell r="AG128">
            <v>9042991.9399999995</v>
          </cell>
          <cell r="AH128">
            <v>967864.67</v>
          </cell>
          <cell r="AI128">
            <v>718503.07</v>
          </cell>
          <cell r="AJ128">
            <v>560556.55000000005</v>
          </cell>
          <cell r="AK128">
            <v>461761.48</v>
          </cell>
          <cell r="AL128">
            <v>760544.29</v>
          </cell>
          <cell r="AM128">
            <v>1401734.04</v>
          </cell>
          <cell r="AN128">
            <v>1615792.65</v>
          </cell>
          <cell r="AO128">
            <v>1691878.26</v>
          </cell>
          <cell r="AP128">
            <v>1726617.17</v>
          </cell>
          <cell r="AQ128">
            <v>1847583.47</v>
          </cell>
          <cell r="AR128">
            <v>1739128.86</v>
          </cell>
          <cell r="AS128">
            <v>1537243.2</v>
          </cell>
          <cell r="AT128">
            <v>15029207.709999999</v>
          </cell>
          <cell r="AU128">
            <v>1839583.71</v>
          </cell>
          <cell r="AV128">
            <v>2094333.72</v>
          </cell>
          <cell r="AW128">
            <v>2138056.77</v>
          </cell>
          <cell r="AX128">
            <v>2066739.98</v>
          </cell>
          <cell r="AY128">
            <v>2779212.5699999984</v>
          </cell>
          <cell r="AZ128">
            <v>3299387.5500000007</v>
          </cell>
          <cell r="BA128">
            <v>3132547.3099999996</v>
          </cell>
          <cell r="BB128">
            <v>3731968.5800000005</v>
          </cell>
          <cell r="BC128">
            <v>2886828.4699999983</v>
          </cell>
          <cell r="BD128">
            <v>3210855.5399999972</v>
          </cell>
          <cell r="BE128">
            <v>2564549.7599999998</v>
          </cell>
          <cell r="BF128">
            <v>2528342.4500000002</v>
          </cell>
          <cell r="BG128">
            <v>32272406.409999993</v>
          </cell>
          <cell r="BH128">
            <v>2129773.1800000002</v>
          </cell>
          <cell r="BI128">
            <v>2842905.8300000005</v>
          </cell>
          <cell r="BJ128">
            <v>4402870.8599999994</v>
          </cell>
          <cell r="BK128">
            <v>3425214.7099999986</v>
          </cell>
          <cell r="BL128">
            <v>3219948.45</v>
          </cell>
          <cell r="BM128">
            <v>3178339.6200000043</v>
          </cell>
          <cell r="BN128">
            <v>2287967.7100000009</v>
          </cell>
          <cell r="BO128">
            <v>2836293.7599999979</v>
          </cell>
          <cell r="BP128">
            <v>3107009.6199999992</v>
          </cell>
          <cell r="BQ128">
            <v>1962365.3099999998</v>
          </cell>
          <cell r="BR128">
            <v>2509680.5900000017</v>
          </cell>
          <cell r="BS128">
            <v>1774834.659999999</v>
          </cell>
          <cell r="BT128">
            <v>33677204.299999997</v>
          </cell>
          <cell r="BU128">
            <v>1407815.15</v>
          </cell>
          <cell r="BV128">
            <v>1486340.9499999993</v>
          </cell>
          <cell r="BW128">
            <v>2049031.8899999987</v>
          </cell>
          <cell r="BX128">
            <v>1665539.4200000002</v>
          </cell>
          <cell r="BY128" t="str">
            <v>Verificar</v>
          </cell>
          <cell r="BZ128" t="str">
            <v>Verificar</v>
          </cell>
          <cell r="CA128" t="str">
            <v>Verificar</v>
          </cell>
          <cell r="CE128">
            <v>6608727.4099999983</v>
          </cell>
          <cell r="CG128">
            <v>0</v>
          </cell>
        </row>
        <row r="129">
          <cell r="A129" t="str">
            <v>C14</v>
          </cell>
          <cell r="B129" t="str">
            <v>CUSTO - REVENDAS MERCADORIAS</v>
          </cell>
          <cell r="H129">
            <v>168058.97</v>
          </cell>
          <cell r="I129">
            <v>148331.44</v>
          </cell>
          <cell r="J129">
            <v>624305.03</v>
          </cell>
          <cell r="K129">
            <v>151947.96</v>
          </cell>
          <cell r="L129">
            <v>113913.67</v>
          </cell>
          <cell r="M129">
            <v>484879.18</v>
          </cell>
          <cell r="N129">
            <v>576053.85</v>
          </cell>
          <cell r="O129">
            <v>249397.11</v>
          </cell>
          <cell r="P129">
            <v>675691.09</v>
          </cell>
          <cell r="Q129">
            <v>465837.82</v>
          </cell>
          <cell r="R129">
            <v>321823.67</v>
          </cell>
          <cell r="S129">
            <v>191161.45</v>
          </cell>
          <cell r="T129">
            <v>4171401.2399999998</v>
          </cell>
          <cell r="U129">
            <v>556660.63</v>
          </cell>
          <cell r="V129">
            <v>287468.24</v>
          </cell>
          <cell r="W129">
            <v>371993.76</v>
          </cell>
          <cell r="X129">
            <v>438411.72</v>
          </cell>
          <cell r="Y129">
            <v>525085.71</v>
          </cell>
          <cell r="Z129">
            <v>251524.81</v>
          </cell>
          <cell r="AA129">
            <v>516161.06</v>
          </cell>
          <cell r="AB129">
            <v>616020.87</v>
          </cell>
          <cell r="AC129">
            <v>674743.65</v>
          </cell>
          <cell r="AD129">
            <v>505206.72</v>
          </cell>
          <cell r="AE129">
            <v>601649.16</v>
          </cell>
          <cell r="AF129">
            <v>387739.49</v>
          </cell>
          <cell r="AG129">
            <v>5732665.8200000003</v>
          </cell>
          <cell r="AH129">
            <v>282569.40999999997</v>
          </cell>
          <cell r="AI129">
            <v>196444.52</v>
          </cell>
          <cell r="AJ129">
            <v>184391.51</v>
          </cell>
          <cell r="AK129">
            <v>410657.82</v>
          </cell>
          <cell r="AL129">
            <v>336575.72</v>
          </cell>
          <cell r="AM129">
            <v>232838.94</v>
          </cell>
          <cell r="AN129">
            <v>590432.98</v>
          </cell>
          <cell r="AO129">
            <v>405366.75</v>
          </cell>
          <cell r="AP129">
            <v>336944.83</v>
          </cell>
          <cell r="AQ129">
            <v>541952.93999999994</v>
          </cell>
          <cell r="AR129">
            <v>479625.06</v>
          </cell>
          <cell r="AS129">
            <v>443677.22</v>
          </cell>
          <cell r="AT129">
            <v>4441477.7</v>
          </cell>
          <cell r="AU129">
            <v>505539.21</v>
          </cell>
          <cell r="AV129">
            <v>289960.88</v>
          </cell>
          <cell r="AW129">
            <v>532784.44999999995</v>
          </cell>
          <cell r="AX129">
            <v>1198041.9900000002</v>
          </cell>
          <cell r="AY129">
            <v>692452.41000000038</v>
          </cell>
          <cell r="AZ129">
            <v>853112.97000000067</v>
          </cell>
          <cell r="BA129">
            <v>524688.06000000064</v>
          </cell>
          <cell r="BB129">
            <v>583927.16000000073</v>
          </cell>
          <cell r="BC129">
            <v>561261.12000000034</v>
          </cell>
          <cell r="BD129">
            <v>499229.39000000019</v>
          </cell>
          <cell r="BE129">
            <v>405569.99</v>
          </cell>
          <cell r="BF129">
            <v>543102.81000000006</v>
          </cell>
          <cell r="BG129">
            <v>7189670.4400000032</v>
          </cell>
          <cell r="BH129">
            <v>467940.2999999997</v>
          </cell>
          <cell r="BI129">
            <v>478306.84</v>
          </cell>
          <cell r="BJ129">
            <v>1145419.8400000001</v>
          </cell>
          <cell r="BK129">
            <v>332756.57</v>
          </cell>
          <cell r="BL129">
            <v>404144.99</v>
          </cell>
          <cell r="BM129">
            <v>483422.70999999967</v>
          </cell>
          <cell r="BN129">
            <v>911871.89000000071</v>
          </cell>
          <cell r="BO129">
            <v>774891.47000000009</v>
          </cell>
          <cell r="BP129">
            <v>813274.04999999993</v>
          </cell>
          <cell r="BQ129">
            <v>816669.2699999992</v>
          </cell>
          <cell r="BR129">
            <v>812095.21999999974</v>
          </cell>
          <cell r="BS129">
            <v>827463.16000000108</v>
          </cell>
          <cell r="BT129">
            <v>8268256.3100000005</v>
          </cell>
          <cell r="BU129">
            <v>669990.81999999995</v>
          </cell>
          <cell r="BV129">
            <v>781588.70999999938</v>
          </cell>
          <cell r="BW129">
            <v>840296.73000000021</v>
          </cell>
          <cell r="BX129">
            <v>787398.37</v>
          </cell>
          <cell r="BY129" t="str">
            <v>Verificar</v>
          </cell>
          <cell r="BZ129" t="str">
            <v>Verificar</v>
          </cell>
          <cell r="CA129" t="str">
            <v>Verificar</v>
          </cell>
          <cell r="CE129">
            <v>3079274.63</v>
          </cell>
          <cell r="CG129">
            <v>0</v>
          </cell>
        </row>
        <row r="130">
          <cell r="A130" t="str">
            <v>C15</v>
          </cell>
          <cell r="B130" t="str">
            <v>CUSTO - SERVIÇO / LOCAÇÕES</v>
          </cell>
          <cell r="H130">
            <v>154393.37</v>
          </cell>
          <cell r="I130">
            <v>140725.59</v>
          </cell>
          <cell r="J130">
            <v>140725.59</v>
          </cell>
          <cell r="K130">
            <v>61278.28</v>
          </cell>
          <cell r="L130">
            <v>89396.65</v>
          </cell>
          <cell r="M130">
            <v>101749.11</v>
          </cell>
          <cell r="N130">
            <v>148621.85999999999</v>
          </cell>
          <cell r="O130">
            <v>106630.74</v>
          </cell>
          <cell r="P130">
            <v>112051.86</v>
          </cell>
          <cell r="Q130">
            <v>184495.64</v>
          </cell>
          <cell r="R130">
            <v>147106.67000000001</v>
          </cell>
          <cell r="S130">
            <v>83793.679999999993</v>
          </cell>
          <cell r="T130">
            <v>1470969.0399999998</v>
          </cell>
          <cell r="U130">
            <v>213192.16</v>
          </cell>
          <cell r="V130">
            <v>136173.07999999999</v>
          </cell>
          <cell r="W130">
            <v>122101.79</v>
          </cell>
          <cell r="X130">
            <v>143014.70000000001</v>
          </cell>
          <cell r="Y130">
            <v>136058.69</v>
          </cell>
          <cell r="Z130">
            <v>133966.63</v>
          </cell>
          <cell r="AA130">
            <v>148823.70000000001</v>
          </cell>
          <cell r="AB130">
            <v>130492.77</v>
          </cell>
          <cell r="AC130">
            <v>126074.18</v>
          </cell>
          <cell r="AD130">
            <v>169255.37</v>
          </cell>
          <cell r="AE130">
            <v>154555.35999999999</v>
          </cell>
          <cell r="AF130">
            <v>136421.19</v>
          </cell>
          <cell r="AG130">
            <v>1750129.6199999996</v>
          </cell>
          <cell r="AH130">
            <v>187695.47</v>
          </cell>
          <cell r="AI130">
            <v>121455.02</v>
          </cell>
          <cell r="AJ130">
            <v>159706.20000000001</v>
          </cell>
          <cell r="AK130">
            <v>129144.65</v>
          </cell>
          <cell r="AL130">
            <v>117746.13</v>
          </cell>
          <cell r="AM130">
            <v>125184.4</v>
          </cell>
          <cell r="AN130">
            <v>131867.93</v>
          </cell>
          <cell r="AO130">
            <v>105756.23</v>
          </cell>
          <cell r="AP130">
            <v>219974.88</v>
          </cell>
          <cell r="AQ130">
            <v>164656.59</v>
          </cell>
          <cell r="AR130">
            <v>178923.95</v>
          </cell>
          <cell r="AS130">
            <v>163773.85999999999</v>
          </cell>
          <cell r="AT130">
            <v>1805885.31</v>
          </cell>
          <cell r="AU130">
            <v>205366.03</v>
          </cell>
          <cell r="AV130">
            <v>174285.16</v>
          </cell>
          <cell r="AW130">
            <v>245143.09</v>
          </cell>
          <cell r="AX130">
            <v>157132.48000000001</v>
          </cell>
          <cell r="AY130">
            <v>126760.43</v>
          </cell>
          <cell r="AZ130">
            <v>250635.42</v>
          </cell>
          <cell r="BA130">
            <v>274057.31</v>
          </cell>
          <cell r="BB130">
            <v>206734.87</v>
          </cell>
          <cell r="BC130">
            <v>247668.11</v>
          </cell>
          <cell r="BD130">
            <v>289267.15000000002</v>
          </cell>
          <cell r="BE130">
            <v>307499.01</v>
          </cell>
          <cell r="BF130">
            <v>154002.94</v>
          </cell>
          <cell r="BG130">
            <v>2638551.9999999995</v>
          </cell>
          <cell r="BH130">
            <v>156792.60999999999</v>
          </cell>
          <cell r="BI130">
            <v>120834.78</v>
          </cell>
          <cell r="BJ130">
            <v>5968.46</v>
          </cell>
          <cell r="BK130">
            <v>293.98</v>
          </cell>
          <cell r="BL130">
            <v>402.69</v>
          </cell>
          <cell r="BM130">
            <v>13896.07</v>
          </cell>
          <cell r="BN130">
            <v>4798.1400000000003</v>
          </cell>
          <cell r="BO130">
            <v>103.56</v>
          </cell>
          <cell r="BP130">
            <v>146.65</v>
          </cell>
          <cell r="BQ130">
            <v>1591.56</v>
          </cell>
          <cell r="BR130">
            <v>728.42</v>
          </cell>
          <cell r="BS130">
            <v>28.42</v>
          </cell>
          <cell r="BT130">
            <v>305585.34000000003</v>
          </cell>
          <cell r="BU130">
            <v>2370.0300000000002</v>
          </cell>
          <cell r="BV130">
            <v>0</v>
          </cell>
          <cell r="BW130">
            <v>293.47000000000003</v>
          </cell>
          <cell r="BX130">
            <v>0</v>
          </cell>
          <cell r="BY130">
            <v>373.15999999999997</v>
          </cell>
          <cell r="BZ130">
            <v>6795.92</v>
          </cell>
          <cell r="CA130">
            <v>11000</v>
          </cell>
          <cell r="CE130">
            <v>20832.580000000002</v>
          </cell>
          <cell r="CG130">
            <v>0</v>
          </cell>
        </row>
        <row r="131">
          <cell r="A131" t="str">
            <v>4</v>
          </cell>
          <cell r="B131" t="str">
            <v>CUSTOS E DESPESAS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-17179507.609999999</v>
          </cell>
          <cell r="H131">
            <v>-1124092.31</v>
          </cell>
          <cell r="I131">
            <v>-1291742.6599999999</v>
          </cell>
          <cell r="J131">
            <v>-1794790.56</v>
          </cell>
          <cell r="K131">
            <v>-1575018.6199999999</v>
          </cell>
          <cell r="L131">
            <v>-1124988.1299999999</v>
          </cell>
          <cell r="M131">
            <v>-1701767.27</v>
          </cell>
          <cell r="N131">
            <v>-2529724.41</v>
          </cell>
          <cell r="O131">
            <v>-1869284.54</v>
          </cell>
          <cell r="P131">
            <v>-2406181.06</v>
          </cell>
          <cell r="Q131">
            <v>-2115808.11</v>
          </cell>
          <cell r="R131">
            <v>-1630764.25</v>
          </cell>
          <cell r="S131">
            <v>-1259178.5900000001</v>
          </cell>
          <cell r="T131">
            <v>-20423340.510000002</v>
          </cell>
          <cell r="U131">
            <v>-2058097.82</v>
          </cell>
          <cell r="V131">
            <v>-1876376.79</v>
          </cell>
          <cell r="W131">
            <v>-1911879.83</v>
          </cell>
          <cell r="X131">
            <v>-2073964.44</v>
          </cell>
          <cell r="Y131">
            <v>-2078555.76</v>
          </cell>
          <cell r="Z131">
            <v>-1786789.15</v>
          </cell>
          <cell r="AA131">
            <v>-1802570.41</v>
          </cell>
          <cell r="AB131">
            <v>-1924588.13</v>
          </cell>
          <cell r="AC131">
            <v>-2578100.4900000002</v>
          </cell>
          <cell r="AD131">
            <v>-2611370.83</v>
          </cell>
          <cell r="AE131">
            <v>-2216441.8200000003</v>
          </cell>
          <cell r="AF131">
            <v>-1521441.7999999998</v>
          </cell>
          <cell r="AG131">
            <v>-24440177.27</v>
          </cell>
          <cell r="AH131">
            <v>-2275695.4</v>
          </cell>
          <cell r="AI131">
            <v>-1972525.19</v>
          </cell>
          <cell r="AJ131">
            <v>-1654929.02</v>
          </cell>
          <cell r="AK131">
            <v>-1502731.25</v>
          </cell>
          <cell r="AL131">
            <v>-1852522.8599999999</v>
          </cell>
          <cell r="AM131">
            <v>-2215232.2800000003</v>
          </cell>
          <cell r="AN131">
            <v>-2743108.37</v>
          </cell>
          <cell r="AO131">
            <v>-2963608.2399999998</v>
          </cell>
          <cell r="AP131">
            <v>-3118455.62</v>
          </cell>
          <cell r="AQ131">
            <v>-3733196.94</v>
          </cell>
          <cell r="AR131">
            <v>-3284571.13</v>
          </cell>
          <cell r="AS131">
            <v>-3011869.86</v>
          </cell>
          <cell r="AT131">
            <v>-30328446.16</v>
          </cell>
          <cell r="AU131">
            <v>-3349007.1300000004</v>
          </cell>
          <cell r="AV131">
            <v>-4062552.9400000004</v>
          </cell>
          <cell r="AW131">
            <v>-3961237.09</v>
          </cell>
          <cell r="AX131">
            <v>-4283506.5200000005</v>
          </cell>
          <cell r="AY131">
            <v>-5228915.54</v>
          </cell>
          <cell r="AZ131">
            <v>-5651248.6399999997</v>
          </cell>
          <cell r="BA131">
            <v>-6144595.7400000002</v>
          </cell>
          <cell r="BB131">
            <v>-5610725.2400000002</v>
          </cell>
          <cell r="BC131">
            <v>-5197135.7300000004</v>
          </cell>
          <cell r="BD131">
            <v>-5766444.4800000004</v>
          </cell>
          <cell r="BE131">
            <v>-4390982.8099999996</v>
          </cell>
          <cell r="BF131">
            <v>-4161676.9199999995</v>
          </cell>
          <cell r="BG131">
            <v>-57808028.780000016</v>
          </cell>
          <cell r="BH131">
            <v>-4241982.2899999991</v>
          </cell>
          <cell r="BI131">
            <v>-5049447.12</v>
          </cell>
          <cell r="BJ131">
            <v>-7926800.1899999995</v>
          </cell>
          <cell r="BK131">
            <v>-4701114.8199999994</v>
          </cell>
          <cell r="BL131">
            <v>-5611655.79</v>
          </cell>
          <cell r="BM131">
            <v>-5914407.7599999998</v>
          </cell>
          <cell r="BN131">
            <v>-4680056.16</v>
          </cell>
          <cell r="BO131">
            <v>-5621025.6100000003</v>
          </cell>
          <cell r="BP131">
            <v>-5851402.1099999994</v>
          </cell>
          <cell r="BQ131">
            <v>-4684522.24</v>
          </cell>
          <cell r="BR131">
            <v>-4423391.74</v>
          </cell>
          <cell r="BS131">
            <v>-5314373.8</v>
          </cell>
          <cell r="BT131">
            <v>-64020179.629999995</v>
          </cell>
          <cell r="BU131">
            <v>-3858798.27</v>
          </cell>
          <cell r="BV131">
            <v>-4792054.3499999996</v>
          </cell>
          <cell r="BW131">
            <v>-5182000.8699999992</v>
          </cell>
          <cell r="BX131">
            <v>-4058849.73</v>
          </cell>
          <cell r="BY131">
            <v>-6285637.3799999999</v>
          </cell>
          <cell r="BZ131">
            <v>-6118138.6100000003</v>
          </cell>
          <cell r="CA131">
            <v>-4571660.55</v>
          </cell>
          <cell r="CE131">
            <v>-34867139.759999998</v>
          </cell>
          <cell r="CG131">
            <v>0</v>
          </cell>
        </row>
        <row r="132">
          <cell r="A132" t="str">
            <v>4.1</v>
          </cell>
          <cell r="B132" t="str">
            <v>CUSTOS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-14247821.880000001</v>
          </cell>
          <cell r="H132">
            <v>-917433.83</v>
          </cell>
          <cell r="I132">
            <v>-1013540.1900000001</v>
          </cell>
          <cell r="J132">
            <v>-1524372.4000000001</v>
          </cell>
          <cell r="K132">
            <v>-1305060.3</v>
          </cell>
          <cell r="L132">
            <v>-874446.1</v>
          </cell>
          <cell r="M132">
            <v>-1358559.56</v>
          </cell>
          <cell r="N132">
            <v>-2034131.15</v>
          </cell>
          <cell r="O132">
            <v>-1659240.12</v>
          </cell>
          <cell r="P132">
            <v>-2038213.68</v>
          </cell>
          <cell r="Q132">
            <v>-1800075.36</v>
          </cell>
          <cell r="R132">
            <v>-1253624.43</v>
          </cell>
          <cell r="S132">
            <v>-722141.85</v>
          </cell>
          <cell r="T132">
            <v>-16500838.969999997</v>
          </cell>
          <cell r="U132">
            <v>-1749016.61</v>
          </cell>
          <cell r="V132">
            <v>-1431427.34</v>
          </cell>
          <cell r="W132">
            <v>-1605255.39</v>
          </cell>
          <cell r="X132">
            <v>-1773507.37</v>
          </cell>
          <cell r="Y132">
            <v>-1765563.92</v>
          </cell>
          <cell r="Z132">
            <v>-1478159.6</v>
          </cell>
          <cell r="AA132">
            <v>-1521053.84</v>
          </cell>
          <cell r="AB132">
            <v>-1560143.08</v>
          </cell>
          <cell r="AC132">
            <v>-2191344.1800000002</v>
          </cell>
          <cell r="AD132">
            <v>-2292583.39</v>
          </cell>
          <cell r="AE132">
            <v>-1813987.43</v>
          </cell>
          <cell r="AF132">
            <v>-1228291.53</v>
          </cell>
          <cell r="AG132">
            <v>-20410333.68</v>
          </cell>
          <cell r="AH132">
            <v>-1889355.79</v>
          </cell>
          <cell r="AI132">
            <v>-1453070.63</v>
          </cell>
          <cell r="AJ132">
            <v>-1222706.57</v>
          </cell>
          <cell r="AK132">
            <v>-1213512.5900000001</v>
          </cell>
          <cell r="AL132">
            <v>-1526576.25</v>
          </cell>
          <cell r="AM132">
            <v>-1941653.0299999998</v>
          </cell>
          <cell r="AN132">
            <v>-2396020.77</v>
          </cell>
          <cell r="AO132">
            <v>-2532465.96</v>
          </cell>
          <cell r="AP132">
            <v>-2803458.1999999997</v>
          </cell>
          <cell r="AQ132">
            <v>-3338574.4499999997</v>
          </cell>
          <cell r="AR132">
            <v>-3006745.42</v>
          </cell>
          <cell r="AS132">
            <v>-2562979.8000000003</v>
          </cell>
          <cell r="AT132">
            <v>-25887119.459999997</v>
          </cell>
          <cell r="AU132">
            <v>-3053456.98</v>
          </cell>
          <cell r="AV132">
            <v>-3379678.69</v>
          </cell>
          <cell r="AW132">
            <v>-3594454.1</v>
          </cell>
          <cell r="AX132">
            <v>-3946802.1300000004</v>
          </cell>
          <cell r="AY132">
            <v>-4745916.2399999993</v>
          </cell>
          <cell r="AZ132">
            <v>-5219928.76</v>
          </cell>
          <cell r="BA132">
            <v>-5687378.5300000003</v>
          </cell>
          <cell r="BB132">
            <v>-5011838.4799999995</v>
          </cell>
          <cell r="BC132">
            <v>-4846781.0199999996</v>
          </cell>
          <cell r="BD132">
            <v>-5153393.17</v>
          </cell>
          <cell r="BE132">
            <v>-3769309.0999999996</v>
          </cell>
          <cell r="BF132">
            <v>-3903823.15</v>
          </cell>
          <cell r="BG132">
            <v>-52312760.349999994</v>
          </cell>
          <cell r="BH132">
            <v>-3623643.54</v>
          </cell>
          <cell r="BI132">
            <v>-4218428.7399999993</v>
          </cell>
          <cell r="BJ132">
            <v>-6713499.7800000003</v>
          </cell>
          <cell r="BK132">
            <v>-4087978.2199999997</v>
          </cell>
          <cell r="BL132">
            <v>-4918021.05</v>
          </cell>
          <cell r="BM132">
            <v>-4897134.66</v>
          </cell>
          <cell r="BN132">
            <v>-4287317.22</v>
          </cell>
          <cell r="BO132">
            <v>-5054587.0999999996</v>
          </cell>
          <cell r="BP132">
            <v>-4560338.0199999996</v>
          </cell>
          <cell r="BQ132">
            <v>-4044201.7</v>
          </cell>
          <cell r="BR132">
            <v>-3899260.6900000004</v>
          </cell>
          <cell r="BS132">
            <v>-4108655.87</v>
          </cell>
          <cell r="BT132">
            <v>-54413066.589999996</v>
          </cell>
          <cell r="BU132">
            <v>-3280572.5900000003</v>
          </cell>
          <cell r="BV132">
            <v>-3925153.01</v>
          </cell>
          <cell r="BW132">
            <v>-3985369.91</v>
          </cell>
          <cell r="BX132">
            <v>-3467460.5300000003</v>
          </cell>
          <cell r="BY132">
            <v>-5568837.1200000001</v>
          </cell>
          <cell r="BZ132">
            <v>-4999015.2699999996</v>
          </cell>
          <cell r="CA132">
            <v>-3713092.24</v>
          </cell>
          <cell r="CE132">
            <v>-28939500.670000002</v>
          </cell>
          <cell r="CG132">
            <v>0</v>
          </cell>
        </row>
        <row r="133">
          <cell r="A133" t="str">
            <v>4.1.1</v>
          </cell>
          <cell r="B133" t="str">
            <v>CUSTOS - MATRIZ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-14247821.880000001</v>
          </cell>
          <cell r="H133">
            <v>-917433.83</v>
          </cell>
          <cell r="I133">
            <v>-1013540.1900000001</v>
          </cell>
          <cell r="J133">
            <v>-1524372.4000000001</v>
          </cell>
          <cell r="K133">
            <v>-1305060.3</v>
          </cell>
          <cell r="L133">
            <v>-874446.1</v>
          </cell>
          <cell r="M133">
            <v>-1358559.56</v>
          </cell>
          <cell r="N133">
            <v>-2034131.15</v>
          </cell>
          <cell r="O133">
            <v>-1659240.12</v>
          </cell>
          <cell r="P133">
            <v>-2038213.68</v>
          </cell>
          <cell r="Q133">
            <v>-1800075.36</v>
          </cell>
          <cell r="R133">
            <v>-1253624.43</v>
          </cell>
          <cell r="S133">
            <v>-722141.85</v>
          </cell>
          <cell r="T133">
            <v>-16500838.969999997</v>
          </cell>
          <cell r="U133">
            <v>1749016.61</v>
          </cell>
          <cell r="V133">
            <v>-1431427.34</v>
          </cell>
          <cell r="W133">
            <v>-1605255.39</v>
          </cell>
          <cell r="X133">
            <v>-1773507.37</v>
          </cell>
          <cell r="Y133">
            <v>-1765563.92</v>
          </cell>
          <cell r="Z133">
            <v>-1478159.6</v>
          </cell>
          <cell r="AA133">
            <v>-1521053.84</v>
          </cell>
          <cell r="AB133">
            <v>-1560143.08</v>
          </cell>
          <cell r="AC133">
            <v>-2191344.1800000002</v>
          </cell>
          <cell r="AD133">
            <v>-2292583.39</v>
          </cell>
          <cell r="AE133">
            <v>-1813987.43</v>
          </cell>
          <cell r="AF133">
            <v>-1228291.53</v>
          </cell>
          <cell r="AG133">
            <v>-16912300.460000001</v>
          </cell>
          <cell r="AH133">
            <v>-1889355.79</v>
          </cell>
          <cell r="AI133">
            <v>-1453070.63</v>
          </cell>
          <cell r="AJ133">
            <v>-1222706.57</v>
          </cell>
          <cell r="AK133">
            <v>-1213512.5900000001</v>
          </cell>
          <cell r="AL133">
            <v>-1526576.25</v>
          </cell>
          <cell r="AM133">
            <v>-1941653.0299999998</v>
          </cell>
          <cell r="AN133">
            <v>-2396020.77</v>
          </cell>
          <cell r="AO133">
            <v>-2532465.96</v>
          </cell>
          <cell r="AP133">
            <v>-2803458.1999999997</v>
          </cell>
          <cell r="AQ133">
            <v>-3338574.4499999997</v>
          </cell>
          <cell r="AR133">
            <v>-3006745.42</v>
          </cell>
          <cell r="AS133">
            <v>-2562979.8000000003</v>
          </cell>
          <cell r="AT133">
            <v>-25887119.459999997</v>
          </cell>
          <cell r="AU133">
            <v>-3053456.98</v>
          </cell>
          <cell r="AV133">
            <v>-3379678.69</v>
          </cell>
          <cell r="AW133">
            <v>-3594454.1</v>
          </cell>
          <cell r="AX133">
            <v>-3946802.1300000004</v>
          </cell>
          <cell r="AY133">
            <v>-4745916.2399999993</v>
          </cell>
          <cell r="AZ133">
            <v>-5219928.76</v>
          </cell>
          <cell r="BA133">
            <v>-5687378.5300000003</v>
          </cell>
          <cell r="BB133">
            <v>-5011838.4799999995</v>
          </cell>
          <cell r="BC133">
            <v>-4846781.0199999996</v>
          </cell>
          <cell r="BD133">
            <v>-5153393.17</v>
          </cell>
          <cell r="BE133">
            <v>-3769309.0999999996</v>
          </cell>
          <cell r="BF133">
            <v>-3903823.15</v>
          </cell>
          <cell r="BG133">
            <v>-52312760.349999994</v>
          </cell>
          <cell r="BH133">
            <v>-3623643.54</v>
          </cell>
          <cell r="BI133">
            <v>-4218428.7399999993</v>
          </cell>
          <cell r="BJ133">
            <v>-6713499.7800000003</v>
          </cell>
          <cell r="BK133">
            <v>-4087978.2199999997</v>
          </cell>
          <cell r="BL133">
            <v>-4918021.05</v>
          </cell>
          <cell r="BM133">
            <v>-4897134.66</v>
          </cell>
          <cell r="BN133">
            <v>-4287317.22</v>
          </cell>
          <cell r="BO133">
            <v>-5054587.0999999996</v>
          </cell>
          <cell r="BP133">
            <v>-4560338.0199999996</v>
          </cell>
          <cell r="BQ133">
            <v>-4044201.7</v>
          </cell>
          <cell r="BR133">
            <v>-3899260.6900000004</v>
          </cell>
          <cell r="BS133">
            <v>-4108655.87</v>
          </cell>
          <cell r="BT133">
            <v>-54413066.589999996</v>
          </cell>
          <cell r="BU133">
            <v>-3280572.5900000003</v>
          </cell>
          <cell r="BV133">
            <v>-3925153.01</v>
          </cell>
          <cell r="BW133">
            <v>-3985369.91</v>
          </cell>
          <cell r="BX133">
            <v>-3467460.5300000003</v>
          </cell>
          <cell r="BY133">
            <v>-5568837.1200000001</v>
          </cell>
          <cell r="BZ133">
            <v>-4999015.2699999996</v>
          </cell>
          <cell r="CA133">
            <v>-3713092.24</v>
          </cell>
          <cell r="CE133">
            <v>-28939500.670000002</v>
          </cell>
          <cell r="CG133">
            <v>0</v>
          </cell>
        </row>
        <row r="134">
          <cell r="A134" t="str">
            <v>4.1.1.1</v>
          </cell>
          <cell r="B134" t="str">
            <v>CUSTOS DE PRODUCAO/COMERCIALIZACAO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-12445917.77</v>
          </cell>
          <cell r="H134">
            <v>-763040.46</v>
          </cell>
          <cell r="I134">
            <v>-947959.50999999989</v>
          </cell>
          <cell r="J134">
            <v>-1383646.81</v>
          </cell>
          <cell r="K134">
            <v>-1243782.02</v>
          </cell>
          <cell r="L134">
            <v>-785049.45</v>
          </cell>
          <cell r="M134">
            <v>-1256810.45</v>
          </cell>
          <cell r="N134">
            <v>-1885509.29</v>
          </cell>
          <cell r="O134">
            <v>-1552609.28</v>
          </cell>
          <cell r="P134">
            <v>-1926161.82</v>
          </cell>
          <cell r="Q134">
            <v>1615580.02</v>
          </cell>
          <cell r="R134">
            <v>-1106517.76</v>
          </cell>
          <cell r="S134">
            <v>-638348.17000000004</v>
          </cell>
          <cell r="T134">
            <v>-11873855</v>
          </cell>
          <cell r="U134">
            <v>-1535824.75</v>
          </cell>
          <cell r="V134">
            <v>-1295254.26</v>
          </cell>
          <cell r="W134">
            <v>-1483153.6</v>
          </cell>
          <cell r="X134">
            <v>-1630962.67</v>
          </cell>
          <cell r="Y134">
            <v>-1629505.23</v>
          </cell>
          <cell r="Z134">
            <v>-1344192.67</v>
          </cell>
          <cell r="AA134">
            <v>-1372230.14</v>
          </cell>
          <cell r="AB134">
            <v>-1429650.31</v>
          </cell>
          <cell r="AC134">
            <v>-2065270</v>
          </cell>
          <cell r="AD134">
            <v>-2117328.0199999996</v>
          </cell>
          <cell r="AE134">
            <v>-1659432.07</v>
          </cell>
          <cell r="AF134">
            <v>-1091870.3399999999</v>
          </cell>
          <cell r="AG134">
            <v>-18654674.059999999</v>
          </cell>
          <cell r="AH134">
            <v>-1701660.3199999998</v>
          </cell>
          <cell r="AI134">
            <v>-1331615.6099999999</v>
          </cell>
          <cell r="AJ134">
            <v>-1063000.3699999999</v>
          </cell>
          <cell r="AK134">
            <v>-1084367.94</v>
          </cell>
          <cell r="AL134">
            <v>-1408830.1199999999</v>
          </cell>
          <cell r="AM134">
            <v>-1816468.63</v>
          </cell>
          <cell r="AN134">
            <v>-2264152.84</v>
          </cell>
          <cell r="AO134">
            <v>-2426709.73</v>
          </cell>
          <cell r="AP134">
            <v>-2584183.3200000003</v>
          </cell>
          <cell r="AQ134">
            <v>-3173917.86</v>
          </cell>
          <cell r="AR134">
            <v>-2827821.47</v>
          </cell>
          <cell r="AS134">
            <v>-2399205.94</v>
          </cell>
          <cell r="AT134">
            <v>-24081934.150000002</v>
          </cell>
          <cell r="AU134">
            <v>-2848727.47</v>
          </cell>
          <cell r="AV134">
            <v>-3206030.0500000003</v>
          </cell>
          <cell r="AW134">
            <v>-3350766.3000000003</v>
          </cell>
          <cell r="AX134">
            <v>-3790528.0500000003</v>
          </cell>
          <cell r="AY134">
            <v>-4619792.33</v>
          </cell>
          <cell r="AZ134">
            <v>-4969929.8600000003</v>
          </cell>
          <cell r="BA134">
            <v>-5413957.7400000002</v>
          </cell>
          <cell r="BB134">
            <v>-4806661.33</v>
          </cell>
          <cell r="BC134">
            <v>-4599749.43</v>
          </cell>
          <cell r="BD134">
            <v>-4864762.5399999991</v>
          </cell>
          <cell r="BE134">
            <v>-3462451.6100000003</v>
          </cell>
          <cell r="BF134">
            <v>-3768593.79</v>
          </cell>
          <cell r="BG134">
            <v>-49701950.5</v>
          </cell>
          <cell r="BH134">
            <v>-3466850.93</v>
          </cell>
          <cell r="BI134">
            <v>-4097593.9600000004</v>
          </cell>
          <cell r="BJ134">
            <v>-6707531.3200000003</v>
          </cell>
          <cell r="BK134">
            <v>-4087684.24</v>
          </cell>
          <cell r="BL134">
            <v>-4917618.3599999994</v>
          </cell>
          <cell r="BM134">
            <v>-4883238.5900000008</v>
          </cell>
          <cell r="BN134">
            <v>-4282519.08</v>
          </cell>
          <cell r="BO134">
            <v>-5054483.54</v>
          </cell>
          <cell r="BP134">
            <v>-4560191.3699999992</v>
          </cell>
          <cell r="BQ134">
            <v>-4042610.1399999997</v>
          </cell>
          <cell r="BR134">
            <v>-3898532.2700000005</v>
          </cell>
          <cell r="BS134">
            <v>-4108627.45</v>
          </cell>
          <cell r="BT134">
            <v>-54107481.250000007</v>
          </cell>
          <cell r="BU134">
            <v>-3278202.56</v>
          </cell>
          <cell r="BV134">
            <v>-3925153.01</v>
          </cell>
          <cell r="BW134">
            <v>-3985076.44</v>
          </cell>
          <cell r="BX134">
            <v>-3467460.5300000003</v>
          </cell>
          <cell r="BY134">
            <v>-5568463.96</v>
          </cell>
          <cell r="BZ134">
            <v>-4992219.3499999996</v>
          </cell>
          <cell r="CA134">
            <v>-3702092.24</v>
          </cell>
          <cell r="CE134">
            <v>-28918668.090000004</v>
          </cell>
          <cell r="CG134">
            <v>0</v>
          </cell>
        </row>
        <row r="135">
          <cell r="A135" t="str">
            <v>4.1.1.1.01</v>
          </cell>
          <cell r="B135" t="str">
            <v>MAO DE OBRA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-2343257.66</v>
          </cell>
          <cell r="H135">
            <v>-130122.12</v>
          </cell>
          <cell r="I135">
            <v>-157877.47</v>
          </cell>
          <cell r="J135">
            <v>-185883.26</v>
          </cell>
          <cell r="K135">
            <v>-197194.49</v>
          </cell>
          <cell r="L135">
            <v>-185475.49</v>
          </cell>
          <cell r="M135">
            <v>-177985.94</v>
          </cell>
          <cell r="N135">
            <v>-201413.65</v>
          </cell>
          <cell r="O135">
            <v>-218920.62</v>
          </cell>
          <cell r="P135">
            <v>-218047.26</v>
          </cell>
          <cell r="Q135">
            <v>-206252.48</v>
          </cell>
          <cell r="R135">
            <v>-193282.17</v>
          </cell>
          <cell r="S135">
            <v>-73409.31</v>
          </cell>
          <cell r="T135">
            <v>-2145864.2599999998</v>
          </cell>
          <cell r="U135">
            <v>-235486.34</v>
          </cell>
          <cell r="V135">
            <v>-219645.83</v>
          </cell>
          <cell r="W135">
            <v>-224737.4</v>
          </cell>
          <cell r="X135">
            <v>-226420.4</v>
          </cell>
          <cell r="Y135">
            <v>-231812.52</v>
          </cell>
          <cell r="Z135">
            <v>-244806.64</v>
          </cell>
          <cell r="AA135">
            <v>-264810.3</v>
          </cell>
          <cell r="AB135">
            <v>-219654.23</v>
          </cell>
          <cell r="AC135">
            <v>-244506.6</v>
          </cell>
          <cell r="AD135">
            <v>-250179.02000000002</v>
          </cell>
          <cell r="AE135">
            <v>-260535.80000000002</v>
          </cell>
          <cell r="AF135">
            <v>-97764.890000000014</v>
          </cell>
          <cell r="AG135">
            <v>-2720359.9699999997</v>
          </cell>
          <cell r="AH135">
            <v>-275291.75</v>
          </cell>
          <cell r="AI135">
            <v>-260002.04</v>
          </cell>
          <cell r="AJ135">
            <v>-156513.25</v>
          </cell>
          <cell r="AK135">
            <v>-203797.88999999998</v>
          </cell>
          <cell r="AL135">
            <v>-174574.52</v>
          </cell>
          <cell r="AM135">
            <v>-174395</v>
          </cell>
          <cell r="AN135">
            <v>-246160.14</v>
          </cell>
          <cell r="AO135">
            <v>-285318.14</v>
          </cell>
          <cell r="AP135">
            <v>-286172.65000000002</v>
          </cell>
          <cell r="AQ135">
            <v>-313504.77999999997</v>
          </cell>
          <cell r="AR135">
            <v>-356069.44</v>
          </cell>
          <cell r="AS135">
            <v>-207497.2</v>
          </cell>
          <cell r="AT135">
            <v>-2939296.8</v>
          </cell>
          <cell r="AU135">
            <v>-390148.29000000004</v>
          </cell>
          <cell r="AV135">
            <v>-499539.43</v>
          </cell>
          <cell r="AW135">
            <v>-414436.52</v>
          </cell>
          <cell r="AX135">
            <v>-430992.86</v>
          </cell>
          <cell r="AY135">
            <v>-485976.42</v>
          </cell>
          <cell r="AZ135">
            <v>-467842.54000000004</v>
          </cell>
          <cell r="BA135">
            <v>-504570.11000000004</v>
          </cell>
          <cell r="BB135">
            <v>-474772.04000000004</v>
          </cell>
          <cell r="BC135">
            <v>-465461.69</v>
          </cell>
          <cell r="BD135">
            <v>-453766.37</v>
          </cell>
          <cell r="BE135">
            <v>-486071.43</v>
          </cell>
          <cell r="BF135">
            <v>-459801.72000000003</v>
          </cell>
          <cell r="BG135">
            <v>-5533379.419999999</v>
          </cell>
          <cell r="BH135">
            <v>-496368.86000000004</v>
          </cell>
          <cell r="BI135">
            <v>-516305.03</v>
          </cell>
          <cell r="BJ135">
            <v>-529272.37</v>
          </cell>
          <cell r="BK135">
            <v>-541704.01</v>
          </cell>
          <cell r="BL135">
            <v>-554575.34</v>
          </cell>
          <cell r="BM135">
            <v>-531041.28000000003</v>
          </cell>
          <cell r="BN135">
            <v>-491307.72000000003</v>
          </cell>
          <cell r="BO135">
            <v>-525364.98</v>
          </cell>
          <cell r="BP135">
            <v>-523752.49999999994</v>
          </cell>
          <cell r="BQ135">
            <v>-560016.22</v>
          </cell>
          <cell r="BR135">
            <v>-532064.46</v>
          </cell>
          <cell r="BS135">
            <v>-344392.41</v>
          </cell>
          <cell r="BT135">
            <v>-6146165.1800000006</v>
          </cell>
          <cell r="BU135">
            <v>-641691.65</v>
          </cell>
          <cell r="BV135">
            <v>-572080.41</v>
          </cell>
          <cell r="BW135">
            <v>-564563.92999999993</v>
          </cell>
          <cell r="BX135">
            <v>-553171.65</v>
          </cell>
          <cell r="BY135">
            <v>-565745.76</v>
          </cell>
          <cell r="BZ135">
            <v>-580845.72</v>
          </cell>
          <cell r="CA135">
            <v>-558197.14</v>
          </cell>
          <cell r="CE135">
            <v>-4036296.2600000002</v>
          </cell>
          <cell r="CG135">
            <v>0</v>
          </cell>
        </row>
        <row r="136">
          <cell r="A136" t="str">
            <v>4.1.1.1.01.00001</v>
          </cell>
          <cell r="B136" t="str">
            <v>PRO-LABORE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-25288</v>
          </cell>
          <cell r="H136">
            <v>-1000</v>
          </cell>
          <cell r="I136">
            <v>-1155.1099999999999</v>
          </cell>
          <cell r="J136">
            <v>-1000</v>
          </cell>
          <cell r="K136">
            <v>-1014.81</v>
          </cell>
          <cell r="L136">
            <v>-1000</v>
          </cell>
          <cell r="M136">
            <v>-1000</v>
          </cell>
          <cell r="N136">
            <v>-1000</v>
          </cell>
          <cell r="O136">
            <v>-1000</v>
          </cell>
          <cell r="P136">
            <v>-1000</v>
          </cell>
          <cell r="Q136">
            <v>-1000</v>
          </cell>
          <cell r="R136">
            <v>-1000</v>
          </cell>
          <cell r="S136">
            <v>-1000</v>
          </cell>
          <cell r="T136">
            <v>-12169.92</v>
          </cell>
          <cell r="U136">
            <v>-1000</v>
          </cell>
          <cell r="V136">
            <v>0</v>
          </cell>
          <cell r="W136">
            <v>0</v>
          </cell>
          <cell r="X136">
            <v>-30</v>
          </cell>
          <cell r="Y136">
            <v>0</v>
          </cell>
          <cell r="Z136">
            <v>167.77</v>
          </cell>
          <cell r="AA136">
            <v>-30.01</v>
          </cell>
          <cell r="AB136">
            <v>68.89</v>
          </cell>
          <cell r="AC136">
            <v>0</v>
          </cell>
          <cell r="AD136">
            <v>-30.01</v>
          </cell>
          <cell r="AE136">
            <v>-30.01</v>
          </cell>
          <cell r="AF136">
            <v>0</v>
          </cell>
          <cell r="AG136">
            <v>-883.37</v>
          </cell>
          <cell r="AH136">
            <v>0</v>
          </cell>
          <cell r="AI136">
            <v>101.86</v>
          </cell>
          <cell r="AJ136">
            <v>0</v>
          </cell>
          <cell r="AK136">
            <v>-822.27</v>
          </cell>
          <cell r="AL136">
            <v>-5725.74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-6446.15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-147.91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-316.29000000000002</v>
          </cell>
          <cell r="BF136">
            <v>-316.29000000000002</v>
          </cell>
          <cell r="BG136">
            <v>-780.49</v>
          </cell>
          <cell r="BH136">
            <v>0</v>
          </cell>
          <cell r="BI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BR136">
            <v>0</v>
          </cell>
          <cell r="BS136">
            <v>0</v>
          </cell>
          <cell r="BT136">
            <v>0</v>
          </cell>
          <cell r="BU136">
            <v>0</v>
          </cell>
          <cell r="BV136">
            <v>0</v>
          </cell>
          <cell r="BW136">
            <v>0</v>
          </cell>
          <cell r="BX136">
            <v>0</v>
          </cell>
          <cell r="BY136">
            <v>0</v>
          </cell>
          <cell r="BZ136">
            <v>-3514.2</v>
          </cell>
          <cell r="CA136">
            <v>-3828.45</v>
          </cell>
          <cell r="CE136">
            <v>-7342.65</v>
          </cell>
          <cell r="CG136">
            <v>0</v>
          </cell>
        </row>
        <row r="137">
          <cell r="A137" t="str">
            <v>4.1.1.1.01.00003</v>
          </cell>
          <cell r="B137" t="str">
            <v>SALARIOS E ORDENADOS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-1171728.1399999999</v>
          </cell>
          <cell r="H137">
            <v>-62072.100000000006</v>
          </cell>
          <cell r="I137">
            <v>-87108.45</v>
          </cell>
          <cell r="J137">
            <v>-102295.03999999999</v>
          </cell>
          <cell r="K137">
            <v>-101914.94</v>
          </cell>
          <cell r="L137">
            <v>-99045.459999999992</v>
          </cell>
          <cell r="M137">
            <v>-90826.73</v>
          </cell>
          <cell r="N137">
            <v>-110193.3</v>
          </cell>
          <cell r="O137">
            <v>-110287.48</v>
          </cell>
          <cell r="P137">
            <v>-113199.98</v>
          </cell>
          <cell r="Q137">
            <v>-105846.15</v>
          </cell>
          <cell r="R137">
            <v>-103213.54</v>
          </cell>
          <cell r="S137">
            <v>-53638.22</v>
          </cell>
          <cell r="T137">
            <v>-1139641.3899999999</v>
          </cell>
          <cell r="U137">
            <v>-88896.4</v>
          </cell>
          <cell r="V137">
            <v>-112695.53</v>
          </cell>
          <cell r="W137">
            <v>-116735.15</v>
          </cell>
          <cell r="X137">
            <v>-117474.33</v>
          </cell>
          <cell r="Y137">
            <v>-122130.32</v>
          </cell>
          <cell r="Z137">
            <v>-128654.35</v>
          </cell>
          <cell r="AA137">
            <v>-120012.84</v>
          </cell>
          <cell r="AB137">
            <v>-112395.48</v>
          </cell>
          <cell r="AC137">
            <v>-123113.76</v>
          </cell>
          <cell r="AD137">
            <v>-118382.29</v>
          </cell>
          <cell r="AE137">
            <v>-127207.94</v>
          </cell>
          <cell r="AF137">
            <v>-59697.590000000004</v>
          </cell>
          <cell r="AG137">
            <v>-1347395.98</v>
          </cell>
          <cell r="AH137">
            <v>-109132.67</v>
          </cell>
          <cell r="AI137">
            <v>-129965.69</v>
          </cell>
          <cell r="AJ137">
            <v>-85769.279999999999</v>
          </cell>
          <cell r="AK137">
            <v>-39928.659999999996</v>
          </cell>
          <cell r="AL137">
            <v>-91785.03</v>
          </cell>
          <cell r="AM137">
            <v>-103437.67</v>
          </cell>
          <cell r="AN137">
            <v>-127265.9</v>
          </cell>
          <cell r="AO137">
            <v>-134667.63</v>
          </cell>
          <cell r="AP137">
            <v>-150370.42000000001</v>
          </cell>
          <cell r="AQ137">
            <v>-162234.64000000001</v>
          </cell>
          <cell r="AR137">
            <v>-182015.13</v>
          </cell>
          <cell r="AS137">
            <v>-104796.7</v>
          </cell>
          <cell r="AT137">
            <v>-1421369.4200000002</v>
          </cell>
          <cell r="AU137">
            <v>-185411.1</v>
          </cell>
          <cell r="AV137">
            <v>-328975.37</v>
          </cell>
          <cell r="AW137">
            <v>-211183.68000000002</v>
          </cell>
          <cell r="AX137">
            <v>-225991.07</v>
          </cell>
          <cell r="AY137">
            <v>-243977.33</v>
          </cell>
          <cell r="AZ137">
            <v>-245801.80000000002</v>
          </cell>
          <cell r="BA137">
            <v>-259362.17</v>
          </cell>
          <cell r="BB137">
            <v>-233021.78</v>
          </cell>
          <cell r="BC137">
            <v>-241626.76</v>
          </cell>
          <cell r="BD137">
            <v>-241392.86000000002</v>
          </cell>
          <cell r="BE137">
            <v>-251046.99</v>
          </cell>
          <cell r="BF137">
            <v>-139487.1</v>
          </cell>
          <cell r="BG137">
            <v>-2807278.0100000002</v>
          </cell>
          <cell r="BH137">
            <v>-280698.50999999995</v>
          </cell>
          <cell r="BI137">
            <v>-283332.59999999998</v>
          </cell>
          <cell r="BJ137">
            <v>-281484.35000000003</v>
          </cell>
          <cell r="BK137">
            <v>-281207.52</v>
          </cell>
          <cell r="BL137">
            <v>-287267.73</v>
          </cell>
          <cell r="BM137">
            <v>-273089.87</v>
          </cell>
          <cell r="BN137">
            <v>-247914.87000000002</v>
          </cell>
          <cell r="BO137">
            <v>-270967.81</v>
          </cell>
          <cell r="BP137">
            <v>-276557.46000000002</v>
          </cell>
          <cell r="BQ137">
            <v>-275371.75</v>
          </cell>
          <cell r="BR137">
            <v>-281394.07999999996</v>
          </cell>
          <cell r="BS137">
            <v>-148271.36000000002</v>
          </cell>
          <cell r="BT137">
            <v>-3187557.91</v>
          </cell>
          <cell r="BU137">
            <v>-355528.99</v>
          </cell>
          <cell r="BV137">
            <v>-317016.19</v>
          </cell>
          <cell r="BW137">
            <v>-284250.68999999994</v>
          </cell>
          <cell r="BX137">
            <v>-292671.73</v>
          </cell>
          <cell r="BY137">
            <v>-295114.70999999996</v>
          </cell>
          <cell r="BZ137">
            <v>-315648.5</v>
          </cell>
          <cell r="CA137">
            <v>-298491.75</v>
          </cell>
          <cell r="CE137">
            <v>-2158722.5599999996</v>
          </cell>
          <cell r="CG137">
            <v>0</v>
          </cell>
        </row>
        <row r="138">
          <cell r="A138" t="str">
            <v>4.1.1.1.01.00004</v>
          </cell>
          <cell r="B138" t="str">
            <v>FERIAS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-110072.27</v>
          </cell>
          <cell r="H138">
            <v>-33864.47</v>
          </cell>
          <cell r="I138">
            <v>0</v>
          </cell>
          <cell r="J138">
            <v>-613.64</v>
          </cell>
          <cell r="K138">
            <v>-750.1</v>
          </cell>
          <cell r="L138">
            <v>-3672.57</v>
          </cell>
          <cell r="M138">
            <v>-12235</v>
          </cell>
          <cell r="N138">
            <v>-800.7</v>
          </cell>
          <cell r="O138">
            <v>-2178.7600000000002</v>
          </cell>
          <cell r="P138">
            <v>-1726.67</v>
          </cell>
          <cell r="Q138">
            <v>-326.83999999999997</v>
          </cell>
          <cell r="R138">
            <v>-359.04</v>
          </cell>
          <cell r="S138">
            <v>-62136.02</v>
          </cell>
          <cell r="T138">
            <v>-118663.81</v>
          </cell>
          <cell r="U138">
            <v>-34631.599999999999</v>
          </cell>
          <cell r="V138">
            <v>-1049.29</v>
          </cell>
          <cell r="W138">
            <v>-1169.46</v>
          </cell>
          <cell r="X138">
            <v>-235.49</v>
          </cell>
          <cell r="Y138">
            <v>0</v>
          </cell>
          <cell r="Z138">
            <v>-1274.6300000000001</v>
          </cell>
          <cell r="AA138">
            <v>-5677.74</v>
          </cell>
          <cell r="AB138">
            <v>-7701.41</v>
          </cell>
          <cell r="AC138">
            <v>-4149.6000000000004</v>
          </cell>
          <cell r="AD138">
            <v>-4012</v>
          </cell>
          <cell r="AE138">
            <v>-3437.82</v>
          </cell>
          <cell r="AF138">
            <v>0</v>
          </cell>
          <cell r="AG138">
            <v>-63339.039999999994</v>
          </cell>
          <cell r="AH138">
            <v>-37272.58</v>
          </cell>
          <cell r="AI138">
            <v>-740.37</v>
          </cell>
          <cell r="AJ138">
            <v>0</v>
          </cell>
          <cell r="AK138">
            <v>-75452.88</v>
          </cell>
          <cell r="AL138">
            <v>-3243.52</v>
          </cell>
          <cell r="AM138">
            <v>0</v>
          </cell>
          <cell r="AN138">
            <v>-1330.05</v>
          </cell>
          <cell r="AO138">
            <v>-103.48</v>
          </cell>
          <cell r="AP138">
            <v>-1103.6099999999999</v>
          </cell>
          <cell r="AQ138">
            <v>-605.66</v>
          </cell>
          <cell r="AR138">
            <v>-346.47</v>
          </cell>
          <cell r="AS138">
            <v>-169.15</v>
          </cell>
          <cell r="AT138">
            <v>-120367.77000000002</v>
          </cell>
          <cell r="AU138">
            <v>-19232.080000000002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-32.06</v>
          </cell>
          <cell r="BA138">
            <v>-113.28</v>
          </cell>
          <cell r="BB138">
            <v>-536.4</v>
          </cell>
          <cell r="BC138">
            <v>-1523.29</v>
          </cell>
          <cell r="BD138">
            <v>0</v>
          </cell>
          <cell r="BE138">
            <v>-369.54</v>
          </cell>
          <cell r="BF138">
            <v>-377.07</v>
          </cell>
          <cell r="BG138">
            <v>-22183.720000000005</v>
          </cell>
          <cell r="BH138">
            <v>0</v>
          </cell>
          <cell r="BI138">
            <v>-1652.76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-1460.15</v>
          </cell>
          <cell r="BO138">
            <v>-1947.81</v>
          </cell>
          <cell r="BP138">
            <v>-216.43</v>
          </cell>
          <cell r="BQ138">
            <v>0</v>
          </cell>
          <cell r="BR138">
            <v>0</v>
          </cell>
          <cell r="BS138">
            <v>0</v>
          </cell>
          <cell r="BT138">
            <v>-5277.15</v>
          </cell>
          <cell r="BU138">
            <v>0</v>
          </cell>
          <cell r="BV138">
            <v>0</v>
          </cell>
          <cell r="BW138">
            <v>0</v>
          </cell>
          <cell r="BX138">
            <v>0</v>
          </cell>
          <cell r="BY138">
            <v>0</v>
          </cell>
          <cell r="BZ138">
            <v>0</v>
          </cell>
          <cell r="CA138">
            <v>-4955.68</v>
          </cell>
          <cell r="CE138">
            <v>-4955.68</v>
          </cell>
          <cell r="CG138">
            <v>0</v>
          </cell>
        </row>
        <row r="139">
          <cell r="A139" t="str">
            <v>4.1.1.1.01.00005</v>
          </cell>
          <cell r="B139" t="str">
            <v>13O. SALARIO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-82846.539999999994</v>
          </cell>
          <cell r="H139">
            <v>-313.83999999999997</v>
          </cell>
          <cell r="I139">
            <v>-136.35</v>
          </cell>
          <cell r="J139">
            <v>-245.11</v>
          </cell>
          <cell r="K139">
            <v>-734.84</v>
          </cell>
          <cell r="L139">
            <v>-1126.18</v>
          </cell>
          <cell r="M139">
            <v>-903.55</v>
          </cell>
          <cell r="N139">
            <v>-517.24</v>
          </cell>
          <cell r="O139">
            <v>-3148.59</v>
          </cell>
          <cell r="P139">
            <v>-1342.64</v>
          </cell>
          <cell r="Q139">
            <v>-244.98</v>
          </cell>
          <cell r="R139">
            <v>-269.27999999999997</v>
          </cell>
          <cell r="S139">
            <v>-87806.98</v>
          </cell>
          <cell r="T139">
            <v>-96789.58</v>
          </cell>
          <cell r="U139">
            <v>-276.58999999999997</v>
          </cell>
          <cell r="V139">
            <v>-931.95</v>
          </cell>
          <cell r="W139">
            <v>-508.58</v>
          </cell>
          <cell r="X139">
            <v>-414.84</v>
          </cell>
          <cell r="Y139">
            <v>0</v>
          </cell>
          <cell r="Z139">
            <v>-723.85</v>
          </cell>
          <cell r="AA139">
            <v>-5068.26</v>
          </cell>
          <cell r="AB139">
            <v>-4574.96</v>
          </cell>
          <cell r="AC139">
            <v>-541.53</v>
          </cell>
          <cell r="AD139">
            <v>-1264.74</v>
          </cell>
          <cell r="AE139">
            <v>-1908.88</v>
          </cell>
          <cell r="AF139">
            <v>0</v>
          </cell>
          <cell r="AG139">
            <v>-16214.18</v>
          </cell>
          <cell r="AH139">
            <v>0</v>
          </cell>
          <cell r="AI139">
            <v>-431.98</v>
          </cell>
          <cell r="AJ139">
            <v>-1239.1199999999999</v>
          </cell>
          <cell r="AK139">
            <v>0</v>
          </cell>
          <cell r="AL139">
            <v>0</v>
          </cell>
          <cell r="AM139">
            <v>0</v>
          </cell>
          <cell r="AN139">
            <v>-1205.18</v>
          </cell>
          <cell r="AO139">
            <v>0</v>
          </cell>
          <cell r="AP139">
            <v>-568.83000000000004</v>
          </cell>
          <cell r="AQ139">
            <v>0</v>
          </cell>
          <cell r="AR139">
            <v>0</v>
          </cell>
          <cell r="AS139">
            <v>-400.2</v>
          </cell>
          <cell r="AT139">
            <v>-3845.3099999999995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-2261.36</v>
          </cell>
          <cell r="BB139">
            <v>-603.44000000000005</v>
          </cell>
          <cell r="BC139">
            <v>-913.97</v>
          </cell>
          <cell r="BD139">
            <v>0</v>
          </cell>
          <cell r="BE139">
            <v>-2049.98</v>
          </cell>
          <cell r="BF139">
            <v>-141.4</v>
          </cell>
          <cell r="BG139">
            <v>-5970.15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-1420.94</v>
          </cell>
          <cell r="BO139">
            <v>0</v>
          </cell>
          <cell r="BP139">
            <v>0</v>
          </cell>
          <cell r="BQ139">
            <v>-511.77</v>
          </cell>
          <cell r="BR139">
            <v>0</v>
          </cell>
          <cell r="BS139">
            <v>0</v>
          </cell>
          <cell r="BT139">
            <v>-1932.71</v>
          </cell>
          <cell r="BU139">
            <v>0</v>
          </cell>
          <cell r="BV139">
            <v>0</v>
          </cell>
          <cell r="BW139">
            <v>0</v>
          </cell>
          <cell r="BX139">
            <v>0</v>
          </cell>
          <cell r="BY139">
            <v>0</v>
          </cell>
          <cell r="BZ139">
            <v>0</v>
          </cell>
          <cell r="CA139">
            <v>0</v>
          </cell>
          <cell r="CE139">
            <v>0</v>
          </cell>
          <cell r="CG139">
            <v>0</v>
          </cell>
        </row>
        <row r="140">
          <cell r="A140" t="str">
            <v>4.1.1.1.01.00006</v>
          </cell>
          <cell r="B140" t="str">
            <v>BOLSA ESTAGIO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-19984.54</v>
          </cell>
          <cell r="H140">
            <v>-985.8</v>
          </cell>
          <cell r="I140">
            <v>-890.4</v>
          </cell>
          <cell r="J140">
            <v>-985.8</v>
          </cell>
          <cell r="K140">
            <v>-1876.2</v>
          </cell>
          <cell r="L140">
            <v>-1971.6</v>
          </cell>
          <cell r="M140">
            <v>-1908</v>
          </cell>
          <cell r="N140">
            <v>-1971.6</v>
          </cell>
          <cell r="O140">
            <v>-2482</v>
          </cell>
          <cell r="P140">
            <v>-1653</v>
          </cell>
          <cell r="Q140">
            <v>-1708.1</v>
          </cell>
          <cell r="R140">
            <v>-1489.9</v>
          </cell>
          <cell r="S140">
            <v>-724.8</v>
          </cell>
          <cell r="T140">
            <v>-18647.2</v>
          </cell>
          <cell r="U140">
            <v>-715.8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-550.29</v>
          </cell>
          <cell r="AD140">
            <v>-1218.51</v>
          </cell>
          <cell r="AE140">
            <v>-1179.2</v>
          </cell>
          <cell r="AF140">
            <v>-1218.51</v>
          </cell>
          <cell r="AG140">
            <v>-4882.3100000000004</v>
          </cell>
          <cell r="AH140">
            <v>-275.14999999999998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-429.6</v>
          </cell>
          <cell r="AO140">
            <v>-1109.8</v>
          </cell>
          <cell r="AP140">
            <v>-1074</v>
          </cell>
          <cell r="AQ140">
            <v>-1109.8</v>
          </cell>
          <cell r="AR140">
            <v>-2172.8000000000002</v>
          </cell>
          <cell r="AS140">
            <v>-1876.4</v>
          </cell>
          <cell r="AT140">
            <v>-8047.5500000000011</v>
          </cell>
          <cell r="AU140">
            <v>-1661.6</v>
          </cell>
          <cell r="AV140">
            <v>-2531.1999999999998</v>
          </cell>
          <cell r="AW140">
            <v>-2802.4</v>
          </cell>
          <cell r="AX140">
            <v>-3733.99</v>
          </cell>
          <cell r="AY140">
            <v>-3633.2</v>
          </cell>
          <cell r="AZ140">
            <v>-3516</v>
          </cell>
          <cell r="BA140">
            <v>-3392</v>
          </cell>
          <cell r="BB140">
            <v>-3231.2</v>
          </cell>
          <cell r="BC140">
            <v>-2412</v>
          </cell>
          <cell r="BD140">
            <v>-2302.5</v>
          </cell>
          <cell r="BE140">
            <v>-3236.85</v>
          </cell>
          <cell r="BF140">
            <v>-3985.05</v>
          </cell>
          <cell r="BG140">
            <v>-36437.99</v>
          </cell>
          <cell r="BH140">
            <v>-3800.85</v>
          </cell>
          <cell r="BI140">
            <v>-2187.1999999999998</v>
          </cell>
          <cell r="BJ140">
            <v>-2081.65</v>
          </cell>
          <cell r="BK140">
            <v>-2014.5</v>
          </cell>
          <cell r="BL140">
            <v>-2296.5500000000002</v>
          </cell>
          <cell r="BM140">
            <v>-2935.5</v>
          </cell>
          <cell r="BN140">
            <v>-3033.35</v>
          </cell>
          <cell r="BO140">
            <v>-2327.25</v>
          </cell>
          <cell r="BP140">
            <v>-2014.5</v>
          </cell>
          <cell r="BQ140">
            <v>-2081.65</v>
          </cell>
          <cell r="BR140">
            <v>-2014.5</v>
          </cell>
          <cell r="BS140">
            <v>-2170</v>
          </cell>
          <cell r="BT140">
            <v>-28957.5</v>
          </cell>
          <cell r="BU140">
            <v>-397.2</v>
          </cell>
          <cell r="BV140">
            <v>0</v>
          </cell>
          <cell r="BW140">
            <v>0</v>
          </cell>
          <cell r="BX140">
            <v>0</v>
          </cell>
          <cell r="BY140">
            <v>0</v>
          </cell>
          <cell r="BZ140">
            <v>0</v>
          </cell>
          <cell r="CA140">
            <v>-252.7</v>
          </cell>
          <cell r="CE140">
            <v>-649.9</v>
          </cell>
          <cell r="CG140">
            <v>0</v>
          </cell>
        </row>
        <row r="141">
          <cell r="A141" t="str">
            <v>4.1.1.1.01.00008</v>
          </cell>
          <cell r="B141" t="str">
            <v>INSS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-385142.55</v>
          </cell>
          <cell r="H141">
            <v>-25806.44</v>
          </cell>
          <cell r="I141">
            <v>-23844.73</v>
          </cell>
          <cell r="J141">
            <v>-25361.89</v>
          </cell>
          <cell r="K141">
            <v>-27971.93</v>
          </cell>
          <cell r="L141">
            <v>-28742.78</v>
          </cell>
          <cell r="M141">
            <v>-28694.78</v>
          </cell>
          <cell r="N141">
            <v>-32839.1</v>
          </cell>
          <cell r="O141">
            <v>-31388.68</v>
          </cell>
          <cell r="P141">
            <v>-31614.89</v>
          </cell>
          <cell r="Q141">
            <v>-29396.54</v>
          </cell>
          <cell r="R141">
            <v>-28698</v>
          </cell>
          <cell r="S141">
            <v>-56610.13</v>
          </cell>
          <cell r="T141">
            <v>-370969.88999999996</v>
          </cell>
          <cell r="U141">
            <v>-31288.54</v>
          </cell>
          <cell r="V141">
            <v>-31494.12</v>
          </cell>
          <cell r="W141">
            <v>-32325.63</v>
          </cell>
          <cell r="X141">
            <v>-32469.3</v>
          </cell>
          <cell r="Y141">
            <v>-33580.04</v>
          </cell>
          <cell r="Z141">
            <v>-35575</v>
          </cell>
          <cell r="AA141">
            <v>-35082.07</v>
          </cell>
          <cell r="AB141">
            <v>-32261.49</v>
          </cell>
          <cell r="AC141">
            <v>-34904.5</v>
          </cell>
          <cell r="AD141">
            <v>-34647.58</v>
          </cell>
          <cell r="AE141">
            <v>-35786.519999999997</v>
          </cell>
          <cell r="AF141">
            <v>-36395.15</v>
          </cell>
          <cell r="AG141">
            <v>-405809.94000000006</v>
          </cell>
          <cell r="AH141">
            <v>-42003.64</v>
          </cell>
          <cell r="AI141">
            <v>-38549.58</v>
          </cell>
          <cell r="AJ141">
            <v>-33756.01</v>
          </cell>
          <cell r="AK141">
            <v>-36979.29</v>
          </cell>
          <cell r="AL141">
            <v>-28334.66</v>
          </cell>
          <cell r="AM141">
            <v>-29448.43</v>
          </cell>
          <cell r="AN141">
            <v>-37619.760000000002</v>
          </cell>
          <cell r="AO141">
            <v>-40757.160000000003</v>
          </cell>
          <cell r="AP141">
            <v>-44240.84</v>
          </cell>
          <cell r="AQ141">
            <v>-48546.1</v>
          </cell>
          <cell r="AR141">
            <v>-53726.12</v>
          </cell>
          <cell r="AS141">
            <v>-50975.1</v>
          </cell>
          <cell r="AT141">
            <v>-484936.68999999994</v>
          </cell>
          <cell r="AU141">
            <v>-67648.2</v>
          </cell>
          <cell r="AV141">
            <v>-60699.96</v>
          </cell>
          <cell r="AW141">
            <v>-62068.15</v>
          </cell>
          <cell r="AX141">
            <v>-65931.25</v>
          </cell>
          <cell r="AY141">
            <v>-73010.38</v>
          </cell>
          <cell r="AZ141">
            <v>-73104.2</v>
          </cell>
          <cell r="BA141">
            <v>-75707.16</v>
          </cell>
          <cell r="BB141">
            <v>-68102.080000000002</v>
          </cell>
          <cell r="BC141">
            <v>-71308.44</v>
          </cell>
          <cell r="BD141">
            <v>-69762.080000000002</v>
          </cell>
          <cell r="BE141">
            <v>-76340.03</v>
          </cell>
          <cell r="BF141">
            <v>-85838.61</v>
          </cell>
          <cell r="BG141">
            <v>-849520.54</v>
          </cell>
          <cell r="BH141">
            <v>-81920.649999999994</v>
          </cell>
          <cell r="BI141">
            <v>-77132.009999999995</v>
          </cell>
          <cell r="BJ141">
            <v>-77351.87</v>
          </cell>
          <cell r="BK141">
            <v>-77859.070000000007</v>
          </cell>
          <cell r="BL141">
            <v>-75703.3</v>
          </cell>
          <cell r="BM141">
            <v>-77194.91</v>
          </cell>
          <cell r="BN141">
            <v>-69169.14</v>
          </cell>
          <cell r="BO141">
            <v>-75768.08</v>
          </cell>
          <cell r="BP141">
            <v>-75666.44</v>
          </cell>
          <cell r="BQ141">
            <v>-81474.070000000007</v>
          </cell>
          <cell r="BR141">
            <v>-79980.36</v>
          </cell>
          <cell r="BS141">
            <v>-8427.8399999999965</v>
          </cell>
          <cell r="BT141">
            <v>-857647.74</v>
          </cell>
          <cell r="BU141">
            <v>-91710.37</v>
          </cell>
          <cell r="BV141">
            <v>-88242.6</v>
          </cell>
          <cell r="BW141">
            <v>-79461.61</v>
          </cell>
          <cell r="BX141">
            <v>-81410.66</v>
          </cell>
          <cell r="BY141">
            <v>-82578.929999999993</v>
          </cell>
          <cell r="BZ141">
            <v>-90682.85</v>
          </cell>
          <cell r="CA141">
            <v>-80016</v>
          </cell>
          <cell r="CE141">
            <v>-594103.02</v>
          </cell>
          <cell r="CG141">
            <v>0</v>
          </cell>
        </row>
        <row r="142">
          <cell r="A142" t="str">
            <v>4.1.1.1.01.00009</v>
          </cell>
          <cell r="B142" t="str">
            <v>FGTS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-134897.91</v>
          </cell>
          <cell r="H142">
            <v>-11289.92</v>
          </cell>
          <cell r="I142">
            <v>-6859.71</v>
          </cell>
          <cell r="J142">
            <v>-8398.3700000000008</v>
          </cell>
          <cell r="K142">
            <v>-9453.23</v>
          </cell>
          <cell r="L142">
            <v>-8430.86</v>
          </cell>
          <cell r="M142">
            <v>-9913.15</v>
          </cell>
          <cell r="N142">
            <v>-9988.08</v>
          </cell>
          <cell r="O142">
            <v>-12006.58</v>
          </cell>
          <cell r="P142">
            <v>-10725.29</v>
          </cell>
          <cell r="Q142">
            <v>-8493.65</v>
          </cell>
          <cell r="R142">
            <v>-13760.35</v>
          </cell>
          <cell r="S142">
            <v>-13322.51</v>
          </cell>
          <cell r="T142">
            <v>-122641.7</v>
          </cell>
          <cell r="U142">
            <v>-10834.54</v>
          </cell>
          <cell r="V142">
            <v>-12906.06</v>
          </cell>
          <cell r="W142">
            <v>-12085.73</v>
          </cell>
          <cell r="X142">
            <v>-10545</v>
          </cell>
          <cell r="Y142">
            <v>-9771.39</v>
          </cell>
          <cell r="Z142">
            <v>-12519.76</v>
          </cell>
          <cell r="AA142">
            <v>-15541.84</v>
          </cell>
          <cell r="AB142">
            <v>-19089.759999999998</v>
          </cell>
          <cell r="AC142">
            <v>-11459.52</v>
          </cell>
          <cell r="AD142">
            <v>-11507.86</v>
          </cell>
          <cell r="AE142">
            <v>-14518.28</v>
          </cell>
          <cell r="AF142">
            <v>-10592.14</v>
          </cell>
          <cell r="AG142">
            <v>-151371.88</v>
          </cell>
          <cell r="AH142">
            <v>-11483.54</v>
          </cell>
          <cell r="AI142">
            <v>-15439.2</v>
          </cell>
          <cell r="AJ142">
            <v>-12576.8</v>
          </cell>
          <cell r="AK142">
            <v>-16171.22</v>
          </cell>
          <cell r="AL142">
            <v>-8096.2</v>
          </cell>
          <cell r="AM142">
            <v>-8522.98</v>
          </cell>
          <cell r="AN142">
            <v>-10258.84</v>
          </cell>
          <cell r="AO142">
            <v>-13211.94</v>
          </cell>
          <cell r="AP142">
            <v>-12118.66</v>
          </cell>
          <cell r="AQ142">
            <v>-14290.68</v>
          </cell>
          <cell r="AR142">
            <v>-14768.79</v>
          </cell>
          <cell r="AS142">
            <v>-13870.05</v>
          </cell>
          <cell r="AT142">
            <v>-150808.9</v>
          </cell>
          <cell r="AU142">
            <v>-18752.77</v>
          </cell>
          <cell r="AV142">
            <v>-19243.240000000002</v>
          </cell>
          <cell r="AW142">
            <v>-19601.21</v>
          </cell>
          <cell r="AX142">
            <v>-20549.79</v>
          </cell>
          <cell r="AY142">
            <v>-44080.75</v>
          </cell>
          <cell r="AZ142">
            <v>-26888.2</v>
          </cell>
          <cell r="BA142">
            <v>-26669.93</v>
          </cell>
          <cell r="BB142">
            <v>-19649.5</v>
          </cell>
          <cell r="BC142">
            <v>-22550.78</v>
          </cell>
          <cell r="BD142">
            <v>-19865.990000000002</v>
          </cell>
          <cell r="BE142">
            <v>-27458.37</v>
          </cell>
          <cell r="BF142">
            <v>-58032.25</v>
          </cell>
          <cell r="BG142">
            <v>-323342.78000000003</v>
          </cell>
          <cell r="BH142">
            <v>-23998.19</v>
          </cell>
          <cell r="BI142">
            <v>-23231.93</v>
          </cell>
          <cell r="BJ142">
            <v>-31593.98</v>
          </cell>
          <cell r="BK142">
            <v>-25157.15</v>
          </cell>
          <cell r="BL142">
            <v>-26064.47</v>
          </cell>
          <cell r="BM142">
            <v>-34446.86</v>
          </cell>
          <cell r="BN142">
            <v>-23301.16</v>
          </cell>
          <cell r="BO142">
            <v>-22407.96</v>
          </cell>
          <cell r="BP142">
            <v>-22436.93</v>
          </cell>
          <cell r="BQ142">
            <v>-45814.879999999997</v>
          </cell>
          <cell r="BR142">
            <v>-35431.1</v>
          </cell>
          <cell r="BS142">
            <v>5750.3000000000029</v>
          </cell>
          <cell r="BT142">
            <v>-308134.31</v>
          </cell>
          <cell r="BU142">
            <v>-26888.52</v>
          </cell>
          <cell r="BV142">
            <v>-31164.22</v>
          </cell>
          <cell r="BW142">
            <v>-31521.38</v>
          </cell>
          <cell r="BX142">
            <v>-28602.6</v>
          </cell>
          <cell r="BY142">
            <v>-29841.83</v>
          </cell>
          <cell r="BZ142">
            <v>-34292.620000000003</v>
          </cell>
          <cell r="CA142">
            <v>-30600.46</v>
          </cell>
          <cell r="CE142">
            <v>-212911.62999999998</v>
          </cell>
          <cell r="CG142">
            <v>0</v>
          </cell>
        </row>
        <row r="143">
          <cell r="A143" t="str">
            <v>4.1.1.1.01.00010</v>
          </cell>
          <cell r="B143" t="str">
            <v>TRANSPORTE/VALE TRANSPORTE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-158454.24</v>
          </cell>
          <cell r="H143">
            <v>-10165.6</v>
          </cell>
          <cell r="I143">
            <v>-9048</v>
          </cell>
          <cell r="J143">
            <v>-10388.5</v>
          </cell>
          <cell r="K143">
            <v>-453.6</v>
          </cell>
          <cell r="L143">
            <v>-12235.2</v>
          </cell>
          <cell r="M143">
            <v>-11234.9</v>
          </cell>
          <cell r="N143">
            <v>-16523.3</v>
          </cell>
          <cell r="O143">
            <v>-18904.3</v>
          </cell>
          <cell r="P143">
            <v>-13327.6</v>
          </cell>
          <cell r="Q143">
            <v>-16245.72</v>
          </cell>
          <cell r="R143">
            <v>-13760.35</v>
          </cell>
          <cell r="S143">
            <v>-7937.67</v>
          </cell>
          <cell r="T143">
            <v>-140224.74000000002</v>
          </cell>
          <cell r="U143">
            <v>-28059.599999999999</v>
          </cell>
          <cell r="V143">
            <v>-14252.5</v>
          </cell>
          <cell r="W143">
            <v>-14991.84</v>
          </cell>
          <cell r="X143">
            <v>-16312.32</v>
          </cell>
          <cell r="Y143">
            <v>-17484.95</v>
          </cell>
          <cell r="Z143">
            <v>-18132.599999999999</v>
          </cell>
          <cell r="AA143">
            <v>-21573.7</v>
          </cell>
          <cell r="AB143">
            <v>-16821.38</v>
          </cell>
          <cell r="AC143">
            <v>-19189.099999999999</v>
          </cell>
          <cell r="AD143">
            <v>-22628.55</v>
          </cell>
          <cell r="AE143">
            <v>-19988.54</v>
          </cell>
          <cell r="AF143">
            <v>-11640.65</v>
          </cell>
          <cell r="AG143">
            <v>-221075.72999999998</v>
          </cell>
          <cell r="AH143">
            <v>-37302.090000000004</v>
          </cell>
          <cell r="AI143">
            <v>-33767.58</v>
          </cell>
          <cell r="AJ143">
            <v>-18667.71</v>
          </cell>
          <cell r="AK143">
            <v>-8041.42</v>
          </cell>
          <cell r="AL143">
            <v>-9376.17</v>
          </cell>
          <cell r="AM143">
            <v>-14610.97</v>
          </cell>
          <cell r="AN143">
            <v>-20672.080000000002</v>
          </cell>
          <cell r="AO143">
            <v>-41106.58</v>
          </cell>
          <cell r="AP143">
            <v>-26044.76</v>
          </cell>
          <cell r="AQ143">
            <v>-27482.899999999998</v>
          </cell>
          <cell r="AR143">
            <v>-32148.05</v>
          </cell>
          <cell r="AS143">
            <v>-26341.919999999998</v>
          </cell>
          <cell r="AT143">
            <v>-295562.23000000004</v>
          </cell>
          <cell r="AU143">
            <v>-50710.05</v>
          </cell>
          <cell r="AV143">
            <v>-35163.31</v>
          </cell>
          <cell r="AW143">
            <v>-41575.53</v>
          </cell>
          <cell r="AX143">
            <v>-39849.64</v>
          </cell>
          <cell r="AY143">
            <v>-41380.519999999997</v>
          </cell>
          <cell r="AZ143">
            <v>-39996.230000000003</v>
          </cell>
          <cell r="BA143">
            <v>-51248.53</v>
          </cell>
          <cell r="BB143">
            <v>-49476.76</v>
          </cell>
          <cell r="BC143">
            <v>-42486.559999999998</v>
          </cell>
          <cell r="BD143">
            <v>-38858.230000000003</v>
          </cell>
          <cell r="BE143">
            <v>-38433.08</v>
          </cell>
          <cell r="BF143">
            <v>-30821.74</v>
          </cell>
          <cell r="BG143">
            <v>-500000.18</v>
          </cell>
          <cell r="BH143">
            <v>-33018.31</v>
          </cell>
          <cell r="BI143">
            <v>-50895.62</v>
          </cell>
          <cell r="BJ143">
            <v>-58101.24</v>
          </cell>
          <cell r="BK143">
            <v>-57308.51</v>
          </cell>
          <cell r="BL143">
            <v>-58410.35</v>
          </cell>
          <cell r="BM143">
            <v>-56387.839999999997</v>
          </cell>
          <cell r="BN143">
            <v>-53165.49</v>
          </cell>
          <cell r="BO143">
            <v>-53630.79</v>
          </cell>
          <cell r="BP143">
            <v>-51765.42</v>
          </cell>
          <cell r="BQ143">
            <v>-55536.51</v>
          </cell>
          <cell r="BR143">
            <v>-44973.08</v>
          </cell>
          <cell r="BS143">
            <v>-35585.54</v>
          </cell>
          <cell r="BT143">
            <v>-608778.69999999995</v>
          </cell>
          <cell r="BU143">
            <v>-72359.73</v>
          </cell>
          <cell r="BV143">
            <v>-48788.639999999999</v>
          </cell>
          <cell r="BW143">
            <v>-62351.01</v>
          </cell>
          <cell r="BX143">
            <v>-46078.02</v>
          </cell>
          <cell r="BY143">
            <v>-52540.59</v>
          </cell>
          <cell r="BZ143">
            <v>-52477.01</v>
          </cell>
          <cell r="CA143">
            <v>-56607.44</v>
          </cell>
          <cell r="CE143">
            <v>-391202.44</v>
          </cell>
          <cell r="CG143">
            <v>0</v>
          </cell>
        </row>
        <row r="144">
          <cell r="A144" t="str">
            <v>4.1.1.1.01.00011</v>
          </cell>
          <cell r="B144" t="str">
            <v>REFEICAO/VALE REFEICAO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-1626.46</v>
          </cell>
          <cell r="H144">
            <v>-282.24</v>
          </cell>
          <cell r="I144">
            <v>0</v>
          </cell>
          <cell r="J144">
            <v>0</v>
          </cell>
          <cell r="K144">
            <v>-14253.64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-14535.88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-30</v>
          </cell>
          <cell r="AR144">
            <v>0</v>
          </cell>
          <cell r="AS144">
            <v>0</v>
          </cell>
          <cell r="AT144">
            <v>-30</v>
          </cell>
          <cell r="AU144">
            <v>-228</v>
          </cell>
          <cell r="AV144">
            <v>0</v>
          </cell>
          <cell r="AW144">
            <v>0</v>
          </cell>
          <cell r="AX144">
            <v>-703.15</v>
          </cell>
          <cell r="AY144">
            <v>-650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-1581.15</v>
          </cell>
          <cell r="BH144">
            <v>0</v>
          </cell>
          <cell r="BI144">
            <v>-2550</v>
          </cell>
          <cell r="BJ144">
            <v>0</v>
          </cell>
          <cell r="BK144">
            <v>-1575</v>
          </cell>
          <cell r="BL144">
            <v>0</v>
          </cell>
          <cell r="BM144">
            <v>0</v>
          </cell>
          <cell r="BN144">
            <v>-890</v>
          </cell>
          <cell r="BO144">
            <v>-1653</v>
          </cell>
          <cell r="BP144">
            <v>0</v>
          </cell>
          <cell r="BQ144">
            <v>0</v>
          </cell>
          <cell r="BR144">
            <v>0</v>
          </cell>
          <cell r="BS144">
            <v>0</v>
          </cell>
          <cell r="BT144">
            <v>-6668</v>
          </cell>
          <cell r="BU144">
            <v>0</v>
          </cell>
          <cell r="BV144">
            <v>0</v>
          </cell>
          <cell r="BW144">
            <v>0</v>
          </cell>
          <cell r="BX144">
            <v>0</v>
          </cell>
          <cell r="BY144">
            <v>0</v>
          </cell>
          <cell r="BZ144">
            <v>0</v>
          </cell>
          <cell r="CA144">
            <v>0</v>
          </cell>
          <cell r="CE144">
            <v>0</v>
          </cell>
          <cell r="CG144">
            <v>0</v>
          </cell>
        </row>
        <row r="145">
          <cell r="A145" t="str">
            <v>4.1.1.1.01.00012</v>
          </cell>
          <cell r="B145" t="str">
            <v>SERVICO TEMPORARIO/TECEIRIZACAO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BR145">
            <v>0</v>
          </cell>
          <cell r="BS145">
            <v>0</v>
          </cell>
          <cell r="BT145">
            <v>0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  <cell r="BZ145">
            <v>0</v>
          </cell>
          <cell r="CA145">
            <v>0</v>
          </cell>
          <cell r="CE145">
            <v>0</v>
          </cell>
          <cell r="CG145">
            <v>0</v>
          </cell>
        </row>
        <row r="146">
          <cell r="A146" t="str">
            <v>4.1.1.1.01.00013</v>
          </cell>
          <cell r="B146" t="str">
            <v>ASSISTENCIA MEDICA/FARMACIA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-88830.28</v>
          </cell>
          <cell r="H146">
            <v>-10230.48</v>
          </cell>
          <cell r="I146">
            <v>-10552.82</v>
          </cell>
          <cell r="J146">
            <v>-9811.9599999999991</v>
          </cell>
          <cell r="K146">
            <v>-9499.3000000000011</v>
          </cell>
          <cell r="L146">
            <v>-9400.2999999999993</v>
          </cell>
          <cell r="M146">
            <v>-9777.23</v>
          </cell>
          <cell r="N146">
            <v>4955</v>
          </cell>
          <cell r="O146">
            <v>-9347.76</v>
          </cell>
          <cell r="P146">
            <v>-10006.89</v>
          </cell>
          <cell r="Q146">
            <v>-10231.52</v>
          </cell>
          <cell r="R146">
            <v>-10225.09</v>
          </cell>
          <cell r="S146">
            <v>-10247.65</v>
          </cell>
          <cell r="T146">
            <v>-104375.99999999999</v>
          </cell>
          <cell r="U146">
            <v>-10701.71</v>
          </cell>
          <cell r="V146">
            <v>-10085.25</v>
          </cell>
          <cell r="W146">
            <v>-10892.74</v>
          </cell>
          <cell r="X146">
            <v>-11517.53</v>
          </cell>
          <cell r="Y146">
            <v>-9748.89</v>
          </cell>
          <cell r="Z146">
            <v>-10191.6</v>
          </cell>
          <cell r="AA146">
            <v>-10551.76</v>
          </cell>
          <cell r="AB146">
            <v>-12210.1</v>
          </cell>
          <cell r="AC146">
            <v>-11172.79</v>
          </cell>
          <cell r="AD146">
            <v>-12350.310000000001</v>
          </cell>
          <cell r="AE146">
            <v>-11580.390000000001</v>
          </cell>
          <cell r="AF146">
            <v>-11768.210000000001</v>
          </cell>
          <cell r="AG146">
            <v>-132771.28</v>
          </cell>
          <cell r="AH146">
            <v>-11330.78</v>
          </cell>
          <cell r="AI146">
            <v>-10700.170000000002</v>
          </cell>
          <cell r="AJ146">
            <v>-10863.420000000002</v>
          </cell>
          <cell r="AK146">
            <v>-11147.630000000001</v>
          </cell>
          <cell r="AL146">
            <v>-11595.67</v>
          </cell>
          <cell r="AM146">
            <v>6288.57</v>
          </cell>
          <cell r="AN146">
            <v>-10233.689999999999</v>
          </cell>
          <cell r="AO146">
            <v>-10073.48</v>
          </cell>
          <cell r="AP146">
            <v>-10847.440000000002</v>
          </cell>
          <cell r="AQ146">
            <v>-10626.220000000001</v>
          </cell>
          <cell r="AR146">
            <v>-11110.42</v>
          </cell>
          <cell r="AS146">
            <v>9114.74</v>
          </cell>
          <cell r="AT146">
            <v>-93125.61</v>
          </cell>
          <cell r="AU146">
            <v>-13561.14</v>
          </cell>
          <cell r="AV146">
            <v>-13007.4</v>
          </cell>
          <cell r="AW146">
            <v>-12705.92</v>
          </cell>
          <cell r="AX146">
            <v>-13127.919999999998</v>
          </cell>
          <cell r="AY146">
            <v>-13652.880000000001</v>
          </cell>
          <cell r="AZ146">
            <v>14298.6</v>
          </cell>
          <cell r="BA146">
            <v>-13766.51</v>
          </cell>
          <cell r="BB146">
            <v>-16800.78</v>
          </cell>
          <cell r="BC146">
            <v>-14490.060000000001</v>
          </cell>
          <cell r="BD146">
            <v>-13800.23</v>
          </cell>
          <cell r="BE146">
            <v>-12977.73</v>
          </cell>
          <cell r="BF146">
            <v>-14819.179999999998</v>
          </cell>
          <cell r="BG146">
            <v>-138411.15</v>
          </cell>
          <cell r="BH146">
            <v>-12418.19</v>
          </cell>
          <cell r="BI146">
            <v>-11500.68</v>
          </cell>
          <cell r="BJ146">
            <v>-11322.3</v>
          </cell>
          <cell r="BK146">
            <v>-13828.94</v>
          </cell>
          <cell r="BL146">
            <v>-11319.02</v>
          </cell>
          <cell r="BM146">
            <v>-11098.090000000002</v>
          </cell>
          <cell r="BN146">
            <v>-12232.939999999999</v>
          </cell>
          <cell r="BO146">
            <v>-12423.359999999999</v>
          </cell>
          <cell r="BP146">
            <v>-16999.03</v>
          </cell>
          <cell r="BQ146">
            <v>-11014.170000000002</v>
          </cell>
          <cell r="BR146">
            <v>-12602.39</v>
          </cell>
          <cell r="BS146">
            <v>-23003.52</v>
          </cell>
          <cell r="BT146">
            <v>-159762.62999999998</v>
          </cell>
          <cell r="BU146">
            <v>-15670.310000000001</v>
          </cell>
          <cell r="BV146">
            <v>-12182.029999999999</v>
          </cell>
          <cell r="BW146">
            <v>-10490.150000000001</v>
          </cell>
          <cell r="BX146">
            <v>-7926.3000000000029</v>
          </cell>
          <cell r="BY146">
            <v>-9883.02</v>
          </cell>
          <cell r="BZ146">
            <v>23081.439999999999</v>
          </cell>
          <cell r="CA146">
            <v>14465.73</v>
          </cell>
          <cell r="CE146">
            <v>-18604.64000000001</v>
          </cell>
          <cell r="CG146">
            <v>0</v>
          </cell>
        </row>
        <row r="147">
          <cell r="A147" t="str">
            <v>4.1.1.1.01.00015</v>
          </cell>
          <cell r="B147" t="str">
            <v>FORMACAO PROFISSIONAL EMPREGADOS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-13346.27</v>
          </cell>
          <cell r="H147">
            <v>-700</v>
          </cell>
          <cell r="I147">
            <v>-1245</v>
          </cell>
          <cell r="J147">
            <v>-1790</v>
          </cell>
          <cell r="K147">
            <v>-1345</v>
          </cell>
          <cell r="L147">
            <v>-800</v>
          </cell>
          <cell r="M147">
            <v>0</v>
          </cell>
          <cell r="N147">
            <v>800</v>
          </cell>
          <cell r="O147">
            <v>-800</v>
          </cell>
          <cell r="P147">
            <v>-800</v>
          </cell>
          <cell r="Q147">
            <v>-800</v>
          </cell>
          <cell r="R147">
            <v>-900</v>
          </cell>
          <cell r="S147">
            <v>-1536</v>
          </cell>
          <cell r="T147">
            <v>-9916</v>
          </cell>
          <cell r="U147">
            <v>-900</v>
          </cell>
          <cell r="V147">
            <v>-900</v>
          </cell>
          <cell r="W147">
            <v>-1051.2</v>
          </cell>
          <cell r="X147">
            <v>-900</v>
          </cell>
          <cell r="Y147">
            <v>-900</v>
          </cell>
          <cell r="Z147">
            <v>-1051.2</v>
          </cell>
          <cell r="AA147">
            <v>-900</v>
          </cell>
          <cell r="AB147">
            <v>-1200</v>
          </cell>
          <cell r="AC147">
            <v>-1050</v>
          </cell>
          <cell r="AD147">
            <v>-1050</v>
          </cell>
          <cell r="AE147">
            <v>-1050</v>
          </cell>
          <cell r="AF147">
            <v>-1050</v>
          </cell>
          <cell r="AG147">
            <v>-12002.4</v>
          </cell>
          <cell r="AH147">
            <v>-1050</v>
          </cell>
          <cell r="AI147">
            <v>-1090.9000000000001</v>
          </cell>
          <cell r="AJ147">
            <v>-536.74</v>
          </cell>
          <cell r="AK147">
            <v>0</v>
          </cell>
          <cell r="AL147">
            <v>633</v>
          </cell>
          <cell r="AM147">
            <v>0</v>
          </cell>
          <cell r="AN147">
            <v>-1050</v>
          </cell>
          <cell r="AO147">
            <v>-774.61</v>
          </cell>
          <cell r="AP147">
            <v>-774.61</v>
          </cell>
          <cell r="AQ147">
            <v>-1050</v>
          </cell>
          <cell r="AR147">
            <v>-1050</v>
          </cell>
          <cell r="AS147">
            <v>-1050</v>
          </cell>
          <cell r="AT147">
            <v>-7793.8600000000006</v>
          </cell>
          <cell r="AU147">
            <v>-150</v>
          </cell>
          <cell r="AV147">
            <v>-150</v>
          </cell>
          <cell r="AW147">
            <v>-150</v>
          </cell>
          <cell r="AX147">
            <v>-150</v>
          </cell>
          <cell r="AY147">
            <v>-150</v>
          </cell>
          <cell r="AZ147">
            <v>-150</v>
          </cell>
          <cell r="BA147">
            <v>-150</v>
          </cell>
          <cell r="BB147">
            <v>-150</v>
          </cell>
          <cell r="BC147">
            <v>-150</v>
          </cell>
          <cell r="BD147">
            <v>-150</v>
          </cell>
          <cell r="BE147">
            <v>-150</v>
          </cell>
          <cell r="BF147">
            <v>-150</v>
          </cell>
          <cell r="BG147">
            <v>-1800</v>
          </cell>
          <cell r="BH147">
            <v>0</v>
          </cell>
          <cell r="BI147">
            <v>-300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BR147">
            <v>0</v>
          </cell>
          <cell r="BS147">
            <v>0</v>
          </cell>
          <cell r="BT147">
            <v>-300</v>
          </cell>
          <cell r="BU147">
            <v>0</v>
          </cell>
          <cell r="BV147">
            <v>-695.32</v>
          </cell>
          <cell r="BW147">
            <v>-695.32</v>
          </cell>
          <cell r="BX147">
            <v>-695.32</v>
          </cell>
          <cell r="BY147">
            <v>-345.63</v>
          </cell>
          <cell r="BZ147">
            <v>-674.35</v>
          </cell>
          <cell r="CA147">
            <v>-674.35</v>
          </cell>
          <cell r="CE147">
            <v>-3780.29</v>
          </cell>
          <cell r="CG147">
            <v>0</v>
          </cell>
        </row>
        <row r="148">
          <cell r="A148" t="str">
            <v>4.1.1.1.01.00016</v>
          </cell>
          <cell r="B148" t="str">
            <v>UNIFORMES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-4653.6000000000004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-160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-160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-160</v>
          </cell>
          <cell r="Z148">
            <v>0</v>
          </cell>
          <cell r="AA148">
            <v>-320</v>
          </cell>
          <cell r="AB148">
            <v>0</v>
          </cell>
          <cell r="AC148">
            <v>0</v>
          </cell>
          <cell r="AD148">
            <v>-320</v>
          </cell>
          <cell r="AE148">
            <v>0</v>
          </cell>
          <cell r="AF148">
            <v>0</v>
          </cell>
          <cell r="AG148">
            <v>-800</v>
          </cell>
          <cell r="AH148">
            <v>0</v>
          </cell>
          <cell r="AI148">
            <v>0</v>
          </cell>
          <cell r="AJ148">
            <v>0</v>
          </cell>
          <cell r="AK148">
            <v>-1380</v>
          </cell>
          <cell r="AL148">
            <v>0</v>
          </cell>
          <cell r="AM148">
            <v>-115.2</v>
          </cell>
          <cell r="AN148">
            <v>0</v>
          </cell>
          <cell r="AO148">
            <v>-320</v>
          </cell>
          <cell r="AP148">
            <v>0</v>
          </cell>
          <cell r="AQ148">
            <v>-160</v>
          </cell>
          <cell r="AR148">
            <v>-320</v>
          </cell>
          <cell r="AS148">
            <v>-68.75</v>
          </cell>
          <cell r="AT148">
            <v>-2363.9499999999998</v>
          </cell>
          <cell r="AU148">
            <v>-320</v>
          </cell>
          <cell r="AV148">
            <v>-320</v>
          </cell>
          <cell r="AW148">
            <v>0</v>
          </cell>
          <cell r="AX148">
            <v>-724.37</v>
          </cell>
          <cell r="AY148">
            <v>-3053.31</v>
          </cell>
          <cell r="AZ148">
            <v>-271.58999999999997</v>
          </cell>
          <cell r="BA148">
            <v>0</v>
          </cell>
          <cell r="BB148">
            <v>-12468.54</v>
          </cell>
          <cell r="BC148">
            <v>-1443</v>
          </cell>
          <cell r="BD148">
            <v>-190.59</v>
          </cell>
          <cell r="BE148">
            <v>-2048.8000000000002</v>
          </cell>
          <cell r="BF148">
            <v>0</v>
          </cell>
          <cell r="BG148">
            <v>-20840.2</v>
          </cell>
          <cell r="BH148">
            <v>-850</v>
          </cell>
          <cell r="BI148">
            <v>-82.19</v>
          </cell>
          <cell r="BJ148">
            <v>-479</v>
          </cell>
          <cell r="BK148">
            <v>-205.85</v>
          </cell>
          <cell r="BL148">
            <v>-523.95000000000005</v>
          </cell>
          <cell r="BM148">
            <v>-72.599999999999994</v>
          </cell>
          <cell r="BN148">
            <v>-216.79</v>
          </cell>
          <cell r="BO148">
            <v>0</v>
          </cell>
          <cell r="BP148">
            <v>-104.73</v>
          </cell>
          <cell r="BQ148">
            <v>-761.55</v>
          </cell>
          <cell r="BR148">
            <v>-219.85</v>
          </cell>
          <cell r="BS148">
            <v>-971.5</v>
          </cell>
          <cell r="BT148">
            <v>-4488.01</v>
          </cell>
          <cell r="BU148">
            <v>0</v>
          </cell>
          <cell r="BV148">
            <v>-80.91</v>
          </cell>
          <cell r="BW148">
            <v>0</v>
          </cell>
          <cell r="BX148">
            <v>0</v>
          </cell>
          <cell r="BY148">
            <v>-3616.91</v>
          </cell>
          <cell r="BZ148">
            <v>-1713.35</v>
          </cell>
          <cell r="CA148">
            <v>-853.18</v>
          </cell>
          <cell r="CE148">
            <v>-6264.35</v>
          </cell>
          <cell r="CG148">
            <v>0</v>
          </cell>
        </row>
        <row r="149">
          <cell r="A149" t="str">
            <v>4.1.1.1.01.00019</v>
          </cell>
          <cell r="B149" t="str">
            <v>PREMIOS DE SEGUROS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-183.24</v>
          </cell>
          <cell r="V149">
            <v>0</v>
          </cell>
          <cell r="W149">
            <v>-91.62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-91.62</v>
          </cell>
          <cell r="AD149">
            <v>0</v>
          </cell>
          <cell r="AE149">
            <v>0</v>
          </cell>
          <cell r="AF149">
            <v>0</v>
          </cell>
          <cell r="AG149">
            <v>-366.48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-1063.6600000000001</v>
          </cell>
          <cell r="BB149">
            <v>-77.06</v>
          </cell>
          <cell r="BC149">
            <v>-1129.01</v>
          </cell>
          <cell r="BD149">
            <v>-1299.5999999999999</v>
          </cell>
          <cell r="BE149">
            <v>-189.12</v>
          </cell>
          <cell r="BF149">
            <v>-2434.16</v>
          </cell>
          <cell r="BG149">
            <v>-6192.61</v>
          </cell>
          <cell r="BH149">
            <v>0</v>
          </cell>
          <cell r="BI149">
            <v>-7163.44</v>
          </cell>
          <cell r="BJ149">
            <v>0</v>
          </cell>
          <cell r="BK149">
            <v>0</v>
          </cell>
          <cell r="BL149">
            <v>-77.06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-1254.47</v>
          </cell>
          <cell r="BR149">
            <v>0</v>
          </cell>
          <cell r="BS149">
            <v>0</v>
          </cell>
          <cell r="BT149">
            <v>-8494.9699999999993</v>
          </cell>
          <cell r="BU149">
            <v>0</v>
          </cell>
          <cell r="BV149">
            <v>0</v>
          </cell>
          <cell r="BW149">
            <v>0</v>
          </cell>
          <cell r="BX149">
            <v>0</v>
          </cell>
          <cell r="BY149">
            <v>0</v>
          </cell>
          <cell r="BZ149">
            <v>0</v>
          </cell>
          <cell r="CA149">
            <v>0</v>
          </cell>
          <cell r="CE149">
            <v>0</v>
          </cell>
          <cell r="CG149">
            <v>0</v>
          </cell>
        </row>
        <row r="150">
          <cell r="A150" t="str">
            <v>4.1.1.1.01.00020</v>
          </cell>
          <cell r="B150" t="str">
            <v>MORADIA EMPREGADO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-21500</v>
          </cell>
          <cell r="H150">
            <v>-1000</v>
          </cell>
          <cell r="I150">
            <v>-1000</v>
          </cell>
          <cell r="J150">
            <v>-1000</v>
          </cell>
          <cell r="K150">
            <v>-1473.33</v>
          </cell>
          <cell r="L150">
            <v>-1610</v>
          </cell>
          <cell r="M150">
            <v>-1600</v>
          </cell>
          <cell r="N150">
            <v>-1600</v>
          </cell>
          <cell r="O150">
            <v>-3850</v>
          </cell>
          <cell r="P150">
            <v>-3100</v>
          </cell>
          <cell r="Q150">
            <v>-3100</v>
          </cell>
          <cell r="R150">
            <v>-3200</v>
          </cell>
          <cell r="S150">
            <v>-3950</v>
          </cell>
          <cell r="T150">
            <v>-26483.33</v>
          </cell>
          <cell r="U150">
            <v>-3200</v>
          </cell>
          <cell r="V150">
            <v>-3700</v>
          </cell>
          <cell r="W150">
            <v>-5478.4</v>
          </cell>
          <cell r="X150">
            <v>-5346</v>
          </cell>
          <cell r="Y150">
            <v>-4950</v>
          </cell>
          <cell r="Z150">
            <v>-5450</v>
          </cell>
          <cell r="AA150">
            <v>-4700</v>
          </cell>
          <cell r="AB150">
            <v>-5450</v>
          </cell>
          <cell r="AC150">
            <v>-5250</v>
          </cell>
          <cell r="AD150">
            <v>-5250</v>
          </cell>
          <cell r="AE150">
            <v>-5250</v>
          </cell>
          <cell r="AF150">
            <v>-5350</v>
          </cell>
          <cell r="AG150">
            <v>-59374.400000000001</v>
          </cell>
          <cell r="AH150">
            <v>-5350</v>
          </cell>
          <cell r="AI150">
            <v>-5350</v>
          </cell>
          <cell r="AJ150">
            <v>0</v>
          </cell>
          <cell r="AK150">
            <v>-3375</v>
          </cell>
          <cell r="AL150">
            <v>-2675</v>
          </cell>
          <cell r="AM150">
            <v>-2537.5</v>
          </cell>
          <cell r="AN150">
            <v>-5855</v>
          </cell>
          <cell r="AO150">
            <v>-6350</v>
          </cell>
          <cell r="AP150">
            <v>-6350</v>
          </cell>
          <cell r="AQ150">
            <v>-6350</v>
          </cell>
          <cell r="AR150">
            <v>-7450</v>
          </cell>
          <cell r="AS150">
            <v>-7950</v>
          </cell>
          <cell r="AT150">
            <v>-59592.5</v>
          </cell>
          <cell r="AU150">
            <v>-6950</v>
          </cell>
          <cell r="AV150">
            <v>-6950</v>
          </cell>
          <cell r="AW150">
            <v>-9130</v>
          </cell>
          <cell r="AX150">
            <v>-9630</v>
          </cell>
          <cell r="AY150">
            <v>-10611.62</v>
          </cell>
          <cell r="AZ150">
            <v>-6881.69</v>
          </cell>
          <cell r="BA150">
            <v>-6445.27</v>
          </cell>
          <cell r="BB150">
            <v>-9130</v>
          </cell>
          <cell r="BC150">
            <v>-6742.66</v>
          </cell>
          <cell r="BD150">
            <v>-6492</v>
          </cell>
          <cell r="BE150">
            <v>-7200</v>
          </cell>
          <cell r="BF150">
            <v>-6550</v>
          </cell>
          <cell r="BG150">
            <v>-92713.24</v>
          </cell>
          <cell r="BH150">
            <v>-6900</v>
          </cell>
          <cell r="BI150">
            <v>-5850</v>
          </cell>
          <cell r="BJ150">
            <v>-1200</v>
          </cell>
          <cell r="BK150">
            <v>-1900</v>
          </cell>
          <cell r="BL150">
            <v>-7850</v>
          </cell>
          <cell r="BM150">
            <v>-10350</v>
          </cell>
          <cell r="BN150">
            <v>-10250</v>
          </cell>
          <cell r="BO150">
            <v>-7850</v>
          </cell>
          <cell r="BP150">
            <v>-7850</v>
          </cell>
          <cell r="BQ150">
            <v>-9150</v>
          </cell>
          <cell r="BR150">
            <v>-6850</v>
          </cell>
          <cell r="BS150">
            <v>-12600</v>
          </cell>
          <cell r="BT150">
            <v>-88600</v>
          </cell>
          <cell r="BU150">
            <v>-6900</v>
          </cell>
          <cell r="BV150">
            <v>-3150</v>
          </cell>
          <cell r="BW150">
            <v>-9450</v>
          </cell>
          <cell r="BX150">
            <v>-11490</v>
          </cell>
          <cell r="BY150">
            <v>-10040</v>
          </cell>
          <cell r="BZ150">
            <v>-12940</v>
          </cell>
          <cell r="CA150">
            <v>-9550</v>
          </cell>
          <cell r="CE150">
            <v>-63520</v>
          </cell>
          <cell r="CG150">
            <v>0</v>
          </cell>
        </row>
        <row r="151">
          <cell r="A151" t="str">
            <v>4.1.1.1.01.00097</v>
          </cell>
          <cell r="B151" t="str">
            <v>PROVISAO/REVERSAO FERIAS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-78873.75</v>
          </cell>
          <cell r="H151">
            <v>42127.979999999996</v>
          </cell>
          <cell r="I151">
            <v>-8296.27</v>
          </cell>
          <cell r="J151">
            <v>-10451.19</v>
          </cell>
          <cell r="K151">
            <v>-12638.53</v>
          </cell>
          <cell r="L151">
            <v>-7870.66</v>
          </cell>
          <cell r="M151">
            <v>2747.0800000000008</v>
          </cell>
          <cell r="N151">
            <v>-16157.31</v>
          </cell>
          <cell r="O151">
            <v>-12091.92</v>
          </cell>
          <cell r="P151">
            <v>-14316.71</v>
          </cell>
          <cell r="Q151">
            <v>-16236.14</v>
          </cell>
          <cell r="R151">
            <v>-11182.05</v>
          </cell>
          <cell r="S151">
            <v>112416.72</v>
          </cell>
          <cell r="T151">
            <v>48051</v>
          </cell>
          <cell r="U151">
            <v>-9315.36</v>
          </cell>
          <cell r="V151">
            <v>-13317.35</v>
          </cell>
          <cell r="W151">
            <v>-13954.96</v>
          </cell>
          <cell r="X151">
            <v>-15616.74</v>
          </cell>
          <cell r="Y151">
            <v>-18287.39</v>
          </cell>
          <cell r="Z151">
            <v>-17151.310000000001</v>
          </cell>
          <cell r="AA151">
            <v>-19240.62</v>
          </cell>
          <cell r="AB151">
            <v>-302.01</v>
          </cell>
          <cell r="AC151">
            <v>-14107.37</v>
          </cell>
          <cell r="AD151">
            <v>-20293.39</v>
          </cell>
          <cell r="AE151">
            <v>-21968.62</v>
          </cell>
          <cell r="AF151">
            <v>52695.11</v>
          </cell>
          <cell r="AG151">
            <v>-110860.00999999997</v>
          </cell>
          <cell r="AH151">
            <v>-8360.16</v>
          </cell>
          <cell r="AI151">
            <v>-5489.15</v>
          </cell>
          <cell r="AJ151">
            <v>23635.14</v>
          </cell>
          <cell r="AK151">
            <v>27488.050000000003</v>
          </cell>
          <cell r="AL151">
            <v>-6574.38</v>
          </cell>
          <cell r="AM151">
            <v>-11482.179999999998</v>
          </cell>
          <cell r="AN151">
            <v>-16455.330000000002</v>
          </cell>
          <cell r="AO151">
            <v>-14761.75</v>
          </cell>
          <cell r="AP151">
            <v>-20663.71</v>
          </cell>
          <cell r="AQ151">
            <v>-21914.09</v>
          </cell>
          <cell r="AR151">
            <v>-26597.39</v>
          </cell>
          <cell r="AS151">
            <v>7812.329999999999</v>
          </cell>
          <cell r="AT151">
            <v>-73362.62</v>
          </cell>
          <cell r="AU151">
            <v>-445.92000000000007</v>
          </cell>
          <cell r="AV151">
            <v>-7111.0399999999991</v>
          </cell>
          <cell r="AW151">
            <v>-20578.560000000001</v>
          </cell>
          <cell r="AX151">
            <v>-21461.350000000002</v>
          </cell>
          <cell r="AY151">
            <v>-21918.269999999997</v>
          </cell>
          <cell r="AZ151">
            <v>-41371.880000000005</v>
          </cell>
          <cell r="BA151">
            <v>-31553.690000000002</v>
          </cell>
          <cell r="BB151">
            <v>-29775.8</v>
          </cell>
          <cell r="BC151">
            <v>-24070.969999999994</v>
          </cell>
          <cell r="BD151">
            <v>-32227.930000000004</v>
          </cell>
          <cell r="BE151">
            <v>-24449.17</v>
          </cell>
          <cell r="BF151">
            <v>-54807.85</v>
          </cell>
          <cell r="BG151">
            <v>-309772.43</v>
          </cell>
          <cell r="BH151">
            <v>-22902.71</v>
          </cell>
          <cell r="BI151">
            <v>-20095.650000000001</v>
          </cell>
          <cell r="BJ151">
            <v>-30465</v>
          </cell>
          <cell r="BK151">
            <v>-36161.519999999997</v>
          </cell>
          <cell r="BL151">
            <v>-38073.269999999997</v>
          </cell>
          <cell r="BM151">
            <v>-29289.8</v>
          </cell>
          <cell r="BN151">
            <v>-35468.42</v>
          </cell>
          <cell r="BO151">
            <v>-44829.760000000002</v>
          </cell>
          <cell r="BP151">
            <v>-37641.449999999997</v>
          </cell>
          <cell r="BQ151">
            <v>-32711.05</v>
          </cell>
          <cell r="BR151">
            <v>-37181.39</v>
          </cell>
          <cell r="BS151">
            <v>-70627.86</v>
          </cell>
          <cell r="BT151">
            <v>-435447.88</v>
          </cell>
          <cell r="BU151">
            <v>-37170.94</v>
          </cell>
          <cell r="BV151">
            <v>-34888.949999999997</v>
          </cell>
          <cell r="BW151">
            <v>-42170.720000000001</v>
          </cell>
          <cell r="BX151">
            <v>-47404.06</v>
          </cell>
          <cell r="BY151">
            <v>-39626.949999999997</v>
          </cell>
          <cell r="BZ151">
            <v>-46361.020000000004</v>
          </cell>
          <cell r="CA151">
            <v>-42185.79</v>
          </cell>
          <cell r="CE151">
            <v>-289808.43</v>
          </cell>
          <cell r="CG151">
            <v>0</v>
          </cell>
        </row>
        <row r="152">
          <cell r="A152" t="str">
            <v>4.1.1.1.01.00098</v>
          </cell>
          <cell r="B152" t="str">
            <v>PROVISAO/REVERSAO 13O. SALARIO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-9028.69</v>
          </cell>
          <cell r="I152">
            <v>-9340.6299999999992</v>
          </cell>
          <cell r="J152">
            <v>-10299.459999999999</v>
          </cell>
          <cell r="K152">
            <v>-10375.73</v>
          </cell>
          <cell r="L152">
            <v>-9407.43</v>
          </cell>
          <cell r="M152">
            <v>-10364.15</v>
          </cell>
          <cell r="N152">
            <v>-12192.78</v>
          </cell>
          <cell r="O152">
            <v>-8121.74</v>
          </cell>
          <cell r="P152">
            <v>-11261.95</v>
          </cell>
          <cell r="Q152">
            <v>-12346.74</v>
          </cell>
          <cell r="R152">
            <v>-10710.09</v>
          </cell>
          <cell r="S152">
            <v>113215.48</v>
          </cell>
          <cell r="T152">
            <v>-233.91000000000349</v>
          </cell>
          <cell r="U152">
            <v>-11738.5</v>
          </cell>
          <cell r="V152">
            <v>-12122.23</v>
          </cell>
          <cell r="W152">
            <v>-12629.81</v>
          </cell>
          <cell r="X152">
            <v>-13395.93</v>
          </cell>
          <cell r="Y152">
            <v>-14372.62</v>
          </cell>
          <cell r="Z152">
            <v>-13785.6</v>
          </cell>
          <cell r="AA152">
            <v>-14245.52</v>
          </cell>
          <cell r="AB152">
            <v>2061.63</v>
          </cell>
          <cell r="AC152">
            <v>-15160.89</v>
          </cell>
          <cell r="AD152">
            <v>-14924.97</v>
          </cell>
          <cell r="AE152">
            <v>-14626.52</v>
          </cell>
          <cell r="AF152">
            <v>-12282.43</v>
          </cell>
          <cell r="AG152">
            <v>-147223.38999999998</v>
          </cell>
          <cell r="AH152">
            <v>-14786.92</v>
          </cell>
          <cell r="AI152">
            <v>-11190.95</v>
          </cell>
          <cell r="AJ152">
            <v>-11801.26</v>
          </cell>
          <cell r="AK152">
            <v>-14856.380000000001</v>
          </cell>
          <cell r="AL152">
            <v>-7801.15</v>
          </cell>
          <cell r="AM152">
            <v>-10528.64</v>
          </cell>
          <cell r="AN152">
            <v>-13784.71</v>
          </cell>
          <cell r="AO152">
            <v>-17483.099999999999</v>
          </cell>
          <cell r="AP152">
            <v>-13648.400000000001</v>
          </cell>
          <cell r="AQ152">
            <v>-16296.740000000002</v>
          </cell>
          <cell r="AR152">
            <v>-27774.84</v>
          </cell>
          <cell r="AS152">
            <v>-18526.77</v>
          </cell>
          <cell r="AT152">
            <v>-178479.86</v>
          </cell>
          <cell r="AU152">
            <v>-25077.43</v>
          </cell>
          <cell r="AV152">
            <v>-24043.64</v>
          </cell>
          <cell r="AW152">
            <v>-26713.74</v>
          </cell>
          <cell r="AX152">
            <v>-26206.059999999998</v>
          </cell>
          <cell r="AY152">
            <v>-25147.14</v>
          </cell>
          <cell r="AZ152">
            <v>-33395.86</v>
          </cell>
          <cell r="BA152">
            <v>-29433.56</v>
          </cell>
          <cell r="BB152">
            <v>-27281.09</v>
          </cell>
          <cell r="BC152">
            <v>-24654.65</v>
          </cell>
          <cell r="BD152">
            <v>-27797.7</v>
          </cell>
          <cell r="BE152">
            <v>-23409.919999999998</v>
          </cell>
          <cell r="BF152">
            <v>-42340.18</v>
          </cell>
          <cell r="BG152">
            <v>-335500.96999999997</v>
          </cell>
          <cell r="BH152">
            <v>-29861.45</v>
          </cell>
          <cell r="BI152">
            <v>-32095.8</v>
          </cell>
          <cell r="BJ152">
            <v>-30615.78</v>
          </cell>
          <cell r="BK152">
            <v>-40224.03</v>
          </cell>
          <cell r="BL152">
            <v>-41100.75</v>
          </cell>
          <cell r="BM152">
            <v>-27144.36</v>
          </cell>
          <cell r="BN152">
            <v>-27365.67</v>
          </cell>
          <cell r="BO152">
            <v>-31559.16</v>
          </cell>
          <cell r="BP152">
            <v>-32500.11</v>
          </cell>
          <cell r="BQ152">
            <v>-29819.89</v>
          </cell>
          <cell r="BR152">
            <v>-29053.32</v>
          </cell>
          <cell r="BS152">
            <v>-43077.29</v>
          </cell>
          <cell r="BT152">
            <v>-394417.61</v>
          </cell>
          <cell r="BU152">
            <v>-37567.4</v>
          </cell>
          <cell r="BV152">
            <v>-26720.99</v>
          </cell>
          <cell r="BW152">
            <v>-33370.17</v>
          </cell>
          <cell r="BX152">
            <v>-34305.71</v>
          </cell>
          <cell r="BY152">
            <v>-34605.06</v>
          </cell>
          <cell r="BZ152">
            <v>-34848.28</v>
          </cell>
          <cell r="CA152">
            <v>-34952.379999999997</v>
          </cell>
          <cell r="CE152">
            <v>-236369.99</v>
          </cell>
          <cell r="CG152">
            <v>0</v>
          </cell>
        </row>
        <row r="153">
          <cell r="A153" t="str">
            <v>4.1.1.1.04</v>
          </cell>
          <cell r="B153" t="str">
            <v>DESPESAS DE VIAGENS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-332238.62</v>
          </cell>
          <cell r="H153">
            <v>-17571.55</v>
          </cell>
          <cell r="I153">
            <v>-22356.21</v>
          </cell>
          <cell r="J153">
            <v>-29411.8</v>
          </cell>
          <cell r="K153">
            <v>-22491.59</v>
          </cell>
          <cell r="L153">
            <v>-47109.52</v>
          </cell>
          <cell r="M153">
            <v>-21946.799999999999</v>
          </cell>
          <cell r="N153">
            <v>-21437.99</v>
          </cell>
          <cell r="O153">
            <v>-42778.59</v>
          </cell>
          <cell r="P153">
            <v>-35087.839999999997</v>
          </cell>
          <cell r="Q153">
            <v>-32194.41</v>
          </cell>
          <cell r="R153">
            <v>-19408.11</v>
          </cell>
          <cell r="S153">
            <v>-31336.39</v>
          </cell>
          <cell r="T153">
            <v>-343130.79999999993</v>
          </cell>
          <cell r="U153">
            <v>-37923.599999999999</v>
          </cell>
          <cell r="V153">
            <v>-35349.370000000003</v>
          </cell>
          <cell r="W153">
            <v>-37045.53</v>
          </cell>
          <cell r="X153">
            <v>-33783.83</v>
          </cell>
          <cell r="Y153">
            <v>-41344.370000000003</v>
          </cell>
          <cell r="Z153">
            <v>-37586.050000000003</v>
          </cell>
          <cell r="AA153">
            <v>-33562.9</v>
          </cell>
          <cell r="AB153">
            <v>-34924.699999999997</v>
          </cell>
          <cell r="AC153">
            <v>-17196.05</v>
          </cell>
          <cell r="AD153">
            <v>-22868.560000000001</v>
          </cell>
          <cell r="AE153">
            <v>-34025.370000000003</v>
          </cell>
          <cell r="AF153">
            <v>-56703.09</v>
          </cell>
          <cell r="AG153">
            <v>-422313.41999999993</v>
          </cell>
          <cell r="AH153">
            <v>-39119.57</v>
          </cell>
          <cell r="AI153">
            <v>-45054.400000000001</v>
          </cell>
          <cell r="AJ153">
            <v>-30059.96</v>
          </cell>
          <cell r="AK153">
            <v>-39269.93</v>
          </cell>
          <cell r="AL153">
            <v>-30341.98</v>
          </cell>
          <cell r="AM153">
            <v>-24584.67</v>
          </cell>
          <cell r="AN153">
            <v>-37133.120000000003</v>
          </cell>
          <cell r="AO153">
            <v>-32161.64</v>
          </cell>
          <cell r="AP153">
            <v>-65361.55</v>
          </cell>
          <cell r="AQ153">
            <v>-59306.6</v>
          </cell>
          <cell r="AR153">
            <v>-83635.66</v>
          </cell>
          <cell r="AS153">
            <v>-73161.86</v>
          </cell>
          <cell r="AT153">
            <v>-559190.93999999994</v>
          </cell>
          <cell r="AU153">
            <v>-33344.97</v>
          </cell>
          <cell r="AV153">
            <v>-66927.41</v>
          </cell>
          <cell r="AW153">
            <v>-99719.01</v>
          </cell>
          <cell r="AX153">
            <v>-77521.52</v>
          </cell>
          <cell r="AY153">
            <v>-80595.56</v>
          </cell>
          <cell r="AZ153">
            <v>-84961.91</v>
          </cell>
          <cell r="BA153">
            <v>-76637.070000000007</v>
          </cell>
          <cell r="BB153">
            <v>-89397.05</v>
          </cell>
          <cell r="BC153">
            <v>-81206.509999999995</v>
          </cell>
          <cell r="BD153">
            <v>-92358.5</v>
          </cell>
          <cell r="BE153">
            <v>-107656.24</v>
          </cell>
          <cell r="BF153">
            <v>-65709.009999999995</v>
          </cell>
          <cell r="BG153">
            <v>-956034.76</v>
          </cell>
          <cell r="BH153">
            <v>-80545.039999999994</v>
          </cell>
          <cell r="BI153">
            <v>-103768.47</v>
          </cell>
          <cell r="BJ153">
            <v>-118707.49</v>
          </cell>
          <cell r="BK153">
            <v>-145140.82999999999</v>
          </cell>
          <cell r="BL153">
            <v>-98490.2</v>
          </cell>
          <cell r="BM153">
            <v>-169195.92</v>
          </cell>
          <cell r="BN153">
            <v>-169051.41</v>
          </cell>
          <cell r="BO153">
            <v>-134970.01</v>
          </cell>
          <cell r="BP153">
            <v>-97037.74</v>
          </cell>
          <cell r="BQ153">
            <v>-230168.11</v>
          </cell>
          <cell r="BR153">
            <v>-59029.97</v>
          </cell>
          <cell r="BS153">
            <v>-142899.24</v>
          </cell>
          <cell r="BT153">
            <v>-1549004.4300000002</v>
          </cell>
          <cell r="BU153">
            <v>-113499.1</v>
          </cell>
          <cell r="BV153">
            <v>-161057.73000000001</v>
          </cell>
          <cell r="BW153">
            <v>-108956.85</v>
          </cell>
          <cell r="BX153">
            <v>-142099.79</v>
          </cell>
          <cell r="BY153">
            <v>-126721.73</v>
          </cell>
          <cell r="BZ153">
            <v>-77915.94</v>
          </cell>
          <cell r="CA153">
            <v>-206404</v>
          </cell>
          <cell r="CE153">
            <v>-936655.14000000013</v>
          </cell>
          <cell r="CG153">
            <v>0</v>
          </cell>
        </row>
        <row r="154">
          <cell r="A154" t="str">
            <v>4.1.1.1.04.00001</v>
          </cell>
          <cell r="B154" t="str">
            <v>ALUGUEL VEICULOS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-19425.849999999999</v>
          </cell>
          <cell r="H154">
            <v>-1243.9000000000001</v>
          </cell>
          <cell r="I154">
            <v>0</v>
          </cell>
          <cell r="J154">
            <v>-896.82</v>
          </cell>
          <cell r="K154">
            <v>-2280.64</v>
          </cell>
          <cell r="L154">
            <v>-220.31</v>
          </cell>
          <cell r="M154">
            <v>-3606.36</v>
          </cell>
          <cell r="N154">
            <v>0</v>
          </cell>
          <cell r="O154">
            <v>0</v>
          </cell>
          <cell r="P154">
            <v>-4825.8500000000004</v>
          </cell>
          <cell r="Q154">
            <v>-1876.03</v>
          </cell>
          <cell r="R154">
            <v>-386.74</v>
          </cell>
          <cell r="S154">
            <v>-1174.76</v>
          </cell>
          <cell r="T154">
            <v>-16511.41</v>
          </cell>
          <cell r="U154">
            <v>-2237.5100000000002</v>
          </cell>
          <cell r="V154">
            <v>-1857.17</v>
          </cell>
          <cell r="W154">
            <v>-1090.5999999999999</v>
          </cell>
          <cell r="X154">
            <v>-2064.73</v>
          </cell>
          <cell r="Y154">
            <v>-1146.6400000000001</v>
          </cell>
          <cell r="Z154">
            <v>-1088.22</v>
          </cell>
          <cell r="AA154">
            <v>-1615.39</v>
          </cell>
          <cell r="AB154">
            <v>-2893.8</v>
          </cell>
          <cell r="AC154">
            <v>0</v>
          </cell>
          <cell r="AD154">
            <v>-1305.07</v>
          </cell>
          <cell r="AE154">
            <v>-908.85</v>
          </cell>
          <cell r="AF154">
            <v>-888.6</v>
          </cell>
          <cell r="AG154">
            <v>-17096.579999999998</v>
          </cell>
          <cell r="AH154">
            <v>-2688.7</v>
          </cell>
          <cell r="AI154">
            <v>-1989.27</v>
          </cell>
          <cell r="AJ154">
            <v>-1341.48</v>
          </cell>
          <cell r="AK154">
            <v>-2083.84</v>
          </cell>
          <cell r="AL154">
            <v>-1258.4000000000001</v>
          </cell>
          <cell r="AM154">
            <v>-1538.29</v>
          </cell>
          <cell r="AN154">
            <v>-3025.08</v>
          </cell>
          <cell r="AO154">
            <v>-4089.62</v>
          </cell>
          <cell r="AP154">
            <v>-4228.1899999999996</v>
          </cell>
          <cell r="AQ154">
            <v>-4138.3599999999997</v>
          </cell>
          <cell r="AR154">
            <v>-3152.25</v>
          </cell>
          <cell r="AS154">
            <v>-7269.03</v>
          </cell>
          <cell r="AT154">
            <v>-36802.51</v>
          </cell>
          <cell r="AU154">
            <v>-2305.7199999999998</v>
          </cell>
          <cell r="AV154">
            <v>-705.84</v>
          </cell>
          <cell r="AW154">
            <v>-16526.47</v>
          </cell>
          <cell r="AX154">
            <v>-7623.43</v>
          </cell>
          <cell r="AY154">
            <v>-4157.2299999999996</v>
          </cell>
          <cell r="AZ154">
            <v>-10468.76</v>
          </cell>
          <cell r="BA154">
            <v>-5205.71</v>
          </cell>
          <cell r="BB154">
            <v>-5075.16</v>
          </cell>
          <cell r="BC154">
            <v>-3539.45</v>
          </cell>
          <cell r="BD154">
            <v>-2886.48</v>
          </cell>
          <cell r="BE154">
            <v>-6319.53</v>
          </cell>
          <cell r="BF154">
            <v>-4131</v>
          </cell>
          <cell r="BG154">
            <v>-68944.78</v>
          </cell>
          <cell r="BH154">
            <v>-8968.69</v>
          </cell>
          <cell r="BI154">
            <v>-2296.54</v>
          </cell>
          <cell r="BJ154">
            <v>-13629.34</v>
          </cell>
          <cell r="BK154">
            <v>-3158.25</v>
          </cell>
          <cell r="BL154">
            <v>-2338.11</v>
          </cell>
          <cell r="BM154">
            <v>-1671.8</v>
          </cell>
          <cell r="BN154">
            <v>-5407.78</v>
          </cell>
          <cell r="BO154">
            <v>-9931</v>
          </cell>
          <cell r="BP154">
            <v>-13698.65</v>
          </cell>
          <cell r="BQ154">
            <v>-9672.56</v>
          </cell>
          <cell r="BR154">
            <v>-10992.51</v>
          </cell>
          <cell r="BS154">
            <v>-7871.63</v>
          </cell>
          <cell r="BT154">
            <v>-89636.86</v>
          </cell>
          <cell r="BU154">
            <v>-18632.72</v>
          </cell>
          <cell r="BV154">
            <v>-9112.15</v>
          </cell>
          <cell r="BW154">
            <v>-8796.9</v>
          </cell>
          <cell r="BX154">
            <v>-14931.81</v>
          </cell>
          <cell r="BY154">
            <v>-12844.97</v>
          </cell>
          <cell r="BZ154">
            <v>-16812.88</v>
          </cell>
          <cell r="CA154">
            <v>-16094.66</v>
          </cell>
          <cell r="CE154">
            <v>-97226.090000000011</v>
          </cell>
          <cell r="CG154">
            <v>0</v>
          </cell>
        </row>
        <row r="155">
          <cell r="A155" t="str">
            <v>4.1.1.1.04.00002</v>
          </cell>
          <cell r="B155" t="str">
            <v>COMBUSTIVEL E LUBRIFICANTES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-66115.820000000007</v>
          </cell>
          <cell r="H155">
            <v>-2400.5500000000002</v>
          </cell>
          <cell r="I155">
            <v>-2077.12</v>
          </cell>
          <cell r="J155">
            <v>-5857.23</v>
          </cell>
          <cell r="K155">
            <v>-7396.74</v>
          </cell>
          <cell r="L155">
            <v>-6420.27</v>
          </cell>
          <cell r="M155">
            <v>-4947.25</v>
          </cell>
          <cell r="N155">
            <v>-8803.99</v>
          </cell>
          <cell r="O155">
            <v>-11701.01</v>
          </cell>
          <cell r="P155">
            <v>-12342.11</v>
          </cell>
          <cell r="Q155">
            <v>-3960.2</v>
          </cell>
          <cell r="R155">
            <v>-5539.47</v>
          </cell>
          <cell r="S155">
            <v>-5310.68</v>
          </cell>
          <cell r="T155">
            <v>-76756.62</v>
          </cell>
          <cell r="U155">
            <v>-13230.45</v>
          </cell>
          <cell r="V155">
            <v>-17276.439999999999</v>
          </cell>
          <cell r="W155">
            <v>-11170.88</v>
          </cell>
          <cell r="X155">
            <v>-13434.43</v>
          </cell>
          <cell r="Y155">
            <v>-13355.48</v>
          </cell>
          <cell r="Z155">
            <v>-14591.41</v>
          </cell>
          <cell r="AA155">
            <v>-13848.54</v>
          </cell>
          <cell r="AB155">
            <v>-12278.67</v>
          </cell>
          <cell r="AC155">
            <v>-10752.53</v>
          </cell>
          <cell r="AD155">
            <v>-14733.99</v>
          </cell>
          <cell r="AE155">
            <v>-11709.03</v>
          </cell>
          <cell r="AF155">
            <v>-11633.79</v>
          </cell>
          <cell r="AG155">
            <v>-158015.64000000001</v>
          </cell>
          <cell r="AH155">
            <v>-4919.34</v>
          </cell>
          <cell r="AI155">
            <v>-12006.61</v>
          </cell>
          <cell r="AJ155">
            <v>-10306.19</v>
          </cell>
          <cell r="AK155">
            <v>-6140.14</v>
          </cell>
          <cell r="AL155">
            <v>-6613.74</v>
          </cell>
          <cell r="AM155">
            <v>-7551.5</v>
          </cell>
          <cell r="AN155">
            <v>-10181.73</v>
          </cell>
          <cell r="AO155">
            <v>-10210.370000000001</v>
          </cell>
          <cell r="AP155">
            <v>-15590.03</v>
          </cell>
          <cell r="AQ155">
            <v>-16442.32</v>
          </cell>
          <cell r="AR155">
            <v>-16422.2</v>
          </cell>
          <cell r="AS155">
            <v>-21727.25</v>
          </cell>
          <cell r="AT155">
            <v>-138111.41999999998</v>
          </cell>
          <cell r="AU155">
            <v>-13815.5</v>
          </cell>
          <cell r="AV155">
            <v>-16746.650000000001</v>
          </cell>
          <cell r="AW155">
            <v>-15271.06</v>
          </cell>
          <cell r="AX155">
            <v>-18748.64</v>
          </cell>
          <cell r="AY155">
            <v>-23768.17</v>
          </cell>
          <cell r="AZ155">
            <v>-18400.79</v>
          </cell>
          <cell r="BA155">
            <v>-31024.79</v>
          </cell>
          <cell r="BB155">
            <v>-30934.82</v>
          </cell>
          <cell r="BC155">
            <v>-26126.799999999999</v>
          </cell>
          <cell r="BD155">
            <v>-23848.97</v>
          </cell>
          <cell r="BE155">
            <v>-27656.61</v>
          </cell>
          <cell r="BF155">
            <v>-35088.67</v>
          </cell>
          <cell r="BG155">
            <v>-281431.46999999997</v>
          </cell>
          <cell r="BH155">
            <v>-4644.78</v>
          </cell>
          <cell r="BI155">
            <v>-34389.32</v>
          </cell>
          <cell r="BJ155">
            <v>-25114.699999999997</v>
          </cell>
          <cell r="BK155">
            <v>-51517.77</v>
          </cell>
          <cell r="BL155">
            <v>-52403.49</v>
          </cell>
          <cell r="BM155">
            <v>-63125.46</v>
          </cell>
          <cell r="BN155">
            <v>-38810.379999999997</v>
          </cell>
          <cell r="BO155">
            <v>-43873.22</v>
          </cell>
          <cell r="BP155">
            <v>-42474.97</v>
          </cell>
          <cell r="BQ155">
            <v>-34175.75</v>
          </cell>
          <cell r="BR155">
            <v>-31233.599999999999</v>
          </cell>
          <cell r="BS155">
            <v>-36940.75</v>
          </cell>
          <cell r="BT155">
            <v>-458704.18999999994</v>
          </cell>
          <cell r="BU155">
            <v>-19486.47</v>
          </cell>
          <cell r="BV155">
            <v>-43247.39</v>
          </cell>
          <cell r="BW155">
            <v>-26733.75</v>
          </cell>
          <cell r="BX155">
            <v>-43391.4</v>
          </cell>
          <cell r="BY155">
            <v>-46943.79</v>
          </cell>
          <cell r="BZ155">
            <v>-48046.18</v>
          </cell>
          <cell r="CA155">
            <v>-48333.04</v>
          </cell>
          <cell r="CE155">
            <v>-276182.02</v>
          </cell>
          <cell r="CG155">
            <v>0</v>
          </cell>
        </row>
        <row r="156">
          <cell r="A156" t="str">
            <v>4.1.1.1.04.00003</v>
          </cell>
          <cell r="B156" t="str">
            <v>ESTADIAS E REFEICOES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-165258.04</v>
          </cell>
          <cell r="H156">
            <v>-10974.85</v>
          </cell>
          <cell r="I156">
            <v>-11515.3</v>
          </cell>
          <cell r="J156">
            <v>-17221.96</v>
          </cell>
          <cell r="K156">
            <v>-6576.69</v>
          </cell>
          <cell r="L156">
            <v>-23478.41</v>
          </cell>
          <cell r="M156">
            <v>-9541.66</v>
          </cell>
          <cell r="N156">
            <v>-8032.75</v>
          </cell>
          <cell r="O156">
            <v>-23754.39</v>
          </cell>
          <cell r="P156">
            <v>-15932.73</v>
          </cell>
          <cell r="Q156">
            <v>-12829.49</v>
          </cell>
          <cell r="R156">
            <v>-11210.9</v>
          </cell>
          <cell r="S156">
            <v>-17951.740000000002</v>
          </cell>
          <cell r="T156">
            <v>-169020.87</v>
          </cell>
          <cell r="U156">
            <v>-16295.4</v>
          </cell>
          <cell r="V156">
            <v>-9119.2800000000007</v>
          </cell>
          <cell r="W156">
            <v>-16852.8</v>
          </cell>
          <cell r="X156">
            <v>-11297.21</v>
          </cell>
          <cell r="Y156">
            <v>-21513.759999999998</v>
          </cell>
          <cell r="Z156">
            <v>-11551.7</v>
          </cell>
          <cell r="AA156">
            <v>-12309.05</v>
          </cell>
          <cell r="AB156">
            <v>-12092.14</v>
          </cell>
          <cell r="AC156">
            <v>-1069.5999999999999</v>
          </cell>
          <cell r="AD156">
            <v>-2475.38</v>
          </cell>
          <cell r="AE156">
            <v>-14757.25</v>
          </cell>
          <cell r="AF156">
            <v>-35572.870000000003</v>
          </cell>
          <cell r="AG156">
            <v>-164906.44</v>
          </cell>
          <cell r="AH156">
            <v>-25114.79</v>
          </cell>
          <cell r="AI156">
            <v>-16305.06</v>
          </cell>
          <cell r="AJ156">
            <v>-9288.14</v>
          </cell>
          <cell r="AK156">
            <v>-26131.94</v>
          </cell>
          <cell r="AL156">
            <v>-18355.11</v>
          </cell>
          <cell r="AM156">
            <v>-8647.23</v>
          </cell>
          <cell r="AN156">
            <v>-15846.66</v>
          </cell>
          <cell r="AO156">
            <v>-12909.07</v>
          </cell>
          <cell r="AP156">
            <v>-28129.32</v>
          </cell>
          <cell r="AQ156">
            <v>-18428.2</v>
          </cell>
          <cell r="AR156">
            <v>-42936.1</v>
          </cell>
          <cell r="AS156">
            <v>-17914.189999999999</v>
          </cell>
          <cell r="AT156">
            <v>-240005.81000000003</v>
          </cell>
          <cell r="AU156">
            <v>-1419.22</v>
          </cell>
          <cell r="AV156">
            <v>-34678.69</v>
          </cell>
          <cell r="AW156">
            <v>-52164.94</v>
          </cell>
          <cell r="AX156">
            <v>-34634.559999999998</v>
          </cell>
          <cell r="AY156">
            <v>-43010.46</v>
          </cell>
          <cell r="AZ156">
            <v>-25894.46</v>
          </cell>
          <cell r="BA156">
            <v>-27047.86</v>
          </cell>
          <cell r="BB156">
            <v>-34750.5</v>
          </cell>
          <cell r="BC156">
            <v>-33049.67</v>
          </cell>
          <cell r="BD156">
            <v>-34674.870000000003</v>
          </cell>
          <cell r="BE156">
            <v>-29650.82</v>
          </cell>
          <cell r="BF156">
            <v>-20812.22</v>
          </cell>
          <cell r="BG156">
            <v>-371788.27</v>
          </cell>
          <cell r="BH156">
            <v>-42772.89</v>
          </cell>
          <cell r="BI156">
            <v>-55041.55</v>
          </cell>
          <cell r="BJ156">
            <v>-54934.1</v>
          </cell>
          <cell r="BK156">
            <v>-66186.25</v>
          </cell>
          <cell r="BL156">
            <v>-17868.650000000001</v>
          </cell>
          <cell r="BM156">
            <v>-48276.28</v>
          </cell>
          <cell r="BN156">
            <v>-100228.28</v>
          </cell>
          <cell r="BO156">
            <v>-52782.23</v>
          </cell>
          <cell r="BP156">
            <v>-17291.21</v>
          </cell>
          <cell r="BQ156">
            <v>-169013.32</v>
          </cell>
          <cell r="BR156">
            <v>-4374.09</v>
          </cell>
          <cell r="BS156">
            <v>-85202.69</v>
          </cell>
          <cell r="BT156">
            <v>-713971.54</v>
          </cell>
          <cell r="BU156">
            <v>-49284.92</v>
          </cell>
          <cell r="BV156">
            <v>-91570.93</v>
          </cell>
          <cell r="BW156">
            <v>-64505.52</v>
          </cell>
          <cell r="BX156">
            <v>-66369.94</v>
          </cell>
          <cell r="BY156">
            <v>-42538.33</v>
          </cell>
          <cell r="BZ156">
            <v>-6433.81</v>
          </cell>
          <cell r="CA156">
            <v>-125620.97</v>
          </cell>
          <cell r="CE156">
            <v>-446324.41999999993</v>
          </cell>
          <cell r="CG156">
            <v>0</v>
          </cell>
        </row>
        <row r="157">
          <cell r="A157" t="str">
            <v>4.1.1.1.04.00004</v>
          </cell>
          <cell r="B157" t="str">
            <v>PASSAGENS AEREA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-64573.64</v>
          </cell>
          <cell r="H157">
            <v>-1770.51</v>
          </cell>
          <cell r="I157">
            <v>-6806.38</v>
          </cell>
          <cell r="J157">
            <v>-5435.79</v>
          </cell>
          <cell r="K157">
            <v>-4808.34</v>
          </cell>
          <cell r="L157">
            <v>-13278.6</v>
          </cell>
          <cell r="M157">
            <v>-3851.53</v>
          </cell>
          <cell r="N157">
            <v>-3167.21</v>
          </cell>
          <cell r="O157">
            <v>-5120.57</v>
          </cell>
          <cell r="P157">
            <v>0</v>
          </cell>
          <cell r="Q157">
            <v>-11927.35</v>
          </cell>
          <cell r="R157">
            <v>-2271</v>
          </cell>
          <cell r="S157">
            <v>-4281.57</v>
          </cell>
          <cell r="T157">
            <v>-62718.85</v>
          </cell>
          <cell r="U157">
            <v>-4005.41</v>
          </cell>
          <cell r="V157">
            <v>-5138.87</v>
          </cell>
          <cell r="W157">
            <v>-5080.4799999999996</v>
          </cell>
          <cell r="X157">
            <v>-5047.63</v>
          </cell>
          <cell r="Y157">
            <v>-3567.66</v>
          </cell>
          <cell r="Z157">
            <v>-8019.66</v>
          </cell>
          <cell r="AA157">
            <v>-3656.29</v>
          </cell>
          <cell r="AB157">
            <v>-3732.72</v>
          </cell>
          <cell r="AC157">
            <v>-3526.22</v>
          </cell>
          <cell r="AD157">
            <v>-1981.22</v>
          </cell>
          <cell r="AE157">
            <v>-4175.08</v>
          </cell>
          <cell r="AF157">
            <v>-5593.15</v>
          </cell>
          <cell r="AG157">
            <v>-53524.390000000007</v>
          </cell>
          <cell r="AH157">
            <v>-5253.48</v>
          </cell>
          <cell r="AI157">
            <v>-13380.25</v>
          </cell>
          <cell r="AJ157">
            <v>-4928.66</v>
          </cell>
          <cell r="AK157">
            <v>-4914.01</v>
          </cell>
          <cell r="AL157">
            <v>-2843.24</v>
          </cell>
          <cell r="AM157">
            <v>-5325.14</v>
          </cell>
          <cell r="AN157">
            <v>-6273.84</v>
          </cell>
          <cell r="AO157">
            <v>-3140.08</v>
          </cell>
          <cell r="AP157">
            <v>-14807.64</v>
          </cell>
          <cell r="AQ157">
            <v>-19867.12</v>
          </cell>
          <cell r="AR157">
            <v>-17446.61</v>
          </cell>
          <cell r="AS157">
            <v>-22778.09</v>
          </cell>
          <cell r="AT157">
            <v>-120958.15999999999</v>
          </cell>
          <cell r="AU157">
            <v>-13045.97</v>
          </cell>
          <cell r="AV157">
            <v>-12428.39</v>
          </cell>
          <cell r="AW157">
            <v>-13622.81</v>
          </cell>
          <cell r="AX157">
            <v>-10114.709999999999</v>
          </cell>
          <cell r="AY157">
            <v>-6271.67</v>
          </cell>
          <cell r="AZ157">
            <v>-26573.52</v>
          </cell>
          <cell r="BA157">
            <v>-13358.71</v>
          </cell>
          <cell r="BB157">
            <v>-10097.290000000001</v>
          </cell>
          <cell r="BC157">
            <v>-14829.5</v>
          </cell>
          <cell r="BD157">
            <v>-30948.18</v>
          </cell>
          <cell r="BE157">
            <v>-34959.14</v>
          </cell>
          <cell r="BF157">
            <v>-5677.12</v>
          </cell>
          <cell r="BG157">
            <v>-191927.01</v>
          </cell>
          <cell r="BH157">
            <v>-19206.439999999999</v>
          </cell>
          <cell r="BI157">
            <v>-8304.7800000000007</v>
          </cell>
          <cell r="BJ157">
            <v>-19685.88</v>
          </cell>
          <cell r="BK157">
            <v>-15123.03</v>
          </cell>
          <cell r="BL157">
            <v>-19678.439999999999</v>
          </cell>
          <cell r="BM157">
            <v>-49747.12</v>
          </cell>
          <cell r="BN157">
            <v>-18966.650000000001</v>
          </cell>
          <cell r="BO157">
            <v>-20634.66</v>
          </cell>
          <cell r="BP157">
            <v>-15546.48</v>
          </cell>
          <cell r="BQ157">
            <v>-17306.48</v>
          </cell>
          <cell r="BR157">
            <v>-6144.18</v>
          </cell>
          <cell r="BS157">
            <v>-7967.85</v>
          </cell>
          <cell r="BT157">
            <v>-218311.99000000002</v>
          </cell>
          <cell r="BU157">
            <v>-13075.29</v>
          </cell>
          <cell r="BV157">
            <v>-10525.54</v>
          </cell>
          <cell r="BW157">
            <v>-8920.68</v>
          </cell>
          <cell r="BX157">
            <v>-9124.8700000000008</v>
          </cell>
          <cell r="BY157">
            <v>-7628.84</v>
          </cell>
          <cell r="BZ157">
            <v>-6511.07</v>
          </cell>
          <cell r="CA157">
            <v>-7794.25</v>
          </cell>
          <cell r="CE157">
            <v>-63580.54</v>
          </cell>
          <cell r="CG157">
            <v>0</v>
          </cell>
        </row>
        <row r="158">
          <cell r="A158" t="str">
            <v>4.1.1.1.04.00005</v>
          </cell>
          <cell r="B158" t="str">
            <v>PEDAGIOS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-16865.27</v>
          </cell>
          <cell r="H158">
            <v>-1181.74</v>
          </cell>
          <cell r="I158">
            <v>-1957.41</v>
          </cell>
          <cell r="J158">
            <v>0</v>
          </cell>
          <cell r="K158">
            <v>-1429.18</v>
          </cell>
          <cell r="L158">
            <v>-3711.93</v>
          </cell>
          <cell r="M158">
            <v>0</v>
          </cell>
          <cell r="N158">
            <v>-1434.04</v>
          </cell>
          <cell r="O158">
            <v>-2202.62</v>
          </cell>
          <cell r="P158">
            <v>-1987.15</v>
          </cell>
          <cell r="Q158">
            <v>-1601.34</v>
          </cell>
          <cell r="R158">
            <v>0</v>
          </cell>
          <cell r="S158">
            <v>-2617.64</v>
          </cell>
          <cell r="T158">
            <v>-18123.05</v>
          </cell>
          <cell r="U158">
            <v>-2154.83</v>
          </cell>
          <cell r="V158">
            <v>-1957.61</v>
          </cell>
          <cell r="W158">
            <v>-2850.77</v>
          </cell>
          <cell r="X158">
            <v>-1939.83</v>
          </cell>
          <cell r="Y158">
            <v>-1760.83</v>
          </cell>
          <cell r="Z158">
            <v>-2335.06</v>
          </cell>
          <cell r="AA158">
            <v>-2133.63</v>
          </cell>
          <cell r="AB158">
            <v>-3927.37</v>
          </cell>
          <cell r="AC158">
            <v>-1847.7</v>
          </cell>
          <cell r="AD158">
            <v>-2372.9</v>
          </cell>
          <cell r="AE158">
            <v>-2475.16</v>
          </cell>
          <cell r="AF158">
            <v>-3014.68</v>
          </cell>
          <cell r="AG158">
            <v>-28770.37</v>
          </cell>
          <cell r="AH158">
            <v>-1143.26</v>
          </cell>
          <cell r="AI158">
            <v>-1373.21</v>
          </cell>
          <cell r="AJ158">
            <v>-4195.49</v>
          </cell>
          <cell r="AK158">
            <v>0</v>
          </cell>
          <cell r="AL158">
            <v>-1271.49</v>
          </cell>
          <cell r="AM158">
            <v>-1522.51</v>
          </cell>
          <cell r="AN158">
            <v>-1805.81</v>
          </cell>
          <cell r="AO158">
            <v>-1812.5</v>
          </cell>
          <cell r="AP158">
            <v>-2606.37</v>
          </cell>
          <cell r="AQ158">
            <v>-430.6</v>
          </cell>
          <cell r="AR158">
            <v>-3678.5</v>
          </cell>
          <cell r="AS158">
            <v>-3473.3</v>
          </cell>
          <cell r="AT158">
            <v>-23313.039999999997</v>
          </cell>
          <cell r="AU158">
            <v>-2758.56</v>
          </cell>
          <cell r="AV158">
            <v>-2367.84</v>
          </cell>
          <cell r="AW158">
            <v>-2133.73</v>
          </cell>
          <cell r="AX158">
            <v>-6400.18</v>
          </cell>
          <cell r="AY158">
            <v>-3388.03</v>
          </cell>
          <cell r="AZ158">
            <v>-3624.38</v>
          </cell>
          <cell r="BA158">
            <v>0</v>
          </cell>
          <cell r="BB158">
            <v>-8539.2800000000007</v>
          </cell>
          <cell r="BC158">
            <v>-3661.09</v>
          </cell>
          <cell r="BD158">
            <v>0</v>
          </cell>
          <cell r="BE158">
            <v>-9070.14</v>
          </cell>
          <cell r="BF158">
            <v>0</v>
          </cell>
          <cell r="BG158">
            <v>-41943.229999999996</v>
          </cell>
          <cell r="BH158">
            <v>-4952.24</v>
          </cell>
          <cell r="BI158">
            <v>-3736.28</v>
          </cell>
          <cell r="BJ158">
            <v>-5343.47</v>
          </cell>
          <cell r="BK158">
            <v>-9155.5300000000007</v>
          </cell>
          <cell r="BL158">
            <v>-6201.51</v>
          </cell>
          <cell r="BM158">
            <v>-6375.26</v>
          </cell>
          <cell r="BN158">
            <v>-5638.32</v>
          </cell>
          <cell r="BO158">
            <v>-7748.9</v>
          </cell>
          <cell r="BP158">
            <v>-8026.43</v>
          </cell>
          <cell r="BQ158">
            <v>0</v>
          </cell>
          <cell r="BR158">
            <v>-6285.59</v>
          </cell>
          <cell r="BS158">
            <v>-4916.32</v>
          </cell>
          <cell r="BT158">
            <v>-68379.850000000006</v>
          </cell>
          <cell r="BU158">
            <v>-13019.7</v>
          </cell>
          <cell r="BV158">
            <v>-6601.72</v>
          </cell>
          <cell r="BW158">
            <v>0</v>
          </cell>
          <cell r="BX158">
            <v>-8281.77</v>
          </cell>
          <cell r="BY158">
            <v>-16765.8</v>
          </cell>
          <cell r="BZ158">
            <v>-112</v>
          </cell>
          <cell r="CA158">
            <v>-8561.08</v>
          </cell>
          <cell r="CE158">
            <v>-53342.070000000007</v>
          </cell>
          <cell r="CG158">
            <v>0</v>
          </cell>
        </row>
        <row r="159">
          <cell r="A159" t="str">
            <v>4.1.1.1.05</v>
          </cell>
          <cell r="B159" t="str">
            <v>DESPESAS COM VEICULOS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-75998.3</v>
          </cell>
          <cell r="H159">
            <v>-819.17</v>
          </cell>
          <cell r="I159">
            <v>-2472.29</v>
          </cell>
          <cell r="J159">
            <v>-5149.7299999999996</v>
          </cell>
          <cell r="K159">
            <v>-1657.3</v>
          </cell>
          <cell r="L159">
            <v>-4714.5499999999993</v>
          </cell>
          <cell r="M159">
            <v>-6510.67</v>
          </cell>
          <cell r="N159">
            <v>-6242.42</v>
          </cell>
          <cell r="O159">
            <v>-6486.01</v>
          </cell>
          <cell r="P159">
            <v>-3096.41</v>
          </cell>
          <cell r="Q159">
            <v>-5251.2</v>
          </cell>
          <cell r="R159">
            <v>-2915.7</v>
          </cell>
          <cell r="S159">
            <v>-1911.23</v>
          </cell>
          <cell r="T159">
            <v>-47226.68</v>
          </cell>
          <cell r="U159">
            <v>-11162.01</v>
          </cell>
          <cell r="V159">
            <v>-9644.69</v>
          </cell>
          <cell r="W159">
            <v>-5806.7</v>
          </cell>
          <cell r="X159">
            <v>-2451.35</v>
          </cell>
          <cell r="Y159">
            <v>-9022.15</v>
          </cell>
          <cell r="Z159">
            <v>-7042.58</v>
          </cell>
          <cell r="AA159">
            <v>-9994.33</v>
          </cell>
          <cell r="AB159">
            <v>-4864.09</v>
          </cell>
          <cell r="AC159">
            <v>-3983.87</v>
          </cell>
          <cell r="AD159">
            <v>-6676.35</v>
          </cell>
          <cell r="AE159">
            <v>-4186.4399999999996</v>
          </cell>
          <cell r="AF159">
            <v>-3131.57</v>
          </cell>
          <cell r="AG159">
            <v>-77966.130000000019</v>
          </cell>
          <cell r="AH159">
            <v>-3507.89</v>
          </cell>
          <cell r="AI159">
            <v>-3716.7099999999996</v>
          </cell>
          <cell r="AJ159">
            <v>-2759.07</v>
          </cell>
          <cell r="AK159">
            <v>-453.4699999999998</v>
          </cell>
          <cell r="AL159">
            <v>-4242.47</v>
          </cell>
          <cell r="AM159">
            <v>-4221.83</v>
          </cell>
          <cell r="AN159">
            <v>-12778.8</v>
          </cell>
          <cell r="AO159">
            <v>-8693.83</v>
          </cell>
          <cell r="AP159">
            <v>-15752.36</v>
          </cell>
          <cell r="AQ159">
            <v>-11915.49</v>
          </cell>
          <cell r="AR159">
            <v>-12109.12</v>
          </cell>
          <cell r="AS159">
            <v>-11073.05</v>
          </cell>
          <cell r="AT159">
            <v>-91224.09</v>
          </cell>
          <cell r="AU159">
            <v>-5355.66</v>
          </cell>
          <cell r="AV159">
            <v>-14908.16</v>
          </cell>
          <cell r="AW159">
            <v>-12468.48</v>
          </cell>
          <cell r="AX159">
            <v>-11665.189999999999</v>
          </cell>
          <cell r="AY159">
            <v>-10146.700000000001</v>
          </cell>
          <cell r="AZ159">
            <v>-18895.34</v>
          </cell>
          <cell r="BA159">
            <v>-20124.670000000002</v>
          </cell>
          <cell r="BB159">
            <v>-13432.42</v>
          </cell>
          <cell r="BC159">
            <v>-15182.710000000001</v>
          </cell>
          <cell r="BD159">
            <v>-19417.830000000002</v>
          </cell>
          <cell r="BE159">
            <v>-9774.7800000000007</v>
          </cell>
          <cell r="BF159">
            <v>-7980.4499999999989</v>
          </cell>
          <cell r="BG159">
            <v>-159352.39000000001</v>
          </cell>
          <cell r="BH159">
            <v>-41653.22</v>
          </cell>
          <cell r="BI159">
            <v>-16647.489999999998</v>
          </cell>
          <cell r="BJ159">
            <v>-14724.27</v>
          </cell>
          <cell r="BK159">
            <v>-6606.51</v>
          </cell>
          <cell r="BL159">
            <v>-14063.12</v>
          </cell>
          <cell r="BM159">
            <v>-13244.38</v>
          </cell>
          <cell r="BN159">
            <v>-16498.25</v>
          </cell>
          <cell r="BO159">
            <v>-9812.7900000000009</v>
          </cell>
          <cell r="BP159">
            <v>-17143.900000000001</v>
          </cell>
          <cell r="BQ159">
            <v>-21237.91</v>
          </cell>
          <cell r="BR159">
            <v>-20933.830000000002</v>
          </cell>
          <cell r="BS159">
            <v>-9169.0499999999993</v>
          </cell>
          <cell r="BT159">
            <v>-201734.71999999997</v>
          </cell>
          <cell r="BU159">
            <v>-18029.939999999999</v>
          </cell>
          <cell r="BV159">
            <v>-19484.060000000001</v>
          </cell>
          <cell r="BW159">
            <v>-20182.5</v>
          </cell>
          <cell r="BX159">
            <v>-19857.68</v>
          </cell>
          <cell r="BY159">
            <v>-36969.43</v>
          </cell>
          <cell r="BZ159">
            <v>-9476.0800000000017</v>
          </cell>
          <cell r="CA159">
            <v>-25522.97</v>
          </cell>
          <cell r="CE159">
            <v>-149522.65999999997</v>
          </cell>
          <cell r="CG159">
            <v>0</v>
          </cell>
        </row>
        <row r="160">
          <cell r="A160" t="str">
            <v>4.1.1.1.05.00001</v>
          </cell>
          <cell r="B160" t="str">
            <v>MANUTENCAO DE VEICULOS - SERVICOS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-20380</v>
          </cell>
          <cell r="H160">
            <v>-734</v>
          </cell>
          <cell r="I160">
            <v>-380</v>
          </cell>
          <cell r="J160">
            <v>-865</v>
          </cell>
          <cell r="K160">
            <v>-981</v>
          </cell>
          <cell r="L160">
            <v>-610</v>
          </cell>
          <cell r="M160">
            <v>-3960</v>
          </cell>
          <cell r="N160">
            <v>-1750</v>
          </cell>
          <cell r="O160">
            <v>-2168</v>
          </cell>
          <cell r="P160">
            <v>-400</v>
          </cell>
          <cell r="Q160">
            <v>-1880</v>
          </cell>
          <cell r="R160">
            <v>-680</v>
          </cell>
          <cell r="S160">
            <v>-1031</v>
          </cell>
          <cell r="T160">
            <v>-15439</v>
          </cell>
          <cell r="U160">
            <v>-4160.47</v>
          </cell>
          <cell r="V160">
            <v>-5261.77</v>
          </cell>
          <cell r="W160">
            <v>-3765.21</v>
          </cell>
          <cell r="X160">
            <v>-1505.18</v>
          </cell>
          <cell r="Y160">
            <v>-4162.3</v>
          </cell>
          <cell r="Z160">
            <v>-2461.11</v>
          </cell>
          <cell r="AA160">
            <v>-4849.0600000000004</v>
          </cell>
          <cell r="AB160">
            <v>-2295.25</v>
          </cell>
          <cell r="AC160">
            <v>-2041.41</v>
          </cell>
          <cell r="AD160">
            <v>-1870.83</v>
          </cell>
          <cell r="AE160">
            <v>-1257.96</v>
          </cell>
          <cell r="AF160">
            <v>-2002.74</v>
          </cell>
          <cell r="AG160">
            <v>-35633.29</v>
          </cell>
          <cell r="AH160">
            <v>-861</v>
          </cell>
          <cell r="AI160">
            <v>-1169.8699999999999</v>
          </cell>
          <cell r="AJ160">
            <v>-2002.93</v>
          </cell>
          <cell r="AK160">
            <v>-900.61</v>
          </cell>
          <cell r="AL160">
            <v>-3092.9</v>
          </cell>
          <cell r="AM160">
            <v>-888</v>
          </cell>
          <cell r="AN160">
            <v>-5999.29</v>
          </cell>
          <cell r="AO160">
            <v>-2198.91</v>
          </cell>
          <cell r="AP160">
            <v>-9166.49</v>
          </cell>
          <cell r="AQ160">
            <v>-5501.59</v>
          </cell>
          <cell r="AR160">
            <v>-3164</v>
          </cell>
          <cell r="AS160">
            <v>-4680.99</v>
          </cell>
          <cell r="AT160">
            <v>-39626.579999999994</v>
          </cell>
          <cell r="AU160">
            <v>-2622</v>
          </cell>
          <cell r="AV160">
            <v>-7990.2000000000007</v>
          </cell>
          <cell r="AW160">
            <v>-3121.05</v>
          </cell>
          <cell r="AX160">
            <v>-1674.62</v>
          </cell>
          <cell r="AY160">
            <v>-5620.66</v>
          </cell>
          <cell r="AZ160">
            <v>-9528.01</v>
          </cell>
          <cell r="BA160">
            <v>-9617.02</v>
          </cell>
          <cell r="BB160">
            <v>-5105.21</v>
          </cell>
          <cell r="BC160">
            <v>-8137.54</v>
          </cell>
          <cell r="BD160">
            <v>-13417.29</v>
          </cell>
          <cell r="BE160">
            <v>-3991.16</v>
          </cell>
          <cell r="BF160">
            <v>-6480.5</v>
          </cell>
          <cell r="BG160">
            <v>-77305.260000000009</v>
          </cell>
          <cell r="BH160">
            <v>-31377.579999999998</v>
          </cell>
          <cell r="BI160">
            <v>-12901.18</v>
          </cell>
          <cell r="BJ160">
            <v>-9535.6600000000017</v>
          </cell>
          <cell r="BK160">
            <v>-349</v>
          </cell>
          <cell r="BL160">
            <v>-3620.2</v>
          </cell>
          <cell r="BM160">
            <v>-6607.76</v>
          </cell>
          <cell r="BN160">
            <v>-11577.82</v>
          </cell>
          <cell r="BO160">
            <v>-5361.49</v>
          </cell>
          <cell r="BP160">
            <v>-13805.63</v>
          </cell>
          <cell r="BQ160">
            <v>-13778.64</v>
          </cell>
          <cell r="BR160">
            <v>-12566.32</v>
          </cell>
          <cell r="BS160">
            <v>-6477.8</v>
          </cell>
          <cell r="BT160">
            <v>-127959.08</v>
          </cell>
          <cell r="BU160">
            <v>-10781.11</v>
          </cell>
          <cell r="BV160">
            <v>-11978.03</v>
          </cell>
          <cell r="BW160">
            <v>-8101.63</v>
          </cell>
          <cell r="BX160">
            <v>-4870.96</v>
          </cell>
          <cell r="BY160">
            <v>-28032.95</v>
          </cell>
          <cell r="BZ160">
            <v>-8431.24</v>
          </cell>
          <cell r="CA160">
            <v>-12454.34</v>
          </cell>
          <cell r="CE160">
            <v>-84650.260000000009</v>
          </cell>
          <cell r="CG160">
            <v>0</v>
          </cell>
        </row>
        <row r="161">
          <cell r="A161" t="str">
            <v>4.1.1.1.05.00002</v>
          </cell>
          <cell r="B161" t="str">
            <v>MANUTENCAO DE VEICULOS - PECAS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-34394.36</v>
          </cell>
          <cell r="H161">
            <v>-83</v>
          </cell>
          <cell r="I161">
            <v>-1674.43</v>
          </cell>
          <cell r="J161">
            <v>-1016</v>
          </cell>
          <cell r="K161">
            <v>-388.6</v>
          </cell>
          <cell r="L161">
            <v>-2423.41</v>
          </cell>
          <cell r="M161">
            <v>-2152.9699999999998</v>
          </cell>
          <cell r="N161">
            <v>-4100.59</v>
          </cell>
          <cell r="O161">
            <v>-3770</v>
          </cell>
          <cell r="P161">
            <v>-2408.71</v>
          </cell>
          <cell r="Q161">
            <v>-2797.15</v>
          </cell>
          <cell r="R161">
            <v>-1948</v>
          </cell>
          <cell r="S161">
            <v>-696.65</v>
          </cell>
          <cell r="T161">
            <v>-23459.510000000002</v>
          </cell>
          <cell r="U161">
            <v>-5908.21</v>
          </cell>
          <cell r="V161">
            <v>-2161.88</v>
          </cell>
          <cell r="W161">
            <v>-763.07</v>
          </cell>
          <cell r="X161">
            <v>-967</v>
          </cell>
          <cell r="Y161">
            <v>-3686.52</v>
          </cell>
          <cell r="Z161">
            <v>-4286.8999999999996</v>
          </cell>
          <cell r="AA161">
            <v>-4694.5</v>
          </cell>
          <cell r="AB161">
            <v>-2014</v>
          </cell>
          <cell r="AC161">
            <v>-1121.6500000000001</v>
          </cell>
          <cell r="AD161">
            <v>-2200</v>
          </cell>
          <cell r="AE161">
            <v>-1731.1</v>
          </cell>
          <cell r="AF161">
            <v>-634.32000000000005</v>
          </cell>
          <cell r="AG161">
            <v>-30169.15</v>
          </cell>
          <cell r="AH161">
            <v>-1344.1</v>
          </cell>
          <cell r="AI161">
            <v>-2290.0100000000002</v>
          </cell>
          <cell r="AJ161">
            <v>-219.15</v>
          </cell>
          <cell r="AK161">
            <v>-1818</v>
          </cell>
          <cell r="AL161">
            <v>-614.70000000000005</v>
          </cell>
          <cell r="AM161">
            <v>-2798.96</v>
          </cell>
          <cell r="AN161">
            <v>-6344.64</v>
          </cell>
          <cell r="AO161">
            <v>-6060.05</v>
          </cell>
          <cell r="AP161">
            <v>-6151</v>
          </cell>
          <cell r="AQ161">
            <v>-5274.7</v>
          </cell>
          <cell r="AR161">
            <v>-8410.25</v>
          </cell>
          <cell r="AS161">
            <v>-5258.5</v>
          </cell>
          <cell r="AT161">
            <v>-46584.06</v>
          </cell>
          <cell r="AU161">
            <v>-1793</v>
          </cell>
          <cell r="AV161">
            <v>-4718.58</v>
          </cell>
          <cell r="AW161">
            <v>-7732.62</v>
          </cell>
          <cell r="AX161">
            <v>-8391.3799999999992</v>
          </cell>
          <cell r="AY161">
            <v>-2344</v>
          </cell>
          <cell r="AZ161">
            <v>-7994.75</v>
          </cell>
          <cell r="BA161">
            <v>-9780.6299999999992</v>
          </cell>
          <cell r="BB161">
            <v>-7030.91</v>
          </cell>
          <cell r="BC161">
            <v>-5120</v>
          </cell>
          <cell r="BD161">
            <v>-4626.95</v>
          </cell>
          <cell r="BE161">
            <v>-2788.85</v>
          </cell>
          <cell r="BF161">
            <v>-2434.42</v>
          </cell>
          <cell r="BG161">
            <v>-64756.089999999989</v>
          </cell>
          <cell r="BH161">
            <v>-7846.66</v>
          </cell>
          <cell r="BI161">
            <v>-2523.25</v>
          </cell>
          <cell r="BJ161">
            <v>-3782.4</v>
          </cell>
          <cell r="BK161">
            <v>-3966.54</v>
          </cell>
          <cell r="BL161">
            <v>-9012.4699999999993</v>
          </cell>
          <cell r="BM161">
            <v>-4247.63</v>
          </cell>
          <cell r="BN161">
            <v>-3463.95</v>
          </cell>
          <cell r="BO161">
            <v>-3129.5</v>
          </cell>
          <cell r="BP161">
            <v>-2308.7199999999998</v>
          </cell>
          <cell r="BQ161">
            <v>-4490.49</v>
          </cell>
          <cell r="BR161">
            <v>-6872</v>
          </cell>
          <cell r="BS161">
            <v>-830</v>
          </cell>
          <cell r="BT161">
            <v>-52473.61</v>
          </cell>
          <cell r="BU161">
            <v>-5126.97</v>
          </cell>
          <cell r="BV161">
            <v>-4312.8</v>
          </cell>
          <cell r="BW161">
            <v>-7034.19</v>
          </cell>
          <cell r="BX161">
            <v>-12838.3</v>
          </cell>
          <cell r="BY161">
            <v>-7149.92</v>
          </cell>
          <cell r="BZ161">
            <v>-1346.98</v>
          </cell>
          <cell r="CA161">
            <v>-10670.3</v>
          </cell>
          <cell r="CE161">
            <v>-48479.460000000006</v>
          </cell>
          <cell r="CG161">
            <v>0</v>
          </cell>
        </row>
        <row r="162">
          <cell r="A162" t="str">
            <v>4.1.1.1.05.00003</v>
          </cell>
          <cell r="B162" t="str">
            <v>SEGURO DE VEICULOS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-494.58</v>
          </cell>
          <cell r="H162">
            <v>-143.57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-143.57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  <cell r="BR162">
            <v>0</v>
          </cell>
          <cell r="BS162">
            <v>0</v>
          </cell>
          <cell r="BT162">
            <v>0</v>
          </cell>
          <cell r="BU162">
            <v>0</v>
          </cell>
          <cell r="BV162">
            <v>0</v>
          </cell>
          <cell r="BW162">
            <v>0</v>
          </cell>
          <cell r="BX162">
            <v>0</v>
          </cell>
          <cell r="BY162">
            <v>0</v>
          </cell>
          <cell r="BZ162">
            <v>0</v>
          </cell>
          <cell r="CA162">
            <v>0</v>
          </cell>
          <cell r="CE162">
            <v>0</v>
          </cell>
          <cell r="CG162">
            <v>0</v>
          </cell>
        </row>
        <row r="163">
          <cell r="A163" t="str">
            <v>4.1.1.1.05.00004</v>
          </cell>
          <cell r="B163" t="str">
            <v>IPVA / LICENCIAMENTO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-18842.71</v>
          </cell>
          <cell r="H163">
            <v>-287.7</v>
          </cell>
          <cell r="I163">
            <v>-287.7</v>
          </cell>
          <cell r="J163">
            <v>-2738.76</v>
          </cell>
          <cell r="K163">
            <v>-287.7</v>
          </cell>
          <cell r="L163">
            <v>-2150.6999999999998</v>
          </cell>
          <cell r="M163">
            <v>-397.7</v>
          </cell>
          <cell r="N163">
            <v>-287.7</v>
          </cell>
          <cell r="O163">
            <v>-287.7</v>
          </cell>
          <cell r="P163">
            <v>-287.7</v>
          </cell>
          <cell r="Q163">
            <v>-287.7</v>
          </cell>
          <cell r="R163">
            <v>-287.7</v>
          </cell>
          <cell r="S163">
            <v>-287.7</v>
          </cell>
          <cell r="T163">
            <v>-7876.4599999999982</v>
          </cell>
          <cell r="U163">
            <v>-754.91</v>
          </cell>
          <cell r="V163">
            <v>-1908.65</v>
          </cell>
          <cell r="W163">
            <v>-1262.81</v>
          </cell>
          <cell r="X163">
            <v>-494.51</v>
          </cell>
          <cell r="Y163">
            <v>-1011.83</v>
          </cell>
          <cell r="Z163">
            <v>-494.51</v>
          </cell>
          <cell r="AA163">
            <v>-494.51</v>
          </cell>
          <cell r="AB163">
            <v>-494.51</v>
          </cell>
          <cell r="AC163">
            <v>-494.51</v>
          </cell>
          <cell r="AD163">
            <v>-494.51</v>
          </cell>
          <cell r="AE163">
            <v>-494.51</v>
          </cell>
          <cell r="AF163">
            <v>-494.51</v>
          </cell>
          <cell r="AG163">
            <v>-8894.2800000000007</v>
          </cell>
          <cell r="AH163">
            <v>-534.87</v>
          </cell>
          <cell r="AI163">
            <v>-534.87</v>
          </cell>
          <cell r="AJ163">
            <v>-534.87</v>
          </cell>
          <cell r="AK163">
            <v>-534.87</v>
          </cell>
          <cell r="AL163">
            <v>-534.87</v>
          </cell>
          <cell r="AM163">
            <v>-534.87</v>
          </cell>
          <cell r="AN163">
            <v>-534.87</v>
          </cell>
          <cell r="AO163">
            <v>-534.87</v>
          </cell>
          <cell r="AP163">
            <v>-534.87</v>
          </cell>
          <cell r="AQ163">
            <v>-534.87</v>
          </cell>
          <cell r="AR163">
            <v>-534.87</v>
          </cell>
          <cell r="AS163">
            <v>-1133.56</v>
          </cell>
          <cell r="AT163">
            <v>-7017.1299999999992</v>
          </cell>
          <cell r="AU163">
            <v>-817.24</v>
          </cell>
          <cell r="AV163">
            <v>-817.24</v>
          </cell>
          <cell r="AW163">
            <v>-1146.23</v>
          </cell>
          <cell r="AX163">
            <v>-817.24</v>
          </cell>
          <cell r="AY163">
            <v>-817.24</v>
          </cell>
          <cell r="AZ163">
            <v>-817.24</v>
          </cell>
          <cell r="BA163">
            <v>-817.24</v>
          </cell>
          <cell r="BB163">
            <v>-817.24</v>
          </cell>
          <cell r="BC163">
            <v>-817.24</v>
          </cell>
          <cell r="BD163">
            <v>-817.24</v>
          </cell>
          <cell r="BE163">
            <v>-2395.54</v>
          </cell>
          <cell r="BF163">
            <v>-817.24</v>
          </cell>
          <cell r="BG163">
            <v>-11714.17</v>
          </cell>
          <cell r="BH163">
            <v>-1641.76</v>
          </cell>
          <cell r="BI163">
            <v>-857.75</v>
          </cell>
          <cell r="BJ163">
            <v>-857.75</v>
          </cell>
          <cell r="BK163">
            <v>-857.75</v>
          </cell>
          <cell r="BL163">
            <v>-857.75</v>
          </cell>
          <cell r="BM163">
            <v>-857.75</v>
          </cell>
          <cell r="BN163">
            <v>-857.75</v>
          </cell>
          <cell r="BO163">
            <v>-857.75</v>
          </cell>
          <cell r="BP163">
            <v>-857.75</v>
          </cell>
          <cell r="BQ163">
            <v>-857.75</v>
          </cell>
          <cell r="BR163">
            <v>-857.75</v>
          </cell>
          <cell r="BS163">
            <v>-1423.92</v>
          </cell>
          <cell r="BT163">
            <v>-11643.18</v>
          </cell>
          <cell r="BU163">
            <v>-1678.21</v>
          </cell>
          <cell r="BV163">
            <v>-1988.67</v>
          </cell>
          <cell r="BW163">
            <v>-1695.46</v>
          </cell>
          <cell r="BX163">
            <v>-1695.46</v>
          </cell>
          <cell r="BY163">
            <v>-1695.46</v>
          </cell>
          <cell r="BZ163">
            <v>-1695.46</v>
          </cell>
          <cell r="CA163">
            <v>-1695.46</v>
          </cell>
          <cell r="CE163">
            <v>-12144.18</v>
          </cell>
          <cell r="CG163">
            <v>0</v>
          </cell>
        </row>
        <row r="164">
          <cell r="A164" t="str">
            <v>4.1.1.1.05.00005</v>
          </cell>
          <cell r="B164" t="str">
            <v>MULTA TRANSITO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-1886.65</v>
          </cell>
          <cell r="H164">
            <v>429.1</v>
          </cell>
          <cell r="I164">
            <v>-130.16</v>
          </cell>
          <cell r="J164">
            <v>-529.97</v>
          </cell>
          <cell r="K164">
            <v>0</v>
          </cell>
          <cell r="L164">
            <v>469.56</v>
          </cell>
          <cell r="M164">
            <v>0</v>
          </cell>
          <cell r="N164">
            <v>-104.13</v>
          </cell>
          <cell r="O164">
            <v>-260.31</v>
          </cell>
          <cell r="P164">
            <v>0</v>
          </cell>
          <cell r="Q164">
            <v>-286.35000000000002</v>
          </cell>
          <cell r="R164">
            <v>0</v>
          </cell>
          <cell r="S164">
            <v>104.12</v>
          </cell>
          <cell r="T164">
            <v>-308.14</v>
          </cell>
          <cell r="U164">
            <v>-338.42</v>
          </cell>
          <cell r="V164">
            <v>-312.39</v>
          </cell>
          <cell r="W164">
            <v>-15.61</v>
          </cell>
          <cell r="X164">
            <v>515.34</v>
          </cell>
          <cell r="Y164">
            <v>-161.5</v>
          </cell>
          <cell r="Z164">
            <v>199.94</v>
          </cell>
          <cell r="AA164">
            <v>43.74</v>
          </cell>
          <cell r="AB164">
            <v>-60.33</v>
          </cell>
          <cell r="AC164">
            <v>-326.3</v>
          </cell>
          <cell r="AD164">
            <v>-2111.0100000000002</v>
          </cell>
          <cell r="AE164">
            <v>-702.87</v>
          </cell>
          <cell r="AF164">
            <v>0</v>
          </cell>
          <cell r="AG164">
            <v>-3269.41</v>
          </cell>
          <cell r="AH164">
            <v>-767.92</v>
          </cell>
          <cell r="AI164">
            <v>278.03999999999996</v>
          </cell>
          <cell r="AJ164">
            <v>-2.1200000000000045</v>
          </cell>
          <cell r="AK164">
            <v>2800.01</v>
          </cell>
          <cell r="AL164">
            <v>0</v>
          </cell>
          <cell r="AM164">
            <v>0</v>
          </cell>
          <cell r="AN164">
            <v>100</v>
          </cell>
          <cell r="AO164">
            <v>100</v>
          </cell>
          <cell r="AP164">
            <v>100</v>
          </cell>
          <cell r="AQ164">
            <v>-604.33000000000004</v>
          </cell>
          <cell r="AR164">
            <v>0</v>
          </cell>
          <cell r="AS164">
            <v>0</v>
          </cell>
          <cell r="AT164">
            <v>2003.6800000000003</v>
          </cell>
          <cell r="AU164">
            <v>-123.41999999999999</v>
          </cell>
          <cell r="AV164">
            <v>-1382.14</v>
          </cell>
          <cell r="AW164">
            <v>-468.58</v>
          </cell>
          <cell r="AX164">
            <v>-781.94999999999993</v>
          </cell>
          <cell r="AY164">
            <v>-1364.8000000000002</v>
          </cell>
          <cell r="AZ164">
            <v>-555.34</v>
          </cell>
          <cell r="BA164">
            <v>90.220000000000027</v>
          </cell>
          <cell r="BB164">
            <v>-479.05999999999995</v>
          </cell>
          <cell r="BC164">
            <v>-1107.93</v>
          </cell>
          <cell r="BD164">
            <v>-556.35</v>
          </cell>
          <cell r="BE164">
            <v>-599.23</v>
          </cell>
          <cell r="BF164">
            <v>1751.71</v>
          </cell>
          <cell r="BG164">
            <v>-5576.87</v>
          </cell>
          <cell r="BH164">
            <v>-787.22</v>
          </cell>
          <cell r="BI164">
            <v>-365.31</v>
          </cell>
          <cell r="BJ164">
            <v>-548.46</v>
          </cell>
          <cell r="BK164">
            <v>-1433.22</v>
          </cell>
          <cell r="BL164">
            <v>-572.70000000000005</v>
          </cell>
          <cell r="BM164">
            <v>-1531.24</v>
          </cell>
          <cell r="BN164">
            <v>-598.73</v>
          </cell>
          <cell r="BO164">
            <v>-464.05</v>
          </cell>
          <cell r="BP164">
            <v>-171.8</v>
          </cell>
          <cell r="BQ164">
            <v>-2111.0300000000002</v>
          </cell>
          <cell r="BR164">
            <v>-637.76</v>
          </cell>
          <cell r="BS164">
            <v>-437.33</v>
          </cell>
          <cell r="BT164">
            <v>-9658.85</v>
          </cell>
          <cell r="BU164">
            <v>-443.65000000000003</v>
          </cell>
          <cell r="BV164">
            <v>-1204.56</v>
          </cell>
          <cell r="BW164">
            <v>-3351.22</v>
          </cell>
          <cell r="BX164">
            <v>-452.96000000000004</v>
          </cell>
          <cell r="BY164">
            <v>-91.1</v>
          </cell>
          <cell r="BZ164">
            <v>1997.6</v>
          </cell>
          <cell r="CA164">
            <v>-702.86999999999989</v>
          </cell>
          <cell r="CE164">
            <v>-4248.76</v>
          </cell>
          <cell r="CG164">
            <v>0</v>
          </cell>
        </row>
        <row r="165">
          <cell r="A165" t="str">
            <v>4.1.1.1.07</v>
          </cell>
          <cell r="B165" t="str">
            <v>OUTROS GASTOS GERAIS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-942855.41</v>
          </cell>
          <cell r="H165">
            <v>-60516.289999999994</v>
          </cell>
          <cell r="I165">
            <v>-46247.93</v>
          </cell>
          <cell r="J165">
            <v>-67107.199999999997</v>
          </cell>
          <cell r="K165">
            <v>-85607</v>
          </cell>
          <cell r="L165">
            <v>-114286.45</v>
          </cell>
          <cell r="M165">
            <v>-67403.62</v>
          </cell>
          <cell r="N165">
            <v>-116709.58</v>
          </cell>
          <cell r="O165">
            <v>-101471.83</v>
          </cell>
          <cell r="P165">
            <v>-75988.83</v>
          </cell>
          <cell r="Q165">
            <v>-125797.37</v>
          </cell>
          <cell r="R165">
            <v>-87257.279999999999</v>
          </cell>
          <cell r="S165">
            <v>-64217.34</v>
          </cell>
          <cell r="T165">
            <v>-1012610.7199999999</v>
          </cell>
          <cell r="U165">
            <v>-63589.69</v>
          </cell>
          <cell r="V165">
            <v>-81410.62</v>
          </cell>
          <cell r="W165">
            <v>-80558.02</v>
          </cell>
          <cell r="X165">
            <v>-93209.97</v>
          </cell>
          <cell r="Y165">
            <v>-113702.05</v>
          </cell>
          <cell r="Z165">
            <v>-70585.86</v>
          </cell>
          <cell r="AA165">
            <v>-78303.27</v>
          </cell>
          <cell r="AB165">
            <v>-67768.22</v>
          </cell>
          <cell r="AC165">
            <v>-60686.46</v>
          </cell>
          <cell r="AD165">
            <v>-78827.5</v>
          </cell>
          <cell r="AE165">
            <v>-124103.5</v>
          </cell>
          <cell r="AF165">
            <v>-61573.24</v>
          </cell>
          <cell r="AG165">
            <v>-974318.39999999991</v>
          </cell>
          <cell r="AH165">
            <v>-67206.720000000001</v>
          </cell>
          <cell r="AI165">
            <v>-83351.740000000005</v>
          </cell>
          <cell r="AJ165">
            <v>-74068.7</v>
          </cell>
          <cell r="AK165">
            <v>-31881.88</v>
          </cell>
          <cell r="AL165">
            <v>-34719.159999999996</v>
          </cell>
          <cell r="AM165">
            <v>-66020.55</v>
          </cell>
          <cell r="AN165">
            <v>-67949.210000000006</v>
          </cell>
          <cell r="AO165">
            <v>-113627.54000000001</v>
          </cell>
          <cell r="AP165">
            <v>-147418.74</v>
          </cell>
          <cell r="AQ165">
            <v>-120653.72</v>
          </cell>
          <cell r="AR165">
            <v>-136835.58000000002</v>
          </cell>
          <cell r="AS165">
            <v>-134195.35</v>
          </cell>
          <cell r="AT165">
            <v>-1077928.8900000001</v>
          </cell>
          <cell r="AU165">
            <v>-96856.6</v>
          </cell>
          <cell r="AV165">
            <v>-254926.47</v>
          </cell>
          <cell r="AW165">
            <v>-180657.51</v>
          </cell>
          <cell r="AX165">
            <v>-208452.29</v>
          </cell>
          <cell r="AY165">
            <v>-247588.34999999998</v>
          </cell>
          <cell r="AZ165">
            <v>-250781.16</v>
          </cell>
          <cell r="BA165">
            <v>-258108.31000000003</v>
          </cell>
          <cell r="BB165">
            <v>-274350.78999999998</v>
          </cell>
          <cell r="BC165">
            <v>-216214.24000000002</v>
          </cell>
          <cell r="BD165">
            <v>-304823.13</v>
          </cell>
          <cell r="BE165">
            <v>-275890.12</v>
          </cell>
          <cell r="BF165">
            <v>-244754.03999999998</v>
          </cell>
          <cell r="BG165">
            <v>-2813403.0100000002</v>
          </cell>
          <cell r="BH165">
            <v>-281976</v>
          </cell>
          <cell r="BI165">
            <v>-616263.06999999995</v>
          </cell>
          <cell r="BJ165">
            <v>-306314.42</v>
          </cell>
          <cell r="BK165">
            <v>-292790.63</v>
          </cell>
          <cell r="BL165">
            <v>-567440.75</v>
          </cell>
          <cell r="BM165">
            <v>-463915.3</v>
          </cell>
          <cell r="BN165">
            <v>-417296.58999999997</v>
          </cell>
          <cell r="BO165">
            <v>-464997.80000000005</v>
          </cell>
          <cell r="BP165">
            <v>-416325.31</v>
          </cell>
          <cell r="BQ165">
            <v>-385697.54000000004</v>
          </cell>
          <cell r="BR165">
            <v>-372724.62</v>
          </cell>
          <cell r="BS165">
            <v>-400488.74</v>
          </cell>
          <cell r="BT165">
            <v>-4986230.7700000005</v>
          </cell>
          <cell r="BU165">
            <v>-486077.10000000003</v>
          </cell>
          <cell r="BV165">
            <v>-510495.71</v>
          </cell>
          <cell r="BW165">
            <v>-415321.91</v>
          </cell>
          <cell r="BX165">
            <v>-338088</v>
          </cell>
          <cell r="BY165">
            <v>-376089.39</v>
          </cell>
          <cell r="BZ165">
            <v>-364412.89</v>
          </cell>
          <cell r="CA165">
            <v>-459170.93</v>
          </cell>
          <cell r="CE165">
            <v>-2949655.93</v>
          </cell>
          <cell r="CG165">
            <v>0</v>
          </cell>
        </row>
        <row r="166">
          <cell r="A166" t="str">
            <v>4.1.1.1.07.00001</v>
          </cell>
          <cell r="B166" t="str">
            <v>ALUGUEL BENS MOVEIS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-190468</v>
          </cell>
          <cell r="H166">
            <v>-10059.35</v>
          </cell>
          <cell r="I166">
            <v>-5059.3500000000004</v>
          </cell>
          <cell r="J166">
            <v>-5059.3500000000004</v>
          </cell>
          <cell r="K166">
            <v>-6559.35</v>
          </cell>
          <cell r="L166">
            <v>-5059.3500000000004</v>
          </cell>
          <cell r="M166">
            <v>-5059.3500000000004</v>
          </cell>
          <cell r="N166">
            <v>-5059.3500000000004</v>
          </cell>
          <cell r="O166">
            <v>-8059.35</v>
          </cell>
          <cell r="P166">
            <v>-5059.3500000000004</v>
          </cell>
          <cell r="Q166">
            <v>-5059.3500000000004</v>
          </cell>
          <cell r="R166">
            <v>-5000</v>
          </cell>
          <cell r="S166">
            <v>-5000</v>
          </cell>
          <cell r="T166">
            <v>-70093.5</v>
          </cell>
          <cell r="U166">
            <v>-2571.6799999999998</v>
          </cell>
          <cell r="V166">
            <v>-2571.6799999999998</v>
          </cell>
          <cell r="W166">
            <v>-2571.6799999999998</v>
          </cell>
          <cell r="X166">
            <v>-2571.6799999999998</v>
          </cell>
          <cell r="Y166">
            <v>-5500</v>
          </cell>
          <cell r="Z166">
            <v>-2631.68</v>
          </cell>
          <cell r="AA166">
            <v>-2643.36</v>
          </cell>
          <cell r="AB166">
            <v>-2571.6799999999998</v>
          </cell>
          <cell r="AC166">
            <v>-3175.68</v>
          </cell>
          <cell r="AD166">
            <v>-5471.68</v>
          </cell>
          <cell r="AE166">
            <v>-707.68</v>
          </cell>
          <cell r="AF166">
            <v>-714.84</v>
          </cell>
          <cell r="AG166">
            <v>-33703.319999999992</v>
          </cell>
          <cell r="AH166">
            <v>-894.84</v>
          </cell>
          <cell r="AI166">
            <v>-1413.14</v>
          </cell>
          <cell r="AJ166">
            <v>-726.84</v>
          </cell>
          <cell r="AK166">
            <v>-1166.8399999999999</v>
          </cell>
          <cell r="AL166">
            <v>-190.84</v>
          </cell>
          <cell r="AM166">
            <v>-78.84</v>
          </cell>
          <cell r="AN166">
            <v>-78.84</v>
          </cell>
          <cell r="AO166">
            <v>-870.04</v>
          </cell>
          <cell r="AP166">
            <v>-752.84</v>
          </cell>
          <cell r="AQ166">
            <v>-2177.87</v>
          </cell>
          <cell r="AR166">
            <v>-2578.84</v>
          </cell>
          <cell r="AS166">
            <v>-78.84</v>
          </cell>
          <cell r="AT166">
            <v>-11008.61</v>
          </cell>
          <cell r="AU166">
            <v>-98.18</v>
          </cell>
          <cell r="AV166">
            <v>-98.18</v>
          </cell>
          <cell r="AW166">
            <v>-98.18</v>
          </cell>
          <cell r="AX166">
            <v>-98.18</v>
          </cell>
          <cell r="AY166">
            <v>-1118.18</v>
          </cell>
          <cell r="AZ166">
            <v>-1208.18</v>
          </cell>
          <cell r="BA166">
            <v>-12608.18</v>
          </cell>
          <cell r="BB166">
            <v>-9418.18</v>
          </cell>
          <cell r="BC166">
            <v>-8208.18</v>
          </cell>
          <cell r="BD166">
            <v>-3194.85</v>
          </cell>
          <cell r="BE166">
            <v>-2448.1799999999998</v>
          </cell>
          <cell r="BF166">
            <v>-1715.13</v>
          </cell>
          <cell r="BG166">
            <v>-40311.78</v>
          </cell>
          <cell r="BH166">
            <v>-140.56</v>
          </cell>
          <cell r="BI166">
            <v>-8981.69</v>
          </cell>
          <cell r="BJ166">
            <v>-3656</v>
          </cell>
          <cell r="BK166">
            <v>-6571</v>
          </cell>
          <cell r="BL166">
            <v>-14336.44</v>
          </cell>
          <cell r="BM166">
            <v>-8968.86</v>
          </cell>
          <cell r="BN166">
            <v>-5005.2</v>
          </cell>
          <cell r="BO166">
            <v>-1125</v>
          </cell>
          <cell r="BP166">
            <v>-3504.16</v>
          </cell>
          <cell r="BQ166">
            <v>-1001.12</v>
          </cell>
          <cell r="BR166">
            <v>-942</v>
          </cell>
          <cell r="BS166">
            <v>-762</v>
          </cell>
          <cell r="BT166">
            <v>-54994.030000000006</v>
          </cell>
          <cell r="BU166">
            <v>-930.82</v>
          </cell>
          <cell r="BV166">
            <v>-972.82</v>
          </cell>
          <cell r="BW166">
            <v>-2122.33</v>
          </cell>
          <cell r="BX166">
            <v>-960.82</v>
          </cell>
          <cell r="BY166">
            <v>-1005.82</v>
          </cell>
          <cell r="BZ166">
            <v>-2405</v>
          </cell>
          <cell r="CA166">
            <v>-13018.25</v>
          </cell>
          <cell r="CE166">
            <v>-21415.86</v>
          </cell>
          <cell r="CG166">
            <v>0</v>
          </cell>
        </row>
        <row r="167">
          <cell r="A167" t="str">
            <v>4.1.1.1.07.00002</v>
          </cell>
          <cell r="B167" t="str">
            <v>FRETES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-178526.49</v>
          </cell>
          <cell r="H167">
            <v>-7422.09</v>
          </cell>
          <cell r="I167">
            <v>-8732.99</v>
          </cell>
          <cell r="J167">
            <v>-23122.05</v>
          </cell>
          <cell r="K167">
            <v>-8143.38</v>
          </cell>
          <cell r="L167">
            <v>-25109.43</v>
          </cell>
          <cell r="M167">
            <v>-15622.29</v>
          </cell>
          <cell r="N167">
            <v>-18742.259999999998</v>
          </cell>
          <cell r="O167">
            <v>-25695.86</v>
          </cell>
          <cell r="P167">
            <v>-14420.4</v>
          </cell>
          <cell r="Q167">
            <v>-19127.28</v>
          </cell>
          <cell r="R167">
            <v>-16654.28</v>
          </cell>
          <cell r="S167">
            <v>-20409.16</v>
          </cell>
          <cell r="T167">
            <v>-203201.47</v>
          </cell>
          <cell r="U167">
            <v>-17214.48</v>
          </cell>
          <cell r="V167">
            <v>-26039.47</v>
          </cell>
          <cell r="W167">
            <v>-21243.21</v>
          </cell>
          <cell r="X167">
            <v>-18689.990000000002</v>
          </cell>
          <cell r="Y167">
            <v>-28073.58</v>
          </cell>
          <cell r="Z167">
            <v>-9020.4699999999993</v>
          </cell>
          <cell r="AA167">
            <v>-14857.73</v>
          </cell>
          <cell r="AB167">
            <v>-19964.37</v>
          </cell>
          <cell r="AC167">
            <v>-12067.84</v>
          </cell>
          <cell r="AD167">
            <v>-22911.86</v>
          </cell>
          <cell r="AE167">
            <v>-24490.639999999999</v>
          </cell>
          <cell r="AF167">
            <v>-7371.64</v>
          </cell>
          <cell r="AG167">
            <v>-221945.28000000003</v>
          </cell>
          <cell r="AH167">
            <v>-13048.53</v>
          </cell>
          <cell r="AI167">
            <v>-16202.05</v>
          </cell>
          <cell r="AJ167">
            <v>-16349.81</v>
          </cell>
          <cell r="AK167">
            <v>-5891.19</v>
          </cell>
          <cell r="AL167">
            <v>-10737.25</v>
          </cell>
          <cell r="AM167">
            <v>-12499.75</v>
          </cell>
          <cell r="AN167">
            <v>-19508.72</v>
          </cell>
          <cell r="AO167">
            <v>-31487.45</v>
          </cell>
          <cell r="AP167">
            <v>-34038.81</v>
          </cell>
          <cell r="AQ167">
            <v>-25728.269999999997</v>
          </cell>
          <cell r="AR167">
            <v>-37467.620000000003</v>
          </cell>
          <cell r="AS167">
            <v>-25104.18</v>
          </cell>
          <cell r="AT167">
            <v>-248063.62999999998</v>
          </cell>
          <cell r="AU167">
            <v>-17591.759999999998</v>
          </cell>
          <cell r="AV167">
            <v>-43213.22</v>
          </cell>
          <cell r="AW167">
            <v>-43794.2</v>
          </cell>
          <cell r="AX167">
            <v>-41825.769999999997</v>
          </cell>
          <cell r="AY167">
            <v>-42525.59</v>
          </cell>
          <cell r="AZ167">
            <v>-54758.63</v>
          </cell>
          <cell r="BA167">
            <v>-62230.97</v>
          </cell>
          <cell r="BB167">
            <v>-46328.35</v>
          </cell>
          <cell r="BC167">
            <v>-45943.89</v>
          </cell>
          <cell r="BD167">
            <v>-43358.35</v>
          </cell>
          <cell r="BE167">
            <v>-46003.99</v>
          </cell>
          <cell r="BF167">
            <v>-46277.5</v>
          </cell>
          <cell r="BG167">
            <v>-533852.22</v>
          </cell>
          <cell r="BH167">
            <v>-32951.03</v>
          </cell>
          <cell r="BI167">
            <v>-42074.02</v>
          </cell>
          <cell r="BJ167">
            <v>-38215.43</v>
          </cell>
          <cell r="BK167">
            <v>-36603</v>
          </cell>
          <cell r="BL167">
            <v>-33450.300000000003</v>
          </cell>
          <cell r="BM167">
            <v>-55524.75</v>
          </cell>
          <cell r="BN167">
            <v>-59023.79</v>
          </cell>
          <cell r="BO167">
            <v>-75516.19</v>
          </cell>
          <cell r="BP167">
            <v>-32952.639999999999</v>
          </cell>
          <cell r="BQ167">
            <v>-26238.84</v>
          </cell>
          <cell r="BR167">
            <v>-39540.68</v>
          </cell>
          <cell r="BS167">
            <v>-23747.29</v>
          </cell>
          <cell r="BT167">
            <v>-495837.95999999996</v>
          </cell>
          <cell r="BU167">
            <v>-30564.32</v>
          </cell>
          <cell r="BV167">
            <v>-42989.03</v>
          </cell>
          <cell r="BW167">
            <v>-36080.86</v>
          </cell>
          <cell r="BX167">
            <v>-31453.77</v>
          </cell>
          <cell r="BY167">
            <v>-51617.42</v>
          </cell>
          <cell r="BZ167">
            <v>-31518.89</v>
          </cell>
          <cell r="CA167">
            <v>-50269.71</v>
          </cell>
          <cell r="CE167">
            <v>-274494.00000000006</v>
          </cell>
          <cell r="CG167">
            <v>0</v>
          </cell>
        </row>
        <row r="168">
          <cell r="A168" t="str">
            <v>4.1.1.1.07.00003</v>
          </cell>
          <cell r="B168" t="str">
            <v>IMOBILIZADO DE BAIXO VALOR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-270</v>
          </cell>
          <cell r="H168">
            <v>-835.06</v>
          </cell>
          <cell r="I168">
            <v>-1077.27</v>
          </cell>
          <cell r="J168">
            <v>-1177.73</v>
          </cell>
          <cell r="K168">
            <v>-1598.21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-217.37</v>
          </cell>
          <cell r="S168">
            <v>0</v>
          </cell>
          <cell r="T168">
            <v>-4905.6400000000003</v>
          </cell>
          <cell r="U168">
            <v>0</v>
          </cell>
          <cell r="V168">
            <v>-61.85</v>
          </cell>
          <cell r="W168">
            <v>0</v>
          </cell>
          <cell r="X168">
            <v>-2034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-2095.85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-1697.29</v>
          </cell>
          <cell r="AR168">
            <v>-339.96</v>
          </cell>
          <cell r="AS168">
            <v>0</v>
          </cell>
          <cell r="AT168">
            <v>-2037.25</v>
          </cell>
          <cell r="AU168">
            <v>0</v>
          </cell>
          <cell r="AV168">
            <v>-7263.84</v>
          </cell>
          <cell r="AW168">
            <v>-193.69</v>
          </cell>
          <cell r="AX168">
            <v>-6275.16</v>
          </cell>
          <cell r="AY168">
            <v>-2889.92</v>
          </cell>
          <cell r="AZ168">
            <v>-4661.95</v>
          </cell>
          <cell r="BA168">
            <v>-5770.88</v>
          </cell>
          <cell r="BB168">
            <v>-814.15</v>
          </cell>
          <cell r="BC168">
            <v>-693.02</v>
          </cell>
          <cell r="BD168">
            <v>0</v>
          </cell>
          <cell r="BE168">
            <v>0</v>
          </cell>
          <cell r="BF168">
            <v>0</v>
          </cell>
          <cell r="BG168">
            <v>-28562.610000000004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BQ168">
            <v>0</v>
          </cell>
          <cell r="BR168">
            <v>0</v>
          </cell>
          <cell r="BS168">
            <v>0</v>
          </cell>
          <cell r="BT168">
            <v>0</v>
          </cell>
          <cell r="BU168">
            <v>0</v>
          </cell>
          <cell r="BV168">
            <v>0</v>
          </cell>
          <cell r="BW168">
            <v>0</v>
          </cell>
          <cell r="BX168">
            <v>0</v>
          </cell>
          <cell r="BY168">
            <v>0</v>
          </cell>
          <cell r="BZ168">
            <v>0</v>
          </cell>
          <cell r="CA168">
            <v>0</v>
          </cell>
          <cell r="CE168">
            <v>0</v>
          </cell>
          <cell r="CG168">
            <v>0</v>
          </cell>
        </row>
        <row r="169">
          <cell r="A169" t="str">
            <v>4.1.1.1.07.00004</v>
          </cell>
          <cell r="B169" t="str">
            <v>LIMPEZA E CONSERVACAO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-520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-144.91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-144.91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-250</v>
          </cell>
          <cell r="AY169">
            <v>0</v>
          </cell>
          <cell r="AZ169">
            <v>-100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-350</v>
          </cell>
          <cell r="BH169">
            <v>-600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-837.16</v>
          </cell>
          <cell r="BN169">
            <v>-9283.2000000000007</v>
          </cell>
          <cell r="BO169">
            <v>-6680</v>
          </cell>
          <cell r="BP169">
            <v>-3100</v>
          </cell>
          <cell r="BQ169">
            <v>-11521.58</v>
          </cell>
          <cell r="BR169">
            <v>-5000</v>
          </cell>
          <cell r="BS169">
            <v>-240</v>
          </cell>
          <cell r="BT169">
            <v>-37261.94</v>
          </cell>
          <cell r="BU169">
            <v>-4760.3500000000004</v>
          </cell>
          <cell r="BV169">
            <v>-1934.76</v>
          </cell>
          <cell r="BW169">
            <v>-5920.4</v>
          </cell>
          <cell r="BX169">
            <v>0</v>
          </cell>
          <cell r="BY169">
            <v>-6856</v>
          </cell>
          <cell r="BZ169">
            <v>-2380</v>
          </cell>
          <cell r="CA169">
            <v>-1450</v>
          </cell>
          <cell r="CE169">
            <v>-23301.510000000002</v>
          </cell>
          <cell r="CG169">
            <v>0</v>
          </cell>
        </row>
        <row r="170">
          <cell r="A170" t="str">
            <v>4.1.1.1.07.00005</v>
          </cell>
          <cell r="B170" t="str">
            <v>MANUTENCAO MAQUINAS E EQUIPTO - PECAS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-1003.09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-20</v>
          </cell>
          <cell r="AD170">
            <v>0</v>
          </cell>
          <cell r="AE170">
            <v>0</v>
          </cell>
          <cell r="AF170">
            <v>0</v>
          </cell>
          <cell r="AG170">
            <v>-20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-80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-80</v>
          </cell>
          <cell r="AU170">
            <v>-1380</v>
          </cell>
          <cell r="AV170">
            <v>0</v>
          </cell>
          <cell r="AW170">
            <v>-321</v>
          </cell>
          <cell r="AX170">
            <v>-4054</v>
          </cell>
          <cell r="AY170">
            <v>-2183.39</v>
          </cell>
          <cell r="AZ170">
            <v>0</v>
          </cell>
          <cell r="BA170">
            <v>-2303.9899999999998</v>
          </cell>
          <cell r="BB170">
            <v>-6663.31</v>
          </cell>
          <cell r="BC170">
            <v>-3238.36</v>
          </cell>
          <cell r="BD170">
            <v>-2286.35</v>
          </cell>
          <cell r="BE170">
            <v>-9502.68</v>
          </cell>
          <cell r="BF170">
            <v>-5690.63</v>
          </cell>
          <cell r="BG170">
            <v>-37623.71</v>
          </cell>
          <cell r="BH170">
            <v>-7381.75</v>
          </cell>
          <cell r="BI170">
            <v>-3931.85</v>
          </cell>
          <cell r="BJ170">
            <v>-9686.17</v>
          </cell>
          <cell r="BK170">
            <v>-5863.84</v>
          </cell>
          <cell r="BL170">
            <v>-2411.5500000000002</v>
          </cell>
          <cell r="BM170">
            <v>-8198.5</v>
          </cell>
          <cell r="BN170">
            <v>-1326</v>
          </cell>
          <cell r="BO170">
            <v>-264</v>
          </cell>
          <cell r="BP170">
            <v>-11288.03</v>
          </cell>
          <cell r="BQ170">
            <v>-1085.6400000000001</v>
          </cell>
          <cell r="BR170">
            <v>-2274.69</v>
          </cell>
          <cell r="BS170">
            <v>0</v>
          </cell>
          <cell r="BT170">
            <v>-53712.020000000004</v>
          </cell>
          <cell r="BU170">
            <v>-11756.25</v>
          </cell>
          <cell r="BV170">
            <v>-3058.8</v>
          </cell>
          <cell r="BW170">
            <v>-2637.72</v>
          </cell>
          <cell r="BX170">
            <v>-12570.2</v>
          </cell>
          <cell r="BY170">
            <v>-2084.87</v>
          </cell>
          <cell r="BZ170">
            <v>-3537.55</v>
          </cell>
          <cell r="CA170">
            <v>-12481.88</v>
          </cell>
          <cell r="CE170">
            <v>-48127.27</v>
          </cell>
          <cell r="CG170">
            <v>0</v>
          </cell>
        </row>
        <row r="171">
          <cell r="A171" t="str">
            <v>4.1.1.1.07.00006</v>
          </cell>
          <cell r="B171" t="str">
            <v>MANUTENCAO MAQUINAS E EQUIPTO - SERVICOS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-54990.13</v>
          </cell>
          <cell r="H171">
            <v>-7195.86</v>
          </cell>
          <cell r="I171">
            <v>-3098</v>
          </cell>
          <cell r="J171">
            <v>-868</v>
          </cell>
          <cell r="K171">
            <v>-1590</v>
          </cell>
          <cell r="L171">
            <v>-2994</v>
          </cell>
          <cell r="M171">
            <v>-750</v>
          </cell>
          <cell r="N171">
            <v>-13960.5</v>
          </cell>
          <cell r="O171">
            <v>-17160.310000000001</v>
          </cell>
          <cell r="P171">
            <v>-9430</v>
          </cell>
          <cell r="Q171">
            <v>-13050</v>
          </cell>
          <cell r="R171">
            <v>-14320</v>
          </cell>
          <cell r="S171">
            <v>-12648</v>
          </cell>
          <cell r="T171">
            <v>-97064.67</v>
          </cell>
          <cell r="U171">
            <v>-7939.23</v>
          </cell>
          <cell r="V171">
            <v>-3644.83</v>
          </cell>
          <cell r="W171">
            <v>-6390</v>
          </cell>
          <cell r="X171">
            <v>-12867.6</v>
          </cell>
          <cell r="Y171">
            <v>-1978.4</v>
          </cell>
          <cell r="Z171">
            <v>-1640</v>
          </cell>
          <cell r="AA171">
            <v>-6200</v>
          </cell>
          <cell r="AB171">
            <v>-721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-41381.06</v>
          </cell>
          <cell r="AH171">
            <v>-955.27</v>
          </cell>
          <cell r="AI171">
            <v>0</v>
          </cell>
          <cell r="AJ171">
            <v>-450</v>
          </cell>
          <cell r="AK171">
            <v>0</v>
          </cell>
          <cell r="AL171">
            <v>-3550</v>
          </cell>
          <cell r="AM171">
            <v>0</v>
          </cell>
          <cell r="AN171">
            <v>-820</v>
          </cell>
          <cell r="AO171">
            <v>-6000</v>
          </cell>
          <cell r="AP171">
            <v>-8386.7999999999993</v>
          </cell>
          <cell r="AQ171">
            <v>-700</v>
          </cell>
          <cell r="AR171">
            <v>-7034.2</v>
          </cell>
          <cell r="AS171">
            <v>-9924.2999999999993</v>
          </cell>
          <cell r="AT171">
            <v>-37820.57</v>
          </cell>
          <cell r="AU171">
            <v>-2650</v>
          </cell>
          <cell r="AV171">
            <v>-610</v>
          </cell>
          <cell r="AW171">
            <v>-3207</v>
          </cell>
          <cell r="AX171">
            <v>-370.12</v>
          </cell>
          <cell r="AY171">
            <v>-21345</v>
          </cell>
          <cell r="AZ171">
            <v>-22012</v>
          </cell>
          <cell r="BA171">
            <v>-700</v>
          </cell>
          <cell r="BB171">
            <v>-7156</v>
          </cell>
          <cell r="BC171">
            <v>-1340</v>
          </cell>
          <cell r="BD171">
            <v>-1258</v>
          </cell>
          <cell r="BE171">
            <v>-1440</v>
          </cell>
          <cell r="BF171">
            <v>18240</v>
          </cell>
          <cell r="BG171">
            <v>-43848.119999999995</v>
          </cell>
          <cell r="BH171">
            <v>-13864.78</v>
          </cell>
          <cell r="BI171">
            <v>-3310.28</v>
          </cell>
          <cell r="BJ171">
            <v>-16216.12</v>
          </cell>
          <cell r="BK171">
            <v>-28845.94</v>
          </cell>
          <cell r="BL171">
            <v>-51774.78</v>
          </cell>
          <cell r="BM171">
            <v>-69788.97</v>
          </cell>
          <cell r="BN171">
            <v>-40227.379999999997</v>
          </cell>
          <cell r="BO171">
            <v>-19272.57</v>
          </cell>
          <cell r="BP171">
            <v>-20991.06</v>
          </cell>
          <cell r="BQ171">
            <v>-5169.74</v>
          </cell>
          <cell r="BR171">
            <v>-6374.25</v>
          </cell>
          <cell r="BS171">
            <v>-1003</v>
          </cell>
          <cell r="BT171">
            <v>-276838.87</v>
          </cell>
          <cell r="BU171">
            <v>-2405.77</v>
          </cell>
          <cell r="BV171">
            <v>-5037.8900000000003</v>
          </cell>
          <cell r="BW171">
            <v>-24323.4</v>
          </cell>
          <cell r="BX171">
            <v>-8562.16</v>
          </cell>
          <cell r="BY171">
            <v>-22456.37</v>
          </cell>
          <cell r="BZ171">
            <v>-11777.1</v>
          </cell>
          <cell r="CA171">
            <v>-46233.02</v>
          </cell>
          <cell r="CE171">
            <v>-120795.70999999999</v>
          </cell>
          <cell r="CG171">
            <v>0</v>
          </cell>
        </row>
        <row r="172">
          <cell r="A172" t="str">
            <v>4.1.1.1.07.00007</v>
          </cell>
          <cell r="B172" t="str">
            <v>MATERIAL DE USO E CONSUMO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-275119.87</v>
          </cell>
          <cell r="H172">
            <v>-20314.63</v>
          </cell>
          <cell r="I172">
            <v>-19081.32</v>
          </cell>
          <cell r="J172">
            <v>-21528.06</v>
          </cell>
          <cell r="K172">
            <v>-35064.9</v>
          </cell>
          <cell r="L172">
            <v>-40075.759999999995</v>
          </cell>
          <cell r="M172">
            <v>-24575.61</v>
          </cell>
          <cell r="N172">
            <v>-41360.03</v>
          </cell>
          <cell r="O172">
            <v>-40918.11</v>
          </cell>
          <cell r="P172">
            <v>-27246.41</v>
          </cell>
          <cell r="Q172">
            <v>-47826.48</v>
          </cell>
          <cell r="R172">
            <v>-21095.52</v>
          </cell>
          <cell r="S172">
            <v>-11729.22</v>
          </cell>
          <cell r="T172">
            <v>-350816.04999999993</v>
          </cell>
          <cell r="U172">
            <v>-19517.240000000002</v>
          </cell>
          <cell r="V172">
            <v>-31796.67</v>
          </cell>
          <cell r="W172">
            <v>-26550.5</v>
          </cell>
          <cell r="X172">
            <v>-34630.959999999999</v>
          </cell>
          <cell r="Y172">
            <v>-51876.94</v>
          </cell>
          <cell r="Z172">
            <v>-31456.85</v>
          </cell>
          <cell r="AA172">
            <v>-20336.54</v>
          </cell>
          <cell r="AB172">
            <v>-18844.57</v>
          </cell>
          <cell r="AC172">
            <v>-23600.95</v>
          </cell>
          <cell r="AD172">
            <v>-18780.830000000002</v>
          </cell>
          <cell r="AE172">
            <v>-37632.239999999998</v>
          </cell>
          <cell r="AF172">
            <v>-18164.189999999999</v>
          </cell>
          <cell r="AG172">
            <v>-333188.48000000004</v>
          </cell>
          <cell r="AH172">
            <v>-30046.71</v>
          </cell>
          <cell r="AI172">
            <v>-24691.08</v>
          </cell>
          <cell r="AJ172">
            <v>-30025.51</v>
          </cell>
          <cell r="AK172">
            <v>-6623.35</v>
          </cell>
          <cell r="AL172">
            <v>-10834.76</v>
          </cell>
          <cell r="AM172">
            <v>-36044.660000000003</v>
          </cell>
          <cell r="AN172">
            <v>-38723.910000000003</v>
          </cell>
          <cell r="AO172">
            <v>-43766.26</v>
          </cell>
          <cell r="AP172">
            <v>-56315.73</v>
          </cell>
          <cell r="AQ172">
            <v>-52027.159999999996</v>
          </cell>
          <cell r="AR172">
            <v>-57543.450000000004</v>
          </cell>
          <cell r="AS172">
            <v>-59364.25</v>
          </cell>
          <cell r="AT172">
            <v>-446006.83</v>
          </cell>
          <cell r="AU172">
            <v>-47653.15</v>
          </cell>
          <cell r="AV172">
            <v>-64505.08</v>
          </cell>
          <cell r="AW172">
            <v>-74935.16</v>
          </cell>
          <cell r="AX172">
            <v>-101123.90999999999</v>
          </cell>
          <cell r="AY172">
            <v>-116540.16</v>
          </cell>
          <cell r="AZ172">
            <v>-93831.37</v>
          </cell>
          <cell r="BA172">
            <v>-82434.559999999998</v>
          </cell>
          <cell r="BB172">
            <v>-115638.29999999999</v>
          </cell>
          <cell r="BC172">
            <v>-77124.099999999991</v>
          </cell>
          <cell r="BD172">
            <v>-80603.94</v>
          </cell>
          <cell r="BE172">
            <v>-91254.14</v>
          </cell>
          <cell r="BF172">
            <v>-52346.84</v>
          </cell>
          <cell r="BG172">
            <v>-997990.71</v>
          </cell>
          <cell r="BH172">
            <v>-50271.22</v>
          </cell>
          <cell r="BI172">
            <v>-113883.03</v>
          </cell>
          <cell r="BJ172">
            <v>-78979.110000000015</v>
          </cell>
          <cell r="BK172">
            <v>-67933.240000000005</v>
          </cell>
          <cell r="BL172">
            <v>-137718.19999999998</v>
          </cell>
          <cell r="BM172">
            <v>-183373.51</v>
          </cell>
          <cell r="BN172">
            <v>-161123.69</v>
          </cell>
          <cell r="BO172">
            <v>-192913.77</v>
          </cell>
          <cell r="BP172">
            <v>-174443.63999999998</v>
          </cell>
          <cell r="BQ172">
            <v>-169268.19</v>
          </cell>
          <cell r="BR172">
            <v>-115145.70000000001</v>
          </cell>
          <cell r="BS172">
            <v>-65032.529999999992</v>
          </cell>
          <cell r="BT172">
            <v>-1510085.8299999998</v>
          </cell>
          <cell r="BU172">
            <v>-148701.04999999999</v>
          </cell>
          <cell r="BV172">
            <v>-122247.56999999999</v>
          </cell>
          <cell r="BW172">
            <v>-167607.11000000002</v>
          </cell>
          <cell r="BX172">
            <v>-99536.68</v>
          </cell>
          <cell r="BY172">
            <v>-128429.29</v>
          </cell>
          <cell r="BZ172">
            <v>-128002.48999999999</v>
          </cell>
          <cell r="CA172">
            <v>-137070.81</v>
          </cell>
          <cell r="CE172">
            <v>-931595</v>
          </cell>
          <cell r="CG172">
            <v>0</v>
          </cell>
        </row>
        <row r="173">
          <cell r="A173" t="str">
            <v>4.1.1.1.07.00008</v>
          </cell>
          <cell r="B173" t="str">
            <v>COMBUSTIVEIS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-42955.28</v>
          </cell>
          <cell r="H173">
            <v>-1792.12</v>
          </cell>
          <cell r="I173">
            <v>-3393.45</v>
          </cell>
          <cell r="J173">
            <v>-3369.7</v>
          </cell>
          <cell r="K173">
            <v>-5156.1499999999996</v>
          </cell>
          <cell r="L173">
            <v>-3992.75</v>
          </cell>
          <cell r="M173">
            <v>-4387.46</v>
          </cell>
          <cell r="N173">
            <v>-5923.39</v>
          </cell>
          <cell r="O173">
            <v>-7465.52</v>
          </cell>
          <cell r="P173">
            <v>-6713.83</v>
          </cell>
          <cell r="Q173">
            <v>-13279.59</v>
          </cell>
          <cell r="R173">
            <v>-5992.65</v>
          </cell>
          <cell r="S173">
            <v>-3350.94</v>
          </cell>
          <cell r="T173">
            <v>-64817.549999999996</v>
          </cell>
          <cell r="U173">
            <v>-4642.33</v>
          </cell>
          <cell r="V173">
            <v>-2896.22</v>
          </cell>
          <cell r="W173">
            <v>-8608.16</v>
          </cell>
          <cell r="X173">
            <v>-5869.76</v>
          </cell>
          <cell r="Y173">
            <v>-7654.4</v>
          </cell>
          <cell r="Z173">
            <v>-6186.19</v>
          </cell>
          <cell r="AA173">
            <v>-6453.03</v>
          </cell>
          <cell r="AB173">
            <v>-7090.51</v>
          </cell>
          <cell r="AC173">
            <v>-6468.7</v>
          </cell>
          <cell r="AD173">
            <v>-6135.99</v>
          </cell>
          <cell r="AE173">
            <v>-6566.56</v>
          </cell>
          <cell r="AF173">
            <v>-4441.51</v>
          </cell>
          <cell r="AG173">
            <v>-73013.36</v>
          </cell>
          <cell r="AH173">
            <v>-9204.34</v>
          </cell>
          <cell r="AI173">
            <v>-6963.49</v>
          </cell>
          <cell r="AJ173">
            <v>-6862.33</v>
          </cell>
          <cell r="AK173">
            <v>-3224.51</v>
          </cell>
          <cell r="AL173">
            <v>-3382.33</v>
          </cell>
          <cell r="AM173">
            <v>-6704.41</v>
          </cell>
          <cell r="AN173">
            <v>-3705.93</v>
          </cell>
          <cell r="AO173">
            <v>-10026.43</v>
          </cell>
          <cell r="AP173">
            <v>-8417.69</v>
          </cell>
          <cell r="AQ173">
            <v>-10993.03</v>
          </cell>
          <cell r="AR173">
            <v>-11869.81</v>
          </cell>
          <cell r="AS173">
            <v>-7214.52</v>
          </cell>
          <cell r="AT173">
            <v>-88568.82</v>
          </cell>
          <cell r="AU173">
            <v>-11397.63</v>
          </cell>
          <cell r="AV173">
            <v>-10604.04</v>
          </cell>
          <cell r="AW173">
            <v>-17546.63</v>
          </cell>
          <cell r="AX173">
            <v>-17118.46</v>
          </cell>
          <cell r="AY173">
            <v>-16827.349999999999</v>
          </cell>
          <cell r="AZ173">
            <v>-20136.22</v>
          </cell>
          <cell r="BA173">
            <v>-14300.22</v>
          </cell>
          <cell r="BB173">
            <v>-18003.900000000001</v>
          </cell>
          <cell r="BC173">
            <v>-19233.060000000001</v>
          </cell>
          <cell r="BD173">
            <v>-14613.43</v>
          </cell>
          <cell r="BE173">
            <v>-11549.61</v>
          </cell>
          <cell r="BF173">
            <v>-11644.93</v>
          </cell>
          <cell r="BG173">
            <v>-182975.47999999998</v>
          </cell>
          <cell r="BH173">
            <v>-15200.67</v>
          </cell>
          <cell r="BI173">
            <v>-22864.77</v>
          </cell>
          <cell r="BJ173">
            <v>-24966.54</v>
          </cell>
          <cell r="BK173">
            <v>-20586.990000000002</v>
          </cell>
          <cell r="BL173">
            <v>-24984.99</v>
          </cell>
          <cell r="BM173">
            <v>-20817.38</v>
          </cell>
          <cell r="BN173">
            <v>-13730.72</v>
          </cell>
          <cell r="BO173">
            <v>-12908.69</v>
          </cell>
          <cell r="BP173">
            <v>-12655.38</v>
          </cell>
          <cell r="BQ173">
            <v>-15442.82</v>
          </cell>
          <cell r="BR173">
            <v>-8919.2099999999991</v>
          </cell>
          <cell r="BS173">
            <v>-7927.47</v>
          </cell>
          <cell r="BT173">
            <v>-201005.63</v>
          </cell>
          <cell r="BU173">
            <v>-14085</v>
          </cell>
          <cell r="BV173">
            <v>-11566.86</v>
          </cell>
          <cell r="BW173">
            <v>-11257.07</v>
          </cell>
          <cell r="BX173">
            <v>-12618.52</v>
          </cell>
          <cell r="BY173">
            <v>-11363.29</v>
          </cell>
          <cell r="BZ173">
            <v>-11149.06</v>
          </cell>
          <cell r="CA173">
            <v>-14520.51</v>
          </cell>
          <cell r="CE173">
            <v>-86560.31</v>
          </cell>
          <cell r="CG173">
            <v>0</v>
          </cell>
        </row>
        <row r="174">
          <cell r="A174" t="str">
            <v>4.1.1.1.07.00009</v>
          </cell>
          <cell r="B174" t="str">
            <v>OUTROS SERVICOS PJ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-199002.55</v>
          </cell>
          <cell r="H174">
            <v>-12897.18</v>
          </cell>
          <cell r="I174">
            <v>-5805.55</v>
          </cell>
          <cell r="J174">
            <v>-11982.31</v>
          </cell>
          <cell r="K174">
            <v>-27495.010000000002</v>
          </cell>
          <cell r="L174">
            <v>-37055.160000000003</v>
          </cell>
          <cell r="M174">
            <v>-17008.91</v>
          </cell>
          <cell r="N174">
            <v>-31664.05</v>
          </cell>
          <cell r="O174">
            <v>-2172.6799999999998</v>
          </cell>
          <cell r="P174">
            <v>-13091.94</v>
          </cell>
          <cell r="Q174">
            <v>-27454.67</v>
          </cell>
          <cell r="R174">
            <v>-23977.46</v>
          </cell>
          <cell r="S174">
            <v>-11080.02</v>
          </cell>
          <cell r="T174">
            <v>-221684.94</v>
          </cell>
          <cell r="U174">
            <v>-11704.73</v>
          </cell>
          <cell r="V174">
            <v>-14399.9</v>
          </cell>
          <cell r="W174">
            <v>-15194.47</v>
          </cell>
          <cell r="X174">
            <v>-16545.98</v>
          </cell>
          <cell r="Y174">
            <v>-18618.73</v>
          </cell>
          <cell r="Z174">
            <v>-19650.669999999998</v>
          </cell>
          <cell r="AA174">
            <v>-27812.61</v>
          </cell>
          <cell r="AB174">
            <v>-18431.18</v>
          </cell>
          <cell r="AC174">
            <v>-15353.29</v>
          </cell>
          <cell r="AD174">
            <v>-25527.14</v>
          </cell>
          <cell r="AE174">
            <v>-54706.38</v>
          </cell>
          <cell r="AF174">
            <v>-30881.06</v>
          </cell>
          <cell r="AG174">
            <v>-268826.14</v>
          </cell>
          <cell r="AH174">
            <v>-13057.03</v>
          </cell>
          <cell r="AI174">
            <v>-34081.980000000003</v>
          </cell>
          <cell r="AJ174">
            <v>-19654.21</v>
          </cell>
          <cell r="AK174">
            <v>-14975.99</v>
          </cell>
          <cell r="AL174">
            <v>-6023.98</v>
          </cell>
          <cell r="AM174">
            <v>-10692.89</v>
          </cell>
          <cell r="AN174">
            <v>-5111.8100000000004</v>
          </cell>
          <cell r="AO174">
            <v>-21397.360000000001</v>
          </cell>
          <cell r="AP174">
            <v>-39506.870000000003</v>
          </cell>
          <cell r="AQ174">
            <v>-27330.1</v>
          </cell>
          <cell r="AR174">
            <v>-20001.7</v>
          </cell>
          <cell r="AS174">
            <v>-32509.26</v>
          </cell>
          <cell r="AT174">
            <v>-244343.18000000002</v>
          </cell>
          <cell r="AU174">
            <v>-16085.88</v>
          </cell>
          <cell r="AV174">
            <v>-128632.11</v>
          </cell>
          <cell r="AW174">
            <v>-40561.65</v>
          </cell>
          <cell r="AX174">
            <v>-37336.69</v>
          </cell>
          <cell r="AY174">
            <v>-44158.76</v>
          </cell>
          <cell r="AZ174">
            <v>-54072.81</v>
          </cell>
          <cell r="BA174">
            <v>-77759.509999999995</v>
          </cell>
          <cell r="BB174">
            <v>-70328.600000000006</v>
          </cell>
          <cell r="BC174">
            <v>-60433.63</v>
          </cell>
          <cell r="BD174">
            <v>-159508.21</v>
          </cell>
          <cell r="BE174">
            <v>-113691.52</v>
          </cell>
          <cell r="BF174">
            <v>-145319.01</v>
          </cell>
          <cell r="BG174">
            <v>-947888.38</v>
          </cell>
          <cell r="BH174">
            <v>-161565.99</v>
          </cell>
          <cell r="BI174">
            <v>-421217.43</v>
          </cell>
          <cell r="BJ174">
            <v>-134595.05000000002</v>
          </cell>
          <cell r="BK174">
            <v>-126386.62</v>
          </cell>
          <cell r="BL174">
            <v>-302764.49</v>
          </cell>
          <cell r="BM174">
            <v>-116406.17</v>
          </cell>
          <cell r="BN174">
            <v>-127576.61</v>
          </cell>
          <cell r="BO174">
            <v>-156317.58000000002</v>
          </cell>
          <cell r="BP174">
            <v>-157390.39999999999</v>
          </cell>
          <cell r="BQ174">
            <v>-155969.60999999999</v>
          </cell>
          <cell r="BR174">
            <v>-194528.09</v>
          </cell>
          <cell r="BS174">
            <v>-301776.45</v>
          </cell>
          <cell r="BT174">
            <v>-2356494.4900000002</v>
          </cell>
          <cell r="BU174">
            <v>-272873.53999999998</v>
          </cell>
          <cell r="BV174">
            <v>-322687.98</v>
          </cell>
          <cell r="BW174">
            <v>-165373.01999999999</v>
          </cell>
          <cell r="BX174">
            <v>-172385.85</v>
          </cell>
          <cell r="BY174">
            <v>-152276.32999999999</v>
          </cell>
          <cell r="BZ174">
            <v>-173642.8</v>
          </cell>
          <cell r="CA174">
            <v>-184126.75</v>
          </cell>
          <cell r="CE174">
            <v>-1443366.27</v>
          </cell>
          <cell r="CG174">
            <v>0</v>
          </cell>
        </row>
        <row r="175">
          <cell r="A175" t="str">
            <v>4.1.1.1.07.00010</v>
          </cell>
          <cell r="B175" t="str">
            <v>OUTROS SERVICOS PF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BQ175">
            <v>0</v>
          </cell>
          <cell r="BR175">
            <v>0</v>
          </cell>
          <cell r="BS175">
            <v>0</v>
          </cell>
          <cell r="BT175">
            <v>0</v>
          </cell>
          <cell r="BU175">
            <v>0</v>
          </cell>
          <cell r="BV175">
            <v>0</v>
          </cell>
          <cell r="BW175">
            <v>0</v>
          </cell>
          <cell r="BX175">
            <v>0</v>
          </cell>
          <cell r="BY175">
            <v>0</v>
          </cell>
          <cell r="BZ175">
            <v>0</v>
          </cell>
          <cell r="CA175">
            <v>0</v>
          </cell>
          <cell r="CE175">
            <v>0</v>
          </cell>
          <cell r="CG175">
            <v>0</v>
          </cell>
        </row>
        <row r="176">
          <cell r="A176" t="str">
            <v>4.1.1.1.10</v>
          </cell>
          <cell r="B176" t="str">
            <v>MATERIA-PRIMA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  <cell r="BP176">
            <v>0</v>
          </cell>
          <cell r="BQ176">
            <v>0</v>
          </cell>
          <cell r="BR176">
            <v>0</v>
          </cell>
          <cell r="BS176">
            <v>0</v>
          </cell>
          <cell r="BT176">
            <v>0</v>
          </cell>
          <cell r="BU176">
            <v>0</v>
          </cell>
          <cell r="BV176">
            <v>0</v>
          </cell>
          <cell r="BW176">
            <v>0</v>
          </cell>
          <cell r="BX176">
            <v>0</v>
          </cell>
          <cell r="BY176">
            <v>0</v>
          </cell>
          <cell r="BZ176">
            <v>0</v>
          </cell>
          <cell r="CA176">
            <v>0</v>
          </cell>
          <cell r="CE176">
            <v>0</v>
          </cell>
          <cell r="CG176">
            <v>0</v>
          </cell>
        </row>
        <row r="177">
          <cell r="A177" t="str">
            <v>4.1.1.1.10.00001</v>
          </cell>
          <cell r="B177" t="str">
            <v>ESTOQUE INICIAL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BQ177">
            <v>0</v>
          </cell>
          <cell r="BR177">
            <v>0</v>
          </cell>
          <cell r="BS177">
            <v>0</v>
          </cell>
          <cell r="BT177">
            <v>0</v>
          </cell>
          <cell r="BU177">
            <v>0</v>
          </cell>
          <cell r="BV177">
            <v>0</v>
          </cell>
          <cell r="BW177">
            <v>0</v>
          </cell>
          <cell r="BX177">
            <v>0</v>
          </cell>
          <cell r="BY177">
            <v>0</v>
          </cell>
          <cell r="BZ177">
            <v>0</v>
          </cell>
          <cell r="CA177">
            <v>0</v>
          </cell>
          <cell r="CE177">
            <v>0</v>
          </cell>
          <cell r="CG177">
            <v>0</v>
          </cell>
        </row>
        <row r="178">
          <cell r="A178" t="str">
            <v>4.1.1.1.10.00006</v>
          </cell>
          <cell r="B178" t="str">
            <v>SERVICOS DE TERCEIROS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-954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BR178">
            <v>0</v>
          </cell>
          <cell r="BS178">
            <v>0</v>
          </cell>
          <cell r="BT178">
            <v>0</v>
          </cell>
          <cell r="BU178">
            <v>0</v>
          </cell>
          <cell r="BV178">
            <v>0</v>
          </cell>
          <cell r="BW178">
            <v>0</v>
          </cell>
          <cell r="BX178">
            <v>0</v>
          </cell>
          <cell r="BY178">
            <v>0</v>
          </cell>
          <cell r="BZ178">
            <v>0</v>
          </cell>
          <cell r="CA178">
            <v>0</v>
          </cell>
          <cell r="CE178">
            <v>0</v>
          </cell>
          <cell r="CG178">
            <v>0</v>
          </cell>
        </row>
        <row r="179">
          <cell r="A179" t="str">
            <v>4.1.1.1.10.00098</v>
          </cell>
          <cell r="B179" t="str">
            <v>(-) ESTOQUE FINAL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BR179">
            <v>0</v>
          </cell>
          <cell r="BS179">
            <v>0</v>
          </cell>
          <cell r="BT179">
            <v>0</v>
          </cell>
          <cell r="BU179">
            <v>0</v>
          </cell>
          <cell r="BV179">
            <v>0</v>
          </cell>
          <cell r="BW179">
            <v>0</v>
          </cell>
          <cell r="BX179">
            <v>0</v>
          </cell>
          <cell r="BY179">
            <v>0</v>
          </cell>
          <cell r="BZ179">
            <v>0</v>
          </cell>
          <cell r="CA179">
            <v>0</v>
          </cell>
          <cell r="CE179">
            <v>0</v>
          </cell>
          <cell r="CG179">
            <v>0</v>
          </cell>
        </row>
        <row r="180">
          <cell r="A180" t="str">
            <v>4.1.1.1.13</v>
          </cell>
          <cell r="B180" t="str">
            <v>PRODUTOS ACABADOS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-5805952.9400000004</v>
          </cell>
          <cell r="H180">
            <v>-385952.36</v>
          </cell>
          <cell r="I180">
            <v>-570674.17000000004</v>
          </cell>
          <cell r="J180">
            <v>-471789.79</v>
          </cell>
          <cell r="K180">
            <v>-784883.67999999993</v>
          </cell>
          <cell r="L180">
            <v>-319549.77</v>
          </cell>
          <cell r="M180">
            <v>-498084.24</v>
          </cell>
          <cell r="N180">
            <v>-963651.8</v>
          </cell>
          <cell r="O180">
            <v>-920833.19</v>
          </cell>
          <cell r="P180">
            <v>-865916.45</v>
          </cell>
          <cell r="Q180">
            <v>-767897.68</v>
          </cell>
          <cell r="R180">
            <v>-481946.74</v>
          </cell>
          <cell r="S180">
            <v>-272994.90000000002</v>
          </cell>
          <cell r="T180">
            <v>-7304174.7700000005</v>
          </cell>
          <cell r="U180">
            <v>-736813.75</v>
          </cell>
          <cell r="V180">
            <v>-627668.89</v>
          </cell>
          <cell r="W180">
            <v>-754334.75</v>
          </cell>
          <cell r="X180">
            <v>-957305.84</v>
          </cell>
          <cell r="Y180">
            <v>-713347.45</v>
          </cell>
          <cell r="Z180">
            <v>-679793.75</v>
          </cell>
          <cell r="AA180">
            <v>-483291.6</v>
          </cell>
          <cell r="AB180">
            <v>-446955.84</v>
          </cell>
          <cell r="AC180">
            <v>-1057584.3799999999</v>
          </cell>
          <cell r="AD180">
            <v>-1343218.6800000002</v>
          </cell>
          <cell r="AE180">
            <v>-703166.81</v>
          </cell>
          <cell r="AF180">
            <v>-468993.05</v>
          </cell>
          <cell r="AG180">
            <v>-8972474.790000001</v>
          </cell>
          <cell r="AH180">
            <v>-975980.59000000008</v>
          </cell>
          <cell r="AI180">
            <v>-734699.47</v>
          </cell>
          <cell r="AJ180">
            <v>-599278.80999999994</v>
          </cell>
          <cell r="AK180">
            <v>-463875.13</v>
          </cell>
          <cell r="AL180">
            <v>-782913.41999999993</v>
          </cell>
          <cell r="AM180">
            <v>-1382761.01</v>
          </cell>
          <cell r="AN180">
            <v>-1395975.6900000002</v>
          </cell>
          <cell r="AO180">
            <v>-1663566.52</v>
          </cell>
          <cell r="AP180">
            <v>-1729793.9100000001</v>
          </cell>
          <cell r="AQ180">
            <v>-1965727.34</v>
          </cell>
          <cell r="AR180">
            <v>-1735791.59</v>
          </cell>
          <cell r="AS180">
            <v>-1580463.79</v>
          </cell>
          <cell r="AT180">
            <v>-15010827.27</v>
          </cell>
          <cell r="AU180">
            <v>-1799212.4100000001</v>
          </cell>
          <cell r="AV180">
            <v>-2054695.23</v>
          </cell>
          <cell r="AW180">
            <v>-2140224.6399999997</v>
          </cell>
          <cell r="AX180">
            <v>-1888166.39</v>
          </cell>
          <cell r="AY180">
            <v>-3139535.1</v>
          </cell>
          <cell r="AZ180">
            <v>-3338054.41</v>
          </cell>
          <cell r="BA180">
            <v>-3316854.7</v>
          </cell>
          <cell r="BB180">
            <v>-3393423.49</v>
          </cell>
          <cell r="BC180">
            <v>-3244603.87</v>
          </cell>
          <cell r="BD180">
            <v>-3183450.4699999997</v>
          </cell>
          <cell r="BE180">
            <v>-2690221.29</v>
          </cell>
          <cell r="BF180">
            <v>-2569077.58</v>
          </cell>
          <cell r="BG180">
            <v>-32757519.579999998</v>
          </cell>
          <cell r="BH180">
            <v>-2113286.88</v>
          </cell>
          <cell r="BI180">
            <v>-2465742.13</v>
          </cell>
          <cell r="BJ180">
            <v>-4780301.2299999995</v>
          </cell>
          <cell r="BK180">
            <v>-2785456.8200000003</v>
          </cell>
          <cell r="BL180">
            <v>-3301411.2800000003</v>
          </cell>
          <cell r="BM180">
            <v>-3231547.19</v>
          </cell>
          <cell r="BN180">
            <v>-2320650.15</v>
          </cell>
          <cell r="BO180">
            <v>-3111485.5599999996</v>
          </cell>
          <cell r="BP180">
            <v>-2724604.1999999997</v>
          </cell>
          <cell r="BQ180">
            <v>-2046476.9</v>
          </cell>
          <cell r="BR180">
            <v>-2524616.58</v>
          </cell>
          <cell r="BS180">
            <v>-1795297.49</v>
          </cell>
          <cell r="BT180">
            <v>-33200876.409999993</v>
          </cell>
          <cell r="BU180">
            <v>-1414008.91</v>
          </cell>
          <cell r="BV180">
            <v>-1697992.1400000001</v>
          </cell>
          <cell r="BW180">
            <v>-2021787.24</v>
          </cell>
          <cell r="BX180">
            <v>-1623876.4</v>
          </cell>
          <cell r="BY180">
            <v>-3250415.77</v>
          </cell>
          <cell r="BZ180">
            <v>-3219923.5999999996</v>
          </cell>
          <cell r="CA180">
            <v>-1679038.78</v>
          </cell>
          <cell r="CE180">
            <v>-14907042.839999998</v>
          </cell>
          <cell r="CG180">
            <v>0</v>
          </cell>
        </row>
        <row r="181">
          <cell r="A181" t="str">
            <v>4.1.1.1.20</v>
          </cell>
          <cell r="B181" t="str">
            <v>CUSTO MERCADORIAS REVENDIDAS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-2945614.84</v>
          </cell>
          <cell r="H181">
            <v>-168058.97</v>
          </cell>
          <cell r="I181">
            <v>-148331.44</v>
          </cell>
          <cell r="J181">
            <v>-624305.03</v>
          </cell>
          <cell r="K181">
            <v>-151947.96</v>
          </cell>
          <cell r="L181">
            <v>-113913.67</v>
          </cell>
          <cell r="M181">
            <v>-484879.18</v>
          </cell>
          <cell r="N181">
            <v>-576053.85</v>
          </cell>
          <cell r="O181">
            <v>-261119.14</v>
          </cell>
          <cell r="P181">
            <v>-508762.61</v>
          </cell>
          <cell r="Q181">
            <v>-478186.58</v>
          </cell>
          <cell r="R181">
            <v>-321707.76</v>
          </cell>
          <cell r="S181">
            <v>-194479</v>
          </cell>
          <cell r="T181">
            <v>-4031745.1900000004</v>
          </cell>
          <cell r="U181">
            <v>-450849.36</v>
          </cell>
          <cell r="V181">
            <v>-321534.86</v>
          </cell>
          <cell r="W181">
            <v>-380671.2</v>
          </cell>
          <cell r="X181">
            <v>-317321.28000000003</v>
          </cell>
          <cell r="Y181">
            <v>-520276.69</v>
          </cell>
          <cell r="Z181">
            <v>-304377.78999999998</v>
          </cell>
          <cell r="AA181">
            <v>-502267.74</v>
          </cell>
          <cell r="AB181">
            <v>-655483.23</v>
          </cell>
          <cell r="AC181">
            <v>-681312.64</v>
          </cell>
          <cell r="AD181">
            <v>-415557.91</v>
          </cell>
          <cell r="AE181">
            <v>-533414.15</v>
          </cell>
          <cell r="AF181">
            <v>-403704.5</v>
          </cell>
          <cell r="AG181">
            <v>-5486771.3500000006</v>
          </cell>
          <cell r="AH181">
            <v>-340553.8</v>
          </cell>
          <cell r="AI181">
            <v>-204791.25</v>
          </cell>
          <cell r="AJ181">
            <v>-200320.58</v>
          </cell>
          <cell r="AK181">
            <v>-345089.64</v>
          </cell>
          <cell r="AL181">
            <v>-382038.57</v>
          </cell>
          <cell r="AM181">
            <v>-164485.56999999998</v>
          </cell>
          <cell r="AN181">
            <v>-504155.87999999995</v>
          </cell>
          <cell r="AO181">
            <v>-323342.06</v>
          </cell>
          <cell r="AP181">
            <v>-339684.11</v>
          </cell>
          <cell r="AQ181">
            <v>-702809.92999999993</v>
          </cell>
          <cell r="AR181">
            <v>-503380.08</v>
          </cell>
          <cell r="AS181">
            <v>-392814.69</v>
          </cell>
          <cell r="AT181">
            <v>-4403466.16</v>
          </cell>
          <cell r="AU181">
            <v>-523809.54</v>
          </cell>
          <cell r="AV181">
            <v>-315033.35000000003</v>
          </cell>
          <cell r="AW181">
            <v>-503260.14</v>
          </cell>
          <cell r="AX181">
            <v>-1173729.8</v>
          </cell>
          <cell r="AY181">
            <v>-655950.20000000007</v>
          </cell>
          <cell r="AZ181">
            <v>-809394.5</v>
          </cell>
          <cell r="BA181">
            <v>-1237662.8799999999</v>
          </cell>
          <cell r="BB181">
            <v>-561285.53999999992</v>
          </cell>
          <cell r="BC181">
            <v>-577080.41</v>
          </cell>
          <cell r="BD181">
            <v>-810946.24</v>
          </cell>
          <cell r="BE181">
            <v>107162.25</v>
          </cell>
          <cell r="BF181">
            <v>-421270.99</v>
          </cell>
          <cell r="BG181">
            <v>-7482261.3400000008</v>
          </cell>
          <cell r="BH181">
            <v>-453020.93</v>
          </cell>
          <cell r="BI181">
            <v>-378867.76999999996</v>
          </cell>
          <cell r="BJ181">
            <v>-958211.54</v>
          </cell>
          <cell r="BK181">
            <v>-315985.44</v>
          </cell>
          <cell r="BL181">
            <v>-381637.67000000004</v>
          </cell>
          <cell r="BM181">
            <v>-474294.52</v>
          </cell>
          <cell r="BN181">
            <v>-867714.96000000008</v>
          </cell>
          <cell r="BO181">
            <v>-807852.39999999991</v>
          </cell>
          <cell r="BP181">
            <v>-781327.72</v>
          </cell>
          <cell r="BQ181">
            <v>-799013.46</v>
          </cell>
          <cell r="BR181">
            <v>-389162.80999999994</v>
          </cell>
          <cell r="BS181">
            <v>-1416380.52</v>
          </cell>
          <cell r="BT181">
            <v>-8023469.7400000002</v>
          </cell>
          <cell r="BU181">
            <v>-604895.86</v>
          </cell>
          <cell r="BV181">
            <v>-964042.96000000008</v>
          </cell>
          <cell r="BW181">
            <v>-854264.01</v>
          </cell>
          <cell r="BX181">
            <v>-790367.01</v>
          </cell>
          <cell r="BY181">
            <v>-1212521.8799999999</v>
          </cell>
          <cell r="BZ181">
            <v>-739645.12</v>
          </cell>
          <cell r="CA181">
            <v>-773758.42</v>
          </cell>
          <cell r="CE181">
            <v>-5939495.2599999998</v>
          </cell>
          <cell r="CG181">
            <v>0</v>
          </cell>
        </row>
        <row r="182">
          <cell r="A182" t="str">
            <v>4.1.1.1.20.00001</v>
          </cell>
          <cell r="B182" t="str">
            <v>ESTOQUE INICIAL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0</v>
          </cell>
          <cell r="BM182">
            <v>0</v>
          </cell>
          <cell r="BN182">
            <v>0</v>
          </cell>
          <cell r="BO182">
            <v>0</v>
          </cell>
          <cell r="BP182">
            <v>0</v>
          </cell>
          <cell r="BQ182">
            <v>0</v>
          </cell>
          <cell r="BR182">
            <v>0</v>
          </cell>
          <cell r="BS182">
            <v>0</v>
          </cell>
          <cell r="BT182">
            <v>0</v>
          </cell>
          <cell r="BU182">
            <v>0</v>
          </cell>
          <cell r="BV182">
            <v>0</v>
          </cell>
          <cell r="BW182">
            <v>0</v>
          </cell>
          <cell r="BX182">
            <v>0</v>
          </cell>
          <cell r="BY182">
            <v>0</v>
          </cell>
          <cell r="BZ182">
            <v>0</v>
          </cell>
          <cell r="CA182">
            <v>0</v>
          </cell>
          <cell r="CE182">
            <v>0</v>
          </cell>
          <cell r="CG182">
            <v>0</v>
          </cell>
        </row>
        <row r="183">
          <cell r="A183" t="str">
            <v>4.1.1.1.20.00005</v>
          </cell>
          <cell r="B183" t="str">
            <v>FRETES S/ COMPRAS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0</v>
          </cell>
          <cell r="BM183">
            <v>0</v>
          </cell>
          <cell r="BN183">
            <v>0</v>
          </cell>
          <cell r="BO183">
            <v>0</v>
          </cell>
          <cell r="BP183">
            <v>0</v>
          </cell>
          <cell r="BQ183">
            <v>0</v>
          </cell>
          <cell r="BR183">
            <v>0</v>
          </cell>
          <cell r="BS183">
            <v>0</v>
          </cell>
          <cell r="BT183">
            <v>0</v>
          </cell>
          <cell r="BU183">
            <v>0</v>
          </cell>
          <cell r="BV183">
            <v>0</v>
          </cell>
          <cell r="BW183">
            <v>0</v>
          </cell>
          <cell r="BX183">
            <v>0</v>
          </cell>
          <cell r="BY183">
            <v>0</v>
          </cell>
          <cell r="BZ183">
            <v>0</v>
          </cell>
          <cell r="CA183">
            <v>0</v>
          </cell>
          <cell r="CE183">
            <v>0</v>
          </cell>
          <cell r="CG183">
            <v>0</v>
          </cell>
        </row>
        <row r="184">
          <cell r="A184" t="str">
            <v>4.1.1.1.20.00098</v>
          </cell>
          <cell r="B184" t="str">
            <v>(-) ESTOQUE FINAL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BR184">
            <v>0</v>
          </cell>
          <cell r="BS184">
            <v>0</v>
          </cell>
          <cell r="BT184">
            <v>0</v>
          </cell>
          <cell r="BU184">
            <v>0</v>
          </cell>
          <cell r="BV184">
            <v>0</v>
          </cell>
          <cell r="BW184">
            <v>0</v>
          </cell>
          <cell r="BX184">
            <v>0</v>
          </cell>
          <cell r="BY184">
            <v>0</v>
          </cell>
          <cell r="BZ184">
            <v>0</v>
          </cell>
          <cell r="CA184">
            <v>0</v>
          </cell>
          <cell r="CE184">
            <v>0</v>
          </cell>
          <cell r="CG184">
            <v>0</v>
          </cell>
        </row>
        <row r="185">
          <cell r="A185" t="str">
            <v>4.1.1.2</v>
          </cell>
          <cell r="B185" t="str">
            <v>CUSTO DA PRESTACAO DE SERVICOS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-1801904.11</v>
          </cell>
          <cell r="H185">
            <v>-154393.37</v>
          </cell>
          <cell r="I185">
            <v>-65580.679999999993</v>
          </cell>
          <cell r="J185">
            <v>-140725.59</v>
          </cell>
          <cell r="K185">
            <v>-61278.280000000006</v>
          </cell>
          <cell r="L185">
            <v>-89396.65</v>
          </cell>
          <cell r="M185">
            <v>-101749.11</v>
          </cell>
          <cell r="N185">
            <v>-148621.85999999999</v>
          </cell>
          <cell r="O185">
            <v>-106630.74</v>
          </cell>
          <cell r="P185">
            <v>-112051.86</v>
          </cell>
          <cell r="Q185">
            <v>-184495.64</v>
          </cell>
          <cell r="R185">
            <v>-147106.67000000001</v>
          </cell>
          <cell r="S185">
            <v>-83793.679999999993</v>
          </cell>
          <cell r="T185">
            <v>-1395824.13</v>
          </cell>
          <cell r="U185">
            <v>-213192.16</v>
          </cell>
          <cell r="V185">
            <v>-136173.07999999999</v>
          </cell>
          <cell r="W185">
            <v>-122101.79</v>
          </cell>
          <cell r="X185">
            <v>-143014.70000000001</v>
          </cell>
          <cell r="Y185">
            <v>-136058.69</v>
          </cell>
          <cell r="Z185">
            <v>-133966.93</v>
          </cell>
          <cell r="AA185">
            <v>-148823.70000000001</v>
          </cell>
          <cell r="AB185">
            <v>-130492.77</v>
          </cell>
          <cell r="AC185">
            <v>-126074.18</v>
          </cell>
          <cell r="AD185">
            <v>-169255.37</v>
          </cell>
          <cell r="AE185">
            <v>-154555.36000000002</v>
          </cell>
          <cell r="AF185">
            <v>-136421.19</v>
          </cell>
          <cell r="AG185">
            <v>-1750129.9199999997</v>
          </cell>
          <cell r="AH185">
            <v>-187695.47</v>
          </cell>
          <cell r="AI185">
            <v>-121455.01999999999</v>
          </cell>
          <cell r="AJ185">
            <v>-159706.19999999998</v>
          </cell>
          <cell r="AK185">
            <v>-129144.65</v>
          </cell>
          <cell r="AL185">
            <v>-117746.13</v>
          </cell>
          <cell r="AM185">
            <v>-125184.40000000001</v>
          </cell>
          <cell r="AN185">
            <v>-131867.93</v>
          </cell>
          <cell r="AO185">
            <v>-105756.23000000001</v>
          </cell>
          <cell r="AP185">
            <v>-219274.88</v>
          </cell>
          <cell r="AQ185">
            <v>-164656.59</v>
          </cell>
          <cell r="AR185">
            <v>-178923.95</v>
          </cell>
          <cell r="AS185">
            <v>-163773.85999999999</v>
          </cell>
          <cell r="AT185">
            <v>-1805185.31</v>
          </cell>
          <cell r="AU185">
            <v>-204729.50999999998</v>
          </cell>
          <cell r="AV185">
            <v>-173648.63999999998</v>
          </cell>
          <cell r="AW185">
            <v>-243687.8</v>
          </cell>
          <cell r="AX185">
            <v>-156274.08000000002</v>
          </cell>
          <cell r="AY185">
            <v>-126123.91</v>
          </cell>
          <cell r="AZ185">
            <v>-249998.9</v>
          </cell>
          <cell r="BA185">
            <v>-273420.78999999998</v>
          </cell>
          <cell r="BB185">
            <v>-205177.15000000002</v>
          </cell>
          <cell r="BC185">
            <v>-247031.59</v>
          </cell>
          <cell r="BD185">
            <v>-288630.62999999995</v>
          </cell>
          <cell r="BE185">
            <v>-306857.49</v>
          </cell>
          <cell r="BF185">
            <v>-135229.36000000002</v>
          </cell>
          <cell r="BG185">
            <v>-2610809.85</v>
          </cell>
          <cell r="BH185">
            <v>-156792.60999999999</v>
          </cell>
          <cell r="BI185">
            <v>-120834.78</v>
          </cell>
          <cell r="BJ185">
            <v>-5968.46</v>
          </cell>
          <cell r="BK185">
            <v>-293.98</v>
          </cell>
          <cell r="BL185">
            <v>-402.69</v>
          </cell>
          <cell r="BM185">
            <v>-13896.07</v>
          </cell>
          <cell r="BN185">
            <v>-4798.1400000000003</v>
          </cell>
          <cell r="BO185">
            <v>-103.56</v>
          </cell>
          <cell r="BP185">
            <v>-146.65</v>
          </cell>
          <cell r="BQ185">
            <v>-1591.56</v>
          </cell>
          <cell r="BR185">
            <v>-728.42</v>
          </cell>
          <cell r="BS185">
            <v>-28.42</v>
          </cell>
          <cell r="BT185">
            <v>-305585.34000000003</v>
          </cell>
          <cell r="BU185">
            <v>-2370.0300000000002</v>
          </cell>
          <cell r="BV185">
            <v>0</v>
          </cell>
          <cell r="BW185">
            <v>-293.47000000000003</v>
          </cell>
          <cell r="BX185">
            <v>0</v>
          </cell>
          <cell r="BY185">
            <v>-373.15999999999997</v>
          </cell>
          <cell r="BZ185">
            <v>-6795.92</v>
          </cell>
          <cell r="CA185">
            <v>-11000</v>
          </cell>
          <cell r="CE185">
            <v>-20832.580000000002</v>
          </cell>
          <cell r="CG185">
            <v>0</v>
          </cell>
        </row>
        <row r="186">
          <cell r="A186" t="str">
            <v>4.1.1.2.01</v>
          </cell>
          <cell r="B186" t="str">
            <v>MAO DE OBRA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-411905.71</v>
          </cell>
          <cell r="H186">
            <v>-45418.590000000004</v>
          </cell>
          <cell r="I186">
            <v>-27562.180000000004</v>
          </cell>
          <cell r="J186">
            <v>-57819.199999999997</v>
          </cell>
          <cell r="K186">
            <v>-27258.63</v>
          </cell>
          <cell r="L186">
            <v>-50859.049999999996</v>
          </cell>
          <cell r="M186">
            <v>-46438.73</v>
          </cell>
          <cell r="N186">
            <v>-52389.51</v>
          </cell>
          <cell r="O186">
            <v>-43559.43</v>
          </cell>
          <cell r="P186">
            <v>-47946.76</v>
          </cell>
          <cell r="Q186">
            <v>-58355.07</v>
          </cell>
          <cell r="R186">
            <v>-53968.37</v>
          </cell>
          <cell r="S186">
            <v>-39377.660000000003</v>
          </cell>
          <cell r="T186">
            <v>-550953.18000000005</v>
          </cell>
          <cell r="U186">
            <v>-65218.48</v>
          </cell>
          <cell r="V186">
            <v>-41504.620000000003</v>
          </cell>
          <cell r="W186">
            <v>-55162.02</v>
          </cell>
          <cell r="X186">
            <v>-55934.34</v>
          </cell>
          <cell r="Y186">
            <v>-57489.03</v>
          </cell>
          <cell r="Z186">
            <v>-58063.83</v>
          </cell>
          <cell r="AA186">
            <v>-75305.98</v>
          </cell>
          <cell r="AB186">
            <v>-43513.99</v>
          </cell>
          <cell r="AC186">
            <v>-72609.87</v>
          </cell>
          <cell r="AD186">
            <v>-68145.399999999994</v>
          </cell>
          <cell r="AE186">
            <v>-73062.17</v>
          </cell>
          <cell r="AF186">
            <v>-57817.57</v>
          </cell>
          <cell r="AG186">
            <v>-723827.29999999993</v>
          </cell>
          <cell r="AH186">
            <v>-85507.12000000001</v>
          </cell>
          <cell r="AI186">
            <v>-62739.76</v>
          </cell>
          <cell r="AJ186">
            <v>-67763.19</v>
          </cell>
          <cell r="AK186">
            <v>-67093.170000000013</v>
          </cell>
          <cell r="AL186">
            <v>-57667.53</v>
          </cell>
          <cell r="AM186">
            <v>-67663.430000000008</v>
          </cell>
          <cell r="AN186">
            <v>-63026.47</v>
          </cell>
          <cell r="AO186">
            <v>-79215.760000000009</v>
          </cell>
          <cell r="AP186">
            <v>-98265.29</v>
          </cell>
          <cell r="AQ186">
            <v>-70283.17</v>
          </cell>
          <cell r="AR186">
            <v>-71805.600000000006</v>
          </cell>
          <cell r="AS186">
            <v>-70272.100000000006</v>
          </cell>
          <cell r="AT186">
            <v>-861302.59000000008</v>
          </cell>
          <cell r="AU186">
            <v>-83456.03</v>
          </cell>
          <cell r="AV186">
            <v>-68629.959999999992</v>
          </cell>
          <cell r="AW186">
            <v>-61640.119999999995</v>
          </cell>
          <cell r="AX186">
            <v>-57791.509999999995</v>
          </cell>
          <cell r="AY186">
            <v>-78973.22</v>
          </cell>
          <cell r="AZ186">
            <v>-70437.19</v>
          </cell>
          <cell r="BA186">
            <v>-82509.33</v>
          </cell>
          <cell r="BB186">
            <v>-87851.839999999997</v>
          </cell>
          <cell r="BC186">
            <v>-75392.08</v>
          </cell>
          <cell r="BD186">
            <v>-107151.43</v>
          </cell>
          <cell r="BE186">
            <v>-120575.95999999999</v>
          </cell>
          <cell r="BF186">
            <v>-86008.18</v>
          </cell>
          <cell r="BG186">
            <v>-980416.84999999986</v>
          </cell>
          <cell r="BH186">
            <v>-96718.76</v>
          </cell>
          <cell r="BI186">
            <v>-751</v>
          </cell>
          <cell r="BJ186">
            <v>-168</v>
          </cell>
          <cell r="BK186">
            <v>0</v>
          </cell>
          <cell r="BL186">
            <v>0</v>
          </cell>
          <cell r="BM186">
            <v>-10604.47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BR186">
            <v>0</v>
          </cell>
          <cell r="BS186">
            <v>0</v>
          </cell>
          <cell r="BT186">
            <v>-108242.23</v>
          </cell>
          <cell r="BU186">
            <v>0</v>
          </cell>
          <cell r="BV186">
            <v>0</v>
          </cell>
          <cell r="BW186">
            <v>0</v>
          </cell>
          <cell r="BX186">
            <v>0</v>
          </cell>
          <cell r="BY186">
            <v>110.48</v>
          </cell>
          <cell r="BZ186">
            <v>-1.46</v>
          </cell>
          <cell r="CA186">
            <v>0</v>
          </cell>
          <cell r="CE186">
            <v>109.02000000000001</v>
          </cell>
          <cell r="CG186">
            <v>0</v>
          </cell>
        </row>
        <row r="187">
          <cell r="A187" t="str">
            <v>4.1.1.2.01.00011</v>
          </cell>
          <cell r="B187" t="str">
            <v>REFEICAO/VALE REFEICAO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0</v>
          </cell>
          <cell r="BP187">
            <v>0</v>
          </cell>
          <cell r="BQ187">
            <v>0</v>
          </cell>
          <cell r="BR187">
            <v>0</v>
          </cell>
          <cell r="BS187">
            <v>0</v>
          </cell>
          <cell r="BT187">
            <v>0</v>
          </cell>
          <cell r="BU187">
            <v>0</v>
          </cell>
          <cell r="BV187">
            <v>0</v>
          </cell>
          <cell r="BW187">
            <v>0</v>
          </cell>
          <cell r="BX187">
            <v>0</v>
          </cell>
          <cell r="BY187">
            <v>0</v>
          </cell>
          <cell r="BZ187">
            <v>0</v>
          </cell>
          <cell r="CA187">
            <v>0</v>
          </cell>
          <cell r="CE187">
            <v>0</v>
          </cell>
          <cell r="CG187">
            <v>0</v>
          </cell>
        </row>
        <row r="188">
          <cell r="A188" t="str">
            <v>4.1.1.2.01.00016</v>
          </cell>
          <cell r="B188" t="str">
            <v>UNIFORMES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-8793.6299999999992</v>
          </cell>
          <cell r="H188">
            <v>0</v>
          </cell>
          <cell r="I188">
            <v>-507.3</v>
          </cell>
          <cell r="J188">
            <v>-200.34</v>
          </cell>
          <cell r="K188">
            <v>0</v>
          </cell>
          <cell r="L188">
            <v>-1118.4000000000001</v>
          </cell>
          <cell r="M188">
            <v>0</v>
          </cell>
          <cell r="N188">
            <v>-1150.92</v>
          </cell>
          <cell r="O188">
            <v>-775.97</v>
          </cell>
          <cell r="P188">
            <v>-1220.92</v>
          </cell>
          <cell r="Q188">
            <v>-884.78</v>
          </cell>
          <cell r="R188">
            <v>-2887.12</v>
          </cell>
          <cell r="S188">
            <v>-123.33</v>
          </cell>
          <cell r="T188">
            <v>-8869.08</v>
          </cell>
          <cell r="U188">
            <v>-323.14</v>
          </cell>
          <cell r="V188">
            <v>0</v>
          </cell>
          <cell r="W188">
            <v>-907.31</v>
          </cell>
          <cell r="X188">
            <v>-1931.37</v>
          </cell>
          <cell r="Y188">
            <v>-213.8</v>
          </cell>
          <cell r="Z188">
            <v>-525.72</v>
          </cell>
          <cell r="AA188">
            <v>-369.83</v>
          </cell>
          <cell r="AB188">
            <v>-2252.85</v>
          </cell>
          <cell r="AC188">
            <v>-423.78</v>
          </cell>
          <cell r="AD188">
            <v>-1210.58</v>
          </cell>
          <cell r="AE188">
            <v>-476.1</v>
          </cell>
          <cell r="AF188">
            <v>-219</v>
          </cell>
          <cell r="AG188">
            <v>-8853.48</v>
          </cell>
          <cell r="AH188">
            <v>-611.78</v>
          </cell>
          <cell r="AI188">
            <v>-761.08</v>
          </cell>
          <cell r="AJ188">
            <v>-5025.16</v>
          </cell>
          <cell r="AK188">
            <v>-626.1</v>
          </cell>
          <cell r="AL188">
            <v>-1005.57</v>
          </cell>
          <cell r="AM188">
            <v>-887.67</v>
          </cell>
          <cell r="AN188">
            <v>-1484.28</v>
          </cell>
          <cell r="AO188">
            <v>-2140.62</v>
          </cell>
          <cell r="AP188">
            <v>-2372.17</v>
          </cell>
          <cell r="AQ188">
            <v>-4966.41</v>
          </cell>
          <cell r="AR188">
            <v>-1981.52</v>
          </cell>
          <cell r="AS188">
            <v>-1490.22</v>
          </cell>
          <cell r="AT188">
            <v>-23352.580000000005</v>
          </cell>
          <cell r="AU188">
            <v>-745.34</v>
          </cell>
          <cell r="AV188">
            <v>-1347.24</v>
          </cell>
          <cell r="AW188">
            <v>-1085.8599999999999</v>
          </cell>
          <cell r="AX188">
            <v>-1181.3499999999999</v>
          </cell>
          <cell r="AY188">
            <v>-6151.02</v>
          </cell>
          <cell r="AZ188">
            <v>-1483.87</v>
          </cell>
          <cell r="BA188">
            <v>-1615.87</v>
          </cell>
          <cell r="BB188">
            <v>-2083.92</v>
          </cell>
          <cell r="BC188">
            <v>-1901.85</v>
          </cell>
          <cell r="BD188">
            <v>-984.9</v>
          </cell>
          <cell r="BE188">
            <v>-4162.2</v>
          </cell>
          <cell r="BF188">
            <v>-402.69</v>
          </cell>
          <cell r="BG188">
            <v>-23146.11</v>
          </cell>
          <cell r="BH188">
            <v>-124.37</v>
          </cell>
          <cell r="BI188">
            <v>0</v>
          </cell>
          <cell r="BJ188">
            <v>0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0</v>
          </cell>
          <cell r="BQ188">
            <v>0</v>
          </cell>
          <cell r="BR188">
            <v>0</v>
          </cell>
          <cell r="BS188">
            <v>0</v>
          </cell>
          <cell r="BT188">
            <v>-124.37</v>
          </cell>
          <cell r="BU188">
            <v>0</v>
          </cell>
          <cell r="BV188">
            <v>0</v>
          </cell>
          <cell r="BW188">
            <v>0</v>
          </cell>
          <cell r="BX188">
            <v>0</v>
          </cell>
          <cell r="BY188">
            <v>0</v>
          </cell>
          <cell r="BZ188">
            <v>0</v>
          </cell>
          <cell r="CA188">
            <v>0</v>
          </cell>
          <cell r="CE188">
            <v>0</v>
          </cell>
          <cell r="CG188">
            <v>0</v>
          </cell>
        </row>
        <row r="189">
          <cell r="A189" t="str">
            <v>4.1.1.2.04</v>
          </cell>
          <cell r="B189" t="str">
            <v>DESPESAS DE VIAGENS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-272058.36</v>
          </cell>
          <cell r="H189">
            <v>-21021.439999999999</v>
          </cell>
          <cell r="I189">
            <v>-11431.06</v>
          </cell>
          <cell r="J189">
            <v>-13744.32</v>
          </cell>
          <cell r="K189">
            <v>-7093.17</v>
          </cell>
          <cell r="L189">
            <v>-14320.33</v>
          </cell>
          <cell r="M189">
            <v>-11399.74</v>
          </cell>
          <cell r="N189">
            <v>-4289.04</v>
          </cell>
          <cell r="O189">
            <v>-10123.24</v>
          </cell>
          <cell r="P189">
            <v>-8545.33</v>
          </cell>
          <cell r="Q189">
            <v>-20790.830000000002</v>
          </cell>
          <cell r="R189">
            <v>-10762.45</v>
          </cell>
          <cell r="S189">
            <v>-11227.74</v>
          </cell>
          <cell r="T189">
            <v>-144748.69</v>
          </cell>
          <cell r="U189">
            <v>-30833.95</v>
          </cell>
          <cell r="V189">
            <v>-20447.12</v>
          </cell>
          <cell r="W189">
            <v>-9738.92</v>
          </cell>
          <cell r="X189">
            <v>-23044.03</v>
          </cell>
          <cell r="Y189">
            <v>-16001.3</v>
          </cell>
          <cell r="Z189">
            <v>-17359.16</v>
          </cell>
          <cell r="AA189">
            <v>-11766.6</v>
          </cell>
          <cell r="AB189">
            <v>-13333.78</v>
          </cell>
          <cell r="AC189">
            <v>-18889.5</v>
          </cell>
          <cell r="AD189">
            <v>-19496.12</v>
          </cell>
          <cell r="AE189">
            <v>-14075.17</v>
          </cell>
          <cell r="AF189">
            <v>-13263.15</v>
          </cell>
          <cell r="AG189">
            <v>-208248.80000000002</v>
          </cell>
          <cell r="AH189">
            <v>-9601.56</v>
          </cell>
          <cell r="AI189">
            <v>-14852.88</v>
          </cell>
          <cell r="AJ189">
            <v>-9748.8799999999992</v>
          </cell>
          <cell r="AK189">
            <v>-7827.58</v>
          </cell>
          <cell r="AL189">
            <v>-7259.7000000000007</v>
          </cell>
          <cell r="AM189">
            <v>-9084.27</v>
          </cell>
          <cell r="AN189">
            <v>-5104.1099999999997</v>
          </cell>
          <cell r="AO189">
            <v>-2094.0500000000002</v>
          </cell>
          <cell r="AP189">
            <v>-10573.37</v>
          </cell>
          <cell r="AQ189">
            <v>-7422.4</v>
          </cell>
          <cell r="AR189">
            <v>-7855.99</v>
          </cell>
          <cell r="AS189">
            <v>-8506.9500000000007</v>
          </cell>
          <cell r="AT189">
            <v>-99931.74</v>
          </cell>
          <cell r="AU189">
            <v>-5326.77</v>
          </cell>
          <cell r="AV189">
            <v>-4314.62</v>
          </cell>
          <cell r="AW189">
            <v>-11201.51</v>
          </cell>
          <cell r="AX189">
            <v>-2317.35</v>
          </cell>
          <cell r="AY189">
            <v>-1866.07</v>
          </cell>
          <cell r="AZ189">
            <v>-15211.06</v>
          </cell>
          <cell r="BA189">
            <v>-7117.71</v>
          </cell>
          <cell r="BB189">
            <v>-6558.53</v>
          </cell>
          <cell r="BC189">
            <v>-9739.31</v>
          </cell>
          <cell r="BD189">
            <v>-22767.26</v>
          </cell>
          <cell r="BE189">
            <v>-11638.03</v>
          </cell>
          <cell r="BF189">
            <v>-10752.48</v>
          </cell>
          <cell r="BG189">
            <v>-108810.69999999998</v>
          </cell>
          <cell r="BH189">
            <v>-18115.54</v>
          </cell>
          <cell r="BI189">
            <v>-10542.8</v>
          </cell>
          <cell r="BJ189">
            <v>-1776.75</v>
          </cell>
          <cell r="BK189">
            <v>0</v>
          </cell>
          <cell r="BL189">
            <v>-131.21</v>
          </cell>
          <cell r="BM189">
            <v>0</v>
          </cell>
          <cell r="BN189">
            <v>-698.92</v>
          </cell>
          <cell r="BO189">
            <v>0</v>
          </cell>
          <cell r="BP189">
            <v>0</v>
          </cell>
          <cell r="BQ189">
            <v>0</v>
          </cell>
          <cell r="BR189">
            <v>0</v>
          </cell>
          <cell r="BS189">
            <v>0</v>
          </cell>
          <cell r="BT189">
            <v>-31265.219999999998</v>
          </cell>
          <cell r="BU189">
            <v>-2370.0300000000002</v>
          </cell>
          <cell r="BV189">
            <v>0</v>
          </cell>
          <cell r="BW189">
            <v>0</v>
          </cell>
          <cell r="BX189">
            <v>0</v>
          </cell>
          <cell r="BY189">
            <v>0</v>
          </cell>
          <cell r="BZ189">
            <v>0</v>
          </cell>
          <cell r="CA189">
            <v>0</v>
          </cell>
          <cell r="CE189">
            <v>-2370.0300000000002</v>
          </cell>
          <cell r="CG189">
            <v>0</v>
          </cell>
        </row>
        <row r="190">
          <cell r="A190" t="str">
            <v>4.1.1.2.04.00001</v>
          </cell>
          <cell r="B190" t="str">
            <v>ALUGUEL VEICULOS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-21175.13</v>
          </cell>
          <cell r="H190">
            <v>-3906.69</v>
          </cell>
          <cell r="I190">
            <v>-161.66</v>
          </cell>
          <cell r="J190">
            <v>-1542.92</v>
          </cell>
          <cell r="K190">
            <v>-3175.2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-8786.4700000000012</v>
          </cell>
          <cell r="U190">
            <v>-101.04</v>
          </cell>
          <cell r="V190">
            <v>-2976.63</v>
          </cell>
          <cell r="W190">
            <v>-1515.24</v>
          </cell>
          <cell r="X190">
            <v>-1818.35</v>
          </cell>
          <cell r="Y190">
            <v>-1515.24</v>
          </cell>
          <cell r="Z190">
            <v>-2121.34</v>
          </cell>
          <cell r="AA190">
            <v>-1585.8</v>
          </cell>
          <cell r="AB190">
            <v>-348.01</v>
          </cell>
          <cell r="AC190">
            <v>-3118.74</v>
          </cell>
          <cell r="AD190">
            <v>-5363.72</v>
          </cell>
          <cell r="AE190">
            <v>-1776.24</v>
          </cell>
          <cell r="AF190">
            <v>-595.28</v>
          </cell>
          <cell r="AG190">
            <v>-22835.63</v>
          </cell>
          <cell r="AH190">
            <v>-4612.8599999999997</v>
          </cell>
          <cell r="AI190">
            <v>-2322.9</v>
          </cell>
          <cell r="AJ190">
            <v>-1286.17</v>
          </cell>
          <cell r="AK190">
            <v>-2079.4</v>
          </cell>
          <cell r="AL190">
            <v>-3008.83</v>
          </cell>
          <cell r="AM190">
            <v>0</v>
          </cell>
          <cell r="AN190">
            <v>0</v>
          </cell>
          <cell r="AO190">
            <v>0</v>
          </cell>
          <cell r="AP190">
            <v>-371.61</v>
          </cell>
          <cell r="AQ190">
            <v>-1297.4000000000001</v>
          </cell>
          <cell r="AR190">
            <v>-184.02</v>
          </cell>
          <cell r="AS190">
            <v>-93.67</v>
          </cell>
          <cell r="AT190">
            <v>-15256.86</v>
          </cell>
          <cell r="AU190">
            <v>0</v>
          </cell>
          <cell r="AV190">
            <v>0</v>
          </cell>
          <cell r="AW190">
            <v>-1575.24</v>
          </cell>
          <cell r="AX190">
            <v>0</v>
          </cell>
          <cell r="AY190">
            <v>0</v>
          </cell>
          <cell r="AZ190">
            <v>-1522.44</v>
          </cell>
          <cell r="BA190">
            <v>-1595.64</v>
          </cell>
          <cell r="BB190">
            <v>-1545.24</v>
          </cell>
          <cell r="BC190">
            <v>-1522.44</v>
          </cell>
          <cell r="BD190">
            <v>-4914.92</v>
          </cell>
          <cell r="BE190">
            <v>-3389.9</v>
          </cell>
          <cell r="BF190">
            <v>-3389.9</v>
          </cell>
          <cell r="BG190">
            <v>-19455.72</v>
          </cell>
          <cell r="BH190">
            <v>-13514.7</v>
          </cell>
          <cell r="BI190">
            <v>-3834.58</v>
          </cell>
          <cell r="BJ190">
            <v>-1734.23</v>
          </cell>
          <cell r="BK190">
            <v>0</v>
          </cell>
          <cell r="BL190">
            <v>-131.21</v>
          </cell>
          <cell r="BM190">
            <v>0</v>
          </cell>
          <cell r="BN190">
            <v>-698.92</v>
          </cell>
          <cell r="BO190">
            <v>0</v>
          </cell>
          <cell r="BP190">
            <v>0</v>
          </cell>
          <cell r="BQ190">
            <v>0</v>
          </cell>
          <cell r="BR190">
            <v>0</v>
          </cell>
          <cell r="BS190">
            <v>0</v>
          </cell>
          <cell r="BT190">
            <v>-19913.639999999996</v>
          </cell>
          <cell r="BU190">
            <v>0</v>
          </cell>
          <cell r="BV190">
            <v>0</v>
          </cell>
          <cell r="BW190">
            <v>0</v>
          </cell>
          <cell r="BX190">
            <v>0</v>
          </cell>
          <cell r="BY190">
            <v>0</v>
          </cell>
          <cell r="BZ190">
            <v>0</v>
          </cell>
          <cell r="CA190">
            <v>0</v>
          </cell>
          <cell r="CE190">
            <v>0</v>
          </cell>
          <cell r="CG190">
            <v>0</v>
          </cell>
        </row>
        <row r="191">
          <cell r="A191" t="str">
            <v>4.1.1.2.04.00002</v>
          </cell>
          <cell r="B191" t="str">
            <v>COMBUSTIVEL E LUBRIFICANTE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-44165.03</v>
          </cell>
          <cell r="H191">
            <v>-3075.41</v>
          </cell>
          <cell r="I191">
            <v>-2184.2600000000002</v>
          </cell>
          <cell r="J191">
            <v>-2081.62</v>
          </cell>
          <cell r="K191">
            <v>-1830.38</v>
          </cell>
          <cell r="L191">
            <v>-3487.46</v>
          </cell>
          <cell r="M191">
            <v>-2298.69</v>
          </cell>
          <cell r="N191">
            <v>-2473.75</v>
          </cell>
          <cell r="O191">
            <v>-2679.15</v>
          </cell>
          <cell r="P191">
            <v>-3198.36</v>
          </cell>
          <cell r="Q191">
            <v>-2913.23</v>
          </cell>
          <cell r="R191">
            <v>-3482.24</v>
          </cell>
          <cell r="S191">
            <v>-1334.33</v>
          </cell>
          <cell r="T191">
            <v>-31038.880000000005</v>
          </cell>
          <cell r="U191">
            <v>-4030.29</v>
          </cell>
          <cell r="V191">
            <v>-3936.44</v>
          </cell>
          <cell r="W191">
            <v>-3123.62</v>
          </cell>
          <cell r="X191">
            <v>-3190.43</v>
          </cell>
          <cell r="Y191">
            <v>-2997.2</v>
          </cell>
          <cell r="Z191">
            <v>-3882.74</v>
          </cell>
          <cell r="AA191">
            <v>-4288.03</v>
          </cell>
          <cell r="AB191">
            <v>-1906.6</v>
          </cell>
          <cell r="AC191">
            <v>-4732.05</v>
          </cell>
          <cell r="AD191">
            <v>-4136.13</v>
          </cell>
          <cell r="AE191">
            <v>-2590.25</v>
          </cell>
          <cell r="AF191">
            <v>-1346.42</v>
          </cell>
          <cell r="AG191">
            <v>-40160.199999999997</v>
          </cell>
          <cell r="AH191">
            <v>-1059.45</v>
          </cell>
          <cell r="AI191">
            <v>-2629.08</v>
          </cell>
          <cell r="AJ191">
            <v>-2419.5500000000002</v>
          </cell>
          <cell r="AK191">
            <v>-2199.79</v>
          </cell>
          <cell r="AL191">
            <v>-1655.97</v>
          </cell>
          <cell r="AM191">
            <v>-2216.9</v>
          </cell>
          <cell r="AN191">
            <v>-2305.31</v>
          </cell>
          <cell r="AO191">
            <v>-1879.31</v>
          </cell>
          <cell r="AP191">
            <v>-2218.13</v>
          </cell>
          <cell r="AQ191">
            <v>-3098.62</v>
          </cell>
          <cell r="AR191">
            <v>-3320.51</v>
          </cell>
          <cell r="AS191">
            <v>-3786.69</v>
          </cell>
          <cell r="AT191">
            <v>-28789.309999999994</v>
          </cell>
          <cell r="AU191">
            <v>-2520.56</v>
          </cell>
          <cell r="AV191">
            <v>-2251.56</v>
          </cell>
          <cell r="AW191">
            <v>-3555.28</v>
          </cell>
          <cell r="AX191">
            <v>-2280.37</v>
          </cell>
          <cell r="AY191">
            <v>-1829.09</v>
          </cell>
          <cell r="AZ191">
            <v>-4756.45</v>
          </cell>
          <cell r="BA191">
            <v>-2211.69</v>
          </cell>
          <cell r="BB191">
            <v>-4002.43</v>
          </cell>
          <cell r="BC191">
            <v>-4615.01</v>
          </cell>
          <cell r="BD191">
            <v>-4040.65</v>
          </cell>
          <cell r="BE191">
            <v>-4269.75</v>
          </cell>
          <cell r="BF191">
            <v>-3968.92</v>
          </cell>
          <cell r="BG191">
            <v>-40301.760000000002</v>
          </cell>
          <cell r="BH191">
            <v>-1705.98</v>
          </cell>
          <cell r="BI191">
            <v>-1546.22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0</v>
          </cell>
          <cell r="BP191">
            <v>0</v>
          </cell>
          <cell r="BQ191">
            <v>0</v>
          </cell>
          <cell r="BR191">
            <v>0</v>
          </cell>
          <cell r="BS191">
            <v>0</v>
          </cell>
          <cell r="BT191">
            <v>-3252.2</v>
          </cell>
          <cell r="BU191">
            <v>0</v>
          </cell>
          <cell r="BV191">
            <v>0</v>
          </cell>
          <cell r="BW191">
            <v>0</v>
          </cell>
          <cell r="BX191">
            <v>0</v>
          </cell>
          <cell r="BY191">
            <v>0</v>
          </cell>
          <cell r="BZ191">
            <v>0</v>
          </cell>
          <cell r="CA191">
            <v>0</v>
          </cell>
          <cell r="CE191">
            <v>0</v>
          </cell>
          <cell r="CG191">
            <v>0</v>
          </cell>
        </row>
        <row r="192">
          <cell r="A192" t="str">
            <v>4.1.1.2.04.00003</v>
          </cell>
          <cell r="B192" t="str">
            <v>ESTADIAS E REFEICOES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-192721.62</v>
          </cell>
          <cell r="H192">
            <v>-13576.54</v>
          </cell>
          <cell r="I192">
            <v>-8329.7199999999993</v>
          </cell>
          <cell r="J192">
            <v>-7782.36</v>
          </cell>
          <cell r="K192">
            <v>-1591.88</v>
          </cell>
          <cell r="L192">
            <v>-9723.42</v>
          </cell>
          <cell r="M192">
            <v>-9101.0499999999993</v>
          </cell>
          <cell r="N192">
            <v>-1284.3</v>
          </cell>
          <cell r="O192">
            <v>-6614.88</v>
          </cell>
          <cell r="P192">
            <v>-5117.55</v>
          </cell>
          <cell r="Q192">
            <v>-16980.13</v>
          </cell>
          <cell r="R192">
            <v>-7280.21</v>
          </cell>
          <cell r="S192">
            <v>-9066.0400000000009</v>
          </cell>
          <cell r="T192">
            <v>-96448.080000000016</v>
          </cell>
          <cell r="U192">
            <v>-23151.7</v>
          </cell>
          <cell r="V192">
            <v>-12651.18</v>
          </cell>
          <cell r="W192">
            <v>-3966.73</v>
          </cell>
          <cell r="X192">
            <v>-15677.02</v>
          </cell>
          <cell r="Y192">
            <v>-10610.39</v>
          </cell>
          <cell r="Z192">
            <v>-9598.5300000000007</v>
          </cell>
          <cell r="AA192">
            <v>-5510.7</v>
          </cell>
          <cell r="AB192">
            <v>-11018.19</v>
          </cell>
          <cell r="AC192">
            <v>-8535.51</v>
          </cell>
          <cell r="AD192">
            <v>-8074.87</v>
          </cell>
          <cell r="AE192">
            <v>-4148.25</v>
          </cell>
          <cell r="AF192">
            <v>-7071.06</v>
          </cell>
          <cell r="AG192">
            <v>-120014.12999999999</v>
          </cell>
          <cell r="AH192">
            <v>-3018.18</v>
          </cell>
          <cell r="AI192">
            <v>-7477.23</v>
          </cell>
          <cell r="AJ192">
            <v>-2450.11</v>
          </cell>
          <cell r="AK192">
            <v>-3548.39</v>
          </cell>
          <cell r="AL192">
            <v>-2395.6600000000003</v>
          </cell>
          <cell r="AM192">
            <v>-6458.13</v>
          </cell>
          <cell r="AN192">
            <v>-2363.7600000000002</v>
          </cell>
          <cell r="AO192">
            <v>0</v>
          </cell>
          <cell r="AP192">
            <v>-6406.01</v>
          </cell>
          <cell r="AQ192">
            <v>-1721.88</v>
          </cell>
          <cell r="AR192">
            <v>-2124.3000000000002</v>
          </cell>
          <cell r="AS192">
            <v>-4544.6099999999997</v>
          </cell>
          <cell r="AT192">
            <v>-42508.26</v>
          </cell>
          <cell r="AU192">
            <v>-2518.5300000000002</v>
          </cell>
          <cell r="AV192">
            <v>-2026.08</v>
          </cell>
          <cell r="AW192">
            <v>-5000.46</v>
          </cell>
          <cell r="AX192">
            <v>0</v>
          </cell>
          <cell r="AY192">
            <v>0</v>
          </cell>
          <cell r="AZ192">
            <v>-8880.99</v>
          </cell>
          <cell r="BA192">
            <v>-3310.38</v>
          </cell>
          <cell r="BB192">
            <v>-936.9</v>
          </cell>
          <cell r="BC192">
            <v>-3601.86</v>
          </cell>
          <cell r="BD192">
            <v>-10871.25</v>
          </cell>
          <cell r="BE192">
            <v>-3893.34</v>
          </cell>
          <cell r="BF192">
            <v>-3393.66</v>
          </cell>
          <cell r="BG192">
            <v>-44433.45</v>
          </cell>
          <cell r="BH192">
            <v>-2852.34</v>
          </cell>
          <cell r="BI192">
            <v>-5119.4799999999996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BR192">
            <v>0</v>
          </cell>
          <cell r="BS192">
            <v>0</v>
          </cell>
          <cell r="BT192">
            <v>-7971.82</v>
          </cell>
          <cell r="BU192">
            <v>0</v>
          </cell>
          <cell r="BV192">
            <v>0</v>
          </cell>
          <cell r="BW192">
            <v>0</v>
          </cell>
          <cell r="BX192">
            <v>0</v>
          </cell>
          <cell r="BY192">
            <v>0</v>
          </cell>
          <cell r="BZ192">
            <v>0</v>
          </cell>
          <cell r="CA192">
            <v>0</v>
          </cell>
          <cell r="CE192">
            <v>0</v>
          </cell>
          <cell r="CG192">
            <v>0</v>
          </cell>
        </row>
        <row r="193">
          <cell r="A193" t="str">
            <v>4.1.1.2.04.00004</v>
          </cell>
          <cell r="B193" t="str">
            <v>PASSAGENS AEREA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-9011.3799999999992</v>
          </cell>
          <cell r="H193">
            <v>0</v>
          </cell>
          <cell r="I193">
            <v>0</v>
          </cell>
          <cell r="J193">
            <v>-2337.42</v>
          </cell>
          <cell r="K193">
            <v>0</v>
          </cell>
          <cell r="L193">
            <v>-188.53</v>
          </cell>
          <cell r="M193">
            <v>0</v>
          </cell>
          <cell r="N193">
            <v>-204.78</v>
          </cell>
          <cell r="O193">
            <v>0</v>
          </cell>
          <cell r="P193">
            <v>0</v>
          </cell>
          <cell r="Q193">
            <v>-897.47</v>
          </cell>
          <cell r="R193">
            <v>0</v>
          </cell>
          <cell r="S193">
            <v>0</v>
          </cell>
          <cell r="T193">
            <v>-3628.2000000000007</v>
          </cell>
          <cell r="U193">
            <v>-2814.85</v>
          </cell>
          <cell r="V193">
            <v>0</v>
          </cell>
          <cell r="W193">
            <v>-322.86</v>
          </cell>
          <cell r="X193">
            <v>-1510.46</v>
          </cell>
          <cell r="Y193">
            <v>0</v>
          </cell>
          <cell r="Z193">
            <v>-845.98</v>
          </cell>
          <cell r="AA193">
            <v>0</v>
          </cell>
          <cell r="AB193">
            <v>0</v>
          </cell>
          <cell r="AC193">
            <v>-2471.1999999999998</v>
          </cell>
          <cell r="AD193">
            <v>-1904.48</v>
          </cell>
          <cell r="AE193">
            <v>-5524.21</v>
          </cell>
          <cell r="AF193">
            <v>-3457.15</v>
          </cell>
          <cell r="AG193">
            <v>-18851.190000000002</v>
          </cell>
          <cell r="AH193">
            <v>-571.23</v>
          </cell>
          <cell r="AI193">
            <v>-2355.63</v>
          </cell>
          <cell r="AJ193">
            <v>-3077.77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-1304.5</v>
          </cell>
          <cell r="AR193">
            <v>-2002.58</v>
          </cell>
          <cell r="AS193">
            <v>0</v>
          </cell>
          <cell r="AT193">
            <v>-9311.7099999999991</v>
          </cell>
          <cell r="AU193">
            <v>0</v>
          </cell>
          <cell r="AV193">
            <v>0</v>
          </cell>
          <cell r="AW193">
            <v>-1033.55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-1033.55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BQ193">
            <v>0</v>
          </cell>
          <cell r="BR193">
            <v>0</v>
          </cell>
          <cell r="BS193">
            <v>0</v>
          </cell>
          <cell r="BT193">
            <v>0</v>
          </cell>
          <cell r="BU193">
            <v>-2370.0300000000002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E193">
            <v>-2370.0300000000002</v>
          </cell>
          <cell r="CG193">
            <v>0</v>
          </cell>
        </row>
        <row r="194">
          <cell r="A194" t="str">
            <v>4.1.1.2.04.00005</v>
          </cell>
          <cell r="B194" t="str">
            <v>PEDAGIOS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-4985.2</v>
          </cell>
          <cell r="H194">
            <v>-462.8</v>
          </cell>
          <cell r="I194">
            <v>-755.42</v>
          </cell>
          <cell r="J194">
            <v>0</v>
          </cell>
          <cell r="K194">
            <v>-495.71</v>
          </cell>
          <cell r="L194">
            <v>-920.92</v>
          </cell>
          <cell r="M194">
            <v>0</v>
          </cell>
          <cell r="N194">
            <v>-326.20999999999998</v>
          </cell>
          <cell r="O194">
            <v>-829.21</v>
          </cell>
          <cell r="P194">
            <v>-229.42</v>
          </cell>
          <cell r="Q194">
            <v>0</v>
          </cell>
          <cell r="R194">
            <v>0</v>
          </cell>
          <cell r="S194">
            <v>-827.37</v>
          </cell>
          <cell r="T194">
            <v>-4847.0600000000004</v>
          </cell>
          <cell r="U194">
            <v>-736.07</v>
          </cell>
          <cell r="V194">
            <v>-882.87</v>
          </cell>
          <cell r="W194">
            <v>-810.47</v>
          </cell>
          <cell r="X194">
            <v>-847.77</v>
          </cell>
          <cell r="Y194">
            <v>-878.47</v>
          </cell>
          <cell r="Z194">
            <v>-910.57</v>
          </cell>
          <cell r="AA194">
            <v>-382.07</v>
          </cell>
          <cell r="AB194">
            <v>-60.98</v>
          </cell>
          <cell r="AC194">
            <v>-32</v>
          </cell>
          <cell r="AD194">
            <v>-16.920000000000002</v>
          </cell>
          <cell r="AE194">
            <v>-36.22</v>
          </cell>
          <cell r="AF194">
            <v>-793.24</v>
          </cell>
          <cell r="AG194">
            <v>-6387.6499999999987</v>
          </cell>
          <cell r="AH194">
            <v>-339.84</v>
          </cell>
          <cell r="AI194">
            <v>-68.040000000000006</v>
          </cell>
          <cell r="AJ194">
            <v>-515.28</v>
          </cell>
          <cell r="AK194">
            <v>0</v>
          </cell>
          <cell r="AL194">
            <v>-199.24</v>
          </cell>
          <cell r="AM194">
            <v>-409.24</v>
          </cell>
          <cell r="AN194">
            <v>-435.04</v>
          </cell>
          <cell r="AO194">
            <v>-214.74</v>
          </cell>
          <cell r="AP194">
            <v>-1577.62</v>
          </cell>
          <cell r="AQ194">
            <v>0</v>
          </cell>
          <cell r="AR194">
            <v>-224.58</v>
          </cell>
          <cell r="AS194">
            <v>-81.98</v>
          </cell>
          <cell r="AT194">
            <v>-4065.6</v>
          </cell>
          <cell r="AU194">
            <v>-287.68</v>
          </cell>
          <cell r="AV194">
            <v>-36.979999999999997</v>
          </cell>
          <cell r="AW194">
            <v>-36.979999999999997</v>
          </cell>
          <cell r="AX194">
            <v>-36.979999999999997</v>
          </cell>
          <cell r="AY194">
            <v>-36.979999999999997</v>
          </cell>
          <cell r="AZ194">
            <v>-51.18</v>
          </cell>
          <cell r="BA194">
            <v>0</v>
          </cell>
          <cell r="BB194">
            <v>-73.959999999999994</v>
          </cell>
          <cell r="BC194">
            <v>0</v>
          </cell>
          <cell r="BD194">
            <v>-2940.44</v>
          </cell>
          <cell r="BE194">
            <v>-85.04</v>
          </cell>
          <cell r="BF194">
            <v>0</v>
          </cell>
          <cell r="BG194">
            <v>-3586.2200000000003</v>
          </cell>
          <cell r="BH194">
            <v>-42.52</v>
          </cell>
          <cell r="BI194">
            <v>-42.52</v>
          </cell>
          <cell r="BJ194">
            <v>-42.52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BQ194">
            <v>0</v>
          </cell>
          <cell r="BR194">
            <v>0</v>
          </cell>
          <cell r="BS194">
            <v>0</v>
          </cell>
          <cell r="BT194">
            <v>-127.56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E194">
            <v>0</v>
          </cell>
          <cell r="CG194">
            <v>0</v>
          </cell>
        </row>
        <row r="195">
          <cell r="A195" t="str">
            <v>4.1.1.2.05</v>
          </cell>
          <cell r="B195" t="str">
            <v>DESPESAS COM VEICULOS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-56834.2</v>
          </cell>
          <cell r="H195">
            <v>-4845.9100000000008</v>
          </cell>
          <cell r="I195">
            <v>-2364.3200000000002</v>
          </cell>
          <cell r="J195">
            <v>-2760.7</v>
          </cell>
          <cell r="K195">
            <v>-727.9</v>
          </cell>
          <cell r="L195">
            <v>-2273.0300000000002</v>
          </cell>
          <cell r="M195">
            <v>-4500.97</v>
          </cell>
          <cell r="N195">
            <v>-3399.6</v>
          </cell>
          <cell r="O195">
            <v>-876.08</v>
          </cell>
          <cell r="P195">
            <v>-403.86</v>
          </cell>
          <cell r="Q195">
            <v>-415.41</v>
          </cell>
          <cell r="R195">
            <v>235.6</v>
          </cell>
          <cell r="S195">
            <v>-1410.72</v>
          </cell>
          <cell r="T195">
            <v>-23742.900000000005</v>
          </cell>
          <cell r="U195">
            <v>-2571.3200000000002</v>
          </cell>
          <cell r="V195">
            <v>-4050.98</v>
          </cell>
          <cell r="W195">
            <v>-2037.65</v>
          </cell>
          <cell r="X195">
            <v>-2963.48</v>
          </cell>
          <cell r="Y195">
            <v>-2016.52</v>
          </cell>
          <cell r="Z195">
            <v>-440.45</v>
          </cell>
          <cell r="AA195">
            <v>-4200.8500000000004</v>
          </cell>
          <cell r="AB195">
            <v>-2892.63</v>
          </cell>
          <cell r="AC195">
            <v>-2810.18</v>
          </cell>
          <cell r="AD195">
            <v>-1856.02</v>
          </cell>
          <cell r="AE195">
            <v>-4261.57</v>
          </cell>
          <cell r="AF195">
            <v>-598.08000000000004</v>
          </cell>
          <cell r="AG195">
            <v>-30699.730000000003</v>
          </cell>
          <cell r="AH195">
            <v>-3041.05</v>
          </cell>
          <cell r="AI195">
            <v>-4837.92</v>
          </cell>
          <cell r="AJ195">
            <v>-3918.1</v>
          </cell>
          <cell r="AK195">
            <v>-667.38</v>
          </cell>
          <cell r="AL195">
            <v>-1311.38</v>
          </cell>
          <cell r="AM195">
            <v>-2523.38</v>
          </cell>
          <cell r="AN195">
            <v>-6493.38</v>
          </cell>
          <cell r="AO195">
            <v>-3702.3</v>
          </cell>
          <cell r="AP195">
            <v>-11486.06</v>
          </cell>
          <cell r="AQ195">
            <v>-1823.16</v>
          </cell>
          <cell r="AR195">
            <v>-7924.52</v>
          </cell>
          <cell r="AS195">
            <v>-4059.21</v>
          </cell>
          <cell r="AT195">
            <v>-51787.840000000004</v>
          </cell>
          <cell r="AU195">
            <v>-5542.31</v>
          </cell>
          <cell r="AV195">
            <v>-1217.18</v>
          </cell>
          <cell r="AW195">
            <v>-972.18000000000006</v>
          </cell>
          <cell r="AX195">
            <v>-2950.12</v>
          </cell>
          <cell r="AY195">
            <v>-1605.25</v>
          </cell>
          <cell r="AZ195">
            <v>-1937.18</v>
          </cell>
          <cell r="BA195">
            <v>-2953.12</v>
          </cell>
          <cell r="BB195">
            <v>-2469.92</v>
          </cell>
          <cell r="BC195">
            <v>-1205.3900000000001</v>
          </cell>
          <cell r="BD195">
            <v>-1547.78</v>
          </cell>
          <cell r="BE195">
            <v>-2859.18</v>
          </cell>
          <cell r="BF195">
            <v>-5831.53</v>
          </cell>
          <cell r="BG195">
            <v>-31091.14</v>
          </cell>
          <cell r="BH195">
            <v>-582.17999999999995</v>
          </cell>
          <cell r="BI195">
            <v>-764.63</v>
          </cell>
          <cell r="BJ195">
            <v>-159.63</v>
          </cell>
          <cell r="BK195">
            <v>-28.42</v>
          </cell>
          <cell r="BL195">
            <v>-28.42</v>
          </cell>
          <cell r="BM195">
            <v>-28.42</v>
          </cell>
          <cell r="BN195">
            <v>-28.42</v>
          </cell>
          <cell r="BO195">
            <v>-28.42</v>
          </cell>
          <cell r="BP195">
            <v>-28.42</v>
          </cell>
          <cell r="BQ195">
            <v>-28.42</v>
          </cell>
          <cell r="BR195">
            <v>-728.42</v>
          </cell>
          <cell r="BS195">
            <v>-28.42</v>
          </cell>
          <cell r="BT195">
            <v>-2462.2200000000007</v>
          </cell>
          <cell r="BU195">
            <v>0</v>
          </cell>
          <cell r="BV195">
            <v>0</v>
          </cell>
          <cell r="BW195">
            <v>-293.47000000000003</v>
          </cell>
          <cell r="BX195">
            <v>0</v>
          </cell>
          <cell r="BY195">
            <v>0</v>
          </cell>
          <cell r="BZ195">
            <v>-2617.9</v>
          </cell>
          <cell r="CA195">
            <v>-9000</v>
          </cell>
          <cell r="CE195">
            <v>-11911.369999999999</v>
          </cell>
          <cell r="CG195">
            <v>0</v>
          </cell>
        </row>
        <row r="196">
          <cell r="A196" t="str">
            <v>4.1.1.2.05.00001</v>
          </cell>
          <cell r="B196" t="str">
            <v>MANUTENCAO DE VEICULOS - SERVICOS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-11331.49</v>
          </cell>
          <cell r="H196">
            <v>-2002</v>
          </cell>
          <cell r="I196">
            <v>0</v>
          </cell>
          <cell r="J196">
            <v>-1365</v>
          </cell>
          <cell r="K196">
            <v>0</v>
          </cell>
          <cell r="L196">
            <v>-388</v>
          </cell>
          <cell r="M196">
            <v>-435</v>
          </cell>
          <cell r="N196">
            <v>-350</v>
          </cell>
          <cell r="O196">
            <v>-250</v>
          </cell>
          <cell r="P196">
            <v>0</v>
          </cell>
          <cell r="Q196">
            <v>-63.63</v>
          </cell>
          <cell r="R196">
            <v>0</v>
          </cell>
          <cell r="S196">
            <v>-224.57</v>
          </cell>
          <cell r="T196">
            <v>-5078.2</v>
          </cell>
          <cell r="U196">
            <v>-2038</v>
          </cell>
          <cell r="V196">
            <v>-2314</v>
          </cell>
          <cell r="W196">
            <v>-140</v>
          </cell>
          <cell r="X196">
            <v>-2398</v>
          </cell>
          <cell r="Y196">
            <v>-1349.7</v>
          </cell>
          <cell r="Z196">
            <v>0</v>
          </cell>
          <cell r="AA196">
            <v>-290</v>
          </cell>
          <cell r="AB196">
            <v>-1657.28</v>
          </cell>
          <cell r="AC196">
            <v>-1696</v>
          </cell>
          <cell r="AD196">
            <v>-551.5</v>
          </cell>
          <cell r="AE196">
            <v>-3149</v>
          </cell>
          <cell r="AF196">
            <v>-320</v>
          </cell>
          <cell r="AG196">
            <v>-15903.480000000001</v>
          </cell>
          <cell r="AH196">
            <v>-1020</v>
          </cell>
          <cell r="AI196">
            <v>-1842</v>
          </cell>
          <cell r="AJ196">
            <v>-865</v>
          </cell>
          <cell r="AK196">
            <v>-100</v>
          </cell>
          <cell r="AL196">
            <v>-744</v>
          </cell>
          <cell r="AM196">
            <v>-663</v>
          </cell>
          <cell r="AN196">
            <v>-3591</v>
          </cell>
          <cell r="AO196">
            <v>-913</v>
          </cell>
          <cell r="AP196">
            <v>-8178.5</v>
          </cell>
          <cell r="AQ196">
            <v>-510</v>
          </cell>
          <cell r="AR196">
            <v>-6289</v>
          </cell>
          <cell r="AS196">
            <v>-1158</v>
          </cell>
          <cell r="AT196">
            <v>-25873.5</v>
          </cell>
          <cell r="AU196">
            <v>-2718</v>
          </cell>
          <cell r="AV196">
            <v>-80</v>
          </cell>
          <cell r="AW196">
            <v>-550</v>
          </cell>
          <cell r="AX196">
            <v>-391.5</v>
          </cell>
          <cell r="AY196">
            <v>-940</v>
          </cell>
          <cell r="AZ196">
            <v>-147.5</v>
          </cell>
          <cell r="BA196">
            <v>-766</v>
          </cell>
          <cell r="BB196">
            <v>-770</v>
          </cell>
          <cell r="BC196">
            <v>0</v>
          </cell>
          <cell r="BD196">
            <v>-300</v>
          </cell>
          <cell r="BE196">
            <v>-1080</v>
          </cell>
          <cell r="BF196">
            <v>-1940</v>
          </cell>
          <cell r="BG196">
            <v>-9683</v>
          </cell>
          <cell r="BH196">
            <v>0</v>
          </cell>
          <cell r="BI196">
            <v>-605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BQ196">
            <v>0</v>
          </cell>
          <cell r="BR196">
            <v>-30</v>
          </cell>
          <cell r="BS196">
            <v>0</v>
          </cell>
          <cell r="BT196">
            <v>-635</v>
          </cell>
          <cell r="BU196">
            <v>0</v>
          </cell>
          <cell r="BV196">
            <v>0</v>
          </cell>
          <cell r="BW196">
            <v>0</v>
          </cell>
          <cell r="BX196">
            <v>0</v>
          </cell>
          <cell r="BY196">
            <v>0</v>
          </cell>
          <cell r="BZ196">
            <v>0</v>
          </cell>
          <cell r="CA196">
            <v>0</v>
          </cell>
          <cell r="CE196">
            <v>0</v>
          </cell>
          <cell r="CG196">
            <v>0</v>
          </cell>
        </row>
        <row r="197">
          <cell r="A197" t="str">
            <v>4.1.1.2.05.00002</v>
          </cell>
          <cell r="B197" t="str">
            <v>MANUTENCAO DE VEICULOS - PECAS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-39382.71</v>
          </cell>
          <cell r="H197">
            <v>-435</v>
          </cell>
          <cell r="I197">
            <v>-692.26</v>
          </cell>
          <cell r="J197">
            <v>0</v>
          </cell>
          <cell r="K197">
            <v>0</v>
          </cell>
          <cell r="L197">
            <v>-352</v>
          </cell>
          <cell r="M197">
            <v>-2800</v>
          </cell>
          <cell r="N197">
            <v>-2130</v>
          </cell>
          <cell r="O197">
            <v>-430.48</v>
          </cell>
          <cell r="P197">
            <v>0</v>
          </cell>
          <cell r="Q197">
            <v>0</v>
          </cell>
          <cell r="R197">
            <v>-40</v>
          </cell>
          <cell r="S197">
            <v>-875.43</v>
          </cell>
          <cell r="T197">
            <v>-7755.17</v>
          </cell>
          <cell r="U197">
            <v>-197</v>
          </cell>
          <cell r="V197">
            <v>0</v>
          </cell>
          <cell r="W197">
            <v>0</v>
          </cell>
          <cell r="X197">
            <v>0</v>
          </cell>
          <cell r="Y197">
            <v>-330.5</v>
          </cell>
          <cell r="Z197">
            <v>0</v>
          </cell>
          <cell r="AA197">
            <v>-2258.5</v>
          </cell>
          <cell r="AB197">
            <v>-794.9</v>
          </cell>
          <cell r="AC197">
            <v>-282.77999999999997</v>
          </cell>
          <cell r="AD197">
            <v>-1064.07</v>
          </cell>
          <cell r="AE197">
            <v>-768</v>
          </cell>
          <cell r="AF197">
            <v>-350</v>
          </cell>
          <cell r="AG197">
            <v>-6045.75</v>
          </cell>
          <cell r="AH197">
            <v>-166.5</v>
          </cell>
          <cell r="AI197">
            <v>-2636.79</v>
          </cell>
          <cell r="AJ197">
            <v>-2290</v>
          </cell>
          <cell r="AK197">
            <v>0</v>
          </cell>
          <cell r="AL197">
            <v>0</v>
          </cell>
          <cell r="AM197">
            <v>-1293</v>
          </cell>
          <cell r="AN197">
            <v>-2335</v>
          </cell>
          <cell r="AO197">
            <v>-2117.8000000000002</v>
          </cell>
          <cell r="AP197">
            <v>-2740.18</v>
          </cell>
          <cell r="AQ197">
            <v>-745.78</v>
          </cell>
          <cell r="AR197">
            <v>-1068.1400000000001</v>
          </cell>
          <cell r="AS197">
            <v>-1178</v>
          </cell>
          <cell r="AT197">
            <v>-16571.190000000002</v>
          </cell>
          <cell r="AU197">
            <v>-2138</v>
          </cell>
          <cell r="AV197">
            <v>-555</v>
          </cell>
          <cell r="AW197">
            <v>160</v>
          </cell>
          <cell r="AX197">
            <v>-1906.5</v>
          </cell>
          <cell r="AY197">
            <v>-187.19</v>
          </cell>
          <cell r="AZ197">
            <v>-1207.5</v>
          </cell>
          <cell r="BA197">
            <v>-1657</v>
          </cell>
          <cell r="BB197">
            <v>-1169.8</v>
          </cell>
          <cell r="BC197">
            <v>-492</v>
          </cell>
          <cell r="BD197">
            <v>-665.6</v>
          </cell>
          <cell r="BE197">
            <v>-1197</v>
          </cell>
          <cell r="BF197">
            <v>-3309.35</v>
          </cell>
          <cell r="BG197">
            <v>-14324.94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BR197">
            <v>-670</v>
          </cell>
          <cell r="BS197">
            <v>0</v>
          </cell>
          <cell r="BT197">
            <v>-670</v>
          </cell>
          <cell r="BU197">
            <v>0</v>
          </cell>
          <cell r="BV197">
            <v>0</v>
          </cell>
          <cell r="BW197">
            <v>0</v>
          </cell>
          <cell r="BX197">
            <v>0</v>
          </cell>
          <cell r="BY197">
            <v>0</v>
          </cell>
          <cell r="BZ197">
            <v>-2617.9</v>
          </cell>
          <cell r="CA197">
            <v>-9000</v>
          </cell>
          <cell r="CE197">
            <v>-11617.9</v>
          </cell>
          <cell r="CG197">
            <v>0</v>
          </cell>
        </row>
        <row r="198">
          <cell r="A198" t="str">
            <v>4.1.1.2.05.00003</v>
          </cell>
          <cell r="B198" t="str">
            <v>SEGURO DE VEICULOS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-1175.26</v>
          </cell>
          <cell r="H198">
            <v>0</v>
          </cell>
          <cell r="I198">
            <v>0</v>
          </cell>
          <cell r="J198">
            <v>0</v>
          </cell>
          <cell r="K198">
            <v>-219.93</v>
          </cell>
          <cell r="L198">
            <v>-894.4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-1114.33</v>
          </cell>
          <cell r="U198">
            <v>0</v>
          </cell>
          <cell r="V198">
            <v>-1118.94</v>
          </cell>
          <cell r="W198">
            <v>0</v>
          </cell>
          <cell r="X198">
            <v>-229.16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-1348.1000000000001</v>
          </cell>
          <cell r="AH198">
            <v>-1183.04</v>
          </cell>
          <cell r="AI198">
            <v>0</v>
          </cell>
          <cell r="AJ198">
            <v>-195.72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-1155.83</v>
          </cell>
          <cell r="AT198">
            <v>-2534.59</v>
          </cell>
          <cell r="AU198">
            <v>0</v>
          </cell>
          <cell r="AV198">
            <v>0</v>
          </cell>
          <cell r="AW198">
            <v>0</v>
          </cell>
          <cell r="AX198">
            <v>-194.9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-194.9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BR198">
            <v>0</v>
          </cell>
          <cell r="BS198">
            <v>0</v>
          </cell>
          <cell r="BT198">
            <v>0</v>
          </cell>
          <cell r="BU198">
            <v>0</v>
          </cell>
          <cell r="BV198">
            <v>0</v>
          </cell>
          <cell r="BW198">
            <v>0</v>
          </cell>
          <cell r="BX198">
            <v>0</v>
          </cell>
          <cell r="BY198">
            <v>0</v>
          </cell>
          <cell r="BZ198">
            <v>0</v>
          </cell>
          <cell r="CA198">
            <v>0</v>
          </cell>
          <cell r="CE198">
            <v>0</v>
          </cell>
          <cell r="CG198">
            <v>0</v>
          </cell>
        </row>
        <row r="199">
          <cell r="A199" t="str">
            <v>4.1.1.2.05.00005</v>
          </cell>
          <cell r="B199" t="str">
            <v>MULTA TRANSITO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-127.69</v>
          </cell>
          <cell r="H199">
            <v>-0.80999999999998806</v>
          </cell>
          <cell r="I199">
            <v>0</v>
          </cell>
          <cell r="J199">
            <v>276.36</v>
          </cell>
          <cell r="K199">
            <v>-312.37</v>
          </cell>
          <cell r="L199">
            <v>-443.03</v>
          </cell>
          <cell r="M199">
            <v>-347.37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-827.22</v>
          </cell>
          <cell r="U199">
            <v>0</v>
          </cell>
          <cell r="V199">
            <v>-281.72000000000003</v>
          </cell>
          <cell r="W199">
            <v>-1177.18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-104.13</v>
          </cell>
          <cell r="AC199">
            <v>-495.08</v>
          </cell>
          <cell r="AD199">
            <v>95.87</v>
          </cell>
          <cell r="AE199">
            <v>-8.25</v>
          </cell>
          <cell r="AF199">
            <v>408.24</v>
          </cell>
          <cell r="AG199">
            <v>-1562.2500000000002</v>
          </cell>
          <cell r="AH199">
            <v>-104.13</v>
          </cell>
          <cell r="AI199">
            <v>208.25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-104.12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-104.13</v>
          </cell>
          <cell r="AV199">
            <v>0</v>
          </cell>
          <cell r="AW199">
            <v>0</v>
          </cell>
          <cell r="AX199">
            <v>124.96</v>
          </cell>
          <cell r="AY199">
            <v>104.12</v>
          </cell>
          <cell r="AZ199">
            <v>0</v>
          </cell>
          <cell r="BA199">
            <v>52.06</v>
          </cell>
          <cell r="BB199">
            <v>52.06</v>
          </cell>
          <cell r="BC199">
            <v>-131.21</v>
          </cell>
          <cell r="BD199">
            <v>0</v>
          </cell>
          <cell r="BE199">
            <v>0</v>
          </cell>
          <cell r="BF199">
            <v>0</v>
          </cell>
          <cell r="BG199">
            <v>97.859999999999985</v>
          </cell>
          <cell r="BH199">
            <v>0</v>
          </cell>
          <cell r="BI199">
            <v>-131.21</v>
          </cell>
          <cell r="BJ199">
            <v>-131.21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BR199">
            <v>0</v>
          </cell>
          <cell r="BS199">
            <v>0</v>
          </cell>
          <cell r="BT199">
            <v>-262.42</v>
          </cell>
          <cell r="BU199">
            <v>0</v>
          </cell>
          <cell r="BV199">
            <v>0</v>
          </cell>
          <cell r="BW199">
            <v>-293.47000000000003</v>
          </cell>
          <cell r="BX199">
            <v>0</v>
          </cell>
          <cell r="BY199">
            <v>0</v>
          </cell>
          <cell r="BZ199">
            <v>0</v>
          </cell>
          <cell r="CA199">
            <v>0</v>
          </cell>
          <cell r="CE199">
            <v>-293.47000000000003</v>
          </cell>
          <cell r="CG199">
            <v>0</v>
          </cell>
        </row>
        <row r="200">
          <cell r="A200" t="str">
            <v>4.1.1.2.07</v>
          </cell>
          <cell r="B200" t="str">
            <v>GASTOS GERAIS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-1061105.8400000001</v>
          </cell>
          <cell r="H200">
            <v>-83107.429999999993</v>
          </cell>
          <cell r="I200">
            <v>-24223.119999999999</v>
          </cell>
          <cell r="J200">
            <v>-66401.37</v>
          </cell>
          <cell r="K200">
            <v>-26198.58</v>
          </cell>
          <cell r="L200">
            <v>-21944.239999999998</v>
          </cell>
          <cell r="M200">
            <v>-39409.67</v>
          </cell>
          <cell r="N200">
            <v>-88543.71</v>
          </cell>
          <cell r="O200">
            <v>-52071.99</v>
          </cell>
          <cell r="P200">
            <v>-55155.91</v>
          </cell>
          <cell r="Q200">
            <v>-104934.03</v>
          </cell>
          <cell r="R200">
            <v>-82140.25</v>
          </cell>
          <cell r="S200">
            <v>-31817.56</v>
          </cell>
          <cell r="T200">
            <v>-675947.8600000001</v>
          </cell>
          <cell r="U200">
            <v>-114568.41</v>
          </cell>
          <cell r="V200">
            <v>-70170.36</v>
          </cell>
          <cell r="W200">
            <v>-55163.199999999997</v>
          </cell>
          <cell r="X200">
            <v>-61072.85</v>
          </cell>
          <cell r="Y200">
            <v>-60551.839999999997</v>
          </cell>
          <cell r="Z200">
            <v>-58103.49</v>
          </cell>
          <cell r="AA200">
            <v>-57550.27</v>
          </cell>
          <cell r="AB200">
            <v>-70752.37</v>
          </cell>
          <cell r="AC200">
            <v>-31764.63</v>
          </cell>
          <cell r="AD200">
            <v>-85757.83</v>
          </cell>
          <cell r="AE200">
            <v>-63156.45</v>
          </cell>
          <cell r="AF200">
            <v>-64742.389999999992</v>
          </cell>
          <cell r="AG200">
            <v>-793354.09</v>
          </cell>
          <cell r="AH200">
            <v>-89545.74</v>
          </cell>
          <cell r="AI200">
            <v>-39024.46</v>
          </cell>
          <cell r="AJ200">
            <v>-78276.03</v>
          </cell>
          <cell r="AK200">
            <v>-53556.520000000004</v>
          </cell>
          <cell r="AL200">
            <v>-51507.520000000004</v>
          </cell>
          <cell r="AM200">
            <v>-45913.32</v>
          </cell>
          <cell r="AN200">
            <v>-57243.97</v>
          </cell>
          <cell r="AO200">
            <v>-20744.12</v>
          </cell>
          <cell r="AP200">
            <v>-98950.159999999989</v>
          </cell>
          <cell r="AQ200">
            <v>-85127.86</v>
          </cell>
          <cell r="AR200">
            <v>-91337.84</v>
          </cell>
          <cell r="AS200">
            <v>-80935.600000000006</v>
          </cell>
          <cell r="AT200">
            <v>-792163.14</v>
          </cell>
          <cell r="AU200">
            <v>-110404.4</v>
          </cell>
          <cell r="AV200">
            <v>-99486.88</v>
          </cell>
          <cell r="AW200">
            <v>-169873.99</v>
          </cell>
          <cell r="AX200">
            <v>-93215.1</v>
          </cell>
          <cell r="AY200">
            <v>-43679.37</v>
          </cell>
          <cell r="AZ200">
            <v>-162413.47</v>
          </cell>
          <cell r="BA200">
            <v>-180840.63</v>
          </cell>
          <cell r="BB200">
            <v>-108296.86</v>
          </cell>
          <cell r="BC200">
            <v>-160694.81000000003</v>
          </cell>
          <cell r="BD200">
            <v>-157164.16</v>
          </cell>
          <cell r="BE200">
            <v>-171784.31999999998</v>
          </cell>
          <cell r="BF200">
            <v>-32637.170000000002</v>
          </cell>
          <cell r="BG200">
            <v>-1490491.16</v>
          </cell>
          <cell r="BH200">
            <v>-41376.129999999997</v>
          </cell>
          <cell r="BI200">
            <v>-108776.35</v>
          </cell>
          <cell r="BJ200">
            <v>-3864.08</v>
          </cell>
          <cell r="BK200">
            <v>-265.56</v>
          </cell>
          <cell r="BL200">
            <v>-243.06</v>
          </cell>
          <cell r="BM200">
            <v>-3263.18</v>
          </cell>
          <cell r="BN200">
            <v>-4070.8</v>
          </cell>
          <cell r="BO200">
            <v>-75.14</v>
          </cell>
          <cell r="BP200">
            <v>-118.23</v>
          </cell>
          <cell r="BQ200">
            <v>-1563.14</v>
          </cell>
          <cell r="BR200">
            <v>0</v>
          </cell>
          <cell r="BS200">
            <v>0</v>
          </cell>
          <cell r="BT200">
            <v>-163615.67000000001</v>
          </cell>
          <cell r="BU200">
            <v>0</v>
          </cell>
          <cell r="BV200">
            <v>0</v>
          </cell>
          <cell r="BW200">
            <v>0</v>
          </cell>
          <cell r="BX200">
            <v>0</v>
          </cell>
          <cell r="BY200">
            <v>-483.64</v>
          </cell>
          <cell r="BZ200">
            <v>-4176.5600000000004</v>
          </cell>
          <cell r="CA200">
            <v>-2000</v>
          </cell>
          <cell r="CE200">
            <v>-6660.2000000000007</v>
          </cell>
          <cell r="CG200">
            <v>0</v>
          </cell>
        </row>
        <row r="201">
          <cell r="A201" t="str">
            <v>4.1.1.2.07.00001</v>
          </cell>
          <cell r="B201" t="str">
            <v>ALUGUEL BENS MOVEIS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-132753.54999999999</v>
          </cell>
          <cell r="H201">
            <v>-6509.4</v>
          </cell>
          <cell r="I201">
            <v>-4500</v>
          </cell>
          <cell r="J201">
            <v>-7163.33</v>
          </cell>
          <cell r="K201">
            <v>0</v>
          </cell>
          <cell r="L201">
            <v>-1240</v>
          </cell>
          <cell r="M201">
            <v>-620</v>
          </cell>
          <cell r="N201">
            <v>-620</v>
          </cell>
          <cell r="O201">
            <v>-620</v>
          </cell>
          <cell r="P201">
            <v>-620</v>
          </cell>
          <cell r="Q201">
            <v>0</v>
          </cell>
          <cell r="R201">
            <v>-1330</v>
          </cell>
          <cell r="S201">
            <v>-620</v>
          </cell>
          <cell r="T201">
            <v>-23842.73</v>
          </cell>
          <cell r="U201">
            <v>-728.69</v>
          </cell>
          <cell r="V201">
            <v>-108.69</v>
          </cell>
          <cell r="W201">
            <v>-1348.69</v>
          </cell>
          <cell r="X201">
            <v>-2308.69</v>
          </cell>
          <cell r="Y201">
            <v>-728.69</v>
          </cell>
          <cell r="Z201">
            <v>-1348.69</v>
          </cell>
          <cell r="AA201">
            <v>-728.69</v>
          </cell>
          <cell r="AB201">
            <v>-728.69</v>
          </cell>
          <cell r="AC201">
            <v>-1348.69</v>
          </cell>
          <cell r="AD201">
            <v>-728.69</v>
          </cell>
          <cell r="AE201">
            <v>-728.69</v>
          </cell>
          <cell r="AF201">
            <v>-21833.25</v>
          </cell>
          <cell r="AG201">
            <v>-32668.840000000004</v>
          </cell>
          <cell r="AH201">
            <v>-933.25</v>
          </cell>
          <cell r="AI201">
            <v>-1373.25</v>
          </cell>
          <cell r="AJ201">
            <v>-133.25</v>
          </cell>
          <cell r="AK201">
            <v>-753.25</v>
          </cell>
          <cell r="AL201">
            <v>-780</v>
          </cell>
          <cell r="AM201">
            <v>-780</v>
          </cell>
          <cell r="AN201">
            <v>-1400</v>
          </cell>
          <cell r="AO201">
            <v>-780</v>
          </cell>
          <cell r="AP201">
            <v>-780</v>
          </cell>
          <cell r="AQ201">
            <v>-780</v>
          </cell>
          <cell r="AR201">
            <v>-60780</v>
          </cell>
          <cell r="AS201">
            <v>-780</v>
          </cell>
          <cell r="AT201">
            <v>-70053</v>
          </cell>
          <cell r="AU201">
            <v>-199.23</v>
          </cell>
          <cell r="AV201">
            <v>-819.23</v>
          </cell>
          <cell r="AW201">
            <v>-819.23</v>
          </cell>
          <cell r="AX201">
            <v>-819.23</v>
          </cell>
          <cell r="AY201">
            <v>-199.23</v>
          </cell>
          <cell r="AZ201">
            <v>-6419.23</v>
          </cell>
          <cell r="BA201">
            <v>-224.23</v>
          </cell>
          <cell r="BB201">
            <v>-5319.23</v>
          </cell>
          <cell r="BC201">
            <v>-27169.23</v>
          </cell>
          <cell r="BD201">
            <v>-82707.17</v>
          </cell>
          <cell r="BE201">
            <v>-29012.17</v>
          </cell>
          <cell r="BF201">
            <v>-5556</v>
          </cell>
          <cell r="BG201">
            <v>-159263.40999999997</v>
          </cell>
          <cell r="BH201">
            <v>-243.06</v>
          </cell>
          <cell r="BI201">
            <v>0</v>
          </cell>
          <cell r="BJ201">
            <v>-243.06</v>
          </cell>
          <cell r="BK201">
            <v>-243.06</v>
          </cell>
          <cell r="BL201">
            <v>-243.06</v>
          </cell>
          <cell r="BM201">
            <v>-486.12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  <cell r="BR201">
            <v>0</v>
          </cell>
          <cell r="BS201">
            <v>0</v>
          </cell>
          <cell r="BT201">
            <v>-1458.3600000000001</v>
          </cell>
          <cell r="BU201">
            <v>0</v>
          </cell>
          <cell r="BV201">
            <v>0</v>
          </cell>
          <cell r="BW201">
            <v>0</v>
          </cell>
          <cell r="BX201">
            <v>0</v>
          </cell>
          <cell r="BY201">
            <v>0</v>
          </cell>
          <cell r="BZ201">
            <v>0</v>
          </cell>
          <cell r="CA201">
            <v>0</v>
          </cell>
          <cell r="CE201">
            <v>0</v>
          </cell>
          <cell r="CG201">
            <v>0</v>
          </cell>
        </row>
        <row r="202">
          <cell r="A202" t="str">
            <v>4.1.1.2.07.00002</v>
          </cell>
          <cell r="B202" t="str">
            <v>COMBUSTIVEL E LUBRIFICANTES - MAQUINAS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-452944.9</v>
          </cell>
          <cell r="H202">
            <v>-53783.85</v>
          </cell>
          <cell r="I202">
            <v>0</v>
          </cell>
          <cell r="J202">
            <v>-35619.199999999997</v>
          </cell>
          <cell r="K202">
            <v>887.31</v>
          </cell>
          <cell r="L202">
            <v>0</v>
          </cell>
          <cell r="M202">
            <v>-26938.85</v>
          </cell>
          <cell r="N202">
            <v>-72314.42</v>
          </cell>
          <cell r="O202">
            <v>-29233.67</v>
          </cell>
          <cell r="P202">
            <v>-7342.61</v>
          </cell>
          <cell r="Q202">
            <v>-56843.81</v>
          </cell>
          <cell r="R202">
            <v>-27156.47</v>
          </cell>
          <cell r="S202">
            <v>0</v>
          </cell>
          <cell r="T202">
            <v>-308345.56999999995</v>
          </cell>
          <cell r="U202">
            <v>-75585.990000000005</v>
          </cell>
          <cell r="V202">
            <v>-35136.639999999999</v>
          </cell>
          <cell r="W202">
            <v>-33518.050000000003</v>
          </cell>
          <cell r="X202">
            <v>-29694.560000000001</v>
          </cell>
          <cell r="Y202">
            <v>-23127.84</v>
          </cell>
          <cell r="Z202">
            <v>-28659.02</v>
          </cell>
          <cell r="AA202">
            <v>-27350.639999999999</v>
          </cell>
          <cell r="AB202">
            <v>-28750.54</v>
          </cell>
          <cell r="AC202">
            <v>-12245.31</v>
          </cell>
          <cell r="AD202">
            <v>-14665.83</v>
          </cell>
          <cell r="AE202">
            <v>-13753.86</v>
          </cell>
          <cell r="AF202">
            <v>1374.26</v>
          </cell>
          <cell r="AG202">
            <v>-321114.01999999996</v>
          </cell>
          <cell r="AH202">
            <v>-36856.800000000003</v>
          </cell>
          <cell r="AI202">
            <v>-2640</v>
          </cell>
          <cell r="AJ202">
            <v>-41505.160000000003</v>
          </cell>
          <cell r="AK202">
            <v>0</v>
          </cell>
          <cell r="AL202">
            <v>-27560.33</v>
          </cell>
          <cell r="AM202">
            <v>-17483.12</v>
          </cell>
          <cell r="AN202">
            <v>-23571.7</v>
          </cell>
          <cell r="AO202">
            <v>0</v>
          </cell>
          <cell r="AP202">
            <v>-53635.98</v>
          </cell>
          <cell r="AQ202">
            <v>-25534.51</v>
          </cell>
          <cell r="AR202">
            <v>0</v>
          </cell>
          <cell r="AS202">
            <v>0</v>
          </cell>
          <cell r="AT202">
            <v>-228787.60000000003</v>
          </cell>
          <cell r="AU202">
            <v>-70906.42</v>
          </cell>
          <cell r="AV202">
            <v>-24286.46</v>
          </cell>
          <cell r="AW202">
            <v>-105654.37</v>
          </cell>
          <cell r="AX202">
            <v>-2160</v>
          </cell>
          <cell r="AY202">
            <v>0</v>
          </cell>
          <cell r="AZ202">
            <v>-44825.19</v>
          </cell>
          <cell r="BA202">
            <v>-70059.69</v>
          </cell>
          <cell r="BB202">
            <v>-22153.89</v>
          </cell>
          <cell r="BC202">
            <v>-46232.89</v>
          </cell>
          <cell r="BD202">
            <v>-2991.13</v>
          </cell>
          <cell r="BE202">
            <v>-80174.3</v>
          </cell>
          <cell r="BF202">
            <v>-2567.5600000000004</v>
          </cell>
          <cell r="BG202">
            <v>-472011.9</v>
          </cell>
          <cell r="BH202">
            <v>0</v>
          </cell>
          <cell r="BI202">
            <v>-86098.76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BR202">
            <v>0</v>
          </cell>
          <cell r="BS202">
            <v>0</v>
          </cell>
          <cell r="BT202">
            <v>-86098.76</v>
          </cell>
          <cell r="BU202">
            <v>0</v>
          </cell>
          <cell r="BV202">
            <v>0</v>
          </cell>
          <cell r="BW202">
            <v>0</v>
          </cell>
          <cell r="BX202">
            <v>0</v>
          </cell>
          <cell r="BY202">
            <v>0</v>
          </cell>
          <cell r="BZ202">
            <v>-2176.56</v>
          </cell>
          <cell r="CA202">
            <v>0</v>
          </cell>
          <cell r="CE202">
            <v>-2176.56</v>
          </cell>
          <cell r="CG202">
            <v>0</v>
          </cell>
        </row>
        <row r="203">
          <cell r="A203" t="str">
            <v>4.1.1.2.07.00003</v>
          </cell>
          <cell r="B203" t="str">
            <v>FRETES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-63626.47</v>
          </cell>
          <cell r="H203">
            <v>0</v>
          </cell>
          <cell r="I203">
            <v>0</v>
          </cell>
          <cell r="J203">
            <v>-54.23</v>
          </cell>
          <cell r="K203">
            <v>-5000</v>
          </cell>
          <cell r="L203">
            <v>-1330</v>
          </cell>
          <cell r="M203">
            <v>0</v>
          </cell>
          <cell r="N203">
            <v>-770.18</v>
          </cell>
          <cell r="O203">
            <v>-358.35</v>
          </cell>
          <cell r="P203">
            <v>-2091.7600000000002</v>
          </cell>
          <cell r="Q203">
            <v>-3696.04</v>
          </cell>
          <cell r="R203">
            <v>-8964.7199999999993</v>
          </cell>
          <cell r="S203">
            <v>0</v>
          </cell>
          <cell r="T203">
            <v>-22265.279999999999</v>
          </cell>
          <cell r="U203">
            <v>-2500</v>
          </cell>
          <cell r="V203">
            <v>-4665</v>
          </cell>
          <cell r="W203">
            <v>-1250.6099999999999</v>
          </cell>
          <cell r="X203">
            <v>0</v>
          </cell>
          <cell r="Y203">
            <v>-1067.17</v>
          </cell>
          <cell r="Z203">
            <v>-704.9</v>
          </cell>
          <cell r="AA203">
            <v>-779.1</v>
          </cell>
          <cell r="AB203">
            <v>-16750.990000000002</v>
          </cell>
          <cell r="AC203">
            <v>-4217.54</v>
          </cell>
          <cell r="AD203">
            <v>-933.79</v>
          </cell>
          <cell r="AE203">
            <v>-2051.1</v>
          </cell>
          <cell r="AF203">
            <v>-12124.7</v>
          </cell>
          <cell r="AG203">
            <v>-47044.900000000009</v>
          </cell>
          <cell r="AH203">
            <v>-1045.0899999999999</v>
          </cell>
          <cell r="AI203">
            <v>-3397.84</v>
          </cell>
          <cell r="AJ203">
            <v>-4700</v>
          </cell>
          <cell r="AK203">
            <v>-10256.83</v>
          </cell>
          <cell r="AL203">
            <v>0</v>
          </cell>
          <cell r="AM203">
            <v>-7567.42</v>
          </cell>
          <cell r="AN203">
            <v>-440.1</v>
          </cell>
          <cell r="AO203">
            <v>-53.88</v>
          </cell>
          <cell r="AP203">
            <v>-11156.8</v>
          </cell>
          <cell r="AQ203">
            <v>-18299.21</v>
          </cell>
          <cell r="AR203">
            <v>-2000</v>
          </cell>
          <cell r="AS203">
            <v>-2840</v>
          </cell>
          <cell r="AT203">
            <v>-61757.17</v>
          </cell>
          <cell r="AU203">
            <v>0</v>
          </cell>
          <cell r="AV203">
            <v>-3000</v>
          </cell>
          <cell r="AW203">
            <v>0</v>
          </cell>
          <cell r="AX203">
            <v>-850</v>
          </cell>
          <cell r="AY203">
            <v>0</v>
          </cell>
          <cell r="AZ203">
            <v>0</v>
          </cell>
          <cell r="BA203">
            <v>-4289.34</v>
          </cell>
          <cell r="BB203">
            <v>-9000</v>
          </cell>
          <cell r="BC203">
            <v>0</v>
          </cell>
          <cell r="BD203">
            <v>-207.87</v>
          </cell>
          <cell r="BE203">
            <v>-1500</v>
          </cell>
          <cell r="BF203">
            <v>0</v>
          </cell>
          <cell r="BG203">
            <v>-18847.21</v>
          </cell>
          <cell r="BH203">
            <v>-18368.669999999998</v>
          </cell>
          <cell r="BI203">
            <v>-15714.99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BR203">
            <v>0</v>
          </cell>
          <cell r="BS203">
            <v>0</v>
          </cell>
          <cell r="BT203">
            <v>-34083.659999999996</v>
          </cell>
          <cell r="BU203">
            <v>0</v>
          </cell>
          <cell r="BV203">
            <v>0</v>
          </cell>
          <cell r="BW203">
            <v>0</v>
          </cell>
          <cell r="BX203">
            <v>0</v>
          </cell>
          <cell r="BY203">
            <v>0</v>
          </cell>
          <cell r="BZ203">
            <v>0</v>
          </cell>
          <cell r="CA203">
            <v>0</v>
          </cell>
          <cell r="CE203">
            <v>0</v>
          </cell>
          <cell r="CG203">
            <v>0</v>
          </cell>
        </row>
        <row r="204">
          <cell r="A204" t="str">
            <v>4.1.1.2.07.00005</v>
          </cell>
          <cell r="B204" t="str">
            <v>LIMPEZA E CONSERVACAO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-124.39</v>
          </cell>
          <cell r="Z204">
            <v>0</v>
          </cell>
          <cell r="AA204">
            <v>-312.58</v>
          </cell>
          <cell r="AB204">
            <v>0</v>
          </cell>
          <cell r="AC204">
            <v>-160</v>
          </cell>
          <cell r="AD204">
            <v>0</v>
          </cell>
          <cell r="AE204">
            <v>-262.33</v>
          </cell>
          <cell r="AF204">
            <v>0</v>
          </cell>
          <cell r="AG204">
            <v>-859.3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BR204">
            <v>0</v>
          </cell>
          <cell r="BS204">
            <v>0</v>
          </cell>
          <cell r="BT204">
            <v>0</v>
          </cell>
          <cell r="BU204">
            <v>0</v>
          </cell>
          <cell r="BV204">
            <v>0</v>
          </cell>
          <cell r="BW204">
            <v>0</v>
          </cell>
          <cell r="BX204">
            <v>0</v>
          </cell>
          <cell r="BY204">
            <v>0</v>
          </cell>
          <cell r="BZ204">
            <v>0</v>
          </cell>
          <cell r="CA204">
            <v>0</v>
          </cell>
          <cell r="CE204">
            <v>0</v>
          </cell>
          <cell r="CG204">
            <v>0</v>
          </cell>
        </row>
        <row r="205">
          <cell r="A205" t="str">
            <v>4.1.1.2.07.00006</v>
          </cell>
          <cell r="B205" t="str">
            <v>MANUTENCAO MAQUINAS E EQUIPTO - PECAS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-121734.59</v>
          </cell>
          <cell r="H205">
            <v>-8833.25</v>
          </cell>
          <cell r="I205">
            <v>-8085.4</v>
          </cell>
          <cell r="J205">
            <v>-9240.33</v>
          </cell>
          <cell r="K205">
            <v>-14960.72</v>
          </cell>
          <cell r="L205">
            <v>-5701.05</v>
          </cell>
          <cell r="M205">
            <v>-3545.05</v>
          </cell>
          <cell r="N205">
            <v>-4136.91</v>
          </cell>
          <cell r="O205">
            <v>-10580.65</v>
          </cell>
          <cell r="P205">
            <v>-39458.800000000003</v>
          </cell>
          <cell r="Q205">
            <v>-26892.66</v>
          </cell>
          <cell r="R205">
            <v>-22136.46</v>
          </cell>
          <cell r="S205">
            <v>-3826.56</v>
          </cell>
          <cell r="T205">
            <v>-157397.84</v>
          </cell>
          <cell r="U205">
            <v>-24922.63</v>
          </cell>
          <cell r="V205">
            <v>-9077.65</v>
          </cell>
          <cell r="W205">
            <v>-11643.98</v>
          </cell>
          <cell r="X205">
            <v>-13520.01</v>
          </cell>
          <cell r="Y205">
            <v>-11086.83</v>
          </cell>
          <cell r="Z205">
            <v>-14230.94</v>
          </cell>
          <cell r="AA205">
            <v>-4067.58</v>
          </cell>
          <cell r="AB205">
            <v>-4385.63</v>
          </cell>
          <cell r="AC205">
            <v>-4729.05</v>
          </cell>
          <cell r="AD205">
            <v>-30056.37</v>
          </cell>
          <cell r="AE205">
            <v>-19083.599999999999</v>
          </cell>
          <cell r="AF205">
            <v>-19405.09</v>
          </cell>
          <cell r="AG205">
            <v>-166209.35999999999</v>
          </cell>
          <cell r="AH205">
            <v>-9552.31</v>
          </cell>
          <cell r="AI205">
            <v>-12875.58</v>
          </cell>
          <cell r="AJ205">
            <v>-5869.95</v>
          </cell>
          <cell r="AK205">
            <v>-13809.740000000002</v>
          </cell>
          <cell r="AL205">
            <v>-14628.91</v>
          </cell>
          <cell r="AM205">
            <v>-10847.35</v>
          </cell>
          <cell r="AN205">
            <v>-20498.650000000001</v>
          </cell>
          <cell r="AO205">
            <v>-7554.74</v>
          </cell>
          <cell r="AP205">
            <v>-20209.95</v>
          </cell>
          <cell r="AQ205">
            <v>-11927.75</v>
          </cell>
          <cell r="AR205">
            <v>-14038.15</v>
          </cell>
          <cell r="AS205">
            <v>-38588.65</v>
          </cell>
          <cell r="AT205">
            <v>-180401.73</v>
          </cell>
          <cell r="AU205">
            <v>-21481.53</v>
          </cell>
          <cell r="AV205">
            <v>-45295.91</v>
          </cell>
          <cell r="AW205">
            <v>-37794.46</v>
          </cell>
          <cell r="AX205">
            <v>-65843.61</v>
          </cell>
          <cell r="AY205">
            <v>-32870.239999999998</v>
          </cell>
          <cell r="AZ205">
            <v>-54508.87</v>
          </cell>
          <cell r="BA205">
            <v>-80197.240000000005</v>
          </cell>
          <cell r="BB205">
            <v>-45030.05</v>
          </cell>
          <cell r="BC205">
            <v>-61186.53</v>
          </cell>
          <cell r="BD205">
            <v>-49420.08</v>
          </cell>
          <cell r="BE205">
            <v>-39667.769999999997</v>
          </cell>
          <cell r="BF205">
            <v>-35402.129999999997</v>
          </cell>
          <cell r="BG205">
            <v>-568698.41999999993</v>
          </cell>
          <cell r="BH205">
            <v>-14479.46</v>
          </cell>
          <cell r="BI205">
            <v>-3263.37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  <cell r="BR205">
            <v>0</v>
          </cell>
          <cell r="BS205">
            <v>0</v>
          </cell>
          <cell r="BT205">
            <v>-17742.829999999998</v>
          </cell>
          <cell r="BU205">
            <v>0</v>
          </cell>
          <cell r="BV205">
            <v>0</v>
          </cell>
          <cell r="BW205">
            <v>0</v>
          </cell>
          <cell r="BX205">
            <v>0</v>
          </cell>
          <cell r="BY205">
            <v>0</v>
          </cell>
          <cell r="BZ205">
            <v>0</v>
          </cell>
          <cell r="CA205">
            <v>0</v>
          </cell>
          <cell r="CE205">
            <v>0</v>
          </cell>
          <cell r="CG205">
            <v>0</v>
          </cell>
        </row>
        <row r="206">
          <cell r="A206" t="str">
            <v>4.1.1.2.07.00007</v>
          </cell>
          <cell r="B206" t="str">
            <v>MANUTENCAO MAQUINAS E EQUIPTO - SERVICOS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-103655.45</v>
          </cell>
          <cell r="H206">
            <v>-6430</v>
          </cell>
          <cell r="I206">
            <v>-5720</v>
          </cell>
          <cell r="J206">
            <v>-4500</v>
          </cell>
          <cell r="K206">
            <v>-2660</v>
          </cell>
          <cell r="L206">
            <v>-4365</v>
          </cell>
          <cell r="M206">
            <v>-2285</v>
          </cell>
          <cell r="N206">
            <v>-1614.5</v>
          </cell>
          <cell r="O206">
            <v>-5420</v>
          </cell>
          <cell r="P206">
            <v>-950</v>
          </cell>
          <cell r="Q206">
            <v>-660</v>
          </cell>
          <cell r="R206">
            <v>-13800</v>
          </cell>
          <cell r="S206">
            <v>-3740</v>
          </cell>
          <cell r="T206">
            <v>-52144.5</v>
          </cell>
          <cell r="U206">
            <v>-4968.3999999999996</v>
          </cell>
          <cell r="V206">
            <v>-18375</v>
          </cell>
          <cell r="W206">
            <v>-4400.5</v>
          </cell>
          <cell r="X206">
            <v>-10080</v>
          </cell>
          <cell r="Y206">
            <v>-21271</v>
          </cell>
          <cell r="Z206">
            <v>-7283.5</v>
          </cell>
          <cell r="AA206">
            <v>-3420</v>
          </cell>
          <cell r="AB206">
            <v>-2850</v>
          </cell>
          <cell r="AC206">
            <v>0</v>
          </cell>
          <cell r="AD206">
            <v>-515</v>
          </cell>
          <cell r="AE206">
            <v>-8569.24</v>
          </cell>
          <cell r="AF206">
            <v>-2495</v>
          </cell>
          <cell r="AG206">
            <v>-84227.64</v>
          </cell>
          <cell r="AH206">
            <v>0</v>
          </cell>
          <cell r="AI206">
            <v>0</v>
          </cell>
          <cell r="AJ206">
            <v>-9773</v>
          </cell>
          <cell r="AK206">
            <v>-1900</v>
          </cell>
          <cell r="AL206">
            <v>-1190</v>
          </cell>
          <cell r="AM206">
            <v>-1500</v>
          </cell>
          <cell r="AN206">
            <v>-3770</v>
          </cell>
          <cell r="AO206">
            <v>-5742.2</v>
          </cell>
          <cell r="AP206">
            <v>-1040</v>
          </cell>
          <cell r="AQ206">
            <v>-2970</v>
          </cell>
          <cell r="AR206">
            <v>-2995</v>
          </cell>
          <cell r="AS206">
            <v>-10770</v>
          </cell>
          <cell r="AT206">
            <v>-41650.199999999997</v>
          </cell>
          <cell r="AU206">
            <v>-5315</v>
          </cell>
          <cell r="AV206">
            <v>-7800</v>
          </cell>
          <cell r="AW206">
            <v>-13473</v>
          </cell>
          <cell r="AX206">
            <v>-880</v>
          </cell>
          <cell r="AY206">
            <v>-8518</v>
          </cell>
          <cell r="AZ206">
            <v>-45745.5</v>
          </cell>
          <cell r="BA206">
            <v>-13570</v>
          </cell>
          <cell r="BB206">
            <v>-16860</v>
          </cell>
          <cell r="BC206">
            <v>-16445</v>
          </cell>
          <cell r="BD206">
            <v>-12400</v>
          </cell>
          <cell r="BE206">
            <v>-14180</v>
          </cell>
          <cell r="BF206">
            <v>11420</v>
          </cell>
          <cell r="BG206">
            <v>-143766.5</v>
          </cell>
          <cell r="BH206">
            <v>-6530.15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P206">
            <v>0</v>
          </cell>
          <cell r="BQ206">
            <v>0</v>
          </cell>
          <cell r="BR206">
            <v>0</v>
          </cell>
          <cell r="BS206">
            <v>0</v>
          </cell>
          <cell r="BT206">
            <v>-6530.15</v>
          </cell>
          <cell r="BU206">
            <v>0</v>
          </cell>
          <cell r="BV206">
            <v>0</v>
          </cell>
          <cell r="BW206">
            <v>0</v>
          </cell>
          <cell r="BX206">
            <v>0</v>
          </cell>
          <cell r="BY206">
            <v>0</v>
          </cell>
          <cell r="BZ206">
            <v>0</v>
          </cell>
          <cell r="CA206">
            <v>0</v>
          </cell>
          <cell r="CE206">
            <v>0</v>
          </cell>
          <cell r="CG206">
            <v>0</v>
          </cell>
        </row>
        <row r="207">
          <cell r="A207" t="str">
            <v>4.1.1.2.07.00008</v>
          </cell>
          <cell r="B207" t="str">
            <v>MATERIAL DE USO E CONSUMO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-75245.52</v>
          </cell>
          <cell r="H207">
            <v>-4013.27</v>
          </cell>
          <cell r="I207">
            <v>-4061.92</v>
          </cell>
          <cell r="J207">
            <v>-5642.03</v>
          </cell>
          <cell r="K207">
            <v>-3434.1400000000003</v>
          </cell>
          <cell r="L207">
            <v>-2655.68</v>
          </cell>
          <cell r="M207">
            <v>-5014.51</v>
          </cell>
          <cell r="N207">
            <v>-7657.69</v>
          </cell>
          <cell r="O207">
            <v>-3928.06</v>
          </cell>
          <cell r="P207">
            <v>-3986.48</v>
          </cell>
          <cell r="Q207">
            <v>-15519.39</v>
          </cell>
          <cell r="R207">
            <v>-5592.63</v>
          </cell>
          <cell r="S207">
            <v>-14895.61</v>
          </cell>
          <cell r="T207">
            <v>-76401.41</v>
          </cell>
          <cell r="U207">
            <v>-3531.7</v>
          </cell>
          <cell r="V207">
            <v>-2442.38</v>
          </cell>
          <cell r="W207">
            <v>-1067.3699999999999</v>
          </cell>
          <cell r="X207">
            <v>-5009.59</v>
          </cell>
          <cell r="Y207">
            <v>-1060.92</v>
          </cell>
          <cell r="Z207">
            <v>-4746.4399999999996</v>
          </cell>
          <cell r="AA207">
            <v>-11131.68</v>
          </cell>
          <cell r="AB207">
            <v>-9387.86</v>
          </cell>
          <cell r="AC207">
            <v>-7160.24</v>
          </cell>
          <cell r="AD207">
            <v>-6459.17</v>
          </cell>
          <cell r="AE207">
            <v>-8269.1299999999992</v>
          </cell>
          <cell r="AF207">
            <v>-7699.57</v>
          </cell>
          <cell r="AG207">
            <v>-67966.049999999988</v>
          </cell>
          <cell r="AH207">
            <v>-20567.41</v>
          </cell>
          <cell r="AI207">
            <v>-5045.54</v>
          </cell>
          <cell r="AJ207">
            <v>-6641</v>
          </cell>
          <cell r="AK207">
            <v>-945.87</v>
          </cell>
          <cell r="AL207">
            <v>-4324.5</v>
          </cell>
          <cell r="AM207">
            <v>-4531.7299999999996</v>
          </cell>
          <cell r="AN207">
            <v>-2108.19</v>
          </cell>
          <cell r="AO207">
            <v>-508.47</v>
          </cell>
          <cell r="AP207">
            <v>-5024.57</v>
          </cell>
          <cell r="AQ207">
            <v>-18062.080000000002</v>
          </cell>
          <cell r="AR207">
            <v>-198.95</v>
          </cell>
          <cell r="AS207">
            <v>-21090.52</v>
          </cell>
          <cell r="AT207">
            <v>-89048.830000000016</v>
          </cell>
          <cell r="AU207">
            <v>-5555.34</v>
          </cell>
          <cell r="AV207">
            <v>-7962.73</v>
          </cell>
          <cell r="AW207">
            <v>-1235.4599999999998</v>
          </cell>
          <cell r="AX207">
            <v>-3518.44</v>
          </cell>
          <cell r="AY207">
            <v>-1643.24</v>
          </cell>
          <cell r="AZ207">
            <v>-1214.0899999999999</v>
          </cell>
          <cell r="BA207">
            <v>-2948.35</v>
          </cell>
          <cell r="BB207">
            <v>-594.16999999999996</v>
          </cell>
          <cell r="BC207">
            <v>-1481.44</v>
          </cell>
          <cell r="BD207">
            <v>-5482.81</v>
          </cell>
          <cell r="BE207">
            <v>-4275.4799999999996</v>
          </cell>
          <cell r="BF207">
            <v>-363.16</v>
          </cell>
          <cell r="BG207">
            <v>-36274.71</v>
          </cell>
          <cell r="BH207">
            <v>-689.15</v>
          </cell>
          <cell r="BI207">
            <v>0</v>
          </cell>
          <cell r="BJ207">
            <v>-3172.36</v>
          </cell>
          <cell r="BK207">
            <v>0</v>
          </cell>
          <cell r="BL207">
            <v>0</v>
          </cell>
          <cell r="BM207">
            <v>0</v>
          </cell>
          <cell r="BN207">
            <v>-4070.8</v>
          </cell>
          <cell r="BO207">
            <v>-75.14</v>
          </cell>
          <cell r="BP207">
            <v>-118.23</v>
          </cell>
          <cell r="BQ207">
            <v>-1563.14</v>
          </cell>
          <cell r="BR207">
            <v>0</v>
          </cell>
          <cell r="BS207">
            <v>0</v>
          </cell>
          <cell r="BT207">
            <v>-9688.82</v>
          </cell>
          <cell r="BU207">
            <v>0</v>
          </cell>
          <cell r="BV207">
            <v>0</v>
          </cell>
          <cell r="BW207">
            <v>0</v>
          </cell>
          <cell r="BX207">
            <v>0</v>
          </cell>
          <cell r="BY207">
            <v>-483.64</v>
          </cell>
          <cell r="BZ207">
            <v>0</v>
          </cell>
          <cell r="CA207">
            <v>0</v>
          </cell>
          <cell r="CE207">
            <v>-483.64</v>
          </cell>
          <cell r="CG207">
            <v>0</v>
          </cell>
        </row>
        <row r="208">
          <cell r="A208" t="str">
            <v>4.1.1.2.07.00009</v>
          </cell>
          <cell r="B208" t="str">
            <v>OUTROS SERVICOS PJ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-110964.1</v>
          </cell>
          <cell r="H208">
            <v>-3537.66</v>
          </cell>
          <cell r="I208">
            <v>-1855.8</v>
          </cell>
          <cell r="J208">
            <v>-4182.25</v>
          </cell>
          <cell r="K208">
            <v>-1031.03</v>
          </cell>
          <cell r="L208">
            <v>-6129.24</v>
          </cell>
          <cell r="M208">
            <v>-1006.26</v>
          </cell>
          <cell r="N208">
            <v>-1430.01</v>
          </cell>
          <cell r="O208">
            <v>-1931.26</v>
          </cell>
          <cell r="P208">
            <v>-706.26</v>
          </cell>
          <cell r="Q208">
            <v>-1322.13</v>
          </cell>
          <cell r="R208">
            <v>-3159.97</v>
          </cell>
          <cell r="S208">
            <v>-8735.4</v>
          </cell>
          <cell r="T208">
            <v>-35027.269999999997</v>
          </cell>
          <cell r="U208">
            <v>-2331</v>
          </cell>
          <cell r="V208">
            <v>-365</v>
          </cell>
          <cell r="W208">
            <v>-1934</v>
          </cell>
          <cell r="X208">
            <v>-460</v>
          </cell>
          <cell r="Y208">
            <v>-2085</v>
          </cell>
          <cell r="Z208">
            <v>-1130</v>
          </cell>
          <cell r="AA208">
            <v>-9760</v>
          </cell>
          <cell r="AB208">
            <v>-7898.66</v>
          </cell>
          <cell r="AC208">
            <v>-1903.8</v>
          </cell>
          <cell r="AD208">
            <v>-26398.98</v>
          </cell>
          <cell r="AE208">
            <v>-10438.5</v>
          </cell>
          <cell r="AF208">
            <v>-2559.04</v>
          </cell>
          <cell r="AG208">
            <v>-67263.98</v>
          </cell>
          <cell r="AH208">
            <v>-20590.88</v>
          </cell>
          <cell r="AI208">
            <v>-13692.25</v>
          </cell>
          <cell r="AJ208">
            <v>-9653.67</v>
          </cell>
          <cell r="AK208">
            <v>-25890.83</v>
          </cell>
          <cell r="AL208">
            <v>-3023.78</v>
          </cell>
          <cell r="AM208">
            <v>-3203.7</v>
          </cell>
          <cell r="AN208">
            <v>-5455.33</v>
          </cell>
          <cell r="AO208">
            <v>-6104.83</v>
          </cell>
          <cell r="AP208">
            <v>-7102.86</v>
          </cell>
          <cell r="AQ208">
            <v>-7554.31</v>
          </cell>
          <cell r="AR208">
            <v>-11325.74</v>
          </cell>
          <cell r="AS208">
            <v>-6866.43</v>
          </cell>
          <cell r="AT208">
            <v>-120464.61000000002</v>
          </cell>
          <cell r="AU208">
            <v>-6946.88</v>
          </cell>
          <cell r="AV208">
            <v>-10322.549999999999</v>
          </cell>
          <cell r="AW208">
            <v>-10897.47</v>
          </cell>
          <cell r="AX208">
            <v>-19143.82</v>
          </cell>
          <cell r="AY208">
            <v>-448.66</v>
          </cell>
          <cell r="AZ208">
            <v>-9433.59</v>
          </cell>
          <cell r="BA208">
            <v>-9551.7800000000007</v>
          </cell>
          <cell r="BB208">
            <v>-9339.52</v>
          </cell>
          <cell r="BC208">
            <v>-7720.72</v>
          </cell>
          <cell r="BD208">
            <v>-3955.1</v>
          </cell>
          <cell r="BE208">
            <v>-2974.6</v>
          </cell>
          <cell r="BF208">
            <v>-168.32</v>
          </cell>
          <cell r="BG208">
            <v>-90903.010000000024</v>
          </cell>
          <cell r="BH208">
            <v>-1065.6400000000001</v>
          </cell>
          <cell r="BI208">
            <v>-3699.23</v>
          </cell>
          <cell r="BJ208">
            <v>-448.66</v>
          </cell>
          <cell r="BK208">
            <v>-22.5</v>
          </cell>
          <cell r="BL208">
            <v>0</v>
          </cell>
          <cell r="BM208">
            <v>-2777.06</v>
          </cell>
          <cell r="BN208">
            <v>0</v>
          </cell>
          <cell r="BO208">
            <v>0</v>
          </cell>
          <cell r="BP208">
            <v>0</v>
          </cell>
          <cell r="BQ208">
            <v>0</v>
          </cell>
          <cell r="BR208">
            <v>0</v>
          </cell>
          <cell r="BS208">
            <v>0</v>
          </cell>
          <cell r="BT208">
            <v>-8013.09</v>
          </cell>
          <cell r="BU208">
            <v>0</v>
          </cell>
          <cell r="BV208">
            <v>0</v>
          </cell>
          <cell r="BW208">
            <v>0</v>
          </cell>
          <cell r="BX208">
            <v>0</v>
          </cell>
          <cell r="BY208">
            <v>0</v>
          </cell>
          <cell r="BZ208">
            <v>-2000</v>
          </cell>
          <cell r="CA208">
            <v>-2000</v>
          </cell>
          <cell r="CE208">
            <v>-4000</v>
          </cell>
          <cell r="CG208">
            <v>0</v>
          </cell>
        </row>
        <row r="209">
          <cell r="A209" t="str">
            <v>4.2</v>
          </cell>
          <cell r="B209" t="str">
            <v>DESPESAS OPERACIONAIS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-3090455.85</v>
          </cell>
          <cell r="H209">
            <v>-238578.06999999998</v>
          </cell>
          <cell r="I209">
            <v>-283240.65999999997</v>
          </cell>
          <cell r="J209">
            <v>-278094.76999999996</v>
          </cell>
          <cell r="K209">
            <v>-286889.61</v>
          </cell>
          <cell r="L209">
            <v>-257426.99</v>
          </cell>
          <cell r="M209">
            <v>-381483.33</v>
          </cell>
          <cell r="N209">
            <v>-377943.66</v>
          </cell>
          <cell r="O209">
            <v>-302463.26</v>
          </cell>
          <cell r="P209">
            <v>-372223.34</v>
          </cell>
          <cell r="Q209">
            <v>-343133.97</v>
          </cell>
          <cell r="R209">
            <v>-406339.79</v>
          </cell>
          <cell r="S209">
            <v>-505709.5</v>
          </cell>
          <cell r="T209">
            <v>-4033526.9499999993</v>
          </cell>
          <cell r="U209">
            <v>-362260.92</v>
          </cell>
          <cell r="V209">
            <v>-461229.12</v>
          </cell>
          <cell r="W209">
            <v>-329989.3</v>
          </cell>
          <cell r="X209">
            <v>-332691.28999999998</v>
          </cell>
          <cell r="Y209">
            <v>-346319.35999999999</v>
          </cell>
          <cell r="Z209">
            <v>-349916.46</v>
          </cell>
          <cell r="AA209">
            <v>-354557.21</v>
          </cell>
          <cell r="AB209">
            <v>-348859.66</v>
          </cell>
          <cell r="AC209">
            <v>-442327.95</v>
          </cell>
          <cell r="AD209">
            <v>-348774.81</v>
          </cell>
          <cell r="AE209">
            <v>-382009.77</v>
          </cell>
          <cell r="AF209">
            <v>-341902.87</v>
          </cell>
          <cell r="AG209">
            <v>-4400838.7200000007</v>
          </cell>
          <cell r="AH209">
            <v>-366858.43</v>
          </cell>
          <cell r="AI209">
            <v>-494253.41000000003</v>
          </cell>
          <cell r="AJ209">
            <v>-360175.20999999996</v>
          </cell>
          <cell r="AK209">
            <v>-263411.03000000003</v>
          </cell>
          <cell r="AL209">
            <v>-301653.95</v>
          </cell>
          <cell r="AM209">
            <v>-338403.64</v>
          </cell>
          <cell r="AN209">
            <v>-360783.12</v>
          </cell>
          <cell r="AO209">
            <v>-365250.27</v>
          </cell>
          <cell r="AP209">
            <v>-409723.61</v>
          </cell>
          <cell r="AQ209">
            <v>-403753.68</v>
          </cell>
          <cell r="AR209">
            <v>-422009.74</v>
          </cell>
          <cell r="AS209">
            <v>-417271.71</v>
          </cell>
          <cell r="AT209">
            <v>-4503547.8</v>
          </cell>
          <cell r="AU209">
            <v>-384881.06</v>
          </cell>
          <cell r="AV209">
            <v>-698004.03</v>
          </cell>
          <cell r="AW209">
            <v>-363123.99</v>
          </cell>
          <cell r="AX209">
            <v>-402626.45</v>
          </cell>
          <cell r="AY209">
            <v>-472594.77999999997</v>
          </cell>
          <cell r="AZ209">
            <v>-523860.79</v>
          </cell>
          <cell r="BA209">
            <v>-575117.86</v>
          </cell>
          <cell r="BB209">
            <v>-563070.85000000009</v>
          </cell>
          <cell r="BC209">
            <v>-580264.77</v>
          </cell>
          <cell r="BD209">
            <v>-922154.45000000007</v>
          </cell>
          <cell r="BE209">
            <v>-771811.8</v>
          </cell>
          <cell r="BF209">
            <v>-331246.08000000007</v>
          </cell>
          <cell r="BG209">
            <v>-6588756.9100000001</v>
          </cell>
          <cell r="BH209">
            <v>-636982.38</v>
          </cell>
          <cell r="BI209">
            <v>-996484.83000000007</v>
          </cell>
          <cell r="BJ209">
            <v>-807633.56</v>
          </cell>
          <cell r="BK209">
            <v>-771182.26</v>
          </cell>
          <cell r="BL209">
            <v>-923813.04999999993</v>
          </cell>
          <cell r="BM209">
            <v>-831767.2</v>
          </cell>
          <cell r="BN209">
            <v>-714870.34</v>
          </cell>
          <cell r="BO209">
            <v>-786919.48</v>
          </cell>
          <cell r="BP209">
            <v>-1115816.3400000001</v>
          </cell>
          <cell r="BQ209">
            <v>-872549.30999999994</v>
          </cell>
          <cell r="BR209">
            <v>-753765.5</v>
          </cell>
          <cell r="BS209">
            <v>-842379.91999999993</v>
          </cell>
          <cell r="BT209">
            <v>-10054164.17</v>
          </cell>
          <cell r="BU209">
            <v>-904925.41999999993</v>
          </cell>
          <cell r="BV209">
            <v>-975551.65999999992</v>
          </cell>
          <cell r="BW209">
            <v>-986974.11</v>
          </cell>
          <cell r="BX209">
            <v>-706082.51</v>
          </cell>
          <cell r="BY209">
            <v>-817211.03999999992</v>
          </cell>
          <cell r="BZ209">
            <v>-884965.82</v>
          </cell>
          <cell r="CA209">
            <v>-1036966.63</v>
          </cell>
          <cell r="CE209">
            <v>-6312677.1900000004</v>
          </cell>
          <cell r="CG209">
            <v>0</v>
          </cell>
        </row>
        <row r="210">
          <cell r="A210" t="str">
            <v>4.2.1</v>
          </cell>
          <cell r="B210" t="str">
            <v>DESPESAS OPERACIONAIS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-3090455.85</v>
          </cell>
          <cell r="H210">
            <v>-238578.06999999998</v>
          </cell>
          <cell r="I210">
            <v>-283240.65999999997</v>
          </cell>
          <cell r="J210">
            <v>-278094.76999999996</v>
          </cell>
          <cell r="K210">
            <v>-286889.61</v>
          </cell>
          <cell r="L210">
            <v>-257426.99</v>
          </cell>
          <cell r="M210">
            <v>-381483.33</v>
          </cell>
          <cell r="N210">
            <v>-377943.66</v>
          </cell>
          <cell r="O210">
            <v>-302463.26</v>
          </cell>
          <cell r="P210">
            <v>-372223.34</v>
          </cell>
          <cell r="Q210">
            <v>-343133.97</v>
          </cell>
          <cell r="R210">
            <v>-406339.79</v>
          </cell>
          <cell r="S210">
            <v>-505709.5</v>
          </cell>
          <cell r="T210">
            <v>-4033526.9499999993</v>
          </cell>
          <cell r="U210">
            <v>-362260.92</v>
          </cell>
          <cell r="V210">
            <v>-461229.12</v>
          </cell>
          <cell r="W210">
            <v>-329989.3</v>
          </cell>
          <cell r="X210">
            <v>-332691.28999999998</v>
          </cell>
          <cell r="Y210">
            <v>-346319.35999999999</v>
          </cell>
          <cell r="Z210">
            <v>-349916.46</v>
          </cell>
          <cell r="AA210">
            <v>-354557.21</v>
          </cell>
          <cell r="AB210">
            <v>-348859.66</v>
          </cell>
          <cell r="AC210">
            <v>-442327.95</v>
          </cell>
          <cell r="AD210">
            <v>-348774.81</v>
          </cell>
          <cell r="AE210">
            <v>-382009.77</v>
          </cell>
          <cell r="AF210">
            <v>-341902.87</v>
          </cell>
          <cell r="AG210">
            <v>-4400838.7200000007</v>
          </cell>
          <cell r="AH210">
            <v>-366858.43</v>
          </cell>
          <cell r="AI210">
            <v>-494253.41000000003</v>
          </cell>
          <cell r="AJ210">
            <v>-360175.20999999996</v>
          </cell>
          <cell r="AK210">
            <v>-263411.03000000003</v>
          </cell>
          <cell r="AL210">
            <v>-301653.95</v>
          </cell>
          <cell r="AM210">
            <v>-338403.64</v>
          </cell>
          <cell r="AN210">
            <v>-360783.12</v>
          </cell>
          <cell r="AO210">
            <v>-365250.27</v>
          </cell>
          <cell r="AP210">
            <v>-409723.61</v>
          </cell>
          <cell r="AQ210">
            <v>-403753.68</v>
          </cell>
          <cell r="AR210">
            <v>-422009.74</v>
          </cell>
          <cell r="AS210">
            <v>-417271.71</v>
          </cell>
          <cell r="AT210">
            <v>-4503547.8</v>
          </cell>
          <cell r="AU210">
            <v>-384881.06</v>
          </cell>
          <cell r="AV210">
            <v>-698004.03</v>
          </cell>
          <cell r="AW210">
            <v>-363123.99</v>
          </cell>
          <cell r="AX210">
            <v>-402626.45</v>
          </cell>
          <cell r="AY210">
            <v>-472594.77999999997</v>
          </cell>
          <cell r="AZ210">
            <v>-523860.79</v>
          </cell>
          <cell r="BA210">
            <v>-575117.86</v>
          </cell>
          <cell r="BB210">
            <v>-563070.85000000009</v>
          </cell>
          <cell r="BC210">
            <v>-580264.77</v>
          </cell>
          <cell r="BD210">
            <v>-922154.45000000007</v>
          </cell>
          <cell r="BE210">
            <v>-771811.8</v>
          </cell>
          <cell r="BF210">
            <v>-331246.08000000007</v>
          </cell>
          <cell r="BG210">
            <v>-6588756.9100000001</v>
          </cell>
          <cell r="BH210">
            <v>-636982.38</v>
          </cell>
          <cell r="BI210">
            <v>-996484.83000000007</v>
          </cell>
          <cell r="BJ210">
            <v>-807633.56</v>
          </cell>
          <cell r="BK210">
            <v>-771182.26</v>
          </cell>
          <cell r="BL210">
            <v>-923813.04999999993</v>
          </cell>
          <cell r="BM210">
            <v>-831767.2</v>
          </cell>
          <cell r="BN210">
            <v>-714870.34</v>
          </cell>
          <cell r="BO210">
            <v>-786919.48</v>
          </cell>
          <cell r="BP210">
            <v>-1115816.3400000001</v>
          </cell>
          <cell r="BQ210">
            <v>-872549.30999999994</v>
          </cell>
          <cell r="BR210">
            <v>-753765.5</v>
          </cell>
          <cell r="BS210">
            <v>-842379.91999999993</v>
          </cell>
          <cell r="BT210">
            <v>-10054164.17</v>
          </cell>
          <cell r="BU210">
            <v>-904925.41999999993</v>
          </cell>
          <cell r="BV210">
            <v>-975551.65999999992</v>
          </cell>
          <cell r="BW210">
            <v>-986974.11</v>
          </cell>
          <cell r="BX210">
            <v>-706082.51</v>
          </cell>
          <cell r="BY210">
            <v>-817211.03999999992</v>
          </cell>
          <cell r="BZ210">
            <v>-884965.82</v>
          </cell>
          <cell r="CA210">
            <v>-1036966.63</v>
          </cell>
          <cell r="CE210">
            <v>-6312677.1900000004</v>
          </cell>
          <cell r="CG210">
            <v>0</v>
          </cell>
        </row>
        <row r="211">
          <cell r="A211" t="str">
            <v>4.2.1.1</v>
          </cell>
          <cell r="B211" t="str">
            <v>DESPESAS COM VENDAS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-1407893.32</v>
          </cell>
          <cell r="H211">
            <v>-85916.29</v>
          </cell>
          <cell r="I211">
            <v>-110275.79</v>
          </cell>
          <cell r="J211">
            <v>-115899.96</v>
          </cell>
          <cell r="K211">
            <v>-118661.15000000001</v>
          </cell>
          <cell r="L211">
            <v>-63646.659999999996</v>
          </cell>
          <cell r="M211">
            <v>-210501.36</v>
          </cell>
          <cell r="N211">
            <v>-132843.67000000001</v>
          </cell>
          <cell r="O211">
            <v>-140423.99</v>
          </cell>
          <cell r="P211">
            <v>-173120.63</v>
          </cell>
          <cell r="Q211">
            <v>-164316.19</v>
          </cell>
          <cell r="R211">
            <v>-219030.94</v>
          </cell>
          <cell r="S211">
            <v>-323782.81</v>
          </cell>
          <cell r="T211">
            <v>-1858419.44</v>
          </cell>
          <cell r="U211">
            <v>-179718.77</v>
          </cell>
          <cell r="V211">
            <v>-268169.46999999997</v>
          </cell>
          <cell r="W211">
            <v>-171439.93</v>
          </cell>
          <cell r="X211">
            <v>-161967.54</v>
          </cell>
          <cell r="Y211">
            <v>-163301.63</v>
          </cell>
          <cell r="Z211">
            <v>-171637.44</v>
          </cell>
          <cell r="AA211">
            <v>-150313.88</v>
          </cell>
          <cell r="AB211">
            <v>-180095.57</v>
          </cell>
          <cell r="AC211">
            <v>-247551.02</v>
          </cell>
          <cell r="AD211">
            <v>-156634.75</v>
          </cell>
          <cell r="AE211">
            <v>-198989.55</v>
          </cell>
          <cell r="AF211">
            <v>-170700.77000000002</v>
          </cell>
          <cell r="AG211">
            <v>-2220520.3200000003</v>
          </cell>
          <cell r="AH211">
            <v>-176432.23</v>
          </cell>
          <cell r="AI211">
            <v>-321227.96999999997</v>
          </cell>
          <cell r="AJ211">
            <v>-148634.1</v>
          </cell>
          <cell r="AK211">
            <v>-116107.58</v>
          </cell>
          <cell r="AL211">
            <v>-148782.76999999999</v>
          </cell>
          <cell r="AM211">
            <v>-138210.34</v>
          </cell>
          <cell r="AN211">
            <v>-165742.85</v>
          </cell>
          <cell r="AO211">
            <v>-157175.23000000001</v>
          </cell>
          <cell r="AP211">
            <v>-177107.85</v>
          </cell>
          <cell r="AQ211">
            <v>-197458.79</v>
          </cell>
          <cell r="AR211">
            <v>-191403.84</v>
          </cell>
          <cell r="AS211">
            <v>-170273.54</v>
          </cell>
          <cell r="AT211">
            <v>-2108557.0900000003</v>
          </cell>
          <cell r="AU211">
            <v>-158203.44</v>
          </cell>
          <cell r="AV211">
            <v>-396872.58999999997</v>
          </cell>
          <cell r="AW211">
            <v>-166343.57</v>
          </cell>
          <cell r="AX211">
            <v>-173706.23</v>
          </cell>
          <cell r="AY211">
            <v>-208430.27000000002</v>
          </cell>
          <cell r="AZ211">
            <v>-207290.84</v>
          </cell>
          <cell r="BA211">
            <v>-261359.77000000002</v>
          </cell>
          <cell r="BB211">
            <v>-259688.84</v>
          </cell>
          <cell r="BC211">
            <v>-307595.21999999997</v>
          </cell>
          <cell r="BD211">
            <v>-531020.89</v>
          </cell>
          <cell r="BE211">
            <v>-418443.93</v>
          </cell>
          <cell r="BF211">
            <v>-350119.93</v>
          </cell>
          <cell r="BG211">
            <v>-3439075.5200000009</v>
          </cell>
          <cell r="BH211">
            <v>-357200.12</v>
          </cell>
          <cell r="BI211">
            <v>-610154.16999999993</v>
          </cell>
          <cell r="BJ211">
            <v>-475119.15</v>
          </cell>
          <cell r="BK211">
            <v>-422949.57</v>
          </cell>
          <cell r="BL211">
            <v>-570897.87</v>
          </cell>
          <cell r="BM211">
            <v>-454645.55</v>
          </cell>
          <cell r="BN211">
            <v>-377098.23</v>
          </cell>
          <cell r="BO211">
            <v>-404368.99</v>
          </cell>
          <cell r="BP211">
            <v>-687589.79</v>
          </cell>
          <cell r="BQ211">
            <v>-489327.61</v>
          </cell>
          <cell r="BR211">
            <v>-421300.4</v>
          </cell>
          <cell r="BS211">
            <v>-497142.17</v>
          </cell>
          <cell r="BT211">
            <v>-5767793.6200000001</v>
          </cell>
          <cell r="BU211">
            <v>-480388.37</v>
          </cell>
          <cell r="BV211">
            <v>-564865.05000000005</v>
          </cell>
          <cell r="BW211">
            <v>-613271.92999999993</v>
          </cell>
          <cell r="BX211">
            <v>-319703.99</v>
          </cell>
          <cell r="BY211">
            <v>-339245.8</v>
          </cell>
          <cell r="BZ211">
            <v>-489465.16</v>
          </cell>
          <cell r="CA211">
            <v>-603462.56999999995</v>
          </cell>
          <cell r="CE211">
            <v>-3410402.87</v>
          </cell>
          <cell r="CG211">
            <v>0</v>
          </cell>
        </row>
        <row r="212">
          <cell r="A212" t="str">
            <v>4.2.1.1.01</v>
          </cell>
          <cell r="B212" t="str">
            <v>DESPESAS COM PESSOAL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-71349.740000000005</v>
          </cell>
          <cell r="H212">
            <v>-6565.5300000000007</v>
          </cell>
          <cell r="I212">
            <v>-12968.89</v>
          </cell>
          <cell r="J212">
            <v>-12745.74</v>
          </cell>
          <cell r="K212">
            <v>-12793.42</v>
          </cell>
          <cell r="L212">
            <v>-11021.1</v>
          </cell>
          <cell r="M212">
            <v>-12741.94</v>
          </cell>
          <cell r="N212">
            <v>-11194.44</v>
          </cell>
          <cell r="O212">
            <v>-10233.629999999999</v>
          </cell>
          <cell r="P212">
            <v>-9121.81</v>
          </cell>
          <cell r="Q212">
            <v>-9819.73</v>
          </cell>
          <cell r="R212">
            <v>-14003.59</v>
          </cell>
          <cell r="S212">
            <v>-7118.6</v>
          </cell>
          <cell r="T212">
            <v>-130328.42</v>
          </cell>
          <cell r="U212">
            <v>-16518.400000000001</v>
          </cell>
          <cell r="V212">
            <v>-38695.279999999999</v>
          </cell>
          <cell r="W212">
            <v>-14914.89</v>
          </cell>
          <cell r="X212">
            <v>-15645.24</v>
          </cell>
          <cell r="Y212">
            <v>-16654.509999999998</v>
          </cell>
          <cell r="Z212">
            <v>-15439.11</v>
          </cell>
          <cell r="AA212">
            <v>-13231.95</v>
          </cell>
          <cell r="AB212">
            <v>-15963.99</v>
          </cell>
          <cell r="AC212">
            <v>-15026.24</v>
          </cell>
          <cell r="AD212">
            <v>-14571.71</v>
          </cell>
          <cell r="AE212">
            <v>-16529.54</v>
          </cell>
          <cell r="AF212">
            <v>-9409.25</v>
          </cell>
          <cell r="AG212">
            <v>-202600.11</v>
          </cell>
          <cell r="AH212">
            <v>-23381.23</v>
          </cell>
          <cell r="AI212">
            <v>-30013.760000000002</v>
          </cell>
          <cell r="AJ212">
            <v>-13827.779999999999</v>
          </cell>
          <cell r="AK212">
            <v>-19283.5</v>
          </cell>
          <cell r="AL212">
            <v>-16629.55</v>
          </cell>
          <cell r="AM212">
            <v>-17832.830000000002</v>
          </cell>
          <cell r="AN212">
            <v>-19462.330000000002</v>
          </cell>
          <cell r="AO212">
            <v>-22032.33</v>
          </cell>
          <cell r="AP212">
            <v>-21372.43</v>
          </cell>
          <cell r="AQ212">
            <v>-19433.190000000002</v>
          </cell>
          <cell r="AR212">
            <v>-20835.309999999998</v>
          </cell>
          <cell r="AS212">
            <v>-11730.07</v>
          </cell>
          <cell r="AT212">
            <v>-235834.31</v>
          </cell>
          <cell r="AU212">
            <v>-20345.5</v>
          </cell>
          <cell r="AV212">
            <v>-19512.960000000003</v>
          </cell>
          <cell r="AW212">
            <v>-20001.73</v>
          </cell>
          <cell r="AX212">
            <v>-24794.69</v>
          </cell>
          <cell r="AY212">
            <v>-23038.120000000003</v>
          </cell>
          <cell r="AZ212">
            <v>-19283.22</v>
          </cell>
          <cell r="BA212">
            <v>-27006.449999999997</v>
          </cell>
          <cell r="BB212">
            <v>-20549.509999999998</v>
          </cell>
          <cell r="BC212">
            <v>-16153.54</v>
          </cell>
          <cell r="BD212">
            <v>-16226.779999999999</v>
          </cell>
          <cell r="BE212">
            <v>-23123.239999999998</v>
          </cell>
          <cell r="BF212">
            <v>-14018.170000000002</v>
          </cell>
          <cell r="BG212">
            <v>-244053.91</v>
          </cell>
          <cell r="BH212">
            <v>-20187.829999999998</v>
          </cell>
          <cell r="BI212">
            <v>-26388.969999999998</v>
          </cell>
          <cell r="BJ212">
            <v>-24585.539999999997</v>
          </cell>
          <cell r="BK212">
            <v>-22317.56</v>
          </cell>
          <cell r="BL212">
            <v>-22782.140000000003</v>
          </cell>
          <cell r="BM212">
            <v>-22357.040000000001</v>
          </cell>
          <cell r="BN212">
            <v>-24034.78</v>
          </cell>
          <cell r="BO212">
            <v>-22517.25</v>
          </cell>
          <cell r="BP212">
            <v>-30931.13</v>
          </cell>
          <cell r="BQ212">
            <v>-24716.95</v>
          </cell>
          <cell r="BR212">
            <v>-26777.02</v>
          </cell>
          <cell r="BS212">
            <v>-23086.02</v>
          </cell>
          <cell r="BT212">
            <v>-290682.23000000004</v>
          </cell>
          <cell r="BU212">
            <v>-26061.25</v>
          </cell>
          <cell r="BV212">
            <v>-33512.76</v>
          </cell>
          <cell r="BW212">
            <v>-22892.400000000001</v>
          </cell>
          <cell r="BX212">
            <v>-20060.100000000002</v>
          </cell>
          <cell r="BY212">
            <v>-27793.98</v>
          </cell>
          <cell r="BZ212">
            <v>-25657.98</v>
          </cell>
          <cell r="CA212">
            <v>-26536.959999999999</v>
          </cell>
          <cell r="CE212">
            <v>-182515.43</v>
          </cell>
          <cell r="CG212">
            <v>0</v>
          </cell>
        </row>
        <row r="213">
          <cell r="A213" t="str">
            <v>4.2.1.1.01.00015</v>
          </cell>
          <cell r="B213" t="str">
            <v>FORMACAO PROFISSIONAL EMPREGADOS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-18.399999999999999</v>
          </cell>
          <cell r="BJ213">
            <v>0</v>
          </cell>
          <cell r="BK213">
            <v>0</v>
          </cell>
          <cell r="BL213">
            <v>0</v>
          </cell>
          <cell r="BM213">
            <v>0</v>
          </cell>
          <cell r="BN213">
            <v>0</v>
          </cell>
          <cell r="BO213">
            <v>0</v>
          </cell>
          <cell r="BP213">
            <v>0</v>
          </cell>
          <cell r="BQ213">
            <v>0</v>
          </cell>
          <cell r="BR213">
            <v>0</v>
          </cell>
          <cell r="BS213">
            <v>0</v>
          </cell>
          <cell r="BT213">
            <v>-18.399999999999999</v>
          </cell>
          <cell r="BU213">
            <v>0</v>
          </cell>
          <cell r="BV213">
            <v>0</v>
          </cell>
          <cell r="BW213">
            <v>0</v>
          </cell>
          <cell r="BX213">
            <v>0</v>
          </cell>
          <cell r="BY213">
            <v>0</v>
          </cell>
          <cell r="BZ213">
            <v>0</v>
          </cell>
          <cell r="CA213">
            <v>0</v>
          </cell>
          <cell r="CE213">
            <v>0</v>
          </cell>
          <cell r="CG213">
            <v>0</v>
          </cell>
        </row>
        <row r="214">
          <cell r="A214" t="str">
            <v>4.2.1.1.01.00020</v>
          </cell>
          <cell r="B214" t="str">
            <v>MORADIA EMPREGADO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-1500</v>
          </cell>
          <cell r="BJ214">
            <v>0</v>
          </cell>
          <cell r="BK214">
            <v>-1500</v>
          </cell>
          <cell r="BL214">
            <v>-1500</v>
          </cell>
          <cell r="BM214">
            <v>-1500</v>
          </cell>
          <cell r="BN214">
            <v>-1500</v>
          </cell>
          <cell r="BO214">
            <v>0</v>
          </cell>
          <cell r="BP214">
            <v>-3000</v>
          </cell>
          <cell r="BQ214">
            <v>-1500</v>
          </cell>
          <cell r="BR214">
            <v>-1500</v>
          </cell>
          <cell r="BS214">
            <v>-1500</v>
          </cell>
          <cell r="BT214">
            <v>-15000</v>
          </cell>
          <cell r="BU214">
            <v>-1500</v>
          </cell>
          <cell r="BV214">
            <v>-1500</v>
          </cell>
          <cell r="BW214">
            <v>0</v>
          </cell>
          <cell r="BX214">
            <v>-1500</v>
          </cell>
          <cell r="BY214">
            <v>-1500</v>
          </cell>
          <cell r="BZ214">
            <v>-1500</v>
          </cell>
          <cell r="CA214">
            <v>-1500</v>
          </cell>
          <cell r="CE214">
            <v>-9000</v>
          </cell>
          <cell r="CG214">
            <v>0</v>
          </cell>
        </row>
        <row r="215">
          <cell r="A215" t="str">
            <v>4.2.1.1.02</v>
          </cell>
          <cell r="B215" t="str">
            <v>TRANSPORTES S/ VENDAS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-53980.14</v>
          </cell>
          <cell r="H215">
            <v>-2503.36</v>
          </cell>
          <cell r="I215">
            <v>-2299.9</v>
          </cell>
          <cell r="J215">
            <v>-8184.98</v>
          </cell>
          <cell r="K215">
            <v>-2407.4299999999998</v>
          </cell>
          <cell r="L215">
            <v>-1167.04</v>
          </cell>
          <cell r="M215">
            <v>-9195.58</v>
          </cell>
          <cell r="N215">
            <v>-10550.48</v>
          </cell>
          <cell r="O215">
            <v>-6365.6</v>
          </cell>
          <cell r="P215">
            <v>-6494.23</v>
          </cell>
          <cell r="Q215">
            <v>-13374.78</v>
          </cell>
          <cell r="R215">
            <v>-9101.0400000000009</v>
          </cell>
          <cell r="S215">
            <v>-8924.9</v>
          </cell>
          <cell r="T215">
            <v>-80569.320000000007</v>
          </cell>
          <cell r="U215">
            <v>-6960.35</v>
          </cell>
          <cell r="V215">
            <v>-17628.400000000001</v>
          </cell>
          <cell r="W215">
            <v>-7123.94</v>
          </cell>
          <cell r="X215">
            <v>-5711.58</v>
          </cell>
          <cell r="Y215">
            <v>-3191.74</v>
          </cell>
          <cell r="Z215">
            <v>-6049.95</v>
          </cell>
          <cell r="AA215">
            <v>-7571.98</v>
          </cell>
          <cell r="AB215">
            <v>-6685.55</v>
          </cell>
          <cell r="AC215">
            <v>-9639.5499999999993</v>
          </cell>
          <cell r="AD215">
            <v>-7216.12</v>
          </cell>
          <cell r="AE215">
            <v>-2991.06</v>
          </cell>
          <cell r="AF215">
            <v>-13489.27</v>
          </cell>
          <cell r="AG215">
            <v>-94259.489999999991</v>
          </cell>
          <cell r="AH215">
            <v>-6142.56</v>
          </cell>
          <cell r="AI215">
            <v>-6039.55</v>
          </cell>
          <cell r="AJ215">
            <v>-4019</v>
          </cell>
          <cell r="AK215">
            <v>-5530.31</v>
          </cell>
          <cell r="AL215">
            <v>-1661.92</v>
          </cell>
          <cell r="AM215">
            <v>-5675.26</v>
          </cell>
          <cell r="AN215">
            <v>-6140.29</v>
          </cell>
          <cell r="AO215">
            <v>-7081.84</v>
          </cell>
          <cell r="AP215">
            <v>-4393.2</v>
          </cell>
          <cell r="AQ215">
            <v>-1098.9000000000001</v>
          </cell>
          <cell r="AR215">
            <v>-8772.93</v>
          </cell>
          <cell r="AS215">
            <v>-9087.4</v>
          </cell>
          <cell r="AT215">
            <v>-65643.16</v>
          </cell>
          <cell r="AU215">
            <v>-2428.94</v>
          </cell>
          <cell r="AV215">
            <v>-5078.04</v>
          </cell>
          <cell r="AW215">
            <v>-2196.6799999999998</v>
          </cell>
          <cell r="AX215">
            <v>-1392.96</v>
          </cell>
          <cell r="AY215">
            <v>-11516.19</v>
          </cell>
          <cell r="AZ215">
            <v>-3147.23</v>
          </cell>
          <cell r="BA215">
            <v>-4818.76</v>
          </cell>
          <cell r="BB215">
            <v>-869.76</v>
          </cell>
          <cell r="BC215">
            <v>-7432.92</v>
          </cell>
          <cell r="BD215">
            <v>-465.28</v>
          </cell>
          <cell r="BE215">
            <v>-4270.8999999999996</v>
          </cell>
          <cell r="BF215">
            <v>-14070.67</v>
          </cell>
          <cell r="BG215">
            <v>-57688.329999999994</v>
          </cell>
          <cell r="BH215">
            <v>-1828.15</v>
          </cell>
          <cell r="BI215">
            <v>-1708.85</v>
          </cell>
          <cell r="BJ215">
            <v>-798.63</v>
          </cell>
          <cell r="BK215">
            <v>-6640.76</v>
          </cell>
          <cell r="BL215">
            <v>-2346.96</v>
          </cell>
          <cell r="BM215">
            <v>-2791.44</v>
          </cell>
          <cell r="BN215">
            <v>-5651.05</v>
          </cell>
          <cell r="BO215">
            <v>-5820.78</v>
          </cell>
          <cell r="BP215">
            <v>-8830.07</v>
          </cell>
          <cell r="BQ215">
            <v>-5812.74</v>
          </cell>
          <cell r="BR215">
            <v>-17878.009999999998</v>
          </cell>
          <cell r="BS215">
            <v>-14723.5</v>
          </cell>
          <cell r="BT215">
            <v>-74830.94</v>
          </cell>
          <cell r="BU215">
            <v>-17483.669999999998</v>
          </cell>
          <cell r="BV215">
            <v>-6009.88</v>
          </cell>
          <cell r="BW215">
            <v>-11794.21</v>
          </cell>
          <cell r="BX215">
            <v>-4778.9799999999996</v>
          </cell>
          <cell r="BY215">
            <v>-11875.12</v>
          </cell>
          <cell r="BZ215">
            <v>-9734.39</v>
          </cell>
          <cell r="CA215">
            <v>-4201.07</v>
          </cell>
          <cell r="CE215">
            <v>-65877.319999999992</v>
          </cell>
          <cell r="CG215">
            <v>0</v>
          </cell>
        </row>
        <row r="216">
          <cell r="A216" t="str">
            <v>4.2.1.1.02.00001</v>
          </cell>
          <cell r="B216" t="str">
            <v>FRETES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-53980.14</v>
          </cell>
          <cell r="H216">
            <v>-2503.36</v>
          </cell>
          <cell r="I216">
            <v>-2299.9</v>
          </cell>
          <cell r="J216">
            <v>-8184.98</v>
          </cell>
          <cell r="K216">
            <v>-2407.4299999999998</v>
          </cell>
          <cell r="L216">
            <v>-1167.04</v>
          </cell>
          <cell r="M216">
            <v>-9195.58</v>
          </cell>
          <cell r="N216">
            <v>-10550.48</v>
          </cell>
          <cell r="O216">
            <v>-6365.6</v>
          </cell>
          <cell r="P216">
            <v>-6494.23</v>
          </cell>
          <cell r="Q216">
            <v>-13374.78</v>
          </cell>
          <cell r="R216">
            <v>-9101.0400000000009</v>
          </cell>
          <cell r="S216">
            <v>-8924.9</v>
          </cell>
          <cell r="T216">
            <v>-80569.320000000007</v>
          </cell>
          <cell r="U216">
            <v>-6960.35</v>
          </cell>
          <cell r="V216">
            <v>-17628.400000000001</v>
          </cell>
          <cell r="W216">
            <v>-7123.94</v>
          </cell>
          <cell r="X216">
            <v>-5711.58</v>
          </cell>
          <cell r="Y216">
            <v>-3191.74</v>
          </cell>
          <cell r="Z216">
            <v>-6049.95</v>
          </cell>
          <cell r="AA216">
            <v>-7571.98</v>
          </cell>
          <cell r="AB216">
            <v>-6685.55</v>
          </cell>
          <cell r="AC216">
            <v>-9639.5499999999993</v>
          </cell>
          <cell r="AD216">
            <v>-7216.12</v>
          </cell>
          <cell r="AE216">
            <v>-2991.06</v>
          </cell>
          <cell r="AF216">
            <v>-13489.27</v>
          </cell>
          <cell r="AG216">
            <v>-94259.489999999991</v>
          </cell>
          <cell r="AH216">
            <v>-6142.56</v>
          </cell>
          <cell r="AI216">
            <v>-6039.55</v>
          </cell>
          <cell r="AJ216">
            <v>-4019</v>
          </cell>
          <cell r="AK216">
            <v>-5530.31</v>
          </cell>
          <cell r="AL216">
            <v>-1661.92</v>
          </cell>
          <cell r="AM216">
            <v>-5675.26</v>
          </cell>
          <cell r="AN216">
            <v>-6140.29</v>
          </cell>
          <cell r="AO216">
            <v>-7081.84</v>
          </cell>
          <cell r="AP216">
            <v>-4393.2</v>
          </cell>
          <cell r="AQ216">
            <v>-1098.9000000000001</v>
          </cell>
          <cell r="AR216">
            <v>-8772.93</v>
          </cell>
          <cell r="AS216">
            <v>-9087.4</v>
          </cell>
          <cell r="AT216">
            <v>-65643.16</v>
          </cell>
          <cell r="AU216">
            <v>-2428.94</v>
          </cell>
          <cell r="AV216">
            <v>-5078.04</v>
          </cell>
          <cell r="AW216">
            <v>-2196.6799999999998</v>
          </cell>
          <cell r="AX216">
            <v>-1392.96</v>
          </cell>
          <cell r="AY216">
            <v>-11516.19</v>
          </cell>
          <cell r="AZ216">
            <v>-3147.23</v>
          </cell>
          <cell r="BA216">
            <v>-4818.76</v>
          </cell>
          <cell r="BB216">
            <v>-869.76</v>
          </cell>
          <cell r="BC216">
            <v>-7432.92</v>
          </cell>
          <cell r="BD216">
            <v>-465.28</v>
          </cell>
          <cell r="BE216">
            <v>-4270.8999999999996</v>
          </cell>
          <cell r="BF216">
            <v>-14070.67</v>
          </cell>
          <cell r="BG216">
            <v>-57688.329999999994</v>
          </cell>
          <cell r="BH216">
            <v>-1828.15</v>
          </cell>
          <cell r="BI216">
            <v>-1708.85</v>
          </cell>
          <cell r="BJ216">
            <v>-798.63</v>
          </cell>
          <cell r="BK216">
            <v>-6640.76</v>
          </cell>
          <cell r="BL216">
            <v>-2346.96</v>
          </cell>
          <cell r="BM216">
            <v>-2791.44</v>
          </cell>
          <cell r="BN216">
            <v>-5651.05</v>
          </cell>
          <cell r="BO216">
            <v>-5820.78</v>
          </cell>
          <cell r="BP216">
            <v>-8830.07</v>
          </cell>
          <cell r="BQ216">
            <v>-5812.74</v>
          </cell>
          <cell r="BR216">
            <v>-17878.009999999998</v>
          </cell>
          <cell r="BS216">
            <v>-14723.5</v>
          </cell>
          <cell r="BT216">
            <v>-74830.94</v>
          </cell>
          <cell r="BU216">
            <v>-17483.669999999998</v>
          </cell>
          <cell r="BV216">
            <v>-6009.88</v>
          </cell>
          <cell r="BW216">
            <v>-11794.21</v>
          </cell>
          <cell r="BX216">
            <v>-4778.9799999999996</v>
          </cell>
          <cell r="BY216">
            <v>-11875.12</v>
          </cell>
          <cell r="BZ216">
            <v>-9734.39</v>
          </cell>
          <cell r="CA216">
            <v>-4201.07</v>
          </cell>
          <cell r="CE216">
            <v>-65877.319999999992</v>
          </cell>
          <cell r="CG216">
            <v>0</v>
          </cell>
        </row>
        <row r="217">
          <cell r="A217" t="str">
            <v>4.2.1.1.02.00002</v>
          </cell>
          <cell r="B217" t="str">
            <v>(-) ICMS S/ FRETES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  <cell r="BP217">
            <v>0</v>
          </cell>
          <cell r="BQ217">
            <v>0</v>
          </cell>
          <cell r="BR217">
            <v>0</v>
          </cell>
          <cell r="BS217">
            <v>0</v>
          </cell>
          <cell r="BT217">
            <v>0</v>
          </cell>
          <cell r="BU217">
            <v>0</v>
          </cell>
          <cell r="BV217">
            <v>0</v>
          </cell>
          <cell r="BW217">
            <v>0</v>
          </cell>
          <cell r="BX217">
            <v>0</v>
          </cell>
          <cell r="BY217">
            <v>0</v>
          </cell>
          <cell r="BZ217">
            <v>0</v>
          </cell>
          <cell r="CA217">
            <v>0</v>
          </cell>
          <cell r="CE217">
            <v>0</v>
          </cell>
          <cell r="CG217">
            <v>0</v>
          </cell>
        </row>
        <row r="218">
          <cell r="A218" t="str">
            <v>4.2.1.1.03</v>
          </cell>
          <cell r="B218" t="str">
            <v>COMISSOES SOBRE VENDAS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-540998.24</v>
          </cell>
          <cell r="H218">
            <v>-47710.91</v>
          </cell>
          <cell r="I218">
            <v>-61142.43</v>
          </cell>
          <cell r="J218">
            <v>-46679.79</v>
          </cell>
          <cell r="K218">
            <v>-60214.59</v>
          </cell>
          <cell r="L218">
            <v>-52973.61</v>
          </cell>
          <cell r="M218">
            <v>-40171.17</v>
          </cell>
          <cell r="N218">
            <v>-55245.919999999998</v>
          </cell>
          <cell r="O218">
            <v>-44567.78</v>
          </cell>
          <cell r="P218">
            <v>-41887.17</v>
          </cell>
          <cell r="Q218">
            <v>-55931.15</v>
          </cell>
          <cell r="R218">
            <v>-74007.67</v>
          </cell>
          <cell r="S218">
            <v>-68619.81</v>
          </cell>
          <cell r="T218">
            <v>-649152</v>
          </cell>
          <cell r="U218">
            <v>-64234.17</v>
          </cell>
          <cell r="V218">
            <v>-70342.399999999994</v>
          </cell>
          <cell r="W218">
            <v>-49705.93</v>
          </cell>
          <cell r="X218">
            <v>-49640.71</v>
          </cell>
          <cell r="Y218">
            <v>-43536.62</v>
          </cell>
          <cell r="Z218">
            <v>-54870.75</v>
          </cell>
          <cell r="AA218">
            <v>-41068.35</v>
          </cell>
          <cell r="AB218">
            <v>-51019.42</v>
          </cell>
          <cell r="AC218">
            <v>-71428.56</v>
          </cell>
          <cell r="AD218">
            <v>-52832.98</v>
          </cell>
          <cell r="AE218">
            <v>-69969.03</v>
          </cell>
          <cell r="AF218">
            <v>-81489.320000000007</v>
          </cell>
          <cell r="AG218">
            <v>-700138.24</v>
          </cell>
          <cell r="AH218">
            <v>-71122.47</v>
          </cell>
          <cell r="AI218">
            <v>-81810.429999999993</v>
          </cell>
          <cell r="AJ218">
            <v>-66440.66</v>
          </cell>
          <cell r="AK218">
            <v>-54495.34</v>
          </cell>
          <cell r="AL218">
            <v>-68605.539999999994</v>
          </cell>
          <cell r="AM218">
            <v>-65487.83</v>
          </cell>
          <cell r="AN218">
            <v>-97031.37</v>
          </cell>
          <cell r="AO218">
            <v>-95467.520000000004</v>
          </cell>
          <cell r="AP218">
            <v>-101634.45</v>
          </cell>
          <cell r="AQ218">
            <v>-100626.88</v>
          </cell>
          <cell r="AR218">
            <v>-108987.62</v>
          </cell>
          <cell r="AS218">
            <v>-106545.69</v>
          </cell>
          <cell r="AT218">
            <v>-1018255.8</v>
          </cell>
          <cell r="AU218">
            <v>-102244.48</v>
          </cell>
          <cell r="AV218">
            <v>-336766.03</v>
          </cell>
          <cell r="AW218">
            <v>-97518.82</v>
          </cell>
          <cell r="AX218">
            <v>-114857.98</v>
          </cell>
          <cell r="AY218">
            <v>-142597.07</v>
          </cell>
          <cell r="AZ218">
            <v>-129994.46</v>
          </cell>
          <cell r="BA218">
            <v>-177139.01</v>
          </cell>
          <cell r="BB218">
            <v>-164394.23999999999</v>
          </cell>
          <cell r="BC218">
            <v>-199997.7</v>
          </cell>
          <cell r="BD218">
            <v>-415992.64</v>
          </cell>
          <cell r="BE218">
            <v>-215340.81</v>
          </cell>
          <cell r="BF218">
            <v>-251132.12</v>
          </cell>
          <cell r="BG218">
            <v>-2347975.3600000003</v>
          </cell>
          <cell r="BH218">
            <v>-211758.78</v>
          </cell>
          <cell r="BI218">
            <v>-456213.47</v>
          </cell>
          <cell r="BJ218">
            <v>-258948.49</v>
          </cell>
          <cell r="BK218">
            <v>-215361.77</v>
          </cell>
          <cell r="BL218">
            <v>-200932.04</v>
          </cell>
          <cell r="BM218">
            <v>-227454.45</v>
          </cell>
          <cell r="BN218">
            <v>-148523.13</v>
          </cell>
          <cell r="BO218">
            <v>-167578.91</v>
          </cell>
          <cell r="BP218">
            <v>-178612.24</v>
          </cell>
          <cell r="BQ218">
            <v>-190992.93</v>
          </cell>
          <cell r="BR218">
            <v>-146710.82999999999</v>
          </cell>
          <cell r="BS218">
            <v>-206902.57</v>
          </cell>
          <cell r="BT218">
            <v>-2609989.61</v>
          </cell>
          <cell r="BU218">
            <v>-253632.27</v>
          </cell>
          <cell r="BV218">
            <v>-196997.02</v>
          </cell>
          <cell r="BW218">
            <v>-184815.57</v>
          </cell>
          <cell r="BX218">
            <v>-150510.91</v>
          </cell>
          <cell r="BY218">
            <v>-162667.45000000001</v>
          </cell>
          <cell r="BZ218">
            <v>-207625.57</v>
          </cell>
          <cell r="CA218">
            <v>-227538.54</v>
          </cell>
          <cell r="CE218">
            <v>-1383787.33</v>
          </cell>
          <cell r="CG218">
            <v>0</v>
          </cell>
        </row>
        <row r="219">
          <cell r="A219" t="str">
            <v>4.2.1.1.03.00001</v>
          </cell>
          <cell r="B219" t="str">
            <v>COMISSOES SOBRE VENDAS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-540998.24</v>
          </cell>
          <cell r="H219">
            <v>-47710.91</v>
          </cell>
          <cell r="I219">
            <v>-61142.43</v>
          </cell>
          <cell r="J219">
            <v>-46679.79</v>
          </cell>
          <cell r="K219">
            <v>-60214.59</v>
          </cell>
          <cell r="L219">
            <v>-52973.61</v>
          </cell>
          <cell r="M219">
            <v>-40171.17</v>
          </cell>
          <cell r="N219">
            <v>-55245.919999999998</v>
          </cell>
          <cell r="O219">
            <v>-44567.78</v>
          </cell>
          <cell r="P219">
            <v>-41887.17</v>
          </cell>
          <cell r="Q219">
            <v>-55931.15</v>
          </cell>
          <cell r="R219">
            <v>-74007.67</v>
          </cell>
          <cell r="S219">
            <v>-68619.81</v>
          </cell>
          <cell r="T219">
            <v>-649152</v>
          </cell>
          <cell r="U219">
            <v>-64234.17</v>
          </cell>
          <cell r="V219">
            <v>-70342.399999999994</v>
          </cell>
          <cell r="W219">
            <v>-49705.93</v>
          </cell>
          <cell r="X219">
            <v>-49640.71</v>
          </cell>
          <cell r="Y219">
            <v>-43536.62</v>
          </cell>
          <cell r="Z219">
            <v>-54870.75</v>
          </cell>
          <cell r="AA219">
            <v>-41068.35</v>
          </cell>
          <cell r="AB219">
            <v>-51019.42</v>
          </cell>
          <cell r="AC219">
            <v>-71428.56</v>
          </cell>
          <cell r="AD219">
            <v>-52832.98</v>
          </cell>
          <cell r="AE219">
            <v>-69969.03</v>
          </cell>
          <cell r="AF219">
            <v>-81489.320000000007</v>
          </cell>
          <cell r="AG219">
            <v>-700138.24</v>
          </cell>
          <cell r="AH219">
            <v>-71122.47</v>
          </cell>
          <cell r="AI219">
            <v>-81810.429999999993</v>
          </cell>
          <cell r="AJ219">
            <v>-66440.66</v>
          </cell>
          <cell r="AK219">
            <v>-54495.34</v>
          </cell>
          <cell r="AL219">
            <v>-68605.539999999994</v>
          </cell>
          <cell r="AM219">
            <v>-65487.83</v>
          </cell>
          <cell r="AN219">
            <v>-97031.37</v>
          </cell>
          <cell r="AO219">
            <v>-95467.520000000004</v>
          </cell>
          <cell r="AP219">
            <v>-101634.45</v>
          </cell>
          <cell r="AQ219">
            <v>-100626.88</v>
          </cell>
          <cell r="AR219">
            <v>-108987.62</v>
          </cell>
          <cell r="AS219">
            <v>-106545.69</v>
          </cell>
          <cell r="AT219">
            <v>-1018255.8</v>
          </cell>
          <cell r="AU219">
            <v>-102244.48</v>
          </cell>
          <cell r="AV219">
            <v>-336766.03</v>
          </cell>
          <cell r="AW219">
            <v>-97518.82</v>
          </cell>
          <cell r="AX219">
            <v>-114857.98</v>
          </cell>
          <cell r="AY219">
            <v>-142597.07</v>
          </cell>
          <cell r="AZ219">
            <v>-129994.46</v>
          </cell>
          <cell r="BA219">
            <v>-177139.01</v>
          </cell>
          <cell r="BB219">
            <v>-164394.23999999999</v>
          </cell>
          <cell r="BC219">
            <v>-199997.7</v>
          </cell>
          <cell r="BD219">
            <v>-415992.64</v>
          </cell>
          <cell r="BE219">
            <v>-215340.81</v>
          </cell>
          <cell r="BF219">
            <v>-251132.12</v>
          </cell>
          <cell r="BG219">
            <v>-2347975.3600000003</v>
          </cell>
          <cell r="BH219">
            <v>-211758.78</v>
          </cell>
          <cell r="BI219">
            <v>-456213.47</v>
          </cell>
          <cell r="BJ219">
            <v>-258948.49</v>
          </cell>
          <cell r="BK219">
            <v>-215361.77</v>
          </cell>
          <cell r="BL219">
            <v>-200932.04</v>
          </cell>
          <cell r="BM219">
            <v>-227454.45</v>
          </cell>
          <cell r="BN219">
            <v>-148523.13</v>
          </cell>
          <cell r="BO219">
            <v>-167578.91</v>
          </cell>
          <cell r="BP219">
            <v>-178612.24</v>
          </cell>
          <cell r="BQ219">
            <v>-190992.93</v>
          </cell>
          <cell r="BR219">
            <v>-146710.82999999999</v>
          </cell>
          <cell r="BS219">
            <v>-206902.57</v>
          </cell>
          <cell r="BT219">
            <v>-2609989.61</v>
          </cell>
          <cell r="BU219">
            <v>-253632.27</v>
          </cell>
          <cell r="BV219">
            <v>-196997.02</v>
          </cell>
          <cell r="BW219">
            <v>-184815.57</v>
          </cell>
          <cell r="BX219">
            <v>-150510.91</v>
          </cell>
          <cell r="BY219">
            <v>-162667.45000000001</v>
          </cell>
          <cell r="BZ219">
            <v>-207625.57</v>
          </cell>
          <cell r="CA219">
            <v>-227538.54</v>
          </cell>
          <cell r="CE219">
            <v>-1383787.33</v>
          </cell>
          <cell r="CG219">
            <v>0</v>
          </cell>
        </row>
        <row r="220">
          <cell r="A220" t="str">
            <v>4.2.1.1.04</v>
          </cell>
          <cell r="B220" t="str">
            <v>PROPAGANDA E PUBLICIDADE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-186262.36</v>
          </cell>
          <cell r="H220">
            <v>-3335.78</v>
          </cell>
          <cell r="I220">
            <v>-550.26</v>
          </cell>
          <cell r="J220">
            <v>-602</v>
          </cell>
          <cell r="K220">
            <v>-1238.01</v>
          </cell>
          <cell r="L220">
            <v>-7824.78</v>
          </cell>
          <cell r="M220">
            <v>-97874.34</v>
          </cell>
          <cell r="N220">
            <v>-26673.56</v>
          </cell>
          <cell r="O220">
            <v>-12060.42</v>
          </cell>
          <cell r="P220">
            <v>-37707.629999999997</v>
          </cell>
          <cell r="Q220">
            <v>-6045</v>
          </cell>
          <cell r="R220">
            <v>-37196.67</v>
          </cell>
          <cell r="S220">
            <v>-163398.49</v>
          </cell>
          <cell r="T220">
            <v>-394506.94</v>
          </cell>
          <cell r="U220">
            <v>-12036</v>
          </cell>
          <cell r="V220">
            <v>-69836</v>
          </cell>
          <cell r="W220">
            <v>-8287.2000000000007</v>
          </cell>
          <cell r="X220">
            <v>-9105</v>
          </cell>
          <cell r="Y220">
            <v>0</v>
          </cell>
          <cell r="Z220">
            <v>-13154</v>
          </cell>
          <cell r="AA220">
            <v>-12723.2</v>
          </cell>
          <cell r="AB220">
            <v>-65287.25</v>
          </cell>
          <cell r="AC220">
            <v>-84004.93</v>
          </cell>
          <cell r="AD220">
            <v>-14626.64</v>
          </cell>
          <cell r="AE220">
            <v>-36088.589999999997</v>
          </cell>
          <cell r="AF220">
            <v>-12844.91</v>
          </cell>
          <cell r="AG220">
            <v>-337993.71999999991</v>
          </cell>
          <cell r="AH220">
            <v>-13652.58</v>
          </cell>
          <cell r="AI220">
            <v>-172713.47</v>
          </cell>
          <cell r="AJ220">
            <v>-11290.62</v>
          </cell>
          <cell r="AK220">
            <v>-2213.9</v>
          </cell>
          <cell r="AL220">
            <v>0</v>
          </cell>
          <cell r="AM220">
            <v>-1717.46</v>
          </cell>
          <cell r="AN220">
            <v>-5620.69</v>
          </cell>
          <cell r="AO220">
            <v>-126</v>
          </cell>
          <cell r="AP220">
            <v>-6000</v>
          </cell>
          <cell r="AQ220">
            <v>-7581.58</v>
          </cell>
          <cell r="AR220">
            <v>-6508.35</v>
          </cell>
          <cell r="AS220">
            <v>-5017.3599999999997</v>
          </cell>
          <cell r="AT220">
            <v>-232442.00999999995</v>
          </cell>
          <cell r="AU220">
            <v>-5132.6499999999996</v>
          </cell>
          <cell r="AV220">
            <v>0</v>
          </cell>
          <cell r="AW220">
            <v>-967.78</v>
          </cell>
          <cell r="AX220">
            <v>-14123.95</v>
          </cell>
          <cell r="AY220">
            <v>-15790.09</v>
          </cell>
          <cell r="AZ220">
            <v>-21546.33</v>
          </cell>
          <cell r="BA220">
            <v>-20487.38</v>
          </cell>
          <cell r="BB220">
            <v>-19663.97</v>
          </cell>
          <cell r="BC220">
            <v>-13738.17</v>
          </cell>
          <cell r="BD220">
            <v>-16460.990000000002</v>
          </cell>
          <cell r="BE220">
            <v>-46312.800000000003</v>
          </cell>
          <cell r="BF220">
            <v>-17461.86</v>
          </cell>
          <cell r="BG220">
            <v>-191685.97000000003</v>
          </cell>
          <cell r="BH220">
            <v>-1411.96</v>
          </cell>
          <cell r="BI220">
            <v>0</v>
          </cell>
          <cell r="BJ220">
            <v>-44600</v>
          </cell>
          <cell r="BK220">
            <v>-869.5</v>
          </cell>
          <cell r="BL220">
            <v>-61438.09</v>
          </cell>
          <cell r="BM220">
            <v>-35</v>
          </cell>
          <cell r="BN220">
            <v>-11000</v>
          </cell>
          <cell r="BO220">
            <v>-16887.48</v>
          </cell>
          <cell r="BP220">
            <v>-312915.32</v>
          </cell>
          <cell r="BQ220">
            <v>-67341.19</v>
          </cell>
          <cell r="BR220">
            <v>-35280.080000000002</v>
          </cell>
          <cell r="BS220">
            <v>-9911.68</v>
          </cell>
          <cell r="BT220">
            <v>-561690.30000000005</v>
          </cell>
          <cell r="BU220">
            <v>-11735</v>
          </cell>
          <cell r="BV220">
            <v>-75175.199999999997</v>
          </cell>
          <cell r="BW220">
            <v>-257985.4</v>
          </cell>
          <cell r="BX220">
            <v>-13326.35</v>
          </cell>
          <cell r="BY220">
            <v>-309.07</v>
          </cell>
          <cell r="BZ220">
            <v>-73658.759999999995</v>
          </cell>
          <cell r="CA220">
            <v>-98812.160000000003</v>
          </cell>
          <cell r="CE220">
            <v>-531001.93999999994</v>
          </cell>
          <cell r="CG220">
            <v>0</v>
          </cell>
        </row>
        <row r="221">
          <cell r="A221" t="str">
            <v>4.2.1.1.04.00002</v>
          </cell>
          <cell r="B221" t="str">
            <v>PROPAGANDA, PUBLICIDADE, ANNCIOS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-16314.77</v>
          </cell>
          <cell r="H221">
            <v>-1600.78</v>
          </cell>
          <cell r="I221">
            <v>-550.26</v>
          </cell>
          <cell r="J221">
            <v>-602</v>
          </cell>
          <cell r="K221">
            <v>-1062.77</v>
          </cell>
          <cell r="L221">
            <v>-7824.78</v>
          </cell>
          <cell r="M221">
            <v>-9912.34</v>
          </cell>
          <cell r="N221">
            <v>-185.06</v>
          </cell>
          <cell r="O221">
            <v>-2640.82</v>
          </cell>
          <cell r="P221">
            <v>-3714.02</v>
          </cell>
          <cell r="Q221">
            <v>-2200</v>
          </cell>
          <cell r="R221">
            <v>-3833.07</v>
          </cell>
          <cell r="S221">
            <v>-5191.46</v>
          </cell>
          <cell r="T221">
            <v>-39317.360000000001</v>
          </cell>
          <cell r="U221">
            <v>-2200</v>
          </cell>
          <cell r="V221">
            <v>-8580</v>
          </cell>
          <cell r="W221">
            <v>-8280</v>
          </cell>
          <cell r="X221">
            <v>-4200</v>
          </cell>
          <cell r="Y221">
            <v>0</v>
          </cell>
          <cell r="Z221">
            <v>-2200</v>
          </cell>
          <cell r="AA221">
            <v>-6760</v>
          </cell>
          <cell r="AB221">
            <v>-3590</v>
          </cell>
          <cell r="AC221">
            <v>-14400</v>
          </cell>
          <cell r="AD221">
            <v>-2463.15</v>
          </cell>
          <cell r="AE221">
            <v>-3346.09</v>
          </cell>
          <cell r="AF221">
            <v>-3053.91</v>
          </cell>
          <cell r="AG221">
            <v>-59073.150000000009</v>
          </cell>
          <cell r="AH221">
            <v>-3846.42</v>
          </cell>
          <cell r="AI221">
            <v>-2553.4699999999998</v>
          </cell>
          <cell r="AJ221">
            <v>-2200</v>
          </cell>
          <cell r="AK221">
            <v>-2213.9</v>
          </cell>
          <cell r="AL221">
            <v>0</v>
          </cell>
          <cell r="AM221">
            <v>-1717.46</v>
          </cell>
          <cell r="AN221">
            <v>-3282.75</v>
          </cell>
          <cell r="AO221">
            <v>-126</v>
          </cell>
          <cell r="AP221">
            <v>-6000</v>
          </cell>
          <cell r="AQ221">
            <v>-5999.88</v>
          </cell>
          <cell r="AR221">
            <v>-6496.85</v>
          </cell>
          <cell r="AS221">
            <v>-4867.3599999999997</v>
          </cell>
          <cell r="AT221">
            <v>-39304.090000000004</v>
          </cell>
          <cell r="AU221">
            <v>-5132.6499999999996</v>
          </cell>
          <cell r="AV221">
            <v>0</v>
          </cell>
          <cell r="AW221">
            <v>-189.19</v>
          </cell>
          <cell r="AX221">
            <v>-14123.95</v>
          </cell>
          <cell r="AY221">
            <v>-15712.09</v>
          </cell>
          <cell r="AZ221">
            <v>-18238.330000000002</v>
          </cell>
          <cell r="BA221">
            <v>-20359.900000000001</v>
          </cell>
          <cell r="BB221">
            <v>-19663.97</v>
          </cell>
          <cell r="BC221">
            <v>-12360.37</v>
          </cell>
          <cell r="BD221">
            <v>-2704.38</v>
          </cell>
          <cell r="BE221">
            <v>0</v>
          </cell>
          <cell r="BF221">
            <v>0</v>
          </cell>
          <cell r="BG221">
            <v>-108484.83000000002</v>
          </cell>
          <cell r="BH221">
            <v>0</v>
          </cell>
          <cell r="BI221">
            <v>0</v>
          </cell>
          <cell r="BJ221">
            <v>0</v>
          </cell>
          <cell r="BK221">
            <v>0</v>
          </cell>
          <cell r="BL221">
            <v>-815.09</v>
          </cell>
          <cell r="BM221">
            <v>0</v>
          </cell>
          <cell r="BN221">
            <v>-2000</v>
          </cell>
          <cell r="BO221">
            <v>0</v>
          </cell>
          <cell r="BP221">
            <v>-169.84</v>
          </cell>
          <cell r="BQ221">
            <v>0</v>
          </cell>
          <cell r="BR221">
            <v>-727.65</v>
          </cell>
          <cell r="BS221">
            <v>0</v>
          </cell>
          <cell r="BT221">
            <v>-3712.5800000000004</v>
          </cell>
          <cell r="BU221">
            <v>0</v>
          </cell>
          <cell r="BV221">
            <v>-7.2</v>
          </cell>
          <cell r="BW221">
            <v>-5.4</v>
          </cell>
          <cell r="BX221">
            <v>0</v>
          </cell>
          <cell r="BY221">
            <v>0</v>
          </cell>
          <cell r="BZ221">
            <v>-13.5</v>
          </cell>
          <cell r="CA221">
            <v>-513.52</v>
          </cell>
          <cell r="CE221">
            <v>-539.62</v>
          </cell>
          <cell r="CG221">
            <v>0</v>
          </cell>
        </row>
        <row r="222">
          <cell r="A222" t="str">
            <v>4.2.1.1.04.00003</v>
          </cell>
          <cell r="B222" t="str">
            <v>PROMOCOES E EVENTOS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-162603.6</v>
          </cell>
          <cell r="H222">
            <v>-1735</v>
          </cell>
          <cell r="I222">
            <v>0</v>
          </cell>
          <cell r="J222">
            <v>0</v>
          </cell>
          <cell r="K222">
            <v>-175.24</v>
          </cell>
          <cell r="L222">
            <v>0</v>
          </cell>
          <cell r="M222">
            <v>-86160</v>
          </cell>
          <cell r="N222">
            <v>-26488.5</v>
          </cell>
          <cell r="O222">
            <v>-9419.6</v>
          </cell>
          <cell r="P222">
            <v>-33645.71</v>
          </cell>
          <cell r="Q222">
            <v>-3845</v>
          </cell>
          <cell r="R222">
            <v>-30129.4</v>
          </cell>
          <cell r="S222">
            <v>-158207.03</v>
          </cell>
          <cell r="T222">
            <v>-349805.48</v>
          </cell>
          <cell r="U222">
            <v>-9836</v>
          </cell>
          <cell r="V222">
            <v>-61256</v>
          </cell>
          <cell r="W222">
            <v>0</v>
          </cell>
          <cell r="X222">
            <v>-4905</v>
          </cell>
          <cell r="Y222">
            <v>0</v>
          </cell>
          <cell r="Z222">
            <v>-10954</v>
          </cell>
          <cell r="AA222">
            <v>-5963.2</v>
          </cell>
          <cell r="AB222">
            <v>-61200</v>
          </cell>
          <cell r="AC222">
            <v>-69604.929999999993</v>
          </cell>
          <cell r="AD222">
            <v>-12163.49</v>
          </cell>
          <cell r="AE222">
            <v>-30742.5</v>
          </cell>
          <cell r="AF222">
            <v>-9791</v>
          </cell>
          <cell r="AG222">
            <v>-276416.12</v>
          </cell>
          <cell r="AH222">
            <v>-9806.16</v>
          </cell>
          <cell r="AI222">
            <v>-170160</v>
          </cell>
          <cell r="AJ222">
            <v>-9070</v>
          </cell>
          <cell r="AK222">
            <v>0</v>
          </cell>
          <cell r="AL222">
            <v>0</v>
          </cell>
          <cell r="AM222">
            <v>0</v>
          </cell>
          <cell r="AN222">
            <v>-2337.94</v>
          </cell>
          <cell r="AO222">
            <v>0</v>
          </cell>
          <cell r="AP222">
            <v>0</v>
          </cell>
          <cell r="AQ222">
            <v>-1581.7</v>
          </cell>
          <cell r="AR222">
            <v>-11.5</v>
          </cell>
          <cell r="AS222">
            <v>-150</v>
          </cell>
          <cell r="AT222">
            <v>-193117.30000000002</v>
          </cell>
          <cell r="AU222">
            <v>0</v>
          </cell>
          <cell r="AV222">
            <v>0</v>
          </cell>
          <cell r="AW222">
            <v>-778.59</v>
          </cell>
          <cell r="AX222">
            <v>0</v>
          </cell>
          <cell r="AY222">
            <v>-78</v>
          </cell>
          <cell r="AZ222">
            <v>-3308</v>
          </cell>
          <cell r="BA222">
            <v>-127.48</v>
          </cell>
          <cell r="BB222">
            <v>0</v>
          </cell>
          <cell r="BC222">
            <v>-1377.8</v>
          </cell>
          <cell r="BD222">
            <v>-13756.61</v>
          </cell>
          <cell r="BE222">
            <v>-46312.800000000003</v>
          </cell>
          <cell r="BF222">
            <v>-17461.86</v>
          </cell>
          <cell r="BG222">
            <v>-83201.14</v>
          </cell>
          <cell r="BH222">
            <v>-1411.96</v>
          </cell>
          <cell r="BI222">
            <v>0</v>
          </cell>
          <cell r="BJ222">
            <v>-44600</v>
          </cell>
          <cell r="BK222">
            <v>-869.5</v>
          </cell>
          <cell r="BL222">
            <v>-60623</v>
          </cell>
          <cell r="BM222">
            <v>-35</v>
          </cell>
          <cell r="BN222">
            <v>-9000</v>
          </cell>
          <cell r="BO222">
            <v>-16887.48</v>
          </cell>
          <cell r="BP222">
            <v>-312745.48</v>
          </cell>
          <cell r="BQ222">
            <v>-67341.19</v>
          </cell>
          <cell r="BR222">
            <v>-34552.43</v>
          </cell>
          <cell r="BS222">
            <v>-9740</v>
          </cell>
          <cell r="BT222">
            <v>-557806.04</v>
          </cell>
          <cell r="BU222">
            <v>-11735</v>
          </cell>
          <cell r="BV222">
            <v>-75168</v>
          </cell>
          <cell r="BW222">
            <v>-257980</v>
          </cell>
          <cell r="BX222">
            <v>-13326.35</v>
          </cell>
          <cell r="BY222">
            <v>-309.07</v>
          </cell>
          <cell r="BZ222">
            <v>-72921.8</v>
          </cell>
          <cell r="CA222">
            <v>-97580.98</v>
          </cell>
          <cell r="CE222">
            <v>-529021.19999999995</v>
          </cell>
          <cell r="CG222">
            <v>0</v>
          </cell>
        </row>
        <row r="223">
          <cell r="A223" t="str">
            <v>4.2.1.1.04.00004</v>
          </cell>
          <cell r="B223" t="str">
            <v>MATERIAIS PROMOCIONAIS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-6875.74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-1802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-3234.2</v>
          </cell>
          <cell r="S223">
            <v>0</v>
          </cell>
          <cell r="T223">
            <v>-5036.2</v>
          </cell>
          <cell r="U223">
            <v>0</v>
          </cell>
          <cell r="V223">
            <v>0</v>
          </cell>
          <cell r="W223">
            <v>-7.2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-497.25</v>
          </cell>
          <cell r="AC223">
            <v>0</v>
          </cell>
          <cell r="AD223">
            <v>0</v>
          </cell>
          <cell r="AE223">
            <v>-2000</v>
          </cell>
          <cell r="AF223">
            <v>0</v>
          </cell>
          <cell r="AG223">
            <v>-2504.4499999999998</v>
          </cell>
          <cell r="AH223">
            <v>0</v>
          </cell>
          <cell r="AI223">
            <v>0</v>
          </cell>
          <cell r="AJ223">
            <v>-20.62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-20.62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  <cell r="BP223">
            <v>0</v>
          </cell>
          <cell r="BQ223">
            <v>0</v>
          </cell>
          <cell r="BR223">
            <v>0</v>
          </cell>
          <cell r="BS223">
            <v>-171.68</v>
          </cell>
          <cell r="BT223">
            <v>-171.68</v>
          </cell>
          <cell r="BU223">
            <v>0</v>
          </cell>
          <cell r="BV223">
            <v>0</v>
          </cell>
          <cell r="BW223">
            <v>0</v>
          </cell>
          <cell r="BX223">
            <v>0</v>
          </cell>
          <cell r="BY223">
            <v>0</v>
          </cell>
          <cell r="BZ223">
            <v>-723.46</v>
          </cell>
          <cell r="CA223">
            <v>-717.66</v>
          </cell>
          <cell r="CE223">
            <v>-1441.12</v>
          </cell>
          <cell r="CG223">
            <v>0</v>
          </cell>
        </row>
        <row r="224">
          <cell r="A224" t="str">
            <v>4.2.1.1.05</v>
          </cell>
          <cell r="B224" t="str">
            <v>DESPESAS DE VIAGENS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-429906.55</v>
          </cell>
          <cell r="H224">
            <v>-21964.2</v>
          </cell>
          <cell r="I224">
            <v>-27646.37</v>
          </cell>
          <cell r="J224">
            <v>-28748.99</v>
          </cell>
          <cell r="K224">
            <v>-35787.730000000003</v>
          </cell>
          <cell r="L224">
            <v>-30456.400000000001</v>
          </cell>
          <cell r="M224">
            <v>-35906.449999999997</v>
          </cell>
          <cell r="N224">
            <v>-25541.83</v>
          </cell>
          <cell r="O224">
            <v>-53889.79</v>
          </cell>
          <cell r="P224">
            <v>-35377.11</v>
          </cell>
          <cell r="Q224">
            <v>-45305.93</v>
          </cell>
          <cell r="R224">
            <v>-43998.28</v>
          </cell>
          <cell r="S224">
            <v>-37916.67</v>
          </cell>
          <cell r="T224">
            <v>-422539.75000000006</v>
          </cell>
          <cell r="U224">
            <v>-33808.230000000003</v>
          </cell>
          <cell r="V224">
            <v>-30256.82</v>
          </cell>
          <cell r="W224">
            <v>-46097.279999999999</v>
          </cell>
          <cell r="X224">
            <v>-33683.449999999997</v>
          </cell>
          <cell r="Y224">
            <v>-60702.39</v>
          </cell>
          <cell r="Z224">
            <v>-37665.81</v>
          </cell>
          <cell r="AA224">
            <v>-26327.48</v>
          </cell>
          <cell r="AB224">
            <v>-32540.61</v>
          </cell>
          <cell r="AC224">
            <v>-49808.79</v>
          </cell>
          <cell r="AD224">
            <v>-57390.99</v>
          </cell>
          <cell r="AE224">
            <v>-50268.58</v>
          </cell>
          <cell r="AF224">
            <v>-46782.89</v>
          </cell>
          <cell r="AG224">
            <v>-505333.31999999995</v>
          </cell>
          <cell r="AH224">
            <v>-42709.4</v>
          </cell>
          <cell r="AI224">
            <v>-18532.509999999998</v>
          </cell>
          <cell r="AJ224">
            <v>-37010.36</v>
          </cell>
          <cell r="AK224">
            <v>-28554.2</v>
          </cell>
          <cell r="AL224">
            <v>-48418.25</v>
          </cell>
          <cell r="AM224">
            <v>-31615.08</v>
          </cell>
          <cell r="AN224">
            <v>-25769.1</v>
          </cell>
          <cell r="AO224">
            <v>-17326.330000000002</v>
          </cell>
          <cell r="AP224">
            <v>-22469.03</v>
          </cell>
          <cell r="AQ224">
            <v>-33308.35</v>
          </cell>
          <cell r="AR224">
            <v>-14588.91</v>
          </cell>
          <cell r="AS224">
            <v>-31943.54</v>
          </cell>
          <cell r="AT224">
            <v>-352245.05999999994</v>
          </cell>
          <cell r="AU224">
            <v>-21871.62</v>
          </cell>
          <cell r="AV224">
            <v>-29509.51</v>
          </cell>
          <cell r="AW224">
            <v>-22530.83</v>
          </cell>
          <cell r="AX224">
            <v>-14024.89</v>
          </cell>
          <cell r="AY224">
            <v>-7696.46</v>
          </cell>
          <cell r="AZ224">
            <v>-24689.7</v>
          </cell>
          <cell r="BA224">
            <v>-19146.54</v>
          </cell>
          <cell r="BB224">
            <v>-49692.25</v>
          </cell>
          <cell r="BC224">
            <v>-50196.5</v>
          </cell>
          <cell r="BD224">
            <v>-69097.259999999995</v>
          </cell>
          <cell r="BE224">
            <v>-108880.37</v>
          </cell>
          <cell r="BF224">
            <v>-48232.71</v>
          </cell>
          <cell r="BG224">
            <v>-465568.64</v>
          </cell>
          <cell r="BH224">
            <v>-53033.34</v>
          </cell>
          <cell r="BI224">
            <v>-65797.39</v>
          </cell>
          <cell r="BJ224">
            <v>-66661.740000000005</v>
          </cell>
          <cell r="BK224">
            <v>-86863.89</v>
          </cell>
          <cell r="BL224">
            <v>-161524.38</v>
          </cell>
          <cell r="BM224">
            <v>-78776.509999999995</v>
          </cell>
          <cell r="BN224">
            <v>-80790.77</v>
          </cell>
          <cell r="BO224">
            <v>-69811.16</v>
          </cell>
          <cell r="BP224">
            <v>-69736.42</v>
          </cell>
          <cell r="BQ224">
            <v>-114005.81</v>
          </cell>
          <cell r="BR224">
            <v>-97178.35</v>
          </cell>
          <cell r="BS224">
            <v>-67700.55</v>
          </cell>
          <cell r="BT224">
            <v>-1011880.3100000002</v>
          </cell>
          <cell r="BU224">
            <v>-128160.66</v>
          </cell>
          <cell r="BV224">
            <v>-67002.720000000001</v>
          </cell>
          <cell r="BW224">
            <v>-66703</v>
          </cell>
          <cell r="BX224">
            <v>-48787.75</v>
          </cell>
          <cell r="BY224">
            <v>-57096.66</v>
          </cell>
          <cell r="BZ224">
            <v>-66793.179999999993</v>
          </cell>
          <cell r="CA224">
            <v>-70753.100000000006</v>
          </cell>
          <cell r="CE224">
            <v>-505297.07000000007</v>
          </cell>
          <cell r="CG224">
            <v>0</v>
          </cell>
        </row>
        <row r="225">
          <cell r="A225" t="str">
            <v>4.2.1.1.05.00001</v>
          </cell>
          <cell r="B225" t="str">
            <v>ALUGUEL VEICULOS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-23891.31</v>
          </cell>
          <cell r="H225">
            <v>-1230.1099999999999</v>
          </cell>
          <cell r="I225">
            <v>-329.89</v>
          </cell>
          <cell r="J225">
            <v>-935.2</v>
          </cell>
          <cell r="K225">
            <v>-348</v>
          </cell>
          <cell r="L225">
            <v>0</v>
          </cell>
          <cell r="M225">
            <v>-2726.55</v>
          </cell>
          <cell r="N225">
            <v>-336</v>
          </cell>
          <cell r="O225">
            <v>0</v>
          </cell>
          <cell r="P225">
            <v>-7796.73</v>
          </cell>
          <cell r="Q225">
            <v>-1816.12</v>
          </cell>
          <cell r="R225">
            <v>-1570.27</v>
          </cell>
          <cell r="S225">
            <v>-3641.89</v>
          </cell>
          <cell r="T225">
            <v>-20730.759999999998</v>
          </cell>
          <cell r="U225">
            <v>-1196</v>
          </cell>
          <cell r="V225">
            <v>-747.26</v>
          </cell>
          <cell r="W225">
            <v>-2512.94</v>
          </cell>
          <cell r="X225">
            <v>-3612.21</v>
          </cell>
          <cell r="Y225">
            <v>-2667.6</v>
          </cell>
          <cell r="Z225">
            <v>-1413.83</v>
          </cell>
          <cell r="AA225">
            <v>-3587.3</v>
          </cell>
          <cell r="AB225">
            <v>-3453.57</v>
          </cell>
          <cell r="AC225">
            <v>-1200.8599999999999</v>
          </cell>
          <cell r="AD225">
            <v>-2045.03</v>
          </cell>
          <cell r="AE225">
            <v>-6169.92</v>
          </cell>
          <cell r="AF225">
            <v>-101.9</v>
          </cell>
          <cell r="AG225">
            <v>-28708.42</v>
          </cell>
          <cell r="AH225">
            <v>-1582.28</v>
          </cell>
          <cell r="AI225">
            <v>0</v>
          </cell>
          <cell r="AJ225">
            <v>-368.03</v>
          </cell>
          <cell r="AK225">
            <v>-368.03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-2899.03</v>
          </cell>
          <cell r="AQ225">
            <v>-1855.87</v>
          </cell>
          <cell r="AR225">
            <v>-2499.31</v>
          </cell>
          <cell r="AS225">
            <v>-3212.27</v>
          </cell>
          <cell r="AT225">
            <v>-12784.820000000002</v>
          </cell>
          <cell r="AU225">
            <v>-1461.5</v>
          </cell>
          <cell r="AV225">
            <v>0</v>
          </cell>
          <cell r="AW225">
            <v>-2385.54</v>
          </cell>
          <cell r="AX225">
            <v>-934.05</v>
          </cell>
          <cell r="AY225">
            <v>0</v>
          </cell>
          <cell r="AZ225">
            <v>-3093.39</v>
          </cell>
          <cell r="BA225">
            <v>-1316.67</v>
          </cell>
          <cell r="BB225">
            <v>-3077.08</v>
          </cell>
          <cell r="BC225">
            <v>-1795.21</v>
          </cell>
          <cell r="BD225">
            <v>-5247.39</v>
          </cell>
          <cell r="BE225">
            <v>-9102.2099999999991</v>
          </cell>
          <cell r="BF225">
            <v>-1949.76</v>
          </cell>
          <cell r="BG225">
            <v>-30362.799999999996</v>
          </cell>
          <cell r="BH225">
            <v>-10729.96</v>
          </cell>
          <cell r="BI225">
            <v>-8704.86</v>
          </cell>
          <cell r="BJ225">
            <v>-18136.650000000001</v>
          </cell>
          <cell r="BK225">
            <v>-6099.23</v>
          </cell>
          <cell r="BL225">
            <v>-4027.95</v>
          </cell>
          <cell r="BM225">
            <v>-17883</v>
          </cell>
          <cell r="BN225">
            <v>-18177.900000000001</v>
          </cell>
          <cell r="BO225">
            <v>-10154.65</v>
          </cell>
          <cell r="BP225">
            <v>-10112.620000000001</v>
          </cell>
          <cell r="BQ225">
            <v>-8001.53</v>
          </cell>
          <cell r="BR225">
            <v>-15845.34</v>
          </cell>
          <cell r="BS225">
            <v>-11504.84</v>
          </cell>
          <cell r="BT225">
            <v>-139378.52999999997</v>
          </cell>
          <cell r="BU225">
            <v>-23987.67</v>
          </cell>
          <cell r="BV225">
            <v>-11964.35</v>
          </cell>
          <cell r="BW225">
            <v>-15994.11</v>
          </cell>
          <cell r="BX225">
            <v>-8787.77</v>
          </cell>
          <cell r="BY225">
            <v>-14625.14</v>
          </cell>
          <cell r="BZ225">
            <v>-7356.86</v>
          </cell>
          <cell r="CA225">
            <v>-8660.4699999999993</v>
          </cell>
          <cell r="CE225">
            <v>-91376.37</v>
          </cell>
          <cell r="CG225">
            <v>0</v>
          </cell>
        </row>
        <row r="226">
          <cell r="A226" t="str">
            <v>4.2.1.1.05.00002</v>
          </cell>
          <cell r="B226" t="str">
            <v>COMBUSTIVEL E LUBRIFICANTES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-72016.28</v>
          </cell>
          <cell r="H226">
            <v>-2303.66</v>
          </cell>
          <cell r="I226">
            <v>-9311</v>
          </cell>
          <cell r="J226">
            <v>-5568.89</v>
          </cell>
          <cell r="K226">
            <v>-8784.74</v>
          </cell>
          <cell r="L226">
            <v>-7545.68</v>
          </cell>
          <cell r="M226">
            <v>-6282.25</v>
          </cell>
          <cell r="N226">
            <v>-8586.2800000000007</v>
          </cell>
          <cell r="O226">
            <v>-6496.45</v>
          </cell>
          <cell r="P226">
            <v>-6592.15</v>
          </cell>
          <cell r="Q226">
            <v>-7242.84</v>
          </cell>
          <cell r="R226">
            <v>-3401.31</v>
          </cell>
          <cell r="S226">
            <v>-4234.2</v>
          </cell>
          <cell r="T226">
            <v>-76349.45</v>
          </cell>
          <cell r="U226">
            <v>-7451.4</v>
          </cell>
          <cell r="V226">
            <v>-8467.17</v>
          </cell>
          <cell r="W226">
            <v>-5218.7</v>
          </cell>
          <cell r="X226">
            <v>-7831.09</v>
          </cell>
          <cell r="Y226">
            <v>-7052.21</v>
          </cell>
          <cell r="Z226">
            <v>-7676.22</v>
          </cell>
          <cell r="AA226">
            <v>-6014.56</v>
          </cell>
          <cell r="AB226">
            <v>-8498.01</v>
          </cell>
          <cell r="AC226">
            <v>-6287.82</v>
          </cell>
          <cell r="AD226">
            <v>-9604.49</v>
          </cell>
          <cell r="AE226">
            <v>-10127.56</v>
          </cell>
          <cell r="AF226">
            <v>-11160.31</v>
          </cell>
          <cell r="AG226">
            <v>-95389.54</v>
          </cell>
          <cell r="AH226">
            <v>-4600.88</v>
          </cell>
          <cell r="AI226">
            <v>-10262.790000000001</v>
          </cell>
          <cell r="AJ226">
            <v>-12042.76</v>
          </cell>
          <cell r="AK226">
            <v>-5249.19</v>
          </cell>
          <cell r="AL226">
            <v>-5116.41</v>
          </cell>
          <cell r="AM226">
            <v>-5437.7</v>
          </cell>
          <cell r="AN226">
            <v>-9712.7900000000009</v>
          </cell>
          <cell r="AO226">
            <v>-10032.040000000001</v>
          </cell>
          <cell r="AP226">
            <v>-5164.1499999999996</v>
          </cell>
          <cell r="AQ226">
            <v>-6114.42</v>
          </cell>
          <cell r="AR226">
            <v>-5388.98</v>
          </cell>
          <cell r="AS226">
            <v>-6346.03</v>
          </cell>
          <cell r="AT226">
            <v>-85468.139999999985</v>
          </cell>
          <cell r="AU226">
            <v>-2789.34</v>
          </cell>
          <cell r="AV226">
            <v>-7967.74</v>
          </cell>
          <cell r="AW226">
            <v>-4026.67</v>
          </cell>
          <cell r="AX226">
            <v>-2942.73</v>
          </cell>
          <cell r="AY226">
            <v>-4654.55</v>
          </cell>
          <cell r="AZ226">
            <v>-7845.69</v>
          </cell>
          <cell r="BA226">
            <v>-8827.4699999999993</v>
          </cell>
          <cell r="BB226">
            <v>-7144.94</v>
          </cell>
          <cell r="BC226">
            <v>-8044.09</v>
          </cell>
          <cell r="BD226">
            <v>-7252.16</v>
          </cell>
          <cell r="BE226">
            <v>-9775.86</v>
          </cell>
          <cell r="BF226">
            <v>-4894.43</v>
          </cell>
          <cell r="BG226">
            <v>-76165.670000000013</v>
          </cell>
          <cell r="BH226">
            <v>-4665.97</v>
          </cell>
          <cell r="BI226">
            <v>-12062.85</v>
          </cell>
          <cell r="BJ226">
            <v>-5189.72</v>
          </cell>
          <cell r="BK226">
            <v>-15664.51</v>
          </cell>
          <cell r="BL226">
            <v>-16196.47</v>
          </cell>
          <cell r="BM226">
            <v>-10874.05</v>
          </cell>
          <cell r="BN226">
            <v>-10019.120000000001</v>
          </cell>
          <cell r="BO226">
            <v>-12394.6</v>
          </cell>
          <cell r="BP226">
            <v>-8574.39</v>
          </cell>
          <cell r="BQ226">
            <v>-7983.82</v>
          </cell>
          <cell r="BR226">
            <v>-12086.28</v>
          </cell>
          <cell r="BS226">
            <v>-11022.17</v>
          </cell>
          <cell r="BT226">
            <v>-126733.95</v>
          </cell>
          <cell r="BU226">
            <v>-4460.3500000000004</v>
          </cell>
          <cell r="BV226">
            <v>-13272.68</v>
          </cell>
          <cell r="BW226">
            <v>-26788.97</v>
          </cell>
          <cell r="BX226">
            <v>-9317.7999999999993</v>
          </cell>
          <cell r="BY226">
            <v>-10306.370000000001</v>
          </cell>
          <cell r="BZ226">
            <v>-10799.77</v>
          </cell>
          <cell r="CA226">
            <v>-15808.44</v>
          </cell>
          <cell r="CE226">
            <v>-90754.38</v>
          </cell>
          <cell r="CG226">
            <v>0</v>
          </cell>
        </row>
        <row r="227">
          <cell r="A227" t="str">
            <v>4.2.1.1.05.00003</v>
          </cell>
          <cell r="B227" t="str">
            <v>ESTADIAS E REFEICOES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-247780.53</v>
          </cell>
          <cell r="H227">
            <v>-14149.49</v>
          </cell>
          <cell r="I227">
            <v>-10264.290000000001</v>
          </cell>
          <cell r="J227">
            <v>-20544.84</v>
          </cell>
          <cell r="K227">
            <v>-14793.84</v>
          </cell>
          <cell r="L227">
            <v>-14379.49</v>
          </cell>
          <cell r="M227">
            <v>-22894.54</v>
          </cell>
          <cell r="N227">
            <v>-6129.37</v>
          </cell>
          <cell r="O227">
            <v>-36637.64</v>
          </cell>
          <cell r="P227">
            <v>-19005.47</v>
          </cell>
          <cell r="Q227">
            <v>-33126.269999999997</v>
          </cell>
          <cell r="R227">
            <v>-34091.879999999997</v>
          </cell>
          <cell r="S227">
            <v>-27468.2</v>
          </cell>
          <cell r="T227">
            <v>-253485.32</v>
          </cell>
          <cell r="U227">
            <v>-21867.98</v>
          </cell>
          <cell r="V227">
            <v>-8834.48</v>
          </cell>
          <cell r="W227">
            <v>-35854.44</v>
          </cell>
          <cell r="X227">
            <v>-21229.96</v>
          </cell>
          <cell r="Y227">
            <v>-44104.99</v>
          </cell>
          <cell r="Z227">
            <v>-18274.79</v>
          </cell>
          <cell r="AA227">
            <v>-13230.57</v>
          </cell>
          <cell r="AB227">
            <v>-14681.64</v>
          </cell>
          <cell r="AC227">
            <v>-35573.21</v>
          </cell>
          <cell r="AD227">
            <v>-37825.54</v>
          </cell>
          <cell r="AE227">
            <v>-28122.080000000002</v>
          </cell>
          <cell r="AF227">
            <v>-32658.560000000001</v>
          </cell>
          <cell r="AG227">
            <v>-312258.24</v>
          </cell>
          <cell r="AH227">
            <v>-33835.699999999997</v>
          </cell>
          <cell r="AI227">
            <v>-6981.15</v>
          </cell>
          <cell r="AJ227">
            <v>-19916.22</v>
          </cell>
          <cell r="AK227">
            <v>-22936.98</v>
          </cell>
          <cell r="AL227">
            <v>-42328.160000000003</v>
          </cell>
          <cell r="AM227">
            <v>-24796.880000000001</v>
          </cell>
          <cell r="AN227">
            <v>-13582.83</v>
          </cell>
          <cell r="AO227">
            <v>-4713.54</v>
          </cell>
          <cell r="AP227">
            <v>-10251.6</v>
          </cell>
          <cell r="AQ227">
            <v>-22918.23</v>
          </cell>
          <cell r="AR227">
            <v>-2032.5</v>
          </cell>
          <cell r="AS227">
            <v>-20148.53</v>
          </cell>
          <cell r="AT227">
            <v>-224442.32</v>
          </cell>
          <cell r="AU227">
            <v>-12433.38</v>
          </cell>
          <cell r="AV227">
            <v>-19830.29</v>
          </cell>
          <cell r="AW227">
            <v>-14718.77</v>
          </cell>
          <cell r="AX227">
            <v>-8283.9599999999991</v>
          </cell>
          <cell r="AY227">
            <v>-1478.94</v>
          </cell>
          <cell r="AZ227">
            <v>-12120.08</v>
          </cell>
          <cell r="BA227">
            <v>-1657.23</v>
          </cell>
          <cell r="BB227">
            <v>-35512.080000000002</v>
          </cell>
          <cell r="BC227">
            <v>-31241.26</v>
          </cell>
          <cell r="BD227">
            <v>-52551.32</v>
          </cell>
          <cell r="BE227">
            <v>-73852.91</v>
          </cell>
          <cell r="BF227">
            <v>-41388.519999999997</v>
          </cell>
          <cell r="BG227">
            <v>-305068.74</v>
          </cell>
          <cell r="BH227">
            <v>-18896.009999999998</v>
          </cell>
          <cell r="BI227">
            <v>-38141.51</v>
          </cell>
          <cell r="BJ227">
            <v>-32073.55</v>
          </cell>
          <cell r="BK227">
            <v>-39030.54</v>
          </cell>
          <cell r="BL227">
            <v>-130562.94</v>
          </cell>
          <cell r="BM227">
            <v>-41582.15</v>
          </cell>
          <cell r="BN227">
            <v>-40043.42</v>
          </cell>
          <cell r="BO227">
            <v>-31831.02</v>
          </cell>
          <cell r="BP227">
            <v>-45190.55</v>
          </cell>
          <cell r="BQ227">
            <v>-76686.19</v>
          </cell>
          <cell r="BR227">
            <v>-64956.06</v>
          </cell>
          <cell r="BS227">
            <v>-38946.58</v>
          </cell>
          <cell r="BT227">
            <v>-597940.5199999999</v>
          </cell>
          <cell r="BU227">
            <v>-89476.84</v>
          </cell>
          <cell r="BV227">
            <v>-30105.14</v>
          </cell>
          <cell r="BW227">
            <v>-21075.29</v>
          </cell>
          <cell r="BX227">
            <v>-21672.53</v>
          </cell>
          <cell r="BY227">
            <v>-23267.75</v>
          </cell>
          <cell r="BZ227">
            <v>-40955.43</v>
          </cell>
          <cell r="CA227">
            <v>-29106.97</v>
          </cell>
          <cell r="CE227">
            <v>-255659.94999999998</v>
          </cell>
          <cell r="CG227">
            <v>0</v>
          </cell>
        </row>
        <row r="228">
          <cell r="A228" t="str">
            <v>4.2.1.1.05.00004</v>
          </cell>
          <cell r="B228" t="str">
            <v>PASSAGENS AEREA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-70129.240000000005</v>
          </cell>
          <cell r="H228">
            <v>-2953.39</v>
          </cell>
          <cell r="I228">
            <v>-4971.29</v>
          </cell>
          <cell r="J228">
            <v>-1700.06</v>
          </cell>
          <cell r="K228">
            <v>-10261.969999999999</v>
          </cell>
          <cell r="L228">
            <v>-5603.58</v>
          </cell>
          <cell r="M228">
            <v>-4003.11</v>
          </cell>
          <cell r="N228">
            <v>-9352.35</v>
          </cell>
          <cell r="O228">
            <v>-9385.75</v>
          </cell>
          <cell r="P228">
            <v>0</v>
          </cell>
          <cell r="Q228">
            <v>0</v>
          </cell>
          <cell r="R228">
            <v>-4714.82</v>
          </cell>
          <cell r="S228">
            <v>-805.71</v>
          </cell>
          <cell r="T228">
            <v>-53752.03</v>
          </cell>
          <cell r="U228">
            <v>-2065.66</v>
          </cell>
          <cell r="V228">
            <v>-11031.26</v>
          </cell>
          <cell r="W228">
            <v>-1352.19</v>
          </cell>
          <cell r="X228">
            <v>0</v>
          </cell>
          <cell r="Y228">
            <v>-5490.17</v>
          </cell>
          <cell r="Z228">
            <v>-8646.18</v>
          </cell>
          <cell r="AA228">
            <v>-2530.7600000000002</v>
          </cell>
          <cell r="AB228">
            <v>-4363.1099999999997</v>
          </cell>
          <cell r="AC228">
            <v>-5232.71</v>
          </cell>
          <cell r="AD228">
            <v>-6512.03</v>
          </cell>
          <cell r="AE228">
            <v>-4506.4799999999996</v>
          </cell>
          <cell r="AF228">
            <v>-925.53</v>
          </cell>
          <cell r="AG228">
            <v>-52656.08</v>
          </cell>
          <cell r="AH228">
            <v>-1628.28</v>
          </cell>
          <cell r="AI228">
            <v>0</v>
          </cell>
          <cell r="AJ228">
            <v>-2014.91</v>
          </cell>
          <cell r="AK228">
            <v>0</v>
          </cell>
          <cell r="AL228">
            <v>0</v>
          </cell>
          <cell r="AM228">
            <v>0</v>
          </cell>
          <cell r="AN228">
            <v>-1449.95</v>
          </cell>
          <cell r="AO228">
            <v>-747.65</v>
          </cell>
          <cell r="AP228">
            <v>-684.36</v>
          </cell>
          <cell r="AQ228">
            <v>-2419.83</v>
          </cell>
          <cell r="AR228">
            <v>-3033.2</v>
          </cell>
          <cell r="AS228">
            <v>-639.54999999999995</v>
          </cell>
          <cell r="AT228">
            <v>-12617.73</v>
          </cell>
          <cell r="AU228">
            <v>-4200.0600000000004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-7345.17</v>
          </cell>
          <cell r="BB228">
            <v>0</v>
          </cell>
          <cell r="BC228">
            <v>-7288.15</v>
          </cell>
          <cell r="BD228">
            <v>-4046.39</v>
          </cell>
          <cell r="BE228">
            <v>-12249.75</v>
          </cell>
          <cell r="BF228">
            <v>0</v>
          </cell>
          <cell r="BG228">
            <v>-35129.519999999997</v>
          </cell>
          <cell r="BH228">
            <v>-17550.46</v>
          </cell>
          <cell r="BI228">
            <v>-6067.97</v>
          </cell>
          <cell r="BJ228">
            <v>-9309.41</v>
          </cell>
          <cell r="BK228">
            <v>-21921.91</v>
          </cell>
          <cell r="BL228">
            <v>-8191.26</v>
          </cell>
          <cell r="BM228">
            <v>-6278.7</v>
          </cell>
          <cell r="BN228">
            <v>-9995.34</v>
          </cell>
          <cell r="BO228">
            <v>-13043.32</v>
          </cell>
          <cell r="BP228">
            <v>-4128.1499999999996</v>
          </cell>
          <cell r="BQ228">
            <v>-21334.27</v>
          </cell>
          <cell r="BR228">
            <v>-1636.52</v>
          </cell>
          <cell r="BS228">
            <v>-4438.88</v>
          </cell>
          <cell r="BT228">
            <v>-123896.19</v>
          </cell>
          <cell r="BU228">
            <v>-7601.05</v>
          </cell>
          <cell r="BV228">
            <v>-9225.34</v>
          </cell>
          <cell r="BW228">
            <v>-2844.63</v>
          </cell>
          <cell r="BX228">
            <v>-5965.47</v>
          </cell>
          <cell r="BY228">
            <v>-4423.17</v>
          </cell>
          <cell r="BZ228">
            <v>-7681.12</v>
          </cell>
          <cell r="CA228">
            <v>-15289.99</v>
          </cell>
          <cell r="CE228">
            <v>-53030.770000000004</v>
          </cell>
          <cell r="CG228">
            <v>0</v>
          </cell>
        </row>
        <row r="229">
          <cell r="A229" t="str">
            <v>4.2.1.1.05.00005</v>
          </cell>
          <cell r="B229" t="str">
            <v>PEDAGIOS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-16089.19</v>
          </cell>
          <cell r="H229">
            <v>-1327.55</v>
          </cell>
          <cell r="I229">
            <v>-2769.9</v>
          </cell>
          <cell r="J229">
            <v>0</v>
          </cell>
          <cell r="K229">
            <v>-1599.18</v>
          </cell>
          <cell r="L229">
            <v>-2927.65</v>
          </cell>
          <cell r="M229">
            <v>0</v>
          </cell>
          <cell r="N229">
            <v>-1137.83</v>
          </cell>
          <cell r="O229">
            <v>-1369.95</v>
          </cell>
          <cell r="P229">
            <v>-1982.76</v>
          </cell>
          <cell r="Q229">
            <v>-3120.7</v>
          </cell>
          <cell r="R229">
            <v>-220</v>
          </cell>
          <cell r="S229">
            <v>-1766.67</v>
          </cell>
          <cell r="T229">
            <v>-18222.190000000002</v>
          </cell>
          <cell r="U229">
            <v>-1227.19</v>
          </cell>
          <cell r="V229">
            <v>-1176.6500000000001</v>
          </cell>
          <cell r="W229">
            <v>-1159.01</v>
          </cell>
          <cell r="X229">
            <v>-1010.19</v>
          </cell>
          <cell r="Y229">
            <v>-1387.42</v>
          </cell>
          <cell r="Z229">
            <v>-1654.79</v>
          </cell>
          <cell r="AA229">
            <v>-964.29</v>
          </cell>
          <cell r="AB229">
            <v>-1544.28</v>
          </cell>
          <cell r="AC229">
            <v>-1514.19</v>
          </cell>
          <cell r="AD229">
            <v>-1403.9</v>
          </cell>
          <cell r="AE229">
            <v>-1342.54</v>
          </cell>
          <cell r="AF229">
            <v>-1936.59</v>
          </cell>
          <cell r="AG229">
            <v>-16321.04</v>
          </cell>
          <cell r="AH229">
            <v>-1062.26</v>
          </cell>
          <cell r="AI229">
            <v>-1288.57</v>
          </cell>
          <cell r="AJ229">
            <v>-2668.44</v>
          </cell>
          <cell r="AK229">
            <v>0</v>
          </cell>
          <cell r="AL229">
            <v>-973.68</v>
          </cell>
          <cell r="AM229">
            <v>-1380.5</v>
          </cell>
          <cell r="AN229">
            <v>-1023.53</v>
          </cell>
          <cell r="AO229">
            <v>-1833.1</v>
          </cell>
          <cell r="AP229">
            <v>-3469.89</v>
          </cell>
          <cell r="AQ229">
            <v>0</v>
          </cell>
          <cell r="AR229">
            <v>-1634.92</v>
          </cell>
          <cell r="AS229">
            <v>-1597.16</v>
          </cell>
          <cell r="AT229">
            <v>-16932.050000000003</v>
          </cell>
          <cell r="AU229">
            <v>-987.34</v>
          </cell>
          <cell r="AV229">
            <v>-1711.48</v>
          </cell>
          <cell r="AW229">
            <v>-1399.85</v>
          </cell>
          <cell r="AX229">
            <v>-1864.15</v>
          </cell>
          <cell r="AY229">
            <v>-1562.97</v>
          </cell>
          <cell r="AZ229">
            <v>-1630.54</v>
          </cell>
          <cell r="BA229">
            <v>0</v>
          </cell>
          <cell r="BB229">
            <v>-3958.15</v>
          </cell>
          <cell r="BC229">
            <v>-1827.79</v>
          </cell>
          <cell r="BD229">
            <v>0</v>
          </cell>
          <cell r="BE229">
            <v>-3899.64</v>
          </cell>
          <cell r="BF229">
            <v>0</v>
          </cell>
          <cell r="BG229">
            <v>-18841.91</v>
          </cell>
          <cell r="BH229">
            <v>-1190.94</v>
          </cell>
          <cell r="BI229">
            <v>-820.2</v>
          </cell>
          <cell r="BJ229">
            <v>-1952.41</v>
          </cell>
          <cell r="BK229">
            <v>-4147.7</v>
          </cell>
          <cell r="BL229">
            <v>-2545.7600000000002</v>
          </cell>
          <cell r="BM229">
            <v>-2158.61</v>
          </cell>
          <cell r="BN229">
            <v>-2554.9899999999998</v>
          </cell>
          <cell r="BO229">
            <v>-2387.5700000000002</v>
          </cell>
          <cell r="BP229">
            <v>-1730.71</v>
          </cell>
          <cell r="BQ229">
            <v>0</v>
          </cell>
          <cell r="BR229">
            <v>-2654.15</v>
          </cell>
          <cell r="BS229">
            <v>-1788.08</v>
          </cell>
          <cell r="BT229">
            <v>-23931.120000000003</v>
          </cell>
          <cell r="BU229">
            <v>-2634.75</v>
          </cell>
          <cell r="BV229">
            <v>-2435.21</v>
          </cell>
          <cell r="BW229">
            <v>0</v>
          </cell>
          <cell r="BX229">
            <v>-3044.18</v>
          </cell>
          <cell r="BY229">
            <v>-4474.2299999999996</v>
          </cell>
          <cell r="BZ229">
            <v>0</v>
          </cell>
          <cell r="CA229">
            <v>-1887.23</v>
          </cell>
          <cell r="CE229">
            <v>-14475.599999999999</v>
          </cell>
          <cell r="CG229">
            <v>0</v>
          </cell>
        </row>
        <row r="230">
          <cell r="A230" t="str">
            <v>4.2.1.1.06</v>
          </cell>
          <cell r="B230" t="str">
            <v>DESPESAS COM VEICULOS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-53363.62</v>
          </cell>
          <cell r="H230">
            <v>-3158.7</v>
          </cell>
          <cell r="I230">
            <v>-4607.59</v>
          </cell>
          <cell r="J230">
            <v>-16541.439999999999</v>
          </cell>
          <cell r="K230">
            <v>-2013.73</v>
          </cell>
          <cell r="L230">
            <v>-3307.88</v>
          </cell>
          <cell r="M230">
            <v>-11008.24</v>
          </cell>
          <cell r="N230">
            <v>-2685.42</v>
          </cell>
          <cell r="O230">
            <v>-11308.27</v>
          </cell>
          <cell r="P230">
            <v>-4157.57</v>
          </cell>
          <cell r="Q230">
            <v>-4264.8900000000003</v>
          </cell>
          <cell r="R230">
            <v>-3203.2</v>
          </cell>
          <cell r="S230">
            <v>-4400.8999999999996</v>
          </cell>
          <cell r="T230">
            <v>-70657.83</v>
          </cell>
          <cell r="U230">
            <v>-2055.5700000000002</v>
          </cell>
          <cell r="V230">
            <v>-5828.7</v>
          </cell>
          <cell r="W230">
            <v>-9675.67</v>
          </cell>
          <cell r="X230">
            <v>-7956.7</v>
          </cell>
          <cell r="Y230">
            <v>-4063.98</v>
          </cell>
          <cell r="Z230">
            <v>-4863</v>
          </cell>
          <cell r="AA230">
            <v>-8704.6200000000008</v>
          </cell>
          <cell r="AB230">
            <v>-3100.26</v>
          </cell>
          <cell r="AC230">
            <v>-5942.07</v>
          </cell>
          <cell r="AD230">
            <v>-5068.1000000000004</v>
          </cell>
          <cell r="AE230">
            <v>-4485.16</v>
          </cell>
          <cell r="AF230">
            <v>-2904.72</v>
          </cell>
          <cell r="AG230">
            <v>-64648.55</v>
          </cell>
          <cell r="AH230">
            <v>-9250.4699999999993</v>
          </cell>
          <cell r="AI230">
            <v>-3901</v>
          </cell>
          <cell r="AJ230">
            <v>-8183.95</v>
          </cell>
          <cell r="AK230">
            <v>-2258.31</v>
          </cell>
          <cell r="AL230">
            <v>-4173.22</v>
          </cell>
          <cell r="AM230">
            <v>-3074.0600000000004</v>
          </cell>
          <cell r="AN230">
            <v>-4814.67</v>
          </cell>
          <cell r="AO230">
            <v>-7705.8</v>
          </cell>
          <cell r="AP230">
            <v>-4087.6800000000003</v>
          </cell>
          <cell r="AQ230">
            <v>-10091.77</v>
          </cell>
          <cell r="AR230">
            <v>-1678.3</v>
          </cell>
          <cell r="AS230">
            <v>-1765.92</v>
          </cell>
          <cell r="AT230">
            <v>-60985.150000000009</v>
          </cell>
          <cell r="AU230">
            <v>-2064.61</v>
          </cell>
          <cell r="AV230">
            <v>-3214.26</v>
          </cell>
          <cell r="AW230">
            <v>-1089.98</v>
          </cell>
          <cell r="AX230">
            <v>-1621.74</v>
          </cell>
          <cell r="AY230">
            <v>-1208</v>
          </cell>
          <cell r="AZ230">
            <v>-5088.46</v>
          </cell>
          <cell r="BA230">
            <v>-2808.18</v>
          </cell>
          <cell r="BB230">
            <v>-1679.57</v>
          </cell>
          <cell r="BC230">
            <v>-9154.2699999999986</v>
          </cell>
          <cell r="BD230">
            <v>-4308.7299999999996</v>
          </cell>
          <cell r="BE230">
            <v>-2308.63</v>
          </cell>
          <cell r="BF230">
            <v>-802.74</v>
          </cell>
          <cell r="BG230">
            <v>-35349.17</v>
          </cell>
          <cell r="BH230">
            <v>-2413.27</v>
          </cell>
          <cell r="BI230">
            <v>-1854.04</v>
          </cell>
          <cell r="BJ230">
            <v>-1855.76</v>
          </cell>
          <cell r="BK230">
            <v>-1233.02</v>
          </cell>
          <cell r="BL230">
            <v>-4746.8</v>
          </cell>
          <cell r="BM230">
            <v>-3833.03</v>
          </cell>
          <cell r="BN230">
            <v>-3056.94</v>
          </cell>
          <cell r="BO230">
            <v>-4176.45</v>
          </cell>
          <cell r="BP230">
            <v>-3442.43</v>
          </cell>
          <cell r="BQ230">
            <v>-3340.82</v>
          </cell>
          <cell r="BR230">
            <v>-3305.76</v>
          </cell>
          <cell r="BS230">
            <v>-4606.03</v>
          </cell>
          <cell r="BT230">
            <v>-37864.35</v>
          </cell>
          <cell r="BU230">
            <v>-5479.21</v>
          </cell>
          <cell r="BV230">
            <v>-3154.54</v>
          </cell>
          <cell r="BW230">
            <v>-6542.33</v>
          </cell>
          <cell r="BX230">
            <v>-3070.81</v>
          </cell>
          <cell r="BY230">
            <v>-2313.04</v>
          </cell>
          <cell r="BZ230">
            <v>-5233.62</v>
          </cell>
          <cell r="CA230">
            <v>-8394.64</v>
          </cell>
          <cell r="CE230">
            <v>-34188.19</v>
          </cell>
          <cell r="CG230">
            <v>0</v>
          </cell>
        </row>
        <row r="231">
          <cell r="A231" t="str">
            <v>4.2.1.1.06.00001</v>
          </cell>
          <cell r="B231" t="str">
            <v>MANUTENCAO DE VEICULOS - SERVICOS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-15050.2</v>
          </cell>
          <cell r="H231">
            <v>-750</v>
          </cell>
          <cell r="I231">
            <v>-1590</v>
          </cell>
          <cell r="J231">
            <v>-710</v>
          </cell>
          <cell r="K231">
            <v>-50</v>
          </cell>
          <cell r="L231">
            <v>-667</v>
          </cell>
          <cell r="M231">
            <v>-290</v>
          </cell>
          <cell r="N231">
            <v>-230</v>
          </cell>
          <cell r="O231">
            <v>-424</v>
          </cell>
          <cell r="P231">
            <v>-190</v>
          </cell>
          <cell r="Q231">
            <v>-1325</v>
          </cell>
          <cell r="R231">
            <v>-1830</v>
          </cell>
          <cell r="S231">
            <v>-1430</v>
          </cell>
          <cell r="T231">
            <v>-9486</v>
          </cell>
          <cell r="U231">
            <v>-355</v>
          </cell>
          <cell r="V231">
            <v>-1146.58</v>
          </cell>
          <cell r="W231">
            <v>-670.34</v>
          </cell>
          <cell r="X231">
            <v>-1292</v>
          </cell>
          <cell r="Y231">
            <v>2235.0500000000002</v>
          </cell>
          <cell r="Z231">
            <v>-1533.8</v>
          </cell>
          <cell r="AA231">
            <v>-2327.13</v>
          </cell>
          <cell r="AB231">
            <v>-367.99</v>
          </cell>
          <cell r="AC231">
            <v>-971.07</v>
          </cell>
          <cell r="AD231">
            <v>-1004</v>
          </cell>
          <cell r="AE231">
            <v>-206.06</v>
          </cell>
          <cell r="AF231">
            <v>-578.02</v>
          </cell>
          <cell r="AG231">
            <v>-8216.94</v>
          </cell>
          <cell r="AH231">
            <v>-1081</v>
          </cell>
          <cell r="AI231">
            <v>-866.88</v>
          </cell>
          <cell r="AJ231">
            <v>-538</v>
          </cell>
          <cell r="AK231">
            <v>-758.01</v>
          </cell>
          <cell r="AL231">
            <v>-2175.9</v>
          </cell>
          <cell r="AM231">
            <v>-85</v>
          </cell>
          <cell r="AN231">
            <v>-613.65</v>
          </cell>
          <cell r="AO231">
            <v>-1923.13</v>
          </cell>
          <cell r="AP231">
            <v>-2215.35</v>
          </cell>
          <cell r="AQ231">
            <v>-5923</v>
          </cell>
          <cell r="AR231">
            <v>-480</v>
          </cell>
          <cell r="AS231">
            <v>-435</v>
          </cell>
          <cell r="AT231">
            <v>-17094.919999999998</v>
          </cell>
          <cell r="AU231">
            <v>-1220</v>
          </cell>
          <cell r="AV231">
            <v>-1258.29</v>
          </cell>
          <cell r="AW231">
            <v>0</v>
          </cell>
          <cell r="AX231">
            <v>-680</v>
          </cell>
          <cell r="AY231">
            <v>0</v>
          </cell>
          <cell r="AZ231">
            <v>-2678.24</v>
          </cell>
          <cell r="BA231">
            <v>-130</v>
          </cell>
          <cell r="BB231">
            <v>-652.70000000000005</v>
          </cell>
          <cell r="BC231">
            <v>-7410</v>
          </cell>
          <cell r="BD231">
            <v>-730.41</v>
          </cell>
          <cell r="BE231">
            <v>-1610.02</v>
          </cell>
          <cell r="BF231">
            <v>0</v>
          </cell>
          <cell r="BG231">
            <v>-16369.66</v>
          </cell>
          <cell r="BH231">
            <v>-1375.2</v>
          </cell>
          <cell r="BI231">
            <v>-220</v>
          </cell>
          <cell r="BJ231">
            <v>-490</v>
          </cell>
          <cell r="BK231">
            <v>0</v>
          </cell>
          <cell r="BL231">
            <v>-219</v>
          </cell>
          <cell r="BM231">
            <v>-60</v>
          </cell>
          <cell r="BN231">
            <v>-645.28</v>
          </cell>
          <cell r="BO231">
            <v>-815.45</v>
          </cell>
          <cell r="BP231">
            <v>-1033.04</v>
          </cell>
          <cell r="BQ231">
            <v>-1069</v>
          </cell>
          <cell r="BR231">
            <v>0</v>
          </cell>
          <cell r="BS231">
            <v>-3547.5</v>
          </cell>
          <cell r="BT231">
            <v>-9474.4699999999993</v>
          </cell>
          <cell r="BU231">
            <v>-2498.62</v>
          </cell>
          <cell r="BV231">
            <v>-703.68</v>
          </cell>
          <cell r="BW231">
            <v>-3797.53</v>
          </cell>
          <cell r="BX231">
            <v>-2587.67</v>
          </cell>
          <cell r="BY231">
            <v>-1829.9</v>
          </cell>
          <cell r="BZ231">
            <v>-4750.4799999999996</v>
          </cell>
          <cell r="CA231">
            <v>-6529.37</v>
          </cell>
          <cell r="CE231">
            <v>-22697.25</v>
          </cell>
          <cell r="CG231">
            <v>0</v>
          </cell>
        </row>
        <row r="232">
          <cell r="A232" t="str">
            <v>4.2.1.1.06.00002</v>
          </cell>
          <cell r="B232" t="str">
            <v>MANUTENCAO DE VEICULOS - PECAS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-16029.92</v>
          </cell>
          <cell r="H232">
            <v>-1537.15</v>
          </cell>
          <cell r="I232">
            <v>-2068.17</v>
          </cell>
          <cell r="J232">
            <v>-13453.97</v>
          </cell>
          <cell r="K232">
            <v>-736</v>
          </cell>
          <cell r="L232">
            <v>-743.18</v>
          </cell>
          <cell r="M232">
            <v>-1167.93</v>
          </cell>
          <cell r="N232">
            <v>-1688</v>
          </cell>
          <cell r="O232">
            <v>-9069.77</v>
          </cell>
          <cell r="P232">
            <v>-428.5</v>
          </cell>
          <cell r="Q232">
            <v>-1819.1</v>
          </cell>
          <cell r="R232">
            <v>-918.16</v>
          </cell>
          <cell r="S232">
            <v>-2307.6</v>
          </cell>
          <cell r="T232">
            <v>-35937.53</v>
          </cell>
          <cell r="U232">
            <v>-319.8</v>
          </cell>
          <cell r="V232">
            <v>-2848.35</v>
          </cell>
          <cell r="W232">
            <v>-3290.85</v>
          </cell>
          <cell r="X232">
            <v>-3715.71</v>
          </cell>
          <cell r="Y232">
            <v>-61</v>
          </cell>
          <cell r="Z232">
            <v>-2138.9</v>
          </cell>
          <cell r="AA232">
            <v>-3092.35</v>
          </cell>
          <cell r="AB232">
            <v>-1221.31</v>
          </cell>
          <cell r="AC232">
            <v>-1733.78</v>
          </cell>
          <cell r="AD232">
            <v>-1531.5</v>
          </cell>
          <cell r="AE232">
            <v>-1717.5</v>
          </cell>
          <cell r="AF232">
            <v>-1544.65</v>
          </cell>
          <cell r="AG232">
            <v>-23215.7</v>
          </cell>
          <cell r="AH232">
            <v>-1612.65</v>
          </cell>
          <cell r="AI232">
            <v>-1445.05</v>
          </cell>
          <cell r="AJ232">
            <v>-2480.8000000000002</v>
          </cell>
          <cell r="AK232">
            <v>-360</v>
          </cell>
          <cell r="AL232">
            <v>-50</v>
          </cell>
          <cell r="AM232">
            <v>-1320.11</v>
          </cell>
          <cell r="AN232">
            <v>-812.36</v>
          </cell>
          <cell r="AO232">
            <v>-2811.6099999999997</v>
          </cell>
          <cell r="AP232">
            <v>-1163.8699999999999</v>
          </cell>
          <cell r="AQ232">
            <v>-2999</v>
          </cell>
          <cell r="AR232">
            <v>-620</v>
          </cell>
          <cell r="AS232">
            <v>155</v>
          </cell>
          <cell r="AT232">
            <v>-15520.449999999997</v>
          </cell>
          <cell r="AU232">
            <v>-396</v>
          </cell>
          <cell r="AV232">
            <v>-1195</v>
          </cell>
          <cell r="AW232">
            <v>0</v>
          </cell>
          <cell r="AX232">
            <v>-389</v>
          </cell>
          <cell r="AY232">
            <v>0</v>
          </cell>
          <cell r="AZ232">
            <v>-424.7</v>
          </cell>
          <cell r="BA232">
            <v>-1511</v>
          </cell>
          <cell r="BB232">
            <v>-328.26</v>
          </cell>
          <cell r="BC232">
            <v>-276</v>
          </cell>
          <cell r="BD232">
            <v>-222</v>
          </cell>
          <cell r="BE232">
            <v>0</v>
          </cell>
          <cell r="BF232">
            <v>0</v>
          </cell>
          <cell r="BG232">
            <v>-4741.96</v>
          </cell>
          <cell r="BH232">
            <v>0</v>
          </cell>
          <cell r="BI232">
            <v>0</v>
          </cell>
          <cell r="BJ232">
            <v>0</v>
          </cell>
          <cell r="BK232">
            <v>0</v>
          </cell>
          <cell r="BL232">
            <v>-580</v>
          </cell>
          <cell r="BM232">
            <v>-630.09</v>
          </cell>
          <cell r="BN232">
            <v>-110.89</v>
          </cell>
          <cell r="BO232">
            <v>-1800</v>
          </cell>
          <cell r="BP232">
            <v>0</v>
          </cell>
          <cell r="BQ232">
            <v>0</v>
          </cell>
          <cell r="BR232">
            <v>0</v>
          </cell>
          <cell r="BS232">
            <v>0</v>
          </cell>
          <cell r="BT232">
            <v>-3120.9800000000005</v>
          </cell>
          <cell r="BU232">
            <v>-480</v>
          </cell>
          <cell r="BV232">
            <v>0</v>
          </cell>
          <cell r="BW232">
            <v>-970.4</v>
          </cell>
          <cell r="BX232">
            <v>0</v>
          </cell>
          <cell r="BY232">
            <v>0</v>
          </cell>
          <cell r="BZ232">
            <v>0</v>
          </cell>
          <cell r="CA232">
            <v>0</v>
          </cell>
          <cell r="CE232">
            <v>-1450.4</v>
          </cell>
          <cell r="CG232">
            <v>0</v>
          </cell>
        </row>
        <row r="233">
          <cell r="A233" t="str">
            <v>4.2.1.1.06.00005</v>
          </cell>
          <cell r="B233" t="str">
            <v>MULTA TRANSITO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-4792.63</v>
          </cell>
          <cell r="H233">
            <v>-416.51</v>
          </cell>
          <cell r="I233">
            <v>-394.38</v>
          </cell>
          <cell r="J233">
            <v>-609.04999999999995</v>
          </cell>
          <cell r="K233">
            <v>-572.69000000000005</v>
          </cell>
          <cell r="L233">
            <v>-526.24</v>
          </cell>
          <cell r="M233">
            <v>-930.23</v>
          </cell>
          <cell r="N233">
            <v>-312.38</v>
          </cell>
          <cell r="O233">
            <v>-728.88</v>
          </cell>
          <cell r="P233">
            <v>-1052.01</v>
          </cell>
          <cell r="Q233">
            <v>665.75</v>
          </cell>
          <cell r="R233">
            <v>0</v>
          </cell>
          <cell r="S233">
            <v>-208.26</v>
          </cell>
          <cell r="T233">
            <v>-5084.88</v>
          </cell>
          <cell r="U233">
            <v>-598.72</v>
          </cell>
          <cell r="V233">
            <v>-1051.72</v>
          </cell>
          <cell r="W233">
            <v>-3388.64</v>
          </cell>
          <cell r="X233">
            <v>-932.44</v>
          </cell>
          <cell r="Y233">
            <v>-468.56</v>
          </cell>
          <cell r="Z233">
            <v>-208.25</v>
          </cell>
          <cell r="AA233">
            <v>-2163.09</v>
          </cell>
          <cell r="AB233">
            <v>-728.91</v>
          </cell>
          <cell r="AC233">
            <v>-1825.17</v>
          </cell>
          <cell r="AD233">
            <v>-827.79</v>
          </cell>
          <cell r="AE233">
            <v>-624.78</v>
          </cell>
          <cell r="AF233">
            <v>0</v>
          </cell>
          <cell r="AG233">
            <v>-12818.070000000002</v>
          </cell>
          <cell r="AH233">
            <v>-2355.83</v>
          </cell>
          <cell r="AI233">
            <v>0</v>
          </cell>
          <cell r="AJ233">
            <v>-1065.8499999999999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119.84</v>
          </cell>
          <cell r="AQ233">
            <v>250</v>
          </cell>
          <cell r="AR233">
            <v>250</v>
          </cell>
          <cell r="AS233">
            <v>-209.8</v>
          </cell>
          <cell r="AT233">
            <v>-3011.64</v>
          </cell>
          <cell r="AU233">
            <v>250</v>
          </cell>
          <cell r="AV233">
            <v>-62.360000000000014</v>
          </cell>
          <cell r="AW233">
            <v>-62.379999999999995</v>
          </cell>
          <cell r="AX233">
            <v>145.87</v>
          </cell>
          <cell r="AY233">
            <v>-312.39</v>
          </cell>
          <cell r="AZ233">
            <v>-1286.9100000000001</v>
          </cell>
          <cell r="BA233">
            <v>-468.57000000000005</v>
          </cell>
          <cell r="BB233">
            <v>0</v>
          </cell>
          <cell r="BC233">
            <v>-769.65999999999985</v>
          </cell>
          <cell r="BD233">
            <v>-2657.71</v>
          </cell>
          <cell r="BE233">
            <v>0</v>
          </cell>
          <cell r="BF233">
            <v>-104.13</v>
          </cell>
          <cell r="BG233">
            <v>-5328.2400000000007</v>
          </cell>
          <cell r="BH233">
            <v>-339.46</v>
          </cell>
          <cell r="BI233">
            <v>-723.82</v>
          </cell>
          <cell r="BJ233">
            <v>-455.54</v>
          </cell>
          <cell r="BK233">
            <v>-322.8</v>
          </cell>
          <cell r="BL233">
            <v>0</v>
          </cell>
          <cell r="BM233">
            <v>-1128.51</v>
          </cell>
          <cell r="BN233">
            <v>-286.33999999999997</v>
          </cell>
          <cell r="BO233">
            <v>0</v>
          </cell>
          <cell r="BP233">
            <v>-114.54</v>
          </cell>
          <cell r="BQ233">
            <v>-782.6</v>
          </cell>
          <cell r="BR233">
            <v>-1385.86</v>
          </cell>
          <cell r="BS233">
            <v>0</v>
          </cell>
          <cell r="BT233">
            <v>-5539.47</v>
          </cell>
          <cell r="BU233">
            <v>-1068.22</v>
          </cell>
          <cell r="BV233">
            <v>-708.03</v>
          </cell>
          <cell r="BW233">
            <v>-1291.26</v>
          </cell>
          <cell r="BX233">
            <v>0</v>
          </cell>
          <cell r="BY233">
            <v>0</v>
          </cell>
          <cell r="BZ233">
            <v>0</v>
          </cell>
          <cell r="CA233">
            <v>-1382.13</v>
          </cell>
          <cell r="CE233">
            <v>-4449.6400000000003</v>
          </cell>
          <cell r="CG233">
            <v>0</v>
          </cell>
        </row>
        <row r="234">
          <cell r="A234" t="str">
            <v>4.2.1.1.90</v>
          </cell>
          <cell r="B234" t="str">
            <v>OUTROS DESPESAS COM VENDAS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-72032.67</v>
          </cell>
          <cell r="H234">
            <v>-677.81</v>
          </cell>
          <cell r="I234">
            <v>-1060.3499999999999</v>
          </cell>
          <cell r="J234">
            <v>-2397.02</v>
          </cell>
          <cell r="K234">
            <v>-4206.24</v>
          </cell>
          <cell r="L234">
            <v>43104.15</v>
          </cell>
          <cell r="M234">
            <v>-3603.64</v>
          </cell>
          <cell r="N234">
            <v>952.02</v>
          </cell>
          <cell r="O234">
            <v>-1998.5</v>
          </cell>
          <cell r="P234">
            <v>-41375.11</v>
          </cell>
          <cell r="Q234">
            <v>-29574.71</v>
          </cell>
          <cell r="R234">
            <v>-37520.49</v>
          </cell>
          <cell r="S234">
            <v>-33403.440000000002</v>
          </cell>
          <cell r="T234">
            <v>-111761.13999999998</v>
          </cell>
          <cell r="U234">
            <v>-44106.05</v>
          </cell>
          <cell r="V234">
            <v>-35581.870000000003</v>
          </cell>
          <cell r="W234">
            <v>-35635.019999999997</v>
          </cell>
          <cell r="X234">
            <v>-40224.86</v>
          </cell>
          <cell r="Y234">
            <v>-35152.39</v>
          </cell>
          <cell r="Z234">
            <v>-39594.82</v>
          </cell>
          <cell r="AA234">
            <v>-40686.300000000003</v>
          </cell>
          <cell r="AB234">
            <v>5498.49</v>
          </cell>
          <cell r="AC234">
            <v>-11700.88</v>
          </cell>
          <cell r="AD234">
            <v>-10928.21</v>
          </cell>
          <cell r="AE234">
            <v>-18657.59</v>
          </cell>
          <cell r="AF234">
            <v>-3780.41</v>
          </cell>
          <cell r="AG234">
            <v>-310549.91000000003</v>
          </cell>
          <cell r="AH234">
            <v>-10173.52</v>
          </cell>
          <cell r="AI234">
            <v>-8217.25</v>
          </cell>
          <cell r="AJ234">
            <v>-7861.73</v>
          </cell>
          <cell r="AK234">
            <v>-3772.02</v>
          </cell>
          <cell r="AL234">
            <v>-9294.2900000000009</v>
          </cell>
          <cell r="AM234">
            <v>-12807.82</v>
          </cell>
          <cell r="AN234">
            <v>-6904.4</v>
          </cell>
          <cell r="AO234">
            <v>-7435.41</v>
          </cell>
          <cell r="AP234">
            <v>-17151.060000000001</v>
          </cell>
          <cell r="AQ234">
            <v>-25318.12</v>
          </cell>
          <cell r="AR234">
            <v>-30032.42</v>
          </cell>
          <cell r="AS234">
            <v>-4183.5600000000004</v>
          </cell>
          <cell r="AT234">
            <v>-143151.59999999998</v>
          </cell>
          <cell r="AU234">
            <v>-4115.6400000000003</v>
          </cell>
          <cell r="AV234">
            <v>-2791.79</v>
          </cell>
          <cell r="AW234">
            <v>-22037.75</v>
          </cell>
          <cell r="AX234">
            <v>-2890.02</v>
          </cell>
          <cell r="AY234">
            <v>-6584.34</v>
          </cell>
          <cell r="AZ234">
            <v>-3541.44</v>
          </cell>
          <cell r="BA234">
            <v>-9953.4500000000007</v>
          </cell>
          <cell r="BB234">
            <v>-2839.54</v>
          </cell>
          <cell r="BC234">
            <v>-10922.12</v>
          </cell>
          <cell r="BD234">
            <v>-8469.2099999999991</v>
          </cell>
          <cell r="BE234">
            <v>-18207.18</v>
          </cell>
          <cell r="BF234">
            <v>-4401.66</v>
          </cell>
          <cell r="BG234">
            <v>-96754.140000000014</v>
          </cell>
          <cell r="BH234">
            <v>-66566.789999999994</v>
          </cell>
          <cell r="BI234">
            <v>-58191.45</v>
          </cell>
          <cell r="BJ234">
            <v>-77668.990000000005</v>
          </cell>
          <cell r="BK234">
            <v>-89663.07</v>
          </cell>
          <cell r="BL234">
            <v>-117127.46</v>
          </cell>
          <cell r="BM234">
            <v>-119398.08</v>
          </cell>
          <cell r="BN234">
            <v>-104041.56</v>
          </cell>
          <cell r="BO234">
            <v>-117576.96000000001</v>
          </cell>
          <cell r="BP234">
            <v>-83122.179999999993</v>
          </cell>
          <cell r="BQ234">
            <v>-83117.17</v>
          </cell>
          <cell r="BR234">
            <v>-94170.35</v>
          </cell>
          <cell r="BS234">
            <v>-170211.82</v>
          </cell>
          <cell r="BT234">
            <v>-1180855.8799999999</v>
          </cell>
          <cell r="BU234">
            <v>-37836.31</v>
          </cell>
          <cell r="BV234">
            <v>-183012.93</v>
          </cell>
          <cell r="BW234">
            <v>-62539.02</v>
          </cell>
          <cell r="BX234">
            <v>-79169.090000000011</v>
          </cell>
          <cell r="BY234">
            <v>-77190.48</v>
          </cell>
          <cell r="BZ234">
            <v>-100761.66</v>
          </cell>
          <cell r="CA234">
            <v>-167226.1</v>
          </cell>
          <cell r="CE234">
            <v>-707735.59</v>
          </cell>
          <cell r="CG234">
            <v>0</v>
          </cell>
        </row>
        <row r="235">
          <cell r="A235" t="str">
            <v>4.2.1.1.90.00001</v>
          </cell>
          <cell r="B235" t="str">
            <v>DUPLICATAS INCOBRAVES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  <cell r="BP235">
            <v>0</v>
          </cell>
          <cell r="BQ235">
            <v>0</v>
          </cell>
          <cell r="BR235">
            <v>0</v>
          </cell>
          <cell r="BS235">
            <v>0</v>
          </cell>
          <cell r="BT235">
            <v>0</v>
          </cell>
          <cell r="BU235">
            <v>0</v>
          </cell>
          <cell r="BV235">
            <v>0</v>
          </cell>
          <cell r="BW235">
            <v>0</v>
          </cell>
          <cell r="BX235">
            <v>0</v>
          </cell>
          <cell r="BY235">
            <v>0</v>
          </cell>
          <cell r="BZ235">
            <v>-29000</v>
          </cell>
          <cell r="CA235">
            <v>0</v>
          </cell>
          <cell r="CE235">
            <v>-29000</v>
          </cell>
          <cell r="CG235">
            <v>0</v>
          </cell>
        </row>
        <row r="236">
          <cell r="A236" t="str">
            <v>4.2.1.1.90.00009</v>
          </cell>
          <cell r="B236" t="str">
            <v>outros serviços pj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-14949.52</v>
          </cell>
          <cell r="H236">
            <v>-434.03</v>
          </cell>
          <cell r="I236">
            <v>-426.9</v>
          </cell>
          <cell r="J236">
            <v>0</v>
          </cell>
          <cell r="K236">
            <v>-1250.0899999999999</v>
          </cell>
          <cell r="L236">
            <v>-1981.79</v>
          </cell>
          <cell r="M236">
            <v>-1171.6500000000001</v>
          </cell>
          <cell r="N236">
            <v>-657.98</v>
          </cell>
          <cell r="O236">
            <v>-672.78</v>
          </cell>
          <cell r="P236">
            <v>-7482.69</v>
          </cell>
          <cell r="Q236">
            <v>-8159.72</v>
          </cell>
          <cell r="R236">
            <v>-4602.76</v>
          </cell>
          <cell r="S236">
            <v>-933.5</v>
          </cell>
          <cell r="T236">
            <v>-27773.89</v>
          </cell>
          <cell r="U236">
            <v>-11722.63</v>
          </cell>
          <cell r="V236">
            <v>-943.08</v>
          </cell>
          <cell r="W236">
            <v>-905</v>
          </cell>
          <cell r="X236">
            <v>-3549.7</v>
          </cell>
          <cell r="Y236">
            <v>-560</v>
          </cell>
          <cell r="Z236">
            <v>-7007.96</v>
          </cell>
          <cell r="AA236">
            <v>-2905</v>
          </cell>
          <cell r="AB236">
            <v>-2777.96</v>
          </cell>
          <cell r="AC236">
            <v>-10800</v>
          </cell>
          <cell r="AD236">
            <v>-5577.46</v>
          </cell>
          <cell r="AE236">
            <v>-3997.47</v>
          </cell>
          <cell r="AF236">
            <v>-1232.6099999999999</v>
          </cell>
          <cell r="AG236">
            <v>-51978.87</v>
          </cell>
          <cell r="AH236">
            <v>-4648.45</v>
          </cell>
          <cell r="AI236">
            <v>-3728.16</v>
          </cell>
          <cell r="AJ236">
            <v>-6167.73</v>
          </cell>
          <cell r="AK236">
            <v>-3040</v>
          </cell>
          <cell r="AL236">
            <v>-4453.16</v>
          </cell>
          <cell r="AM236">
            <v>-6455.38</v>
          </cell>
          <cell r="AN236">
            <v>-5130.01</v>
          </cell>
          <cell r="AO236">
            <v>-1814.19</v>
          </cell>
          <cell r="AP236">
            <v>-6955.62</v>
          </cell>
          <cell r="AQ236">
            <v>-22278.41</v>
          </cell>
          <cell r="AR236">
            <v>-17646.490000000002</v>
          </cell>
          <cell r="AS236">
            <v>-1302.57</v>
          </cell>
          <cell r="AT236">
            <v>-83620.170000000013</v>
          </cell>
          <cell r="AU236">
            <v>-1169.1199999999999</v>
          </cell>
          <cell r="AV236">
            <v>-1769.45</v>
          </cell>
          <cell r="AW236">
            <v>-2745.28</v>
          </cell>
          <cell r="AX236">
            <v>-1130.2</v>
          </cell>
          <cell r="AY236">
            <v>-5640</v>
          </cell>
          <cell r="AZ236">
            <v>-903.28</v>
          </cell>
          <cell r="BA236">
            <v>-3733.28</v>
          </cell>
          <cell r="BB236">
            <v>-1153.28</v>
          </cell>
          <cell r="BC236">
            <v>-4282.59</v>
          </cell>
          <cell r="BD236">
            <v>-2460.61</v>
          </cell>
          <cell r="BE236">
            <v>-7254.04</v>
          </cell>
          <cell r="BF236">
            <v>-1693.78</v>
          </cell>
          <cell r="BG236">
            <v>-33934.910000000003</v>
          </cell>
          <cell r="BH236">
            <v>-65337.78</v>
          </cell>
          <cell r="BI236">
            <v>-52631.21</v>
          </cell>
          <cell r="BJ236">
            <v>-71790</v>
          </cell>
          <cell r="BK236">
            <v>-79472.77</v>
          </cell>
          <cell r="BL236">
            <v>-114352.8</v>
          </cell>
          <cell r="BM236">
            <v>-116389.65</v>
          </cell>
          <cell r="BN236">
            <v>-75425.100000000006</v>
          </cell>
          <cell r="BO236">
            <v>-114449.92</v>
          </cell>
          <cell r="BP236">
            <v>-74298.14</v>
          </cell>
          <cell r="BQ236">
            <v>-77617.440000000002</v>
          </cell>
          <cell r="BR236">
            <v>-91165.56</v>
          </cell>
          <cell r="BS236">
            <v>-164402.16</v>
          </cell>
          <cell r="BT236">
            <v>-1097332.53</v>
          </cell>
          <cell r="BU236">
            <v>-31635.19</v>
          </cell>
          <cell r="BV236">
            <v>-176510.34</v>
          </cell>
          <cell r="BW236">
            <v>-56553.120000000003</v>
          </cell>
          <cell r="BX236">
            <v>-70589.47</v>
          </cell>
          <cell r="BY236">
            <v>-58309.65</v>
          </cell>
          <cell r="BZ236">
            <v>-51619.12</v>
          </cell>
          <cell r="CA236">
            <v>-141532.54999999999</v>
          </cell>
          <cell r="CE236">
            <v>-586749.43999999994</v>
          </cell>
          <cell r="CG236">
            <v>0</v>
          </cell>
        </row>
        <row r="237">
          <cell r="A237" t="str">
            <v>4.2.1.1.90.00020</v>
          </cell>
          <cell r="B237" t="str">
            <v>doação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-7348.84</v>
          </cell>
          <cell r="H237">
            <v>-243.78</v>
          </cell>
          <cell r="I237">
            <v>-633.45000000000005</v>
          </cell>
          <cell r="J237">
            <v>-2397.02</v>
          </cell>
          <cell r="K237">
            <v>-2956.15</v>
          </cell>
          <cell r="L237">
            <v>-2504.67</v>
          </cell>
          <cell r="M237">
            <v>-2431.9899999999998</v>
          </cell>
          <cell r="N237">
            <v>-294.04000000000002</v>
          </cell>
          <cell r="O237">
            <v>-1325.72</v>
          </cell>
          <cell r="P237">
            <v>-3135.78</v>
          </cell>
          <cell r="Q237">
            <v>-4768.93</v>
          </cell>
          <cell r="R237">
            <v>-593.25</v>
          </cell>
          <cell r="S237">
            <v>-145.46</v>
          </cell>
          <cell r="T237">
            <v>-21430.239999999998</v>
          </cell>
          <cell r="U237">
            <v>-58.94</v>
          </cell>
          <cell r="V237">
            <v>-2314.31</v>
          </cell>
          <cell r="W237">
            <v>-2405.54</v>
          </cell>
          <cell r="X237">
            <v>-4350.68</v>
          </cell>
          <cell r="Y237">
            <v>-2267.91</v>
          </cell>
          <cell r="Z237">
            <v>-262.38</v>
          </cell>
          <cell r="AA237">
            <v>-5456.82</v>
          </cell>
          <cell r="AB237">
            <v>-2720.55</v>
          </cell>
          <cell r="AC237">
            <v>-900.88</v>
          </cell>
          <cell r="AD237">
            <v>-5350.75</v>
          </cell>
          <cell r="AE237">
            <v>-14660.12</v>
          </cell>
          <cell r="AF237">
            <v>-2547.8000000000002</v>
          </cell>
          <cell r="AG237">
            <v>-43296.680000000008</v>
          </cell>
          <cell r="AH237">
            <v>-5525.07</v>
          </cell>
          <cell r="AI237">
            <v>-4489.09</v>
          </cell>
          <cell r="AJ237">
            <v>-1694</v>
          </cell>
          <cell r="AK237">
            <v>-732.02</v>
          </cell>
          <cell r="AL237">
            <v>-4841.13</v>
          </cell>
          <cell r="AM237">
            <v>-6352.44</v>
          </cell>
          <cell r="AN237">
            <v>-1774.39</v>
          </cell>
          <cell r="AO237">
            <v>-5621.22</v>
          </cell>
          <cell r="AP237">
            <v>-10195.44</v>
          </cell>
          <cell r="AQ237">
            <v>-3039.71</v>
          </cell>
          <cell r="AR237">
            <v>-12385.93</v>
          </cell>
          <cell r="AS237">
            <v>-2880.99</v>
          </cell>
          <cell r="AT237">
            <v>-59531.43</v>
          </cell>
          <cell r="AU237">
            <v>-2946.52</v>
          </cell>
          <cell r="AV237">
            <v>-1022.34</v>
          </cell>
          <cell r="AW237">
            <v>-4142.3999999999996</v>
          </cell>
          <cell r="AX237">
            <v>-1759.82</v>
          </cell>
          <cell r="AY237">
            <v>-944.34</v>
          </cell>
          <cell r="AZ237">
            <v>-2638.16</v>
          </cell>
          <cell r="BA237">
            <v>-6220.17</v>
          </cell>
          <cell r="BB237">
            <v>-1686.26</v>
          </cell>
          <cell r="BC237">
            <v>-6639.53</v>
          </cell>
          <cell r="BD237">
            <v>-6008.6</v>
          </cell>
          <cell r="BE237">
            <v>-10953.14</v>
          </cell>
          <cell r="BF237">
            <v>-2707.88</v>
          </cell>
          <cell r="BG237">
            <v>-47669.159999999996</v>
          </cell>
          <cell r="BH237">
            <v>-1229.01</v>
          </cell>
          <cell r="BI237">
            <v>-5560.24</v>
          </cell>
          <cell r="BJ237">
            <v>-5878.99</v>
          </cell>
          <cell r="BK237">
            <v>-10190.299999999999</v>
          </cell>
          <cell r="BL237">
            <v>-2774.66</v>
          </cell>
          <cell r="BM237">
            <v>-3008.43</v>
          </cell>
          <cell r="BN237">
            <v>-28616.46</v>
          </cell>
          <cell r="BO237">
            <v>-3127.04</v>
          </cell>
          <cell r="BP237">
            <v>-8824.0400000000009</v>
          </cell>
          <cell r="BQ237">
            <v>-5499.73</v>
          </cell>
          <cell r="BR237">
            <v>-3004.79</v>
          </cell>
          <cell r="BS237">
            <v>-5809.66</v>
          </cell>
          <cell r="BT237">
            <v>-83523.349999999991</v>
          </cell>
          <cell r="BU237">
            <v>-6201.12</v>
          </cell>
          <cell r="BV237">
            <v>-6502.59</v>
          </cell>
          <cell r="BW237">
            <v>-5985.9</v>
          </cell>
          <cell r="BX237">
            <v>-8579.619999999999</v>
          </cell>
          <cell r="BY237">
            <v>-4043.98</v>
          </cell>
          <cell r="BZ237">
            <v>-5305.69</v>
          </cell>
          <cell r="CA237">
            <v>-7315.56</v>
          </cell>
          <cell r="CE237">
            <v>-43934.46</v>
          </cell>
          <cell r="CG237">
            <v>0</v>
          </cell>
        </row>
        <row r="238">
          <cell r="A238" t="str">
            <v>4.2.1.1.90.00090</v>
          </cell>
          <cell r="B238" t="str">
            <v>PROV P/CREDITO DE LIQUIDACAO DUVIDOSA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-49734.31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47590.61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47590.61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  <cell r="BP238">
            <v>0</v>
          </cell>
          <cell r="BQ238">
            <v>0</v>
          </cell>
          <cell r="BR238">
            <v>0</v>
          </cell>
          <cell r="BS238">
            <v>0</v>
          </cell>
          <cell r="BT238">
            <v>0</v>
          </cell>
          <cell r="BU238">
            <v>0</v>
          </cell>
          <cell r="BV238">
            <v>0</v>
          </cell>
          <cell r="BW238">
            <v>0</v>
          </cell>
          <cell r="BX238">
            <v>0</v>
          </cell>
          <cell r="BY238">
            <v>-14836.85</v>
          </cell>
          <cell r="BZ238">
            <v>-14836.85</v>
          </cell>
          <cell r="CA238">
            <v>-18377.990000000002</v>
          </cell>
          <cell r="CE238">
            <v>-48051.69</v>
          </cell>
          <cell r="CG238">
            <v>0</v>
          </cell>
        </row>
        <row r="239">
          <cell r="A239" t="str">
            <v>4.2.1.2</v>
          </cell>
          <cell r="B239" t="str">
            <v>DESPESAS ADMINSTRATIVAS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-1682562.53</v>
          </cell>
          <cell r="H239">
            <v>-152661.78</v>
          </cell>
          <cell r="I239">
            <v>-172964.87</v>
          </cell>
          <cell r="J239">
            <v>-162194.81</v>
          </cell>
          <cell r="K239">
            <v>-168228.46</v>
          </cell>
          <cell r="L239">
            <v>-193780.33</v>
          </cell>
          <cell r="M239">
            <v>-170981.97</v>
          </cell>
          <cell r="N239">
            <v>-245099.99</v>
          </cell>
          <cell r="O239">
            <v>-162039.26999999999</v>
          </cell>
          <cell r="P239">
            <v>-196102.71</v>
          </cell>
          <cell r="Q239">
            <v>-178817.78</v>
          </cell>
          <cell r="R239">
            <v>-187308.85</v>
          </cell>
          <cell r="S239">
            <v>-181926.69</v>
          </cell>
          <cell r="T239">
            <v>-2172107.5100000002</v>
          </cell>
          <cell r="U239">
            <v>-182892.15</v>
          </cell>
          <cell r="V239">
            <v>-193059.65</v>
          </cell>
          <cell r="W239">
            <v>-188799.37</v>
          </cell>
          <cell r="X239">
            <v>-170723.75</v>
          </cell>
          <cell r="Y239">
            <v>-183017.73</v>
          </cell>
          <cell r="Z239">
            <v>-178279.02</v>
          </cell>
          <cell r="AA239">
            <v>-204243.33</v>
          </cell>
          <cell r="AB239">
            <v>-168764.09</v>
          </cell>
          <cell r="AC239">
            <v>-194776.93</v>
          </cell>
          <cell r="AD239">
            <v>-192140.06</v>
          </cell>
          <cell r="AE239">
            <v>-183020.22</v>
          </cell>
          <cell r="AF239">
            <v>-171202.09999999998</v>
          </cell>
          <cell r="AG239">
            <v>-2210918.3999999999</v>
          </cell>
          <cell r="AH239">
            <v>-190426.2</v>
          </cell>
          <cell r="AI239">
            <v>-173025.44</v>
          </cell>
          <cell r="AJ239">
            <v>-211541.11000000002</v>
          </cell>
          <cell r="AK239">
            <v>-147303.45000000001</v>
          </cell>
          <cell r="AL239">
            <v>-152871.18</v>
          </cell>
          <cell r="AM239">
            <v>-200193.30000000002</v>
          </cell>
          <cell r="AN239">
            <v>-195040.27000000002</v>
          </cell>
          <cell r="AO239">
            <v>-208075.04</v>
          </cell>
          <cell r="AP239">
            <v>-232615.76</v>
          </cell>
          <cell r="AQ239">
            <v>-206294.89</v>
          </cell>
          <cell r="AR239">
            <v>-230605.9</v>
          </cell>
          <cell r="AS239">
            <v>-246998.16999999998</v>
          </cell>
          <cell r="AT239">
            <v>-2394990.71</v>
          </cell>
          <cell r="AU239">
            <v>-226677.62</v>
          </cell>
          <cell r="AV239">
            <v>-301131.44</v>
          </cell>
          <cell r="AW239">
            <v>-196780.42</v>
          </cell>
          <cell r="AX239">
            <v>-228920.22</v>
          </cell>
          <cell r="AY239">
            <v>-264164.51</v>
          </cell>
          <cell r="AZ239">
            <v>-316569.94999999995</v>
          </cell>
          <cell r="BA239">
            <v>-313758.08999999997</v>
          </cell>
          <cell r="BB239">
            <v>-303382.01</v>
          </cell>
          <cell r="BC239">
            <v>-272669.55</v>
          </cell>
          <cell r="BD239">
            <v>-391133.56</v>
          </cell>
          <cell r="BE239">
            <v>-353367.87</v>
          </cell>
          <cell r="BF239">
            <v>18873.849999999977</v>
          </cell>
          <cell r="BG239">
            <v>-3149681.3899999997</v>
          </cell>
          <cell r="BH239">
            <v>-279782.26</v>
          </cell>
          <cell r="BI239">
            <v>-386330.66000000003</v>
          </cell>
          <cell r="BJ239">
            <v>-332514.40999999997</v>
          </cell>
          <cell r="BK239">
            <v>-348232.69</v>
          </cell>
          <cell r="BL239">
            <v>-352915.18</v>
          </cell>
          <cell r="BM239">
            <v>-377121.65</v>
          </cell>
          <cell r="BN239">
            <v>-337772.11</v>
          </cell>
          <cell r="BO239">
            <v>-382550.49</v>
          </cell>
          <cell r="BP239">
            <v>-428226.55</v>
          </cell>
          <cell r="BQ239">
            <v>-383221.7</v>
          </cell>
          <cell r="BR239">
            <v>-332465.10000000003</v>
          </cell>
          <cell r="BS239">
            <v>-345237.75</v>
          </cell>
          <cell r="BT239">
            <v>-4286370.5500000007</v>
          </cell>
          <cell r="BU239">
            <v>-424537.05</v>
          </cell>
          <cell r="BV239">
            <v>-410686.61</v>
          </cell>
          <cell r="BW239">
            <v>-373702.18</v>
          </cell>
          <cell r="BX239">
            <v>-386378.52</v>
          </cell>
          <cell r="BY239">
            <v>-477965.24</v>
          </cell>
          <cell r="BZ239">
            <v>-395500.66000000003</v>
          </cell>
          <cell r="CA239">
            <v>-433504.06</v>
          </cell>
          <cell r="CE239">
            <v>-2902274.32</v>
          </cell>
          <cell r="CG239">
            <v>0</v>
          </cell>
        </row>
        <row r="240">
          <cell r="A240" t="str">
            <v>4.2.1.2.01</v>
          </cell>
          <cell r="B240" t="str">
            <v>DESPESAS COM PESSOAL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-197698.61</v>
          </cell>
          <cell r="H240">
            <v>-29364.639999999999</v>
          </cell>
          <cell r="I240">
            <v>-39098.86</v>
          </cell>
          <cell r="J240">
            <v>-37405.550000000003</v>
          </cell>
          <cell r="K240">
            <v>-37179.99</v>
          </cell>
          <cell r="L240">
            <v>-39418.490000000005</v>
          </cell>
          <cell r="M240">
            <v>-40795.990000000005</v>
          </cell>
          <cell r="N240">
            <v>-61023.93</v>
          </cell>
          <cell r="O240">
            <v>-33421.29</v>
          </cell>
          <cell r="P240">
            <v>-41328.33</v>
          </cell>
          <cell r="Q240">
            <v>-40692.31</v>
          </cell>
          <cell r="R240">
            <v>-45975.09</v>
          </cell>
          <cell r="S240">
            <v>-20727.509999999998</v>
          </cell>
          <cell r="T240">
            <v>-466431.98</v>
          </cell>
          <cell r="U240">
            <v>-53822.59</v>
          </cell>
          <cell r="V240">
            <v>-53218.47</v>
          </cell>
          <cell r="W240">
            <v>-41811.51</v>
          </cell>
          <cell r="X240">
            <v>-42550.09</v>
          </cell>
          <cell r="Y240">
            <v>-38524.51</v>
          </cell>
          <cell r="Z240">
            <v>-37509.32</v>
          </cell>
          <cell r="AA240">
            <v>-43079.31</v>
          </cell>
          <cell r="AB240">
            <v>-33376.730000000003</v>
          </cell>
          <cell r="AC240">
            <v>-47713.8</v>
          </cell>
          <cell r="AD240">
            <v>-21592.639999999999</v>
          </cell>
          <cell r="AE240">
            <v>-26279.31</v>
          </cell>
          <cell r="AF240">
            <v>-23158.129999999997</v>
          </cell>
          <cell r="AG240">
            <v>-462636.41</v>
          </cell>
          <cell r="AH240">
            <v>-31537.18</v>
          </cell>
          <cell r="AI240">
            <v>-25834.880000000001</v>
          </cell>
          <cell r="AJ240">
            <v>-25037.65</v>
          </cell>
          <cell r="AK240">
            <v>-18928.620000000003</v>
          </cell>
          <cell r="AL240">
            <v>-18742.810000000001</v>
          </cell>
          <cell r="AM240">
            <v>-35542.170000000006</v>
          </cell>
          <cell r="AN240">
            <v>-30360.07</v>
          </cell>
          <cell r="AO240">
            <v>-35531.81</v>
          </cell>
          <cell r="AP240">
            <v>-29452.799999999999</v>
          </cell>
          <cell r="AQ240">
            <v>-39683.86</v>
          </cell>
          <cell r="AR240">
            <v>-35757.269999999997</v>
          </cell>
          <cell r="AS240">
            <v>-50051.37</v>
          </cell>
          <cell r="AT240">
            <v>-376460.49</v>
          </cell>
          <cell r="AU240">
            <v>-40309.850000000006</v>
          </cell>
          <cell r="AV240">
            <v>-25967.48</v>
          </cell>
          <cell r="AW240">
            <v>-34000.239999999998</v>
          </cell>
          <cell r="AX240">
            <v>-38998.46</v>
          </cell>
          <cell r="AY240">
            <v>-48720.52</v>
          </cell>
          <cell r="AZ240">
            <v>-66059.430000000008</v>
          </cell>
          <cell r="BA240">
            <v>-39769.31</v>
          </cell>
          <cell r="BB240">
            <v>-40182.5</v>
          </cell>
          <cell r="BC240">
            <v>-45946.649999999994</v>
          </cell>
          <cell r="BD240">
            <v>-54251.39</v>
          </cell>
          <cell r="BE240">
            <v>-57687.1</v>
          </cell>
          <cell r="BF240">
            <v>-36701.409999999996</v>
          </cell>
          <cell r="BG240">
            <v>-528594.34</v>
          </cell>
          <cell r="BH240">
            <v>-56541.94</v>
          </cell>
          <cell r="BI240">
            <v>-74649.090000000011</v>
          </cell>
          <cell r="BJ240">
            <v>-69238.759999999995</v>
          </cell>
          <cell r="BK240">
            <v>-63976.08</v>
          </cell>
          <cell r="BL240">
            <v>-83783.759999999995</v>
          </cell>
          <cell r="BM240">
            <v>-72886.59</v>
          </cell>
          <cell r="BN240">
            <v>-71761.459999999992</v>
          </cell>
          <cell r="BO240">
            <v>-72409.62999999999</v>
          </cell>
          <cell r="BP240">
            <v>-75628.200000000012</v>
          </cell>
          <cell r="BQ240">
            <v>-74482.59</v>
          </cell>
          <cell r="BR240">
            <v>-63843.89</v>
          </cell>
          <cell r="BS240">
            <v>-61242.55</v>
          </cell>
          <cell r="BT240">
            <v>-840444.54</v>
          </cell>
          <cell r="BU240">
            <v>-69756.91</v>
          </cell>
          <cell r="BV240">
            <v>-71073.42</v>
          </cell>
          <cell r="BW240">
            <v>-75299.89</v>
          </cell>
          <cell r="BX240">
            <v>-63266.3</v>
          </cell>
          <cell r="BY240">
            <v>-87886.36</v>
          </cell>
          <cell r="BZ240">
            <v>-106311.29000000001</v>
          </cell>
          <cell r="CA240">
            <v>-111479.84</v>
          </cell>
          <cell r="CE240">
            <v>-585074.01</v>
          </cell>
          <cell r="CG240">
            <v>0</v>
          </cell>
        </row>
        <row r="241">
          <cell r="A241" t="str">
            <v>4.2.1.2.01.00015</v>
          </cell>
          <cell r="B241" t="str">
            <v>FORMACAO PROFISSIONAL EMPREGADOS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-8294.4599999999991</v>
          </cell>
          <cell r="H241">
            <v>0</v>
          </cell>
          <cell r="I241">
            <v>-715.81</v>
          </cell>
          <cell r="J241">
            <v>-715.81</v>
          </cell>
          <cell r="K241">
            <v>-715.81</v>
          </cell>
          <cell r="L241">
            <v>-1260.81</v>
          </cell>
          <cell r="M241">
            <v>-715.81</v>
          </cell>
          <cell r="N241">
            <v>-1539.18</v>
          </cell>
          <cell r="O241">
            <v>-1260.81</v>
          </cell>
          <cell r="P241">
            <v>-825.18</v>
          </cell>
          <cell r="Q241">
            <v>-1372.03</v>
          </cell>
          <cell r="R241">
            <v>-715.81</v>
          </cell>
          <cell r="S241">
            <v>-1043.92</v>
          </cell>
          <cell r="T241">
            <v>-10880.98</v>
          </cell>
          <cell r="U241">
            <v>-994.18</v>
          </cell>
          <cell r="V241">
            <v>-947.64</v>
          </cell>
          <cell r="W241">
            <v>-1142.01</v>
          </cell>
          <cell r="X241">
            <v>-770.86</v>
          </cell>
          <cell r="Y241">
            <v>-800.24</v>
          </cell>
          <cell r="Z241">
            <v>0</v>
          </cell>
          <cell r="AA241">
            <v>-1236.7</v>
          </cell>
          <cell r="AB241">
            <v>-367.41</v>
          </cell>
          <cell r="AC241">
            <v>0</v>
          </cell>
          <cell r="AD241">
            <v>-1429.03</v>
          </cell>
          <cell r="AE241">
            <v>-1049.25</v>
          </cell>
          <cell r="AF241">
            <v>-489.89</v>
          </cell>
          <cell r="AG241">
            <v>-9227.2099999999991</v>
          </cell>
          <cell r="AH241">
            <v>-600</v>
          </cell>
          <cell r="AI241">
            <v>-819.45</v>
          </cell>
          <cell r="AJ241">
            <v>-479.2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-1898.65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0</v>
          </cell>
          <cell r="BL241">
            <v>0</v>
          </cell>
          <cell r="BM241">
            <v>0</v>
          </cell>
          <cell r="BN241">
            <v>0</v>
          </cell>
          <cell r="BO241">
            <v>0</v>
          </cell>
          <cell r="BP241">
            <v>0</v>
          </cell>
          <cell r="BQ241">
            <v>0</v>
          </cell>
          <cell r="BR241">
            <v>0</v>
          </cell>
          <cell r="BS241">
            <v>0</v>
          </cell>
          <cell r="BT241">
            <v>0</v>
          </cell>
          <cell r="BU241">
            <v>0</v>
          </cell>
          <cell r="BV241">
            <v>0</v>
          </cell>
          <cell r="BW241">
            <v>0</v>
          </cell>
          <cell r="BX241">
            <v>0</v>
          </cell>
          <cell r="BY241">
            <v>-335.6</v>
          </cell>
          <cell r="BZ241">
            <v>0</v>
          </cell>
          <cell r="CA241">
            <v>-440</v>
          </cell>
          <cell r="CE241">
            <v>-775.6</v>
          </cell>
          <cell r="CG241">
            <v>0</v>
          </cell>
        </row>
        <row r="242">
          <cell r="A242" t="str">
            <v>4.2.1.2.02</v>
          </cell>
          <cell r="B242" t="str">
            <v>SERVICOS PROFISSIONAIS E CONTRATADOS PJ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-338234.96</v>
          </cell>
          <cell r="H242">
            <v>-32894.69</v>
          </cell>
          <cell r="I242">
            <v>-38467.99</v>
          </cell>
          <cell r="J242">
            <v>-30620.2</v>
          </cell>
          <cell r="K242">
            <v>-32200.859999999997</v>
          </cell>
          <cell r="L242">
            <v>-35783.25</v>
          </cell>
          <cell r="M242">
            <v>-33649.97</v>
          </cell>
          <cell r="N242">
            <v>-50930.83</v>
          </cell>
          <cell r="O242">
            <v>-33536.04</v>
          </cell>
          <cell r="P242">
            <v>-46087.199999999997</v>
          </cell>
          <cell r="Q242">
            <v>-40430.04</v>
          </cell>
          <cell r="R242">
            <v>-35766.29</v>
          </cell>
          <cell r="S242">
            <v>-35811.81</v>
          </cell>
          <cell r="T242">
            <v>-446179.16999999993</v>
          </cell>
          <cell r="U242">
            <v>-27877.88</v>
          </cell>
          <cell r="V242">
            <v>-32895.83</v>
          </cell>
          <cell r="W242">
            <v>-23315.43</v>
          </cell>
          <cell r="X242">
            <v>-26744.03</v>
          </cell>
          <cell r="Y242">
            <v>-28364.74</v>
          </cell>
          <cell r="Z242">
            <v>-32727.08</v>
          </cell>
          <cell r="AA242">
            <v>-43431.26</v>
          </cell>
          <cell r="AB242">
            <v>-21184.39</v>
          </cell>
          <cell r="AC242">
            <v>-34823.760000000002</v>
          </cell>
          <cell r="AD242">
            <v>-38909.89</v>
          </cell>
          <cell r="AE242">
            <v>-41865.120000000003</v>
          </cell>
          <cell r="AF242">
            <v>-30429.86</v>
          </cell>
          <cell r="AG242">
            <v>-382569.27</v>
          </cell>
          <cell r="AH242">
            <v>-41279.72</v>
          </cell>
          <cell r="AI242">
            <v>-26971.58</v>
          </cell>
          <cell r="AJ242">
            <v>-54362.67</v>
          </cell>
          <cell r="AK242">
            <v>-23732.22</v>
          </cell>
          <cell r="AL242">
            <v>-33356.39</v>
          </cell>
          <cell r="AM242">
            <v>-39580.559999999998</v>
          </cell>
          <cell r="AN242">
            <v>-40519.019999999997</v>
          </cell>
          <cell r="AO242">
            <v>-41526.01</v>
          </cell>
          <cell r="AP242">
            <v>-50058.74</v>
          </cell>
          <cell r="AQ242">
            <v>-34795.01</v>
          </cell>
          <cell r="AR242">
            <v>-53426.61</v>
          </cell>
          <cell r="AS242">
            <v>-49203.71</v>
          </cell>
          <cell r="AT242">
            <v>-488812.24</v>
          </cell>
          <cell r="AU242">
            <v>-46714</v>
          </cell>
          <cell r="AV242">
            <v>-122816.27</v>
          </cell>
          <cell r="AW242">
            <v>-30456.880000000001</v>
          </cell>
          <cell r="AX242">
            <v>-38441.550000000003</v>
          </cell>
          <cell r="AY242">
            <v>-33998.300000000003</v>
          </cell>
          <cell r="AZ242">
            <v>-58738.58</v>
          </cell>
          <cell r="BA242">
            <v>-60554.09</v>
          </cell>
          <cell r="BB242">
            <v>-66071.649999999994</v>
          </cell>
          <cell r="BC242">
            <v>-47378.99</v>
          </cell>
          <cell r="BD242">
            <v>-94441.21</v>
          </cell>
          <cell r="BE242">
            <v>-65569.55</v>
          </cell>
          <cell r="BF242">
            <v>-81344.820000000007</v>
          </cell>
          <cell r="BG242">
            <v>-746525.89000000013</v>
          </cell>
          <cell r="BH242">
            <v>-43723.27</v>
          </cell>
          <cell r="BI242">
            <v>-128172.74</v>
          </cell>
          <cell r="BJ242">
            <v>-84346.41</v>
          </cell>
          <cell r="BK242">
            <v>-81096.240000000005</v>
          </cell>
          <cell r="BL242">
            <v>-81283.42</v>
          </cell>
          <cell r="BM242">
            <v>-110663.67999999999</v>
          </cell>
          <cell r="BN242">
            <v>-74583.91</v>
          </cell>
          <cell r="BO242">
            <v>-121087.37</v>
          </cell>
          <cell r="BP242">
            <v>-93261.54</v>
          </cell>
          <cell r="BQ242">
            <v>-103167.1</v>
          </cell>
          <cell r="BR242">
            <v>-74899.149999999994</v>
          </cell>
          <cell r="BS242">
            <v>-78357.09</v>
          </cell>
          <cell r="BT242">
            <v>-1074641.9200000002</v>
          </cell>
          <cell r="BU242">
            <v>-130860.76</v>
          </cell>
          <cell r="BV242">
            <v>-107426.47</v>
          </cell>
          <cell r="BW242">
            <v>-90726.95</v>
          </cell>
          <cell r="BX242">
            <v>-73856.44</v>
          </cell>
          <cell r="BY242">
            <v>-90947.74</v>
          </cell>
          <cell r="BZ242">
            <v>-76283.55</v>
          </cell>
          <cell r="CA242">
            <v>-65057.56</v>
          </cell>
          <cell r="CE242">
            <v>-635159.47</v>
          </cell>
          <cell r="CG242">
            <v>0</v>
          </cell>
        </row>
        <row r="243">
          <cell r="A243" t="str">
            <v>4.2.1.2.02.00001</v>
          </cell>
          <cell r="B243" t="str">
            <v>ASSESSORIA ADVOCATICIA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-77761.05</v>
          </cell>
          <cell r="H243">
            <v>-3000</v>
          </cell>
          <cell r="I243">
            <v>-15446.12</v>
          </cell>
          <cell r="J243">
            <v>-12750</v>
          </cell>
          <cell r="K243">
            <v>-7764.69</v>
          </cell>
          <cell r="L243">
            <v>-10093.549999999999</v>
          </cell>
          <cell r="M243">
            <v>-3714.53</v>
          </cell>
          <cell r="N243">
            <v>-7000</v>
          </cell>
          <cell r="O243">
            <v>-3000</v>
          </cell>
          <cell r="P243">
            <v>-3000</v>
          </cell>
          <cell r="Q243">
            <v>-6000</v>
          </cell>
          <cell r="R243">
            <v>-4500</v>
          </cell>
          <cell r="S243">
            <v>-9842.07</v>
          </cell>
          <cell r="T243">
            <v>-86110.959999999992</v>
          </cell>
          <cell r="U243">
            <v>-4500</v>
          </cell>
          <cell r="V243">
            <v>0</v>
          </cell>
          <cell r="W243">
            <v>-4826.95</v>
          </cell>
          <cell r="X243">
            <v>-5074.2</v>
          </cell>
          <cell r="Y243">
            <v>-4500</v>
          </cell>
          <cell r="Z243">
            <v>-4500</v>
          </cell>
          <cell r="AA243">
            <v>-4837.3599999999997</v>
          </cell>
          <cell r="AB243">
            <v>-4726.97</v>
          </cell>
          <cell r="AC243">
            <v>-14500</v>
          </cell>
          <cell r="AD243">
            <v>-9500</v>
          </cell>
          <cell r="AE243">
            <v>-9500</v>
          </cell>
          <cell r="AF243">
            <v>-9000</v>
          </cell>
          <cell r="AG243">
            <v>-75465.48000000001</v>
          </cell>
          <cell r="AH243">
            <v>-4500</v>
          </cell>
          <cell r="AI243">
            <v>0</v>
          </cell>
          <cell r="AJ243">
            <v>-9023.5499999999993</v>
          </cell>
          <cell r="AK243">
            <v>-4704.1000000000004</v>
          </cell>
          <cell r="AL243">
            <v>-4500</v>
          </cell>
          <cell r="AM243">
            <v>-4525.8</v>
          </cell>
          <cell r="AN243">
            <v>-4500</v>
          </cell>
          <cell r="AO243">
            <v>-4500</v>
          </cell>
          <cell r="AP243">
            <v>-4500</v>
          </cell>
          <cell r="AQ243">
            <v>0</v>
          </cell>
          <cell r="AR243">
            <v>-19000</v>
          </cell>
          <cell r="AS243">
            <v>-4694.12</v>
          </cell>
          <cell r="AT243">
            <v>-64447.57</v>
          </cell>
          <cell r="AU243">
            <v>-4589.7</v>
          </cell>
          <cell r="AV243">
            <v>-4500</v>
          </cell>
          <cell r="AW243">
            <v>-4500</v>
          </cell>
          <cell r="AX243">
            <v>-5090.62</v>
          </cell>
          <cell r="AY243">
            <v>-4500</v>
          </cell>
          <cell r="AZ243">
            <v>-18985.240000000002</v>
          </cell>
          <cell r="BA243">
            <v>-19184.330000000002</v>
          </cell>
          <cell r="BB243">
            <v>-7712.26</v>
          </cell>
          <cell r="BC243">
            <v>-4500</v>
          </cell>
          <cell r="BD243">
            <v>-4500</v>
          </cell>
          <cell r="BE243">
            <v>-4700</v>
          </cell>
          <cell r="BF243">
            <v>-4731.1000000000004</v>
          </cell>
          <cell r="BG243">
            <v>-87493.25</v>
          </cell>
          <cell r="BH243">
            <v>-3959.91</v>
          </cell>
          <cell r="BI243">
            <v>-7500</v>
          </cell>
          <cell r="BJ243">
            <v>-3783.65</v>
          </cell>
          <cell r="BK243">
            <v>-3500</v>
          </cell>
          <cell r="BL243">
            <v>-12054.07</v>
          </cell>
          <cell r="BM243">
            <v>-8000</v>
          </cell>
          <cell r="BN243">
            <v>-11500</v>
          </cell>
          <cell r="BO243">
            <v>-11533.6</v>
          </cell>
          <cell r="BP243">
            <v>-11500</v>
          </cell>
          <cell r="BQ243">
            <v>-11500</v>
          </cell>
          <cell r="BR243">
            <v>-3538.76</v>
          </cell>
          <cell r="BS243">
            <v>-11500</v>
          </cell>
          <cell r="BT243">
            <v>-99869.989999999991</v>
          </cell>
          <cell r="BU243">
            <v>-11500</v>
          </cell>
          <cell r="BV243">
            <v>-11500</v>
          </cell>
          <cell r="BW243">
            <v>-11500</v>
          </cell>
          <cell r="BX243">
            <v>-8000</v>
          </cell>
          <cell r="BY243">
            <v>-3500</v>
          </cell>
          <cell r="BZ243">
            <v>-4061.7</v>
          </cell>
          <cell r="CA243">
            <v>-3500</v>
          </cell>
          <cell r="CE243">
            <v>-53561.7</v>
          </cell>
          <cell r="CG243">
            <v>0</v>
          </cell>
        </row>
        <row r="244">
          <cell r="A244" t="str">
            <v>4.2.1.2.02.00002</v>
          </cell>
          <cell r="B244" t="str">
            <v>ASSESSORIA CONTABIL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-65925</v>
          </cell>
          <cell r="H244">
            <v>-7060</v>
          </cell>
          <cell r="I244">
            <v>-560</v>
          </cell>
          <cell r="J244">
            <v>-7060</v>
          </cell>
          <cell r="K244">
            <v>-560</v>
          </cell>
          <cell r="L244">
            <v>-7060</v>
          </cell>
          <cell r="M244">
            <v>-560</v>
          </cell>
          <cell r="N244">
            <v>-560</v>
          </cell>
          <cell r="O244">
            <v>-560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-23980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-700</v>
          </cell>
          <cell r="BA244">
            <v>-700</v>
          </cell>
          <cell r="BB244">
            <v>-170</v>
          </cell>
          <cell r="BC244">
            <v>0</v>
          </cell>
          <cell r="BD244">
            <v>-450</v>
          </cell>
          <cell r="BE244">
            <v>-450</v>
          </cell>
          <cell r="BF244">
            <v>-450</v>
          </cell>
          <cell r="BG244">
            <v>-2920</v>
          </cell>
          <cell r="BH244">
            <v>-18150</v>
          </cell>
          <cell r="BI244">
            <v>-59880.6</v>
          </cell>
          <cell r="BJ244">
            <v>-13650</v>
          </cell>
          <cell r="BK244">
            <v>-17900</v>
          </cell>
          <cell r="BL244">
            <v>-16650</v>
          </cell>
          <cell r="BM244">
            <v>-30250</v>
          </cell>
          <cell r="BN244">
            <v>-15400</v>
          </cell>
          <cell r="BO244">
            <v>-15400</v>
          </cell>
          <cell r="BP244">
            <v>-15400</v>
          </cell>
          <cell r="BQ244">
            <v>-15400</v>
          </cell>
          <cell r="BR244">
            <v>-15400</v>
          </cell>
          <cell r="BS244">
            <v>-23294.74</v>
          </cell>
          <cell r="BT244">
            <v>-256775.34</v>
          </cell>
          <cell r="BU244">
            <v>-15467</v>
          </cell>
          <cell r="BV244">
            <v>-15467</v>
          </cell>
          <cell r="BW244">
            <v>-16769</v>
          </cell>
          <cell r="BX244">
            <v>-967</v>
          </cell>
          <cell r="BY244">
            <v>-981</v>
          </cell>
          <cell r="BZ244">
            <v>-981</v>
          </cell>
          <cell r="CA244">
            <v>-981</v>
          </cell>
          <cell r="CE244">
            <v>-51613</v>
          </cell>
          <cell r="CG244">
            <v>0</v>
          </cell>
        </row>
        <row r="245">
          <cell r="A245" t="str">
            <v>4.2.1.2.02.00003</v>
          </cell>
          <cell r="B245" t="str">
            <v>AUDITORIA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0</v>
          </cell>
          <cell r="BZ245">
            <v>0</v>
          </cell>
          <cell r="CA245">
            <v>0</v>
          </cell>
          <cell r="CE245">
            <v>0</v>
          </cell>
          <cell r="CG245">
            <v>0</v>
          </cell>
        </row>
        <row r="246">
          <cell r="A246" t="str">
            <v>4.2.1.2.02.00004</v>
          </cell>
          <cell r="B246" t="str">
            <v>FRETES - OUTROS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-644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-30.62</v>
          </cell>
          <cell r="T246">
            <v>-30.62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-880</v>
          </cell>
          <cell r="AF246">
            <v>-1080.5</v>
          </cell>
          <cell r="AG246">
            <v>-1960.5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-98.25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-353.32</v>
          </cell>
          <cell r="AT246">
            <v>-451.57</v>
          </cell>
          <cell r="AU246">
            <v>0</v>
          </cell>
          <cell r="AV246">
            <v>0</v>
          </cell>
          <cell r="AW246">
            <v>-250</v>
          </cell>
          <cell r="AX246">
            <v>0</v>
          </cell>
          <cell r="AY246">
            <v>-210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-460</v>
          </cell>
          <cell r="BH246">
            <v>0</v>
          </cell>
          <cell r="BI246">
            <v>-115.63</v>
          </cell>
          <cell r="BJ246">
            <v>-75.180000000000007</v>
          </cell>
          <cell r="BK246">
            <v>-151.28</v>
          </cell>
          <cell r="BL246">
            <v>0</v>
          </cell>
          <cell r="BM246">
            <v>-3000</v>
          </cell>
          <cell r="BN246">
            <v>0</v>
          </cell>
          <cell r="BO246">
            <v>-1600</v>
          </cell>
          <cell r="BP246">
            <v>-11209.6</v>
          </cell>
          <cell r="BQ246">
            <v>-117.1</v>
          </cell>
          <cell r="BR246">
            <v>-129</v>
          </cell>
          <cell r="BS246">
            <v>0</v>
          </cell>
          <cell r="BT246">
            <v>-16397.79</v>
          </cell>
          <cell r="BU246">
            <v>-142.52000000000001</v>
          </cell>
          <cell r="BV246">
            <v>0</v>
          </cell>
          <cell r="BW246">
            <v>0</v>
          </cell>
          <cell r="BX246">
            <v>-144.25</v>
          </cell>
          <cell r="BY246">
            <v>0</v>
          </cell>
          <cell r="BZ246">
            <v>0</v>
          </cell>
          <cell r="CA246">
            <v>0</v>
          </cell>
          <cell r="CE246">
            <v>-286.77</v>
          </cell>
          <cell r="CG246">
            <v>0</v>
          </cell>
        </row>
        <row r="247">
          <cell r="A247" t="str">
            <v>4.2.1.2.02.00005</v>
          </cell>
          <cell r="B247" t="str">
            <v>MANUTENCAO DE SOFTWARE/HARDWARE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-73926.37</v>
          </cell>
          <cell r="H247">
            <v>-10044.98</v>
          </cell>
          <cell r="I247">
            <v>-3748.76</v>
          </cell>
          <cell r="J247">
            <v>-4382.09</v>
          </cell>
          <cell r="K247">
            <v>-3908.76</v>
          </cell>
          <cell r="L247">
            <v>-4691.8900000000003</v>
          </cell>
          <cell r="M247">
            <v>-8616.83</v>
          </cell>
          <cell r="N247">
            <v>-9466.83</v>
          </cell>
          <cell r="O247">
            <v>-8616.83</v>
          </cell>
          <cell r="P247">
            <v>-9390.51</v>
          </cell>
          <cell r="Q247">
            <v>-8619.98</v>
          </cell>
          <cell r="R247">
            <v>-11211.9</v>
          </cell>
          <cell r="S247">
            <v>-10673.57</v>
          </cell>
          <cell r="T247">
            <v>-93372.93</v>
          </cell>
          <cell r="U247">
            <v>-8906.31</v>
          </cell>
          <cell r="V247">
            <v>-4392.62</v>
          </cell>
          <cell r="W247">
            <v>-3834.95</v>
          </cell>
          <cell r="X247">
            <v>-3834.95</v>
          </cell>
          <cell r="Y247">
            <v>-4215.8</v>
          </cell>
          <cell r="Z247">
            <v>-4279.1099999999997</v>
          </cell>
          <cell r="AA247">
            <v>-4169.1099999999997</v>
          </cell>
          <cell r="AB247">
            <v>-5429.11</v>
          </cell>
          <cell r="AC247">
            <v>-5429.11</v>
          </cell>
          <cell r="AD247">
            <v>-6366.67</v>
          </cell>
          <cell r="AE247">
            <v>-6366.67</v>
          </cell>
          <cell r="AF247">
            <v>-2156.06</v>
          </cell>
          <cell r="AG247">
            <v>-59380.469999999994</v>
          </cell>
          <cell r="AH247">
            <v>-5945.2</v>
          </cell>
          <cell r="AI247">
            <v>-4127.55</v>
          </cell>
          <cell r="AJ247">
            <v>-4127.55</v>
          </cell>
          <cell r="AK247">
            <v>-1497.61</v>
          </cell>
          <cell r="AL247">
            <v>-5123.71</v>
          </cell>
          <cell r="AM247">
            <v>-4841.3599999999997</v>
          </cell>
          <cell r="AN247">
            <v>-4552.8599999999997</v>
          </cell>
          <cell r="AO247">
            <v>-4159.1099999999997</v>
          </cell>
          <cell r="AP247">
            <v>-7085.4</v>
          </cell>
          <cell r="AQ247">
            <v>-5442.87</v>
          </cell>
          <cell r="AR247">
            <v>-5064.08</v>
          </cell>
          <cell r="AS247">
            <v>-5332.53</v>
          </cell>
          <cell r="AT247">
            <v>-57299.83</v>
          </cell>
          <cell r="AU247">
            <v>-5178.84</v>
          </cell>
          <cell r="AV247">
            <v>-635.41999999999996</v>
          </cell>
          <cell r="AW247">
            <v>-5957.68</v>
          </cell>
          <cell r="AX247">
            <v>-3252.64</v>
          </cell>
          <cell r="AY247">
            <v>-5204.12</v>
          </cell>
          <cell r="AZ247">
            <v>-3965.76</v>
          </cell>
          <cell r="BA247">
            <v>-4285.47</v>
          </cell>
          <cell r="BB247">
            <v>-4825.47</v>
          </cell>
          <cell r="BC247">
            <v>-6301.43</v>
          </cell>
          <cell r="BD247">
            <v>-5169.6499999999996</v>
          </cell>
          <cell r="BE247">
            <v>-11169.65</v>
          </cell>
          <cell r="BF247">
            <v>-4994.43</v>
          </cell>
          <cell r="BG247">
            <v>-60940.560000000005</v>
          </cell>
          <cell r="BH247">
            <v>-6394.43</v>
          </cell>
          <cell r="BI247">
            <v>-5003.4799999999996</v>
          </cell>
          <cell r="BJ247">
            <v>-4365.88</v>
          </cell>
          <cell r="BK247">
            <v>-4435.88</v>
          </cell>
          <cell r="BL247">
            <v>-4909.95</v>
          </cell>
          <cell r="BM247">
            <v>-5165.95</v>
          </cell>
          <cell r="BN247">
            <v>-4836.55</v>
          </cell>
          <cell r="BO247">
            <v>-4942.55</v>
          </cell>
          <cell r="BP247">
            <v>-5482.55</v>
          </cell>
          <cell r="BQ247">
            <v>-10063.89</v>
          </cell>
          <cell r="BR247">
            <v>-5279.64</v>
          </cell>
          <cell r="BS247">
            <v>-5856.81</v>
          </cell>
          <cell r="BT247">
            <v>-66737.560000000012</v>
          </cell>
          <cell r="BU247">
            <v>-6895.53</v>
          </cell>
          <cell r="BV247">
            <v>-1963.88</v>
          </cell>
          <cell r="BW247">
            <v>-20461.82</v>
          </cell>
          <cell r="BX247">
            <v>-4822.71</v>
          </cell>
          <cell r="BY247">
            <v>-14959.66</v>
          </cell>
          <cell r="BZ247">
            <v>-5195.91</v>
          </cell>
          <cell r="CA247">
            <v>-10953</v>
          </cell>
          <cell r="CE247">
            <v>-65252.510000000009</v>
          </cell>
          <cell r="CG247">
            <v>0</v>
          </cell>
        </row>
        <row r="248">
          <cell r="A248" t="str">
            <v>4.2.1.2.02.00006</v>
          </cell>
          <cell r="B248" t="str">
            <v>MANUTENCOES E REPAROS EQUIPTOS.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-870</v>
          </cell>
          <cell r="H248">
            <v>0</v>
          </cell>
          <cell r="I248">
            <v>-333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-333</v>
          </cell>
          <cell r="U248">
            <v>0</v>
          </cell>
          <cell r="V248">
            <v>0</v>
          </cell>
          <cell r="W248">
            <v>-748.66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-748.66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-70</v>
          </cell>
          <cell r="AW248">
            <v>-212.18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-130</v>
          </cell>
          <cell r="BE248">
            <v>0</v>
          </cell>
          <cell r="BF248">
            <v>-150</v>
          </cell>
          <cell r="BG248">
            <v>-562.18000000000006</v>
          </cell>
          <cell r="BH248">
            <v>0</v>
          </cell>
          <cell r="BI248">
            <v>-24.5</v>
          </cell>
          <cell r="BJ248">
            <v>-21.09</v>
          </cell>
          <cell r="BK248">
            <v>0</v>
          </cell>
          <cell r="BL248">
            <v>-15.9</v>
          </cell>
          <cell r="BM248">
            <v>0</v>
          </cell>
          <cell r="BN248">
            <v>-3365.05</v>
          </cell>
          <cell r="BO248">
            <v>-315</v>
          </cell>
          <cell r="BP248">
            <v>0</v>
          </cell>
          <cell r="BQ248">
            <v>0</v>
          </cell>
          <cell r="BR248">
            <v>-1106.9000000000001</v>
          </cell>
          <cell r="BS248">
            <v>-115</v>
          </cell>
          <cell r="BT248">
            <v>-4963.4400000000005</v>
          </cell>
          <cell r="BU248">
            <v>-160</v>
          </cell>
          <cell r="BV248">
            <v>-94.52</v>
          </cell>
          <cell r="BW248">
            <v>0</v>
          </cell>
          <cell r="BX248">
            <v>0</v>
          </cell>
          <cell r="BY248">
            <v>0</v>
          </cell>
          <cell r="BZ248">
            <v>0</v>
          </cell>
          <cell r="CA248">
            <v>0</v>
          </cell>
          <cell r="CE248">
            <v>-254.51999999999998</v>
          </cell>
          <cell r="CG248">
            <v>0</v>
          </cell>
        </row>
        <row r="249">
          <cell r="A249" t="str">
            <v>4.2.1.2.02.00008</v>
          </cell>
          <cell r="B249" t="str">
            <v>SEGURANCA E VIGILNCIA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-3812.6</v>
          </cell>
          <cell r="H249">
            <v>-243</v>
          </cell>
          <cell r="I249">
            <v>-163</v>
          </cell>
          <cell r="J249">
            <v>-163</v>
          </cell>
          <cell r="K249">
            <v>-283</v>
          </cell>
          <cell r="L249">
            <v>-163</v>
          </cell>
          <cell r="M249">
            <v>-163</v>
          </cell>
          <cell r="N249">
            <v>-163</v>
          </cell>
          <cell r="O249">
            <v>-283</v>
          </cell>
          <cell r="P249">
            <v>-163</v>
          </cell>
          <cell r="Q249">
            <v>-163</v>
          </cell>
          <cell r="R249">
            <v>-353</v>
          </cell>
          <cell r="S249">
            <v>-163</v>
          </cell>
          <cell r="T249">
            <v>-2466</v>
          </cell>
          <cell r="U249">
            <v>-163</v>
          </cell>
          <cell r="V249">
            <v>-163</v>
          </cell>
          <cell r="W249">
            <v>-163</v>
          </cell>
          <cell r="X249">
            <v>-413</v>
          </cell>
          <cell r="Y249">
            <v>-163</v>
          </cell>
          <cell r="Z249">
            <v>-163</v>
          </cell>
          <cell r="AA249">
            <v>-163</v>
          </cell>
          <cell r="AB249">
            <v>-543</v>
          </cell>
          <cell r="AC249">
            <v>-163</v>
          </cell>
          <cell r="AD249">
            <v>-163</v>
          </cell>
          <cell r="AE249">
            <v>-163</v>
          </cell>
          <cell r="AF249">
            <v>-163</v>
          </cell>
          <cell r="AG249">
            <v>-2586</v>
          </cell>
          <cell r="AH249">
            <v>-163</v>
          </cell>
          <cell r="AI249">
            <v>-163</v>
          </cell>
          <cell r="AJ249">
            <v>-163</v>
          </cell>
          <cell r="AK249">
            <v>-149</v>
          </cell>
          <cell r="AL249">
            <v>-179</v>
          </cell>
          <cell r="AM249">
            <v>-164</v>
          </cell>
          <cell r="AN249">
            <v>-644</v>
          </cell>
          <cell r="AO249">
            <v>-164</v>
          </cell>
          <cell r="AP249">
            <v>-164</v>
          </cell>
          <cell r="AQ249">
            <v>-164</v>
          </cell>
          <cell r="AR249">
            <v>-253.4</v>
          </cell>
          <cell r="AS249">
            <v>-834.76</v>
          </cell>
          <cell r="AT249">
            <v>-3205.16</v>
          </cell>
          <cell r="AU249">
            <v>-322.25</v>
          </cell>
          <cell r="AV249">
            <v>-322.20999999999998</v>
          </cell>
          <cell r="AW249">
            <v>-336.84</v>
          </cell>
          <cell r="AX249">
            <v>-341.78</v>
          </cell>
          <cell r="AY249">
            <v>-341.82</v>
          </cell>
          <cell r="AZ249">
            <v>-516.51</v>
          </cell>
          <cell r="BA249">
            <v>-1030.01</v>
          </cell>
          <cell r="BB249">
            <v>-3716.85</v>
          </cell>
          <cell r="BC249">
            <v>-517.12</v>
          </cell>
          <cell r="BD249">
            <v>-517.33000000000004</v>
          </cell>
          <cell r="BE249">
            <v>-1311.24</v>
          </cell>
          <cell r="BF249">
            <v>-717.34</v>
          </cell>
          <cell r="BG249">
            <v>-9991.3000000000011</v>
          </cell>
          <cell r="BH249">
            <v>-6773.36</v>
          </cell>
          <cell r="BI249">
            <v>-518.45000000000005</v>
          </cell>
          <cell r="BJ249">
            <v>-2048.38</v>
          </cell>
          <cell r="BK249">
            <v>-131.5</v>
          </cell>
          <cell r="BL249">
            <v>-615.08000000000004</v>
          </cell>
          <cell r="BM249">
            <v>-614.69000000000005</v>
          </cell>
          <cell r="BN249">
            <v>-614.51</v>
          </cell>
          <cell r="BO249">
            <v>-221.5</v>
          </cell>
          <cell r="BP249">
            <v>-614.76</v>
          </cell>
          <cell r="BQ249">
            <v>-614.52</v>
          </cell>
          <cell r="BR249">
            <v>-131.5</v>
          </cell>
          <cell r="BS249">
            <v>-517.58000000000004</v>
          </cell>
          <cell r="BT249">
            <v>-13415.83</v>
          </cell>
          <cell r="BU249">
            <v>-711.31</v>
          </cell>
          <cell r="BV249">
            <v>-579.19000000000005</v>
          </cell>
          <cell r="BW249">
            <v>-618.44000000000005</v>
          </cell>
          <cell r="BX249">
            <v>-2916.42</v>
          </cell>
          <cell r="BY249">
            <v>-2150.61</v>
          </cell>
          <cell r="BZ249">
            <v>-3541.85</v>
          </cell>
          <cell r="CA249">
            <v>-3148.92</v>
          </cell>
          <cell r="CE249">
            <v>-13666.740000000002</v>
          </cell>
          <cell r="CG249">
            <v>0</v>
          </cell>
        </row>
        <row r="250">
          <cell r="A250" t="str">
            <v>4.2.1.2.02.00009</v>
          </cell>
          <cell r="B250" t="str">
            <v>OUTROS SERVICOS PRESTA.POR PES.JURIDICA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-103201.43</v>
          </cell>
          <cell r="H250">
            <v>-10789.61</v>
          </cell>
          <cell r="I250">
            <v>-18217.11</v>
          </cell>
          <cell r="J250">
            <v>-6265.11</v>
          </cell>
          <cell r="K250">
            <v>-19684.41</v>
          </cell>
          <cell r="L250">
            <v>-10200.31</v>
          </cell>
          <cell r="M250">
            <v>-20595.61</v>
          </cell>
          <cell r="N250">
            <v>-31004</v>
          </cell>
          <cell r="O250">
            <v>-19708.509999999998</v>
          </cell>
          <cell r="P250">
            <v>-28401.81</v>
          </cell>
          <cell r="Q250">
            <v>-23066.74</v>
          </cell>
          <cell r="R250">
            <v>-19701.39</v>
          </cell>
          <cell r="S250">
            <v>-11125.03</v>
          </cell>
          <cell r="T250">
            <v>-218759.63999999998</v>
          </cell>
          <cell r="U250">
            <v>-10388.57</v>
          </cell>
          <cell r="V250">
            <v>-23035.77</v>
          </cell>
          <cell r="W250">
            <v>-13741.87</v>
          </cell>
          <cell r="X250">
            <v>-14726.52</v>
          </cell>
          <cell r="Y250">
            <v>-16790.580000000002</v>
          </cell>
          <cell r="Z250">
            <v>-20894.53</v>
          </cell>
          <cell r="AA250">
            <v>-31422.63</v>
          </cell>
          <cell r="AB250">
            <v>-7646.15</v>
          </cell>
          <cell r="AC250">
            <v>-11893.68</v>
          </cell>
          <cell r="AD250">
            <v>-20103.47</v>
          </cell>
          <cell r="AE250">
            <v>-17749.490000000002</v>
          </cell>
          <cell r="AF250">
            <v>-18030.3</v>
          </cell>
          <cell r="AG250">
            <v>-206423.55999999997</v>
          </cell>
          <cell r="AH250">
            <v>-23411.81</v>
          </cell>
          <cell r="AI250">
            <v>-22681.03</v>
          </cell>
          <cell r="AJ250">
            <v>-35219.58</v>
          </cell>
          <cell r="AK250">
            <v>-14757.81</v>
          </cell>
          <cell r="AL250">
            <v>-23553.68</v>
          </cell>
          <cell r="AM250">
            <v>-25291.759999999998</v>
          </cell>
          <cell r="AN250">
            <v>-28130.82</v>
          </cell>
          <cell r="AO250">
            <v>-32702.9</v>
          </cell>
          <cell r="AP250">
            <v>-31839.360000000001</v>
          </cell>
          <cell r="AQ250">
            <v>-29188.14</v>
          </cell>
          <cell r="AR250">
            <v>-25539.64</v>
          </cell>
          <cell r="AS250">
            <v>-26597.53</v>
          </cell>
          <cell r="AT250">
            <v>-318914.06000000006</v>
          </cell>
          <cell r="AU250">
            <v>-36623.21</v>
          </cell>
          <cell r="AV250">
            <v>-109614.46</v>
          </cell>
          <cell r="AW250">
            <v>-19200.18</v>
          </cell>
          <cell r="AX250">
            <v>-21279.53</v>
          </cell>
          <cell r="AY250">
            <v>-23742.36</v>
          </cell>
          <cell r="AZ250">
            <v>-30131.88</v>
          </cell>
          <cell r="BA250">
            <v>-30614.04</v>
          </cell>
          <cell r="BB250">
            <v>-39768.639999999999</v>
          </cell>
          <cell r="BC250">
            <v>-36060.44</v>
          </cell>
          <cell r="BD250">
            <v>-78357.41</v>
          </cell>
          <cell r="BE250">
            <v>-42621.84</v>
          </cell>
          <cell r="BF250">
            <v>-54009.77</v>
          </cell>
          <cell r="BG250">
            <v>-522023.76</v>
          </cell>
          <cell r="BH250">
            <v>-8445.57</v>
          </cell>
          <cell r="BI250">
            <v>-49560.34</v>
          </cell>
          <cell r="BJ250">
            <v>-54860.29</v>
          </cell>
          <cell r="BK250">
            <v>-49279.74</v>
          </cell>
          <cell r="BL250">
            <v>-47038.42</v>
          </cell>
          <cell r="BM250">
            <v>-57935.199999999997</v>
          </cell>
          <cell r="BN250">
            <v>-27692.560000000001</v>
          </cell>
          <cell r="BO250">
            <v>-87074.72</v>
          </cell>
          <cell r="BP250">
            <v>-42954.52</v>
          </cell>
          <cell r="BQ250">
            <v>-52668.61</v>
          </cell>
          <cell r="BR250">
            <v>-39011.17</v>
          </cell>
          <cell r="BS250">
            <v>-37072.959999999999</v>
          </cell>
          <cell r="BT250">
            <v>-553594.1</v>
          </cell>
          <cell r="BU250">
            <v>-85196.95</v>
          </cell>
          <cell r="BV250">
            <v>-71711.929999999993</v>
          </cell>
          <cell r="BW250">
            <v>-29138.11</v>
          </cell>
          <cell r="BX250">
            <v>-57006.06</v>
          </cell>
          <cell r="BY250">
            <v>-57319.09</v>
          </cell>
          <cell r="BZ250">
            <v>-56100.22</v>
          </cell>
          <cell r="CA250">
            <v>-46474.64</v>
          </cell>
          <cell r="CE250">
            <v>-402947</v>
          </cell>
          <cell r="CG250">
            <v>0</v>
          </cell>
        </row>
        <row r="251">
          <cell r="A251" t="str">
            <v>4.2.1.2.03</v>
          </cell>
          <cell r="B251" t="str">
            <v>DESPESAS COM OCUPACAO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-323510.18</v>
          </cell>
          <cell r="H251">
            <v>-25162.5</v>
          </cell>
          <cell r="I251">
            <v>-25402.5</v>
          </cell>
          <cell r="J251">
            <v>-25522.5</v>
          </cell>
          <cell r="K251">
            <v>-25602.5</v>
          </cell>
          <cell r="L251">
            <v>-25802.5</v>
          </cell>
          <cell r="M251">
            <v>-25192.5</v>
          </cell>
          <cell r="N251">
            <v>-25802.5</v>
          </cell>
          <cell r="O251">
            <v>-25562.5</v>
          </cell>
          <cell r="P251">
            <v>-27131.96</v>
          </cell>
          <cell r="Q251">
            <v>-25382.84</v>
          </cell>
          <cell r="R251">
            <v>-25926.14</v>
          </cell>
          <cell r="S251">
            <v>-50598.46</v>
          </cell>
          <cell r="T251">
            <v>-333089.40000000002</v>
          </cell>
          <cell r="U251">
            <v>-27062.84</v>
          </cell>
          <cell r="V251">
            <v>-34110</v>
          </cell>
          <cell r="W251">
            <v>-34378.400000000001</v>
          </cell>
          <cell r="X251">
            <v>-18177.16</v>
          </cell>
          <cell r="Y251">
            <v>-32535</v>
          </cell>
          <cell r="Z251">
            <v>-32455</v>
          </cell>
          <cell r="AA251">
            <v>-32455</v>
          </cell>
          <cell r="AB251">
            <v>-32190</v>
          </cell>
          <cell r="AC251">
            <v>-34126.160000000003</v>
          </cell>
          <cell r="AD251">
            <v>-33187.75</v>
          </cell>
          <cell r="AE251">
            <v>-33457.599999999999</v>
          </cell>
          <cell r="AF251">
            <v>-33466.99</v>
          </cell>
          <cell r="AG251">
            <v>-377601.89999999997</v>
          </cell>
          <cell r="AH251">
            <v>-33153.71</v>
          </cell>
          <cell r="AI251">
            <v>-32015.07</v>
          </cell>
          <cell r="AJ251">
            <v>-35535.07</v>
          </cell>
          <cell r="AK251">
            <v>-18771.37</v>
          </cell>
          <cell r="AL251">
            <v>-18690.990000000002</v>
          </cell>
          <cell r="AM251">
            <v>-19731.37</v>
          </cell>
          <cell r="AN251">
            <v>-31827.07</v>
          </cell>
          <cell r="AO251">
            <v>-33241.08</v>
          </cell>
          <cell r="AP251">
            <v>-33086.769999999997</v>
          </cell>
          <cell r="AQ251">
            <v>-32924.69</v>
          </cell>
          <cell r="AR251">
            <v>-32840.28</v>
          </cell>
          <cell r="AS251">
            <v>-37191</v>
          </cell>
          <cell r="AT251">
            <v>-359008.47</v>
          </cell>
          <cell r="AU251">
            <v>-32734.93</v>
          </cell>
          <cell r="AV251">
            <v>-33929.019999999997</v>
          </cell>
          <cell r="AW251">
            <v>-39224.730000000003</v>
          </cell>
          <cell r="AX251">
            <v>-39199.43</v>
          </cell>
          <cell r="AY251">
            <v>-54084.54</v>
          </cell>
          <cell r="AZ251">
            <v>-67533</v>
          </cell>
          <cell r="BA251">
            <v>-69043</v>
          </cell>
          <cell r="BB251">
            <v>-66589.399999999994</v>
          </cell>
          <cell r="BC251">
            <v>-71878.19</v>
          </cell>
          <cell r="BD251">
            <v>-74810.05</v>
          </cell>
          <cell r="BE251">
            <v>-71688.73</v>
          </cell>
          <cell r="BF251">
            <v>-82306.37</v>
          </cell>
          <cell r="BG251">
            <v>-703021.39</v>
          </cell>
          <cell r="BH251">
            <v>-67705.02</v>
          </cell>
          <cell r="BI251">
            <v>-71577.16</v>
          </cell>
          <cell r="BJ251">
            <v>-78102.66</v>
          </cell>
          <cell r="BK251">
            <v>-73113.5</v>
          </cell>
          <cell r="BL251">
            <v>-75378.87</v>
          </cell>
          <cell r="BM251">
            <v>-73228.41</v>
          </cell>
          <cell r="BN251">
            <v>-72710.820000000007</v>
          </cell>
          <cell r="BO251">
            <v>-74686.539999999994</v>
          </cell>
          <cell r="BP251">
            <v>-96498.31</v>
          </cell>
          <cell r="BQ251">
            <v>-75663.679999999993</v>
          </cell>
          <cell r="BR251">
            <v>-77686.929999999993</v>
          </cell>
          <cell r="BS251">
            <v>-81070.62</v>
          </cell>
          <cell r="BT251">
            <v>-917422.5199999999</v>
          </cell>
          <cell r="BU251">
            <v>-80423.7</v>
          </cell>
          <cell r="BV251">
            <v>-95448.84</v>
          </cell>
          <cell r="BW251">
            <v>-78897.38</v>
          </cell>
          <cell r="BX251">
            <v>-85009.14</v>
          </cell>
          <cell r="BY251">
            <v>-82142.94</v>
          </cell>
          <cell r="BZ251">
            <v>-77809.11</v>
          </cell>
          <cell r="CA251">
            <v>-77604.45</v>
          </cell>
          <cell r="CE251">
            <v>-577335.55999999994</v>
          </cell>
          <cell r="CG251">
            <v>0</v>
          </cell>
        </row>
        <row r="252">
          <cell r="A252" t="str">
            <v>4.2.1.2.03.00001</v>
          </cell>
          <cell r="B252" t="str">
            <v>ALUGUEIS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-287801.65000000002</v>
          </cell>
          <cell r="H252">
            <v>-24662.84</v>
          </cell>
          <cell r="I252">
            <v>-24662.84</v>
          </cell>
          <cell r="J252">
            <v>-24662.84</v>
          </cell>
          <cell r="K252">
            <v>-24662.84</v>
          </cell>
          <cell r="L252">
            <v>-24662.84</v>
          </cell>
          <cell r="M252">
            <v>-24662.84</v>
          </cell>
          <cell r="N252">
            <v>-24662.84</v>
          </cell>
          <cell r="O252">
            <v>-24662.84</v>
          </cell>
          <cell r="P252">
            <v>-24662.84</v>
          </cell>
          <cell r="Q252">
            <v>-24662.84</v>
          </cell>
          <cell r="R252">
            <v>-24662.84</v>
          </cell>
          <cell r="S252">
            <v>-49940.68</v>
          </cell>
          <cell r="T252">
            <v>-321231.92</v>
          </cell>
          <cell r="U252">
            <v>-25662.84</v>
          </cell>
          <cell r="V252">
            <v>-31635</v>
          </cell>
          <cell r="W252">
            <v>-33115</v>
          </cell>
          <cell r="X252">
            <v>-17452.16</v>
          </cell>
          <cell r="Y252">
            <v>-31730</v>
          </cell>
          <cell r="Z252">
            <v>-31730</v>
          </cell>
          <cell r="AA252">
            <v>-31730</v>
          </cell>
          <cell r="AB252">
            <v>-31730</v>
          </cell>
          <cell r="AC252">
            <v>-31730</v>
          </cell>
          <cell r="AD252">
            <v>-32382.75</v>
          </cell>
          <cell r="AE252">
            <v>-32382.75</v>
          </cell>
          <cell r="AF252">
            <v>-32382.75</v>
          </cell>
          <cell r="AG252">
            <v>-363663.25</v>
          </cell>
          <cell r="AH252">
            <v>-32382.75</v>
          </cell>
          <cell r="AI252">
            <v>-31290.07</v>
          </cell>
          <cell r="AJ252">
            <v>-31410.07</v>
          </cell>
          <cell r="AK252">
            <v>-18126.37</v>
          </cell>
          <cell r="AL252">
            <v>-18126.37</v>
          </cell>
          <cell r="AM252">
            <v>-18926.37</v>
          </cell>
          <cell r="AN252">
            <v>-31410.07</v>
          </cell>
          <cell r="AO252">
            <v>-32396.080000000002</v>
          </cell>
          <cell r="AP252">
            <v>-32281.77</v>
          </cell>
          <cell r="AQ252">
            <v>-32281.77</v>
          </cell>
          <cell r="AR252">
            <v>-32281.77</v>
          </cell>
          <cell r="AS252">
            <v>-32281.77</v>
          </cell>
          <cell r="AT252">
            <v>-343195.23000000004</v>
          </cell>
          <cell r="AU252">
            <v>-32281.77</v>
          </cell>
          <cell r="AV252">
            <v>-33629.019999999997</v>
          </cell>
          <cell r="AW252">
            <v>-38500</v>
          </cell>
          <cell r="AX252">
            <v>-38500</v>
          </cell>
          <cell r="AY252">
            <v>-51511.5</v>
          </cell>
          <cell r="AZ252">
            <v>-64523</v>
          </cell>
          <cell r="BA252">
            <v>-64523</v>
          </cell>
          <cell r="BB252">
            <v>-64523</v>
          </cell>
          <cell r="BC252">
            <v>-68023</v>
          </cell>
          <cell r="BD252">
            <v>-68023</v>
          </cell>
          <cell r="BE252">
            <v>-68023</v>
          </cell>
          <cell r="BF252">
            <v>-64523</v>
          </cell>
          <cell r="BG252">
            <v>-656583.29</v>
          </cell>
          <cell r="BH252">
            <v>-64523</v>
          </cell>
          <cell r="BI252">
            <v>-65723</v>
          </cell>
          <cell r="BJ252">
            <v>-71723</v>
          </cell>
          <cell r="BK252">
            <v>-71693.06</v>
          </cell>
          <cell r="BL252">
            <v>-71693.06</v>
          </cell>
          <cell r="BM252">
            <v>-71693.06</v>
          </cell>
          <cell r="BN252">
            <v>-71693.06</v>
          </cell>
          <cell r="BO252">
            <v>-71693.06</v>
          </cell>
          <cell r="BP252">
            <v>-91998.95</v>
          </cell>
          <cell r="BQ252">
            <v>-75414.98</v>
          </cell>
          <cell r="BR252">
            <v>-73414.98</v>
          </cell>
          <cell r="BS252">
            <v>-73414.98</v>
          </cell>
          <cell r="BT252">
            <v>-874678.19</v>
          </cell>
          <cell r="BU252">
            <v>-73414.98</v>
          </cell>
          <cell r="BV252">
            <v>-73615.210000000006</v>
          </cell>
          <cell r="BW252">
            <v>-73214.75</v>
          </cell>
          <cell r="BX252">
            <v>-75877.75</v>
          </cell>
          <cell r="BY252">
            <v>-74047.75</v>
          </cell>
          <cell r="BZ252">
            <v>-74047.75</v>
          </cell>
          <cell r="CA252">
            <v>-74047.75</v>
          </cell>
          <cell r="CE252">
            <v>-518265.94</v>
          </cell>
          <cell r="CG252">
            <v>0</v>
          </cell>
        </row>
        <row r="253">
          <cell r="A253" t="str">
            <v>4.2.1.2.03.00002</v>
          </cell>
          <cell r="B253" t="str">
            <v>LIMPEZA E JARDINAGEM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-9630</v>
          </cell>
          <cell r="H253">
            <v>-400</v>
          </cell>
          <cell r="I253">
            <v>-640</v>
          </cell>
          <cell r="J253">
            <v>-720</v>
          </cell>
          <cell r="K253">
            <v>-720</v>
          </cell>
          <cell r="L253">
            <v>-1040</v>
          </cell>
          <cell r="M253">
            <v>-430</v>
          </cell>
          <cell r="N253">
            <v>-1040</v>
          </cell>
          <cell r="O253">
            <v>-800</v>
          </cell>
          <cell r="P253">
            <v>-870</v>
          </cell>
          <cell r="Q253">
            <v>-730</v>
          </cell>
          <cell r="R253">
            <v>-1000</v>
          </cell>
          <cell r="S253">
            <v>-560</v>
          </cell>
          <cell r="T253">
            <v>-8950</v>
          </cell>
          <cell r="U253">
            <v>-600</v>
          </cell>
          <cell r="V253">
            <v>-725</v>
          </cell>
          <cell r="W253">
            <v>-725</v>
          </cell>
          <cell r="X253">
            <v>-725</v>
          </cell>
          <cell r="Y253">
            <v>-805</v>
          </cell>
          <cell r="Z253">
            <v>-725</v>
          </cell>
          <cell r="AA253">
            <v>-725</v>
          </cell>
          <cell r="AB253">
            <v>-400</v>
          </cell>
          <cell r="AC253">
            <v>-965</v>
          </cell>
          <cell r="AD253">
            <v>-805</v>
          </cell>
          <cell r="AE253">
            <v>-725</v>
          </cell>
          <cell r="AF253">
            <v>-1065</v>
          </cell>
          <cell r="AG253">
            <v>-8990</v>
          </cell>
          <cell r="AH253">
            <v>-518</v>
          </cell>
          <cell r="AI253">
            <v>-725</v>
          </cell>
          <cell r="AJ253">
            <v>-725</v>
          </cell>
          <cell r="AK253">
            <v>-645</v>
          </cell>
          <cell r="AL253">
            <v>-160</v>
          </cell>
          <cell r="AM253">
            <v>-805</v>
          </cell>
          <cell r="AN253">
            <v>-417</v>
          </cell>
          <cell r="AO253">
            <v>-845</v>
          </cell>
          <cell r="AP253">
            <v>-805</v>
          </cell>
          <cell r="AQ253">
            <v>-254</v>
          </cell>
          <cell r="AR253">
            <v>-320</v>
          </cell>
          <cell r="AS253">
            <v>-320</v>
          </cell>
          <cell r="AT253">
            <v>-6539</v>
          </cell>
          <cell r="AU253">
            <v>-400</v>
          </cell>
          <cell r="AV253">
            <v>-300</v>
          </cell>
          <cell r="AW253">
            <v>-600</v>
          </cell>
          <cell r="AX253">
            <v>-600</v>
          </cell>
          <cell r="AY253">
            <v>-100</v>
          </cell>
          <cell r="AZ253">
            <v>-700</v>
          </cell>
          <cell r="BA253">
            <v>-920</v>
          </cell>
          <cell r="BB253">
            <v>-800</v>
          </cell>
          <cell r="BC253">
            <v>0</v>
          </cell>
          <cell r="BD253">
            <v>-2310</v>
          </cell>
          <cell r="BE253">
            <v>-650</v>
          </cell>
          <cell r="BF253">
            <v>-580</v>
          </cell>
          <cell r="BG253">
            <v>-7960</v>
          </cell>
          <cell r="BH253">
            <v>-1428</v>
          </cell>
          <cell r="BI253">
            <v>-895</v>
          </cell>
          <cell r="BJ253">
            <v>-800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-1070</v>
          </cell>
          <cell r="BP253">
            <v>-2610</v>
          </cell>
          <cell r="BQ253">
            <v>0</v>
          </cell>
          <cell r="BR253">
            <v>-2380</v>
          </cell>
          <cell r="BS253">
            <v>-11</v>
          </cell>
          <cell r="BT253">
            <v>-9194</v>
          </cell>
          <cell r="BU253">
            <v>-1370</v>
          </cell>
          <cell r="BV253">
            <v>-4800</v>
          </cell>
          <cell r="BW253">
            <v>-2570</v>
          </cell>
          <cell r="BX253">
            <v>0</v>
          </cell>
          <cell r="BY253">
            <v>-1370</v>
          </cell>
          <cell r="BZ253">
            <v>-1509.6</v>
          </cell>
          <cell r="CA253">
            <v>0</v>
          </cell>
          <cell r="CE253">
            <v>-11619.6</v>
          </cell>
          <cell r="CG253">
            <v>0</v>
          </cell>
        </row>
        <row r="254">
          <cell r="A254" t="str">
            <v>4.2.1.2.03.00003</v>
          </cell>
          <cell r="B254" t="str">
            <v>MANUTENCOES E REPAROS PREDIAIS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-25682.49</v>
          </cell>
          <cell r="H254">
            <v>0</v>
          </cell>
          <cell r="I254">
            <v>0</v>
          </cell>
          <cell r="J254">
            <v>-40</v>
          </cell>
          <cell r="K254">
            <v>-120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-189.2</v>
          </cell>
          <cell r="Q254">
            <v>0</v>
          </cell>
          <cell r="R254">
            <v>-263.3</v>
          </cell>
          <cell r="S254">
            <v>-97.78</v>
          </cell>
          <cell r="T254">
            <v>-710.28</v>
          </cell>
          <cell r="U254">
            <v>-1000</v>
          </cell>
          <cell r="V254">
            <v>-1750</v>
          </cell>
          <cell r="W254">
            <v>-538.4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-60</v>
          </cell>
          <cell r="AC254">
            <v>0</v>
          </cell>
          <cell r="AD254">
            <v>0</v>
          </cell>
          <cell r="AE254">
            <v>-349.85</v>
          </cell>
          <cell r="AF254">
            <v>-19.239999999999998</v>
          </cell>
          <cell r="AG254">
            <v>-3717.49</v>
          </cell>
          <cell r="AH254">
            <v>-252.96</v>
          </cell>
          <cell r="AI254">
            <v>0</v>
          </cell>
          <cell r="AJ254">
            <v>-3400</v>
          </cell>
          <cell r="AK254">
            <v>0</v>
          </cell>
          <cell r="AL254">
            <v>-404.62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-388.92</v>
          </cell>
          <cell r="AR254">
            <v>-238.51</v>
          </cell>
          <cell r="AS254">
            <v>-4589.2299999999996</v>
          </cell>
          <cell r="AT254">
            <v>-9274.24</v>
          </cell>
          <cell r="AU254">
            <v>-53.16</v>
          </cell>
          <cell r="AV254">
            <v>0</v>
          </cell>
          <cell r="AW254">
            <v>-124.73</v>
          </cell>
          <cell r="AX254">
            <v>-99.43</v>
          </cell>
          <cell r="AY254">
            <v>-744.57</v>
          </cell>
          <cell r="AZ254">
            <v>-2310</v>
          </cell>
          <cell r="BA254">
            <v>-3600</v>
          </cell>
          <cell r="BB254">
            <v>-1266.4000000000001</v>
          </cell>
          <cell r="BC254">
            <v>-3855.1899999999996</v>
          </cell>
          <cell r="BD254">
            <v>-4477.05</v>
          </cell>
          <cell r="BE254">
            <v>-3015.73</v>
          </cell>
          <cell r="BF254">
            <v>-17203.37</v>
          </cell>
          <cell r="BG254">
            <v>-36749.629999999997</v>
          </cell>
          <cell r="BH254">
            <v>-1754.02</v>
          </cell>
          <cell r="BI254">
            <v>-4959.16</v>
          </cell>
          <cell r="BJ254">
            <v>-5579.66</v>
          </cell>
          <cell r="BK254">
            <v>-1420.44</v>
          </cell>
          <cell r="BL254">
            <v>-3685.81</v>
          </cell>
          <cell r="BM254">
            <v>-1535.35</v>
          </cell>
          <cell r="BN254">
            <v>-1017.76</v>
          </cell>
          <cell r="BO254">
            <v>-1923.48</v>
          </cell>
          <cell r="BP254">
            <v>-1889.36</v>
          </cell>
          <cell r="BQ254">
            <v>-248.7</v>
          </cell>
          <cell r="BR254">
            <v>-1891.95</v>
          </cell>
          <cell r="BS254">
            <v>-7644.64</v>
          </cell>
          <cell r="BT254">
            <v>-33550.33</v>
          </cell>
          <cell r="BU254">
            <v>-5638.72</v>
          </cell>
          <cell r="BV254">
            <v>-7292.73</v>
          </cell>
          <cell r="BW254">
            <v>-3112.63</v>
          </cell>
          <cell r="BX254">
            <v>-9131.39</v>
          </cell>
          <cell r="BY254">
            <v>-6725.19</v>
          </cell>
          <cell r="BZ254">
            <v>-2091.64</v>
          </cell>
          <cell r="CA254">
            <v>-3396.58</v>
          </cell>
          <cell r="CE254">
            <v>-37388.880000000005</v>
          </cell>
          <cell r="CG254">
            <v>0</v>
          </cell>
        </row>
        <row r="255">
          <cell r="A255" t="str">
            <v>4.2.1.2.03.00004</v>
          </cell>
          <cell r="B255" t="str">
            <v>SEGURO DO PREDIO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-396.04</v>
          </cell>
          <cell r="H255">
            <v>-99.66</v>
          </cell>
          <cell r="I255">
            <v>-99.66</v>
          </cell>
          <cell r="J255">
            <v>-99.66</v>
          </cell>
          <cell r="K255">
            <v>-99.66</v>
          </cell>
          <cell r="L255">
            <v>-99.66</v>
          </cell>
          <cell r="M255">
            <v>-99.66</v>
          </cell>
          <cell r="N255">
            <v>-99.66</v>
          </cell>
          <cell r="O255">
            <v>-99.66</v>
          </cell>
          <cell r="P255">
            <v>-1409.92</v>
          </cell>
          <cell r="Q255">
            <v>0</v>
          </cell>
          <cell r="R255">
            <v>0</v>
          </cell>
          <cell r="S255">
            <v>0</v>
          </cell>
          <cell r="T255">
            <v>-2207.1999999999998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-1431.16</v>
          </cell>
          <cell r="AD255">
            <v>0</v>
          </cell>
          <cell r="AE255">
            <v>0</v>
          </cell>
          <cell r="AF255">
            <v>0</v>
          </cell>
          <cell r="AG255">
            <v>-1431.16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-1728.47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-1728.47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BQ255">
            <v>0</v>
          </cell>
          <cell r="BR255">
            <v>0</v>
          </cell>
          <cell r="BS255">
            <v>0</v>
          </cell>
          <cell r="BT255">
            <v>0</v>
          </cell>
          <cell r="BU255">
            <v>0</v>
          </cell>
          <cell r="BV255">
            <v>-9740.9</v>
          </cell>
          <cell r="BW255">
            <v>0</v>
          </cell>
          <cell r="BX255">
            <v>0</v>
          </cell>
          <cell r="BY255">
            <v>0</v>
          </cell>
          <cell r="BZ255">
            <v>-160.12</v>
          </cell>
          <cell r="CA255">
            <v>-160.12</v>
          </cell>
          <cell r="CE255">
            <v>-10061.140000000001</v>
          </cell>
          <cell r="CG255">
            <v>0</v>
          </cell>
        </row>
        <row r="256">
          <cell r="A256" t="str">
            <v>4.2.1.2.04</v>
          </cell>
          <cell r="B256" t="str">
            <v>UTILIDADES E SERVICOS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-136263.28</v>
          </cell>
          <cell r="H256">
            <v>-7275.06</v>
          </cell>
          <cell r="I256">
            <v>-11438.06</v>
          </cell>
          <cell r="J256">
            <v>-6903.5999999999995</v>
          </cell>
          <cell r="K256">
            <v>-13120.31</v>
          </cell>
          <cell r="L256">
            <v>-34200.589999999997</v>
          </cell>
          <cell r="M256">
            <v>-10266.07</v>
          </cell>
          <cell r="N256">
            <v>-11029.91</v>
          </cell>
          <cell r="O256">
            <v>-11578.76</v>
          </cell>
          <cell r="P256">
            <v>-13924.63</v>
          </cell>
          <cell r="Q256">
            <v>-13401.92</v>
          </cell>
          <cell r="R256">
            <v>-12182.2</v>
          </cell>
          <cell r="S256">
            <v>-12314.08</v>
          </cell>
          <cell r="T256">
            <v>-157635.19</v>
          </cell>
          <cell r="U256">
            <v>-9103.5300000000007</v>
          </cell>
          <cell r="V256">
            <v>-10931.42</v>
          </cell>
          <cell r="W256">
            <v>-12657.49</v>
          </cell>
          <cell r="X256">
            <v>-13760.63</v>
          </cell>
          <cell r="Y256">
            <v>-11627.74</v>
          </cell>
          <cell r="Z256">
            <v>-11968.36</v>
          </cell>
          <cell r="AA256">
            <v>-12738.2</v>
          </cell>
          <cell r="AB256">
            <v>-11279.5</v>
          </cell>
          <cell r="AC256">
            <v>-12617.19</v>
          </cell>
          <cell r="AD256">
            <v>-14050.480000000001</v>
          </cell>
          <cell r="AE256">
            <v>-13501.24</v>
          </cell>
          <cell r="AF256">
            <v>-11866.32</v>
          </cell>
          <cell r="AG256">
            <v>-146102.1</v>
          </cell>
          <cell r="AH256">
            <v>-11140.76</v>
          </cell>
          <cell r="AI256">
            <v>-10655.71</v>
          </cell>
          <cell r="AJ256">
            <v>-11788.29</v>
          </cell>
          <cell r="AK256">
            <v>-9723.4699999999993</v>
          </cell>
          <cell r="AL256">
            <v>-10533.45</v>
          </cell>
          <cell r="AM256">
            <v>-8390.1</v>
          </cell>
          <cell r="AN256">
            <v>-11784.98</v>
          </cell>
          <cell r="AO256">
            <v>-13020.85</v>
          </cell>
          <cell r="AP256">
            <v>-13144.15</v>
          </cell>
          <cell r="AQ256">
            <v>-14748.06</v>
          </cell>
          <cell r="AR256">
            <v>-15718.93</v>
          </cell>
          <cell r="AS256">
            <v>-15005.57</v>
          </cell>
          <cell r="AT256">
            <v>-145654.32</v>
          </cell>
          <cell r="AU256">
            <v>-11672.14</v>
          </cell>
          <cell r="AV256">
            <v>-12414.03</v>
          </cell>
          <cell r="AW256">
            <v>-15187.970000000001</v>
          </cell>
          <cell r="AX256">
            <v>-14927.84</v>
          </cell>
          <cell r="AY256">
            <v>-15217.44</v>
          </cell>
          <cell r="AZ256">
            <v>-17851.71</v>
          </cell>
          <cell r="BA256">
            <v>-16707.04</v>
          </cell>
          <cell r="BB256">
            <v>-22170.83</v>
          </cell>
          <cell r="BC256">
            <v>-6167.43</v>
          </cell>
          <cell r="BD256">
            <v>-34257.089999999997</v>
          </cell>
          <cell r="BE256">
            <v>-22076.42</v>
          </cell>
          <cell r="BF256">
            <v>-21063.02</v>
          </cell>
          <cell r="BG256">
            <v>-209712.96</v>
          </cell>
          <cell r="BH256">
            <v>-15334.650000000001</v>
          </cell>
          <cell r="BI256">
            <v>-21692.77</v>
          </cell>
          <cell r="BJ256">
            <v>-20833.509999999998</v>
          </cell>
          <cell r="BK256">
            <v>-25989.35</v>
          </cell>
          <cell r="BL256">
            <v>-21171.489999999998</v>
          </cell>
          <cell r="BM256">
            <v>-20553.269999999997</v>
          </cell>
          <cell r="BN256">
            <v>-18097.82</v>
          </cell>
          <cell r="BO256">
            <v>-18067.240000000002</v>
          </cell>
          <cell r="BP256">
            <v>-19471.109999999997</v>
          </cell>
          <cell r="BQ256">
            <v>-22197.170000000002</v>
          </cell>
          <cell r="BR256">
            <v>-21604.09</v>
          </cell>
          <cell r="BS256">
            <v>-15929.369999999999</v>
          </cell>
          <cell r="BT256">
            <v>-240941.83999999997</v>
          </cell>
          <cell r="BU256">
            <v>-25076.66</v>
          </cell>
          <cell r="BV256">
            <v>-23583.200000000001</v>
          </cell>
          <cell r="BW256">
            <v>-23120.429999999997</v>
          </cell>
          <cell r="BX256">
            <v>-26092.46</v>
          </cell>
          <cell r="BY256">
            <v>-26570.15</v>
          </cell>
          <cell r="BZ256">
            <v>-26652.91</v>
          </cell>
          <cell r="CA256">
            <v>-19631.12</v>
          </cell>
          <cell r="CE256">
            <v>-170726.93</v>
          </cell>
          <cell r="CG256">
            <v>0</v>
          </cell>
        </row>
        <row r="257">
          <cell r="A257" t="str">
            <v>4.2.1.2.04.00001</v>
          </cell>
          <cell r="B257" t="str">
            <v>AGUA E ESGOTO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-2379.1799999999998</v>
          </cell>
          <cell r="H257">
            <v>-330.93</v>
          </cell>
          <cell r="I257">
            <v>-88.42</v>
          </cell>
          <cell r="J257">
            <v>-197.4</v>
          </cell>
          <cell r="K257">
            <v>-320.60000000000002</v>
          </cell>
          <cell r="L257">
            <v>-23071.98</v>
          </cell>
          <cell r="M257">
            <v>-241.07</v>
          </cell>
          <cell r="N257">
            <v>-203.34</v>
          </cell>
          <cell r="O257">
            <v>-633.12</v>
          </cell>
          <cell r="P257">
            <v>-631.47</v>
          </cell>
          <cell r="Q257">
            <v>-507.05</v>
          </cell>
          <cell r="R257">
            <v>-147.6</v>
          </cell>
          <cell r="S257">
            <v>-230.27</v>
          </cell>
          <cell r="T257">
            <v>-26603.249999999996</v>
          </cell>
          <cell r="U257">
            <v>-468.81</v>
          </cell>
          <cell r="V257">
            <v>-166.05</v>
          </cell>
          <cell r="W257">
            <v>-422.08</v>
          </cell>
          <cell r="X257">
            <v>-436.7</v>
          </cell>
          <cell r="Y257">
            <v>-103.63</v>
          </cell>
          <cell r="Z257">
            <v>-697.29</v>
          </cell>
          <cell r="AA257">
            <v>-106.49</v>
          </cell>
          <cell r="AB257">
            <v>-543.28</v>
          </cell>
          <cell r="AC257">
            <v>-663.36</v>
          </cell>
          <cell r="AD257">
            <v>-581.69000000000005</v>
          </cell>
          <cell r="AE257">
            <v>0</v>
          </cell>
          <cell r="AF257">
            <v>-398.07</v>
          </cell>
          <cell r="AG257">
            <v>-4587.45</v>
          </cell>
          <cell r="AH257">
            <v>-513.52</v>
          </cell>
          <cell r="AI257">
            <v>0</v>
          </cell>
          <cell r="AJ257">
            <v>-259.11</v>
          </cell>
          <cell r="AK257">
            <v>-462.99</v>
          </cell>
          <cell r="AL257">
            <v>-611.80999999999995</v>
          </cell>
          <cell r="AM257">
            <v>0</v>
          </cell>
          <cell r="AN257">
            <v>-562.66</v>
          </cell>
          <cell r="AO257">
            <v>0</v>
          </cell>
          <cell r="AP257">
            <v>0</v>
          </cell>
          <cell r="AQ257">
            <v>-279.44</v>
          </cell>
          <cell r="AR257">
            <v>-526.76</v>
          </cell>
          <cell r="AS257">
            <v>-219.32</v>
          </cell>
          <cell r="AT257">
            <v>-3435.61</v>
          </cell>
          <cell r="AU257">
            <v>-429.26</v>
          </cell>
          <cell r="AV257">
            <v>-250.8</v>
          </cell>
          <cell r="AW257">
            <v>-187.8</v>
          </cell>
          <cell r="AX257">
            <v>-208.8</v>
          </cell>
          <cell r="AY257">
            <v>0</v>
          </cell>
          <cell r="AZ257">
            <v>-333.6</v>
          </cell>
          <cell r="BA257">
            <v>-191.58</v>
          </cell>
          <cell r="BB257">
            <v>0</v>
          </cell>
          <cell r="BC257">
            <v>-354.6</v>
          </cell>
          <cell r="BD257">
            <v>-170.75</v>
          </cell>
          <cell r="BE257">
            <v>-187.8</v>
          </cell>
          <cell r="BF257">
            <v>-250.8</v>
          </cell>
          <cell r="BG257">
            <v>-2565.79</v>
          </cell>
          <cell r="BH257">
            <v>-166.8</v>
          </cell>
          <cell r="BI257">
            <v>-206.94</v>
          </cell>
          <cell r="BJ257">
            <v>-198.14</v>
          </cell>
          <cell r="BK257">
            <v>-242.55</v>
          </cell>
          <cell r="BL257">
            <v>-496.26</v>
          </cell>
          <cell r="BM257">
            <v>-275.69</v>
          </cell>
          <cell r="BN257">
            <v>0</v>
          </cell>
          <cell r="BO257">
            <v>-174.45</v>
          </cell>
          <cell r="BP257">
            <v>-670.22</v>
          </cell>
          <cell r="BQ257">
            <v>-64.12</v>
          </cell>
          <cell r="BR257">
            <v>-329.53</v>
          </cell>
          <cell r="BS257">
            <v>0</v>
          </cell>
          <cell r="BT257">
            <v>-2824.7</v>
          </cell>
          <cell r="BU257">
            <v>-908.25</v>
          </cell>
          <cell r="BV257">
            <v>-146.26</v>
          </cell>
          <cell r="BW257">
            <v>-122.28</v>
          </cell>
          <cell r="BX257">
            <v>-47.92</v>
          </cell>
          <cell r="BY257">
            <v>-290.05</v>
          </cell>
          <cell r="BZ257">
            <v>-174.6</v>
          </cell>
          <cell r="CA257">
            <v>-65.64</v>
          </cell>
          <cell r="CE257">
            <v>-1755</v>
          </cell>
          <cell r="CG257">
            <v>0</v>
          </cell>
        </row>
        <row r="258">
          <cell r="A258" t="str">
            <v>4.2.1.2.04.00002</v>
          </cell>
          <cell r="B258" t="str">
            <v>CORREIO, MALOTES E REMESSAS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-5690.13</v>
          </cell>
          <cell r="H258">
            <v>-666.58</v>
          </cell>
          <cell r="I258">
            <v>-300.83</v>
          </cell>
          <cell r="J258">
            <v>-551.84</v>
          </cell>
          <cell r="K258">
            <v>-445.39</v>
          </cell>
          <cell r="L258">
            <v>-488.89</v>
          </cell>
          <cell r="M258">
            <v>-756.41</v>
          </cell>
          <cell r="N258">
            <v>-443.37</v>
          </cell>
          <cell r="O258">
            <v>-386.06</v>
          </cell>
          <cell r="P258">
            <v>-1008.69</v>
          </cell>
          <cell r="Q258">
            <v>-1504.61</v>
          </cell>
          <cell r="R258">
            <v>-1090.19</v>
          </cell>
          <cell r="S258">
            <v>-599.47</v>
          </cell>
          <cell r="T258">
            <v>-8242.3299999999981</v>
          </cell>
          <cell r="U258">
            <v>-694.87</v>
          </cell>
          <cell r="V258">
            <v>-536.49</v>
          </cell>
          <cell r="W258">
            <v>-1238</v>
          </cell>
          <cell r="X258">
            <v>-464.16</v>
          </cell>
          <cell r="Y258">
            <v>-728.32</v>
          </cell>
          <cell r="Z258">
            <v>-382.84</v>
          </cell>
          <cell r="AA258">
            <v>-921.32</v>
          </cell>
          <cell r="AB258">
            <v>-554.08000000000004</v>
          </cell>
          <cell r="AC258">
            <v>-574.58000000000004</v>
          </cell>
          <cell r="AD258">
            <v>-362.41</v>
          </cell>
          <cell r="AE258">
            <v>-219.28</v>
          </cell>
          <cell r="AF258">
            <v>-379.49</v>
          </cell>
          <cell r="AG258">
            <v>-7055.8399999999992</v>
          </cell>
          <cell r="AH258">
            <v>-261.89999999999998</v>
          </cell>
          <cell r="AI258">
            <v>-144.96</v>
          </cell>
          <cell r="AJ258">
            <v>-283.99</v>
          </cell>
          <cell r="AK258">
            <v>-92.76</v>
          </cell>
          <cell r="AL258">
            <v>-350.18</v>
          </cell>
          <cell r="AM258">
            <v>-199.55</v>
          </cell>
          <cell r="AN258">
            <v>-276.61</v>
          </cell>
          <cell r="AO258">
            <v>-151.62</v>
          </cell>
          <cell r="AP258">
            <v>-376.85</v>
          </cell>
          <cell r="AQ258">
            <v>-178.25</v>
          </cell>
          <cell r="AR258">
            <v>-1496.38</v>
          </cell>
          <cell r="AS258">
            <v>-325.12</v>
          </cell>
          <cell r="AT258">
            <v>-4138.17</v>
          </cell>
          <cell r="AU258">
            <v>-225.05</v>
          </cell>
          <cell r="AV258">
            <v>-98.63</v>
          </cell>
          <cell r="AW258">
            <v>-416.33</v>
          </cell>
          <cell r="AX258">
            <v>-194.42</v>
          </cell>
          <cell r="AY258">
            <v>-198.1</v>
          </cell>
          <cell r="AZ258">
            <v>-75.84</v>
          </cell>
          <cell r="BA258">
            <v>-49.09</v>
          </cell>
          <cell r="BB258">
            <v>-106.2</v>
          </cell>
          <cell r="BC258">
            <v>-311.39</v>
          </cell>
          <cell r="BD258">
            <v>-188.01</v>
          </cell>
          <cell r="BE258">
            <v>-143.44</v>
          </cell>
          <cell r="BF258">
            <v>-179.15</v>
          </cell>
          <cell r="BG258">
            <v>-2185.6499999999996</v>
          </cell>
          <cell r="BH258">
            <v>-121.16</v>
          </cell>
          <cell r="BI258">
            <v>-70.78</v>
          </cell>
          <cell r="BJ258">
            <v>-105.18</v>
          </cell>
          <cell r="BK258">
            <v>-56.09</v>
          </cell>
          <cell r="BL258">
            <v>-359.92</v>
          </cell>
          <cell r="BM258">
            <v>-156.87</v>
          </cell>
          <cell r="BN258">
            <v>-117.38</v>
          </cell>
          <cell r="BO258">
            <v>-69.69</v>
          </cell>
          <cell r="BP258">
            <v>0</v>
          </cell>
          <cell r="BQ258">
            <v>-49.09</v>
          </cell>
          <cell r="BR258">
            <v>-20.399999999999999</v>
          </cell>
          <cell r="BS258">
            <v>-49.09</v>
          </cell>
          <cell r="BT258">
            <v>-1175.6500000000001</v>
          </cell>
          <cell r="BU258">
            <v>-69.489999999999995</v>
          </cell>
          <cell r="BV258">
            <v>-245.45</v>
          </cell>
          <cell r="BW258">
            <v>-49.09</v>
          </cell>
          <cell r="BX258">
            <v>-271.95</v>
          </cell>
          <cell r="BY258">
            <v>0</v>
          </cell>
          <cell r="BZ258">
            <v>-77.510000000000005</v>
          </cell>
          <cell r="CA258">
            <v>-196.36</v>
          </cell>
          <cell r="CE258">
            <v>-909.85</v>
          </cell>
          <cell r="CG258">
            <v>0</v>
          </cell>
        </row>
        <row r="259">
          <cell r="A259" t="str">
            <v>4.2.1.2.04.00003</v>
          </cell>
          <cell r="B259" t="str">
            <v>ENERGIA ELETRICA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-62639.99</v>
          </cell>
          <cell r="H259">
            <v>-2345.4499999999998</v>
          </cell>
          <cell r="I259">
            <v>-4620.75</v>
          </cell>
          <cell r="J259">
            <v>-4260.42</v>
          </cell>
          <cell r="K259">
            <v>-6210.93</v>
          </cell>
          <cell r="L259">
            <v>-6858.18</v>
          </cell>
          <cell r="M259">
            <v>-5420.45</v>
          </cell>
          <cell r="N259">
            <v>-7020.56</v>
          </cell>
          <cell r="O259">
            <v>-7097.85</v>
          </cell>
          <cell r="P259">
            <v>-8765.5499999999993</v>
          </cell>
          <cell r="Q259">
            <v>-7821.01</v>
          </cell>
          <cell r="R259">
            <v>-7369.12</v>
          </cell>
          <cell r="S259">
            <v>-7827.46</v>
          </cell>
          <cell r="T259">
            <v>-75617.73000000001</v>
          </cell>
          <cell r="U259">
            <v>-4420.24</v>
          </cell>
          <cell r="V259">
            <v>-6683.96</v>
          </cell>
          <cell r="W259">
            <v>-7331.07</v>
          </cell>
          <cell r="X259">
            <v>-9112.5499999999993</v>
          </cell>
          <cell r="Y259">
            <v>-7522.54</v>
          </cell>
          <cell r="Z259">
            <v>-8067.73</v>
          </cell>
          <cell r="AA259">
            <v>-7680.97</v>
          </cell>
          <cell r="AB259">
            <v>-6210.83</v>
          </cell>
          <cell r="AC259">
            <v>-7789.2</v>
          </cell>
          <cell r="AD259">
            <v>-9318.32</v>
          </cell>
          <cell r="AE259">
            <v>-9660.48</v>
          </cell>
          <cell r="AF259">
            <v>-8070.52</v>
          </cell>
          <cell r="AG259">
            <v>-91868.41</v>
          </cell>
          <cell r="AH259">
            <v>-6069.36</v>
          </cell>
          <cell r="AI259">
            <v>-7809.94</v>
          </cell>
          <cell r="AJ259">
            <v>-7535.62</v>
          </cell>
          <cell r="AK259">
            <v>-5175.04</v>
          </cell>
          <cell r="AL259">
            <v>-5683.9</v>
          </cell>
          <cell r="AM259">
            <v>-5034.83</v>
          </cell>
          <cell r="AN259">
            <v>-6805.64</v>
          </cell>
          <cell r="AO259">
            <v>-8028.78</v>
          </cell>
          <cell r="AP259">
            <v>-8869.7800000000007</v>
          </cell>
          <cell r="AQ259">
            <v>-10253.84</v>
          </cell>
          <cell r="AR259">
            <v>-9554.68</v>
          </cell>
          <cell r="AS259">
            <v>-10557.71</v>
          </cell>
          <cell r="AT259">
            <v>-91379.12</v>
          </cell>
          <cell r="AU259">
            <v>-7801.68</v>
          </cell>
          <cell r="AV259">
            <v>-8073.38</v>
          </cell>
          <cell r="AW259">
            <v>-11376.89</v>
          </cell>
          <cell r="AX259">
            <v>-11497.02</v>
          </cell>
          <cell r="AY259">
            <v>-10927.86</v>
          </cell>
          <cell r="AZ259">
            <v>-13269.27</v>
          </cell>
          <cell r="BA259">
            <v>-13311.08</v>
          </cell>
          <cell r="BB259">
            <v>-17899.150000000001</v>
          </cell>
          <cell r="BC259">
            <v>-1161.1400000000001</v>
          </cell>
          <cell r="BD259">
            <v>-29496.83</v>
          </cell>
          <cell r="BE259">
            <v>-17366.349999999999</v>
          </cell>
          <cell r="BF259">
            <v>-16879.66</v>
          </cell>
          <cell r="BG259">
            <v>-159060.31000000003</v>
          </cell>
          <cell r="BH259">
            <v>-11556.630000000001</v>
          </cell>
          <cell r="BI259">
            <v>-18182.399999999998</v>
          </cell>
          <cell r="BJ259">
            <v>-16994.28</v>
          </cell>
          <cell r="BK259">
            <v>-20069.25</v>
          </cell>
          <cell r="BL259">
            <v>-16139.71</v>
          </cell>
          <cell r="BM259">
            <v>-15566.609999999999</v>
          </cell>
          <cell r="BN259">
            <v>-12547.89</v>
          </cell>
          <cell r="BO259">
            <v>-13363.92</v>
          </cell>
          <cell r="BP259">
            <v>-13767.82</v>
          </cell>
          <cell r="BQ259">
            <v>-16530.23</v>
          </cell>
          <cell r="BR259">
            <v>-15804.33</v>
          </cell>
          <cell r="BS259">
            <v>-10282.57</v>
          </cell>
          <cell r="BT259">
            <v>-180805.63999999998</v>
          </cell>
          <cell r="BU259">
            <v>-18506.27</v>
          </cell>
          <cell r="BV259">
            <v>-17358.150000000001</v>
          </cell>
          <cell r="BW259">
            <v>-17055.8</v>
          </cell>
          <cell r="BX259">
            <v>-17465.91</v>
          </cell>
          <cell r="BY259">
            <v>-20069.210000000003</v>
          </cell>
          <cell r="BZ259">
            <v>-23571.84</v>
          </cell>
          <cell r="CA259">
            <v>-19019.32</v>
          </cell>
          <cell r="CE259">
            <v>-133046.5</v>
          </cell>
          <cell r="CG259">
            <v>0</v>
          </cell>
        </row>
        <row r="260">
          <cell r="A260" t="str">
            <v>4.2.1.2.04.00004</v>
          </cell>
          <cell r="B260" t="str">
            <v>SEGUROS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-7891.45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-91.6</v>
          </cell>
          <cell r="M260">
            <v>0</v>
          </cell>
          <cell r="N260">
            <v>0</v>
          </cell>
          <cell r="O260">
            <v>-91.6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-183.2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-183.24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-183.24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-274.8</v>
          </cell>
          <cell r="AN260">
            <v>-183.2</v>
          </cell>
          <cell r="AO260">
            <v>-91.6</v>
          </cell>
          <cell r="AP260">
            <v>0</v>
          </cell>
          <cell r="AQ260">
            <v>-91.6</v>
          </cell>
          <cell r="AR260">
            <v>-91.6</v>
          </cell>
          <cell r="AS260">
            <v>0</v>
          </cell>
          <cell r="AT260">
            <v>-732.80000000000007</v>
          </cell>
          <cell r="AU260">
            <v>-183.2</v>
          </cell>
          <cell r="AV260">
            <v>0</v>
          </cell>
          <cell r="AW260">
            <v>-91.6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-274.79999999999995</v>
          </cell>
          <cell r="BH260">
            <v>0</v>
          </cell>
          <cell r="BI260">
            <v>-94.62</v>
          </cell>
          <cell r="BJ260">
            <v>0</v>
          </cell>
          <cell r="BK260">
            <v>-2082.77</v>
          </cell>
          <cell r="BL260">
            <v>0</v>
          </cell>
          <cell r="BM260">
            <v>0</v>
          </cell>
          <cell r="BN260">
            <v>-94.62</v>
          </cell>
          <cell r="BO260">
            <v>0</v>
          </cell>
          <cell r="BP260">
            <v>0</v>
          </cell>
          <cell r="BQ260">
            <v>-973.77</v>
          </cell>
          <cell r="BR260">
            <v>-973.77</v>
          </cell>
          <cell r="BS260">
            <v>-973.77</v>
          </cell>
          <cell r="BT260">
            <v>-5193.32</v>
          </cell>
          <cell r="BU260">
            <v>-973.77</v>
          </cell>
          <cell r="BV260">
            <v>-973.77</v>
          </cell>
          <cell r="BW260">
            <v>-973.77</v>
          </cell>
          <cell r="BX260">
            <v>-3089.83</v>
          </cell>
          <cell r="BY260">
            <v>-1127.8900000000001</v>
          </cell>
          <cell r="BZ260">
            <v>0</v>
          </cell>
          <cell r="CA260">
            <v>0</v>
          </cell>
          <cell r="CE260">
            <v>-7139.03</v>
          </cell>
          <cell r="CG260">
            <v>0</v>
          </cell>
        </row>
        <row r="261">
          <cell r="A261" t="str">
            <v>4.2.1.2.04.00005</v>
          </cell>
          <cell r="B261" t="str">
            <v>TELEFONE, INTERNET, TELEGRAMA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-57662.53</v>
          </cell>
          <cell r="H261">
            <v>-3932.1</v>
          </cell>
          <cell r="I261">
            <v>-6428.06</v>
          </cell>
          <cell r="J261">
            <v>-1893.94</v>
          </cell>
          <cell r="K261">
            <v>-6143.39</v>
          </cell>
          <cell r="L261">
            <v>-3689.94</v>
          </cell>
          <cell r="M261">
            <v>-3848.14</v>
          </cell>
          <cell r="N261">
            <v>-3362.64</v>
          </cell>
          <cell r="O261">
            <v>-3370.13</v>
          </cell>
          <cell r="P261">
            <v>-3518.92</v>
          </cell>
          <cell r="Q261">
            <v>-3569.25</v>
          </cell>
          <cell r="R261">
            <v>-3575.29</v>
          </cell>
          <cell r="S261">
            <v>-3656.88</v>
          </cell>
          <cell r="T261">
            <v>-46988.68</v>
          </cell>
          <cell r="U261">
            <v>-3519.61</v>
          </cell>
          <cell r="V261">
            <v>-3544.92</v>
          </cell>
          <cell r="W261">
            <v>-3666.34</v>
          </cell>
          <cell r="X261">
            <v>-3747.22</v>
          </cell>
          <cell r="Y261">
            <v>-3090.01</v>
          </cell>
          <cell r="Z261">
            <v>-2820.5</v>
          </cell>
          <cell r="AA261">
            <v>-4029.42</v>
          </cell>
          <cell r="AB261">
            <v>-3971.31</v>
          </cell>
          <cell r="AC261">
            <v>-3590.05</v>
          </cell>
          <cell r="AD261">
            <v>-3788.0599999999995</v>
          </cell>
          <cell r="AE261">
            <v>-3621.48</v>
          </cell>
          <cell r="AF261">
            <v>-3018.24</v>
          </cell>
          <cell r="AG261">
            <v>-42407.159999999996</v>
          </cell>
          <cell r="AH261">
            <v>-4295.9799999999996</v>
          </cell>
          <cell r="AI261">
            <v>-2700.81</v>
          </cell>
          <cell r="AJ261">
            <v>-3709.57</v>
          </cell>
          <cell r="AK261">
            <v>-3992.68</v>
          </cell>
          <cell r="AL261">
            <v>-3887.56</v>
          </cell>
          <cell r="AM261">
            <v>-2880.92</v>
          </cell>
          <cell r="AN261">
            <v>-3956.87</v>
          </cell>
          <cell r="AO261">
            <v>-4748.8500000000004</v>
          </cell>
          <cell r="AP261">
            <v>-3897.52</v>
          </cell>
          <cell r="AQ261">
            <v>-3944.93</v>
          </cell>
          <cell r="AR261">
            <v>-4049.51</v>
          </cell>
          <cell r="AS261">
            <v>-3903.42</v>
          </cell>
          <cell r="AT261">
            <v>-45968.619999999995</v>
          </cell>
          <cell r="AU261">
            <v>-3032.95</v>
          </cell>
          <cell r="AV261">
            <v>-3991.22</v>
          </cell>
          <cell r="AW261">
            <v>-3115.35</v>
          </cell>
          <cell r="AX261">
            <v>-3027.6</v>
          </cell>
          <cell r="AY261">
            <v>-4091.48</v>
          </cell>
          <cell r="AZ261">
            <v>-4173</v>
          </cell>
          <cell r="BA261">
            <v>-3155.29</v>
          </cell>
          <cell r="BB261">
            <v>-4165.4799999999996</v>
          </cell>
          <cell r="BC261">
            <v>-4340.3</v>
          </cell>
          <cell r="BD261">
            <v>-4401.5</v>
          </cell>
          <cell r="BE261">
            <v>-4378.83</v>
          </cell>
          <cell r="BF261">
            <v>-3753.41</v>
          </cell>
          <cell r="BG261">
            <v>-45626.41</v>
          </cell>
          <cell r="BH261">
            <v>-3490.06</v>
          </cell>
          <cell r="BI261">
            <v>-3138.03</v>
          </cell>
          <cell r="BJ261">
            <v>-3535.91</v>
          </cell>
          <cell r="BK261">
            <v>-3538.69</v>
          </cell>
          <cell r="BL261">
            <v>-4175.6000000000004</v>
          </cell>
          <cell r="BM261">
            <v>-4554.1000000000004</v>
          </cell>
          <cell r="BN261">
            <v>-5337.93</v>
          </cell>
          <cell r="BO261">
            <v>-4459.18</v>
          </cell>
          <cell r="BP261">
            <v>-5033.07</v>
          </cell>
          <cell r="BQ261">
            <v>-4579.96</v>
          </cell>
          <cell r="BR261">
            <v>-4476.0600000000004</v>
          </cell>
          <cell r="BS261">
            <v>-4623.9399999999996</v>
          </cell>
          <cell r="BT261">
            <v>-50942.53</v>
          </cell>
          <cell r="BU261">
            <v>-4618.88</v>
          </cell>
          <cell r="BV261">
            <v>-4859.57</v>
          </cell>
          <cell r="BW261">
            <v>-4919.49</v>
          </cell>
          <cell r="BX261">
            <v>-5216.8500000000004</v>
          </cell>
          <cell r="BY261">
            <v>-5083</v>
          </cell>
          <cell r="BZ261">
            <v>-2828.96</v>
          </cell>
          <cell r="CA261">
            <v>-349.8</v>
          </cell>
          <cell r="CE261">
            <v>-27876.55</v>
          </cell>
          <cell r="CG261">
            <v>0</v>
          </cell>
        </row>
        <row r="262">
          <cell r="A262" t="str">
            <v>4.2.1.2.05</v>
          </cell>
          <cell r="B262" t="str">
            <v>CONSUMO DE MATERIAIS E PRODUTOS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-24344.720000000001</v>
          </cell>
          <cell r="H262">
            <v>-461.38</v>
          </cell>
          <cell r="I262">
            <v>-1621.06</v>
          </cell>
          <cell r="J262">
            <v>-1446.62</v>
          </cell>
          <cell r="K262">
            <v>-1493.44</v>
          </cell>
          <cell r="L262">
            <v>-1309.92</v>
          </cell>
          <cell r="M262">
            <v>-2614.41</v>
          </cell>
          <cell r="N262">
            <v>-4314.5600000000004</v>
          </cell>
          <cell r="O262">
            <v>-4110.53</v>
          </cell>
          <cell r="P262">
            <v>-1951.56</v>
          </cell>
          <cell r="Q262">
            <v>-2636.24</v>
          </cell>
          <cell r="R262">
            <v>-2719.38</v>
          </cell>
          <cell r="S262">
            <v>-514.35</v>
          </cell>
          <cell r="T262">
            <v>-25193.45</v>
          </cell>
          <cell r="U262">
            <v>-1416.25</v>
          </cell>
          <cell r="V262">
            <v>-2546</v>
          </cell>
          <cell r="W262">
            <v>-3197.16</v>
          </cell>
          <cell r="X262">
            <v>-2339.4899999999998</v>
          </cell>
          <cell r="Y262">
            <v>-5712.45</v>
          </cell>
          <cell r="Z262">
            <v>-3242.23</v>
          </cell>
          <cell r="AA262">
            <v>-4281.5600000000004</v>
          </cell>
          <cell r="AB262">
            <v>-2887.33</v>
          </cell>
          <cell r="AC262">
            <v>-2476.73</v>
          </cell>
          <cell r="AD262">
            <v>-1709.37</v>
          </cell>
          <cell r="AE262">
            <v>-1989.42</v>
          </cell>
          <cell r="AF262">
            <v>-1217.97</v>
          </cell>
          <cell r="AG262">
            <v>-33015.96</v>
          </cell>
          <cell r="AH262">
            <v>-6001.85</v>
          </cell>
          <cell r="AI262">
            <v>-3163.92</v>
          </cell>
          <cell r="AJ262">
            <v>-2511.65</v>
          </cell>
          <cell r="AK262">
            <v>-1265.02</v>
          </cell>
          <cell r="AL262">
            <v>-3654.51</v>
          </cell>
          <cell r="AM262">
            <v>-1567.24</v>
          </cell>
          <cell r="AN262">
            <v>-2670.31</v>
          </cell>
          <cell r="AO262">
            <v>-3103.71</v>
          </cell>
          <cell r="AP262">
            <v>-4260.8100000000004</v>
          </cell>
          <cell r="AQ262">
            <v>-1318.59</v>
          </cell>
          <cell r="AR262">
            <v>-10349.5</v>
          </cell>
          <cell r="AS262">
            <v>-11607.04</v>
          </cell>
          <cell r="AT262">
            <v>-51474.15</v>
          </cell>
          <cell r="AU262">
            <v>-6457.99</v>
          </cell>
          <cell r="AV262">
            <v>-5787.7</v>
          </cell>
          <cell r="AW262">
            <v>-3788.11</v>
          </cell>
          <cell r="AX262">
            <v>-6439.87</v>
          </cell>
          <cell r="AY262">
            <v>-10730.14</v>
          </cell>
          <cell r="AZ262">
            <v>-10259.17</v>
          </cell>
          <cell r="BA262">
            <v>-9233.14</v>
          </cell>
          <cell r="BB262">
            <v>-30190.47</v>
          </cell>
          <cell r="BC262">
            <v>-10115.299999999999</v>
          </cell>
          <cell r="BD262">
            <v>-15512.11</v>
          </cell>
          <cell r="BE262">
            <v>-12519.46</v>
          </cell>
          <cell r="BF262">
            <v>-13605.35</v>
          </cell>
          <cell r="BG262">
            <v>-134638.81</v>
          </cell>
          <cell r="BH262">
            <v>-8070.95</v>
          </cell>
          <cell r="BI262">
            <v>-6707.53</v>
          </cell>
          <cell r="BJ262">
            <v>-11730.76</v>
          </cell>
          <cell r="BK262">
            <v>-12964.85</v>
          </cell>
          <cell r="BL262">
            <v>-12001.28</v>
          </cell>
          <cell r="BM262">
            <v>-23363.56</v>
          </cell>
          <cell r="BN262">
            <v>-20949.87</v>
          </cell>
          <cell r="BO262">
            <v>-20910.990000000002</v>
          </cell>
          <cell r="BP262">
            <v>-25842.61</v>
          </cell>
          <cell r="BQ262">
            <v>-26660.09</v>
          </cell>
          <cell r="BR262">
            <v>-15929.05</v>
          </cell>
          <cell r="BS262">
            <v>-12044.17</v>
          </cell>
          <cell r="BT262">
            <v>-197175.71</v>
          </cell>
          <cell r="BU262">
            <v>-22961.34</v>
          </cell>
          <cell r="BV262">
            <v>-14914.18</v>
          </cell>
          <cell r="BW262">
            <v>-9946.33</v>
          </cell>
          <cell r="BX262">
            <v>-4990.1499999999996</v>
          </cell>
          <cell r="BY262">
            <v>-8019.88</v>
          </cell>
          <cell r="BZ262">
            <v>-4511.99</v>
          </cell>
          <cell r="CA262">
            <v>-9518.1299999999992</v>
          </cell>
          <cell r="CE262">
            <v>-74862</v>
          </cell>
          <cell r="CG262">
            <v>0</v>
          </cell>
        </row>
        <row r="263">
          <cell r="A263" t="str">
            <v>4.2.1.2.05.00001</v>
          </cell>
          <cell r="B263" t="str">
            <v>COPA, COZINHA E REFEITRIO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-307.89999999999998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-472</v>
          </cell>
          <cell r="W263">
            <v>-176</v>
          </cell>
          <cell r="X263">
            <v>-776</v>
          </cell>
          <cell r="Y263">
            <v>-464</v>
          </cell>
          <cell r="Z263">
            <v>-937.2</v>
          </cell>
          <cell r="AA263">
            <v>-1020.27</v>
          </cell>
          <cell r="AB263">
            <v>-304</v>
          </cell>
          <cell r="AC263">
            <v>-96</v>
          </cell>
          <cell r="AD263">
            <v>0</v>
          </cell>
          <cell r="AE263">
            <v>0</v>
          </cell>
          <cell r="AF263">
            <v>0</v>
          </cell>
          <cell r="AG263">
            <v>-4245.4699999999993</v>
          </cell>
          <cell r="AH263">
            <v>0</v>
          </cell>
          <cell r="AI263">
            <v>-608</v>
          </cell>
          <cell r="AJ263">
            <v>-928</v>
          </cell>
          <cell r="AK263">
            <v>-202</v>
          </cell>
          <cell r="AL263">
            <v>0</v>
          </cell>
          <cell r="AM263">
            <v>-325</v>
          </cell>
          <cell r="AN263">
            <v>-456.44</v>
          </cell>
          <cell r="AO263">
            <v>-400</v>
          </cell>
          <cell r="AP263">
            <v>0</v>
          </cell>
          <cell r="AQ263">
            <v>-400</v>
          </cell>
          <cell r="AR263">
            <v>-1740.25</v>
          </cell>
          <cell r="AS263">
            <v>-283.23</v>
          </cell>
          <cell r="AT263">
            <v>-5342.92</v>
          </cell>
          <cell r="AU263">
            <v>0</v>
          </cell>
          <cell r="AV263">
            <v>-980</v>
          </cell>
          <cell r="AW263">
            <v>0</v>
          </cell>
          <cell r="AX263">
            <v>-920</v>
          </cell>
          <cell r="AY263">
            <v>-312.83999999999997</v>
          </cell>
          <cell r="AZ263">
            <v>-500</v>
          </cell>
          <cell r="BA263">
            <v>-520</v>
          </cell>
          <cell r="BB263">
            <v>-13407.08</v>
          </cell>
          <cell r="BC263">
            <v>-77.09</v>
          </cell>
          <cell r="BD263">
            <v>-642.57000000000005</v>
          </cell>
          <cell r="BE263">
            <v>-821.27</v>
          </cell>
          <cell r="BF263">
            <v>-904.78</v>
          </cell>
          <cell r="BG263">
            <v>-19085.629999999997</v>
          </cell>
          <cell r="BH263">
            <v>0</v>
          </cell>
          <cell r="BI263">
            <v>0</v>
          </cell>
          <cell r="BJ263">
            <v>-463.5</v>
          </cell>
          <cell r="BK263">
            <v>-2228.8000000000002</v>
          </cell>
          <cell r="BL263">
            <v>0</v>
          </cell>
          <cell r="BM263">
            <v>0</v>
          </cell>
          <cell r="BN263">
            <v>0</v>
          </cell>
          <cell r="BO263">
            <v>-540</v>
          </cell>
          <cell r="BP263">
            <v>0</v>
          </cell>
          <cell r="BQ263">
            <v>0</v>
          </cell>
          <cell r="BR263">
            <v>0</v>
          </cell>
          <cell r="BS263">
            <v>-815.9</v>
          </cell>
          <cell r="BT263">
            <v>-4048.2000000000003</v>
          </cell>
          <cell r="BU263">
            <v>0</v>
          </cell>
          <cell r="BV263">
            <v>-77.900000000000006</v>
          </cell>
          <cell r="BW263">
            <v>0</v>
          </cell>
          <cell r="BX263">
            <v>0</v>
          </cell>
          <cell r="BY263">
            <v>0</v>
          </cell>
          <cell r="BZ263">
            <v>-375</v>
          </cell>
          <cell r="CA263">
            <v>-3174.3</v>
          </cell>
          <cell r="CE263">
            <v>-3627.2000000000003</v>
          </cell>
          <cell r="CG263">
            <v>0</v>
          </cell>
        </row>
        <row r="264">
          <cell r="A264" t="str">
            <v>4.2.1.2.05.00002</v>
          </cell>
          <cell r="B264" t="str">
            <v>HIGIENE E LIMPEZA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-9519.32</v>
          </cell>
          <cell r="H264">
            <v>-461.38</v>
          </cell>
          <cell r="I264">
            <v>-1168.97</v>
          </cell>
          <cell r="J264">
            <v>-973.34</v>
          </cell>
          <cell r="K264">
            <v>-888.6</v>
          </cell>
          <cell r="L264">
            <v>-1009.87</v>
          </cell>
          <cell r="M264">
            <v>-2104.86</v>
          </cell>
          <cell r="N264">
            <v>-1911.94</v>
          </cell>
          <cell r="O264">
            <v>-2943.4</v>
          </cell>
          <cell r="P264">
            <v>-1528.23</v>
          </cell>
          <cell r="Q264">
            <v>-2192.4899999999998</v>
          </cell>
          <cell r="R264">
            <v>-1801.06</v>
          </cell>
          <cell r="S264">
            <v>-514.35</v>
          </cell>
          <cell r="T264">
            <v>-17498.489999999998</v>
          </cell>
          <cell r="U264">
            <v>-764.5</v>
          </cell>
          <cell r="V264">
            <v>-1419.7</v>
          </cell>
          <cell r="W264">
            <v>-2100.9699999999998</v>
          </cell>
          <cell r="X264">
            <v>-869.69</v>
          </cell>
          <cell r="Y264">
            <v>-2032.82</v>
          </cell>
          <cell r="Z264">
            <v>-1703.11</v>
          </cell>
          <cell r="AA264">
            <v>-1981.38</v>
          </cell>
          <cell r="AB264">
            <v>-1605.74</v>
          </cell>
          <cell r="AC264">
            <v>-1586.39</v>
          </cell>
          <cell r="AD264">
            <v>-1663.52</v>
          </cell>
          <cell r="AE264">
            <v>-1449.37</v>
          </cell>
          <cell r="AF264">
            <v>-891.36</v>
          </cell>
          <cell r="AG264">
            <v>-18068.550000000003</v>
          </cell>
          <cell r="AH264">
            <v>-1988.34</v>
          </cell>
          <cell r="AI264">
            <v>-1951.78</v>
          </cell>
          <cell r="AJ264">
            <v>-954.48</v>
          </cell>
          <cell r="AK264">
            <v>-505</v>
          </cell>
          <cell r="AL264">
            <v>-3609.51</v>
          </cell>
          <cell r="AM264">
            <v>-822.64</v>
          </cell>
          <cell r="AN264">
            <v>-1128.8599999999999</v>
          </cell>
          <cell r="AO264">
            <v>-1814.18</v>
          </cell>
          <cell r="AP264">
            <v>-3360.86</v>
          </cell>
          <cell r="AQ264">
            <v>-272.48</v>
          </cell>
          <cell r="AR264">
            <v>-4137.18</v>
          </cell>
          <cell r="AS264">
            <v>-4751.95</v>
          </cell>
          <cell r="AT264">
            <v>-25297.260000000002</v>
          </cell>
          <cell r="AU264">
            <v>-2345.1</v>
          </cell>
          <cell r="AV264">
            <v>-3406.07</v>
          </cell>
          <cell r="AW264">
            <v>-1527.95</v>
          </cell>
          <cell r="AX264">
            <v>-3600.42</v>
          </cell>
          <cell r="AY264">
            <v>-3781.11</v>
          </cell>
          <cell r="AZ264">
            <v>-6302.66</v>
          </cell>
          <cell r="BA264">
            <v>-6411.18</v>
          </cell>
          <cell r="BB264">
            <v>-14214.46</v>
          </cell>
          <cell r="BC264">
            <v>-4625.34</v>
          </cell>
          <cell r="BD264">
            <v>-10088.59</v>
          </cell>
          <cell r="BE264">
            <v>-6858.46</v>
          </cell>
          <cell r="BF264">
            <v>-3165.33</v>
          </cell>
          <cell r="BG264">
            <v>-66326.669999999984</v>
          </cell>
          <cell r="BH264">
            <v>-6330.14</v>
          </cell>
          <cell r="BI264">
            <v>-4268.01</v>
          </cell>
          <cell r="BJ264">
            <v>-9536.57</v>
          </cell>
          <cell r="BK264">
            <v>-7106.4</v>
          </cell>
          <cell r="BL264">
            <v>-10600.83</v>
          </cell>
          <cell r="BM264">
            <v>-14669.86</v>
          </cell>
          <cell r="BN264">
            <v>-12828.26</v>
          </cell>
          <cell r="BO264">
            <v>-12248.22</v>
          </cell>
          <cell r="BP264">
            <v>-12378.72</v>
          </cell>
          <cell r="BQ264">
            <v>-19275.8</v>
          </cell>
          <cell r="BR264">
            <v>-11422.4</v>
          </cell>
          <cell r="BS264">
            <v>-6600.79</v>
          </cell>
          <cell r="BT264">
            <v>-127266</v>
          </cell>
          <cell r="BU264">
            <v>-21007.94</v>
          </cell>
          <cell r="BV264">
            <v>-13118.47</v>
          </cell>
          <cell r="BW264">
            <v>-4553.3100000000004</v>
          </cell>
          <cell r="BX264">
            <v>-3911.9599999999996</v>
          </cell>
          <cell r="BY264">
            <v>-3478.85</v>
          </cell>
          <cell r="BZ264">
            <v>-2329.5700000000002</v>
          </cell>
          <cell r="CA264">
            <v>-3404.01</v>
          </cell>
          <cell r="CE264">
            <v>-51804.109999999993</v>
          </cell>
          <cell r="CG264">
            <v>0</v>
          </cell>
        </row>
        <row r="265">
          <cell r="A265" t="str">
            <v>4.2.1.2.05.00003</v>
          </cell>
          <cell r="B265" t="str">
            <v>MATERIAL DE ESCRITRIO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-11516.95</v>
          </cell>
          <cell r="H265">
            <v>0</v>
          </cell>
          <cell r="I265">
            <v>-452.09</v>
          </cell>
          <cell r="J265">
            <v>-473.28</v>
          </cell>
          <cell r="K265">
            <v>-604.84</v>
          </cell>
          <cell r="L265">
            <v>-257.63</v>
          </cell>
          <cell r="M265">
            <v>-509.55</v>
          </cell>
          <cell r="N265">
            <v>-2402.62</v>
          </cell>
          <cell r="O265">
            <v>-1167.1300000000001</v>
          </cell>
          <cell r="P265">
            <v>-423.23</v>
          </cell>
          <cell r="Q265">
            <v>-433.75</v>
          </cell>
          <cell r="R265">
            <v>-918.32</v>
          </cell>
          <cell r="S265">
            <v>-3594.42</v>
          </cell>
          <cell r="T265">
            <v>-11236.86</v>
          </cell>
          <cell r="U265">
            <v>-651.75</v>
          </cell>
          <cell r="V265">
            <v>-632.29999999999995</v>
          </cell>
          <cell r="W265">
            <v>-920.19</v>
          </cell>
          <cell r="X265">
            <v>-693.8</v>
          </cell>
          <cell r="Y265">
            <v>-2941.99</v>
          </cell>
          <cell r="Z265">
            <v>-257.85000000000002</v>
          </cell>
          <cell r="AA265">
            <v>-681.34</v>
          </cell>
          <cell r="AB265">
            <v>-871.59</v>
          </cell>
          <cell r="AC265">
            <v>-794.34</v>
          </cell>
          <cell r="AD265">
            <v>-45.85</v>
          </cell>
          <cell r="AE265">
            <v>-493.55</v>
          </cell>
          <cell r="AF265">
            <v>-326.61</v>
          </cell>
          <cell r="AG265">
            <v>-9311.16</v>
          </cell>
          <cell r="AH265">
            <v>-4013.51</v>
          </cell>
          <cell r="AI265">
            <v>-594.14</v>
          </cell>
          <cell r="AJ265">
            <v>-313.7</v>
          </cell>
          <cell r="AK265">
            <v>-546.02</v>
          </cell>
          <cell r="AL265">
            <v>-45</v>
          </cell>
          <cell r="AM265">
            <v>-419.6</v>
          </cell>
          <cell r="AN265">
            <v>-807.01</v>
          </cell>
          <cell r="AO265">
            <v>-889.53</v>
          </cell>
          <cell r="AP265">
            <v>-899.95</v>
          </cell>
          <cell r="AQ265">
            <v>-646.11</v>
          </cell>
          <cell r="AR265">
            <v>-4222.09</v>
          </cell>
          <cell r="AS265">
            <v>-5741.35</v>
          </cell>
          <cell r="AT265">
            <v>-19138.010000000002</v>
          </cell>
          <cell r="AU265">
            <v>-4014.89</v>
          </cell>
          <cell r="AV265">
            <v>-1353.63</v>
          </cell>
          <cell r="AW265">
            <v>-2260.16</v>
          </cell>
          <cell r="AX265">
            <v>-1745.75</v>
          </cell>
          <cell r="AY265">
            <v>-4757.84</v>
          </cell>
          <cell r="AZ265">
            <v>-3238.83</v>
          </cell>
          <cell r="BA265">
            <v>-2142.96</v>
          </cell>
          <cell r="BB265">
            <v>-2568.9299999999998</v>
          </cell>
          <cell r="BC265">
            <v>-5372.87</v>
          </cell>
          <cell r="BD265">
            <v>-4780.95</v>
          </cell>
          <cell r="BE265">
            <v>-3506.73</v>
          </cell>
          <cell r="BF265">
            <v>-9535.24</v>
          </cell>
          <cell r="BG265">
            <v>-45278.78</v>
          </cell>
          <cell r="BH265">
            <v>-1590.83</v>
          </cell>
          <cell r="BI265">
            <v>-2439.52</v>
          </cell>
          <cell r="BJ265">
            <v>-1730.69</v>
          </cell>
          <cell r="BK265">
            <v>-3629.65</v>
          </cell>
          <cell r="BL265">
            <v>-1400.45</v>
          </cell>
          <cell r="BM265">
            <v>-7388.25</v>
          </cell>
          <cell r="BN265">
            <v>-8121.61</v>
          </cell>
          <cell r="BO265">
            <v>-7071.69</v>
          </cell>
          <cell r="BP265">
            <v>-12964.12</v>
          </cell>
          <cell r="BQ265">
            <v>-7384.29</v>
          </cell>
          <cell r="BR265">
            <v>-4506.6499999999996</v>
          </cell>
          <cell r="BS265">
            <v>-4627.4799999999996</v>
          </cell>
          <cell r="BT265">
            <v>-62855.23000000001</v>
          </cell>
          <cell r="BU265">
            <v>-1953.4</v>
          </cell>
          <cell r="BV265">
            <v>-1717.81</v>
          </cell>
          <cell r="BW265">
            <v>-5381.02</v>
          </cell>
          <cell r="BX265">
            <v>-1078.19</v>
          </cell>
          <cell r="BY265">
            <v>-4342.03</v>
          </cell>
          <cell r="BZ265">
            <v>-1446.1</v>
          </cell>
          <cell r="CA265">
            <v>-2939.82</v>
          </cell>
          <cell r="CE265">
            <v>-18858.370000000003</v>
          </cell>
          <cell r="CG265">
            <v>0</v>
          </cell>
        </row>
        <row r="266">
          <cell r="A266" t="str">
            <v>4.2.1.2.05.00004</v>
          </cell>
          <cell r="B266" t="str">
            <v>MATERIAL DE INFORMATICA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-198.3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-29</v>
          </cell>
          <cell r="Z266">
            <v>-344.07</v>
          </cell>
          <cell r="AA266">
            <v>-598.57000000000005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-971.6400000000001</v>
          </cell>
          <cell r="AH266">
            <v>0</v>
          </cell>
          <cell r="AI266">
            <v>-10</v>
          </cell>
          <cell r="AJ266">
            <v>-315.47000000000003</v>
          </cell>
          <cell r="AK266">
            <v>-12</v>
          </cell>
          <cell r="AL266">
            <v>0</v>
          </cell>
          <cell r="AM266">
            <v>0</v>
          </cell>
          <cell r="AN266">
            <v>-278</v>
          </cell>
          <cell r="AO266">
            <v>0</v>
          </cell>
          <cell r="AP266">
            <v>0</v>
          </cell>
          <cell r="AQ266">
            <v>0</v>
          </cell>
          <cell r="AR266">
            <v>-249.98</v>
          </cell>
          <cell r="AS266">
            <v>-830.51</v>
          </cell>
          <cell r="AT266">
            <v>-1695.96</v>
          </cell>
          <cell r="AU266">
            <v>-98</v>
          </cell>
          <cell r="AV266">
            <v>-48</v>
          </cell>
          <cell r="AW266">
            <v>0</v>
          </cell>
          <cell r="AX266">
            <v>0</v>
          </cell>
          <cell r="AY266">
            <v>-1796</v>
          </cell>
          <cell r="AZ266">
            <v>-180</v>
          </cell>
          <cell r="BA266">
            <v>-159</v>
          </cell>
          <cell r="BB266">
            <v>0</v>
          </cell>
          <cell r="BC266">
            <v>-40</v>
          </cell>
          <cell r="BD266">
            <v>0</v>
          </cell>
          <cell r="BE266">
            <v>-1333</v>
          </cell>
          <cell r="BF266">
            <v>0</v>
          </cell>
          <cell r="BG266">
            <v>-3654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-520.79999999999995</v>
          </cell>
          <cell r="BP266">
            <v>-499.77</v>
          </cell>
          <cell r="BQ266">
            <v>0</v>
          </cell>
          <cell r="BR266">
            <v>0</v>
          </cell>
          <cell r="BS266">
            <v>0</v>
          </cell>
          <cell r="BT266">
            <v>-1020.5699999999999</v>
          </cell>
          <cell r="BU266">
            <v>0</v>
          </cell>
          <cell r="BV266">
            <v>0</v>
          </cell>
          <cell r="BW266">
            <v>-12</v>
          </cell>
          <cell r="BX266">
            <v>0</v>
          </cell>
          <cell r="BY266">
            <v>-199</v>
          </cell>
          <cell r="BZ266">
            <v>-361.32</v>
          </cell>
          <cell r="CA266">
            <v>0</v>
          </cell>
          <cell r="CE266">
            <v>-572.31999999999994</v>
          </cell>
          <cell r="CG266">
            <v>0</v>
          </cell>
        </row>
        <row r="267">
          <cell r="A267" t="str">
            <v>4.2.1.2.05.00005</v>
          </cell>
          <cell r="B267" t="str">
            <v>MATERIAL DE MANUTENCAO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-2802.25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-42.42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-42.42</v>
          </cell>
          <cell r="U267">
            <v>0</v>
          </cell>
          <cell r="V267">
            <v>-22</v>
          </cell>
          <cell r="W267">
            <v>0</v>
          </cell>
          <cell r="X267">
            <v>0</v>
          </cell>
          <cell r="Y267">
            <v>-244.64</v>
          </cell>
          <cell r="Z267">
            <v>0</v>
          </cell>
          <cell r="AA267">
            <v>0</v>
          </cell>
          <cell r="AB267">
            <v>-106</v>
          </cell>
          <cell r="AC267">
            <v>0</v>
          </cell>
          <cell r="AD267">
            <v>0</v>
          </cell>
          <cell r="AE267">
            <v>-46.5</v>
          </cell>
          <cell r="AF267">
            <v>0</v>
          </cell>
          <cell r="AG267">
            <v>-419.14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-173.7</v>
          </cell>
          <cell r="AY267">
            <v>-82.35</v>
          </cell>
          <cell r="AZ267">
            <v>-37.68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-293.72999999999996</v>
          </cell>
          <cell r="BH267">
            <v>-149.97999999999999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-1305.45</v>
          </cell>
          <cell r="BN267">
            <v>0</v>
          </cell>
          <cell r="BO267">
            <v>-530.28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-1985.71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E267">
            <v>0</v>
          </cell>
          <cell r="CG267">
            <v>0</v>
          </cell>
        </row>
        <row r="268">
          <cell r="A268" t="str">
            <v>4.2.1.2.06</v>
          </cell>
          <cell r="B268" t="str">
            <v>DESPESAS DE VIAGENS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-15418.27</v>
          </cell>
          <cell r="H268">
            <v>-511.25</v>
          </cell>
          <cell r="I268">
            <v>-567.1</v>
          </cell>
          <cell r="J268">
            <v>-3348.49</v>
          </cell>
          <cell r="K268">
            <v>-520.91</v>
          </cell>
          <cell r="L268">
            <v>-1432.65</v>
          </cell>
          <cell r="M268">
            <v>-3250.38</v>
          </cell>
          <cell r="N268">
            <v>-1024.6199999999999</v>
          </cell>
          <cell r="O268">
            <v>-1156.8699999999999</v>
          </cell>
          <cell r="P268">
            <v>-1835.58</v>
          </cell>
          <cell r="Q268">
            <v>-1766.33</v>
          </cell>
          <cell r="R268">
            <v>-4735.92</v>
          </cell>
          <cell r="S268">
            <v>-687.13</v>
          </cell>
          <cell r="T268">
            <v>-20837.23</v>
          </cell>
          <cell r="U268">
            <v>-2274.6799999999998</v>
          </cell>
          <cell r="V268">
            <v>-1999.34</v>
          </cell>
          <cell r="W268">
            <v>-4578.3999999999996</v>
          </cell>
          <cell r="X268">
            <v>-1142.78</v>
          </cell>
          <cell r="Y268">
            <v>-640.58000000000004</v>
          </cell>
          <cell r="Z268">
            <v>-531.20000000000005</v>
          </cell>
          <cell r="AA268">
            <v>-617.49</v>
          </cell>
          <cell r="AB268">
            <v>-1168.3800000000001</v>
          </cell>
          <cell r="AC268">
            <v>-419.89</v>
          </cell>
          <cell r="AD268">
            <v>-1056.42</v>
          </cell>
          <cell r="AE268">
            <v>-472.54</v>
          </cell>
          <cell r="AF268">
            <v>-3183.59</v>
          </cell>
          <cell r="AG268">
            <v>-18085.29</v>
          </cell>
          <cell r="AH268">
            <v>-458.34</v>
          </cell>
          <cell r="AI268">
            <v>1921.8700000000001</v>
          </cell>
          <cell r="AJ268">
            <v>-256.68</v>
          </cell>
          <cell r="AK268">
            <v>-249.07</v>
          </cell>
          <cell r="AL268">
            <v>-469.14</v>
          </cell>
          <cell r="AM268">
            <v>-458.21</v>
          </cell>
          <cell r="AN268">
            <v>-501.81</v>
          </cell>
          <cell r="AO268">
            <v>-504.58</v>
          </cell>
          <cell r="AP268">
            <v>-475.13</v>
          </cell>
          <cell r="AQ268">
            <v>-566.39</v>
          </cell>
          <cell r="AR268">
            <v>-564.83000000000004</v>
          </cell>
          <cell r="AS268">
            <v>-915.39</v>
          </cell>
          <cell r="AT268">
            <v>-3497.6999999999994</v>
          </cell>
          <cell r="AU268">
            <v>-562.59</v>
          </cell>
          <cell r="AV268">
            <v>-1823.58</v>
          </cell>
          <cell r="AW268">
            <v>-968.51</v>
          </cell>
          <cell r="AX268">
            <v>-1885.41</v>
          </cell>
          <cell r="AY268">
            <v>-1460.53</v>
          </cell>
          <cell r="AZ268">
            <v>-1301.8499999999999</v>
          </cell>
          <cell r="BA268">
            <v>-2080.92</v>
          </cell>
          <cell r="BB268">
            <v>-3008.09</v>
          </cell>
          <cell r="BC268">
            <v>-5811.16</v>
          </cell>
          <cell r="BD268">
            <v>-3996.12</v>
          </cell>
          <cell r="BE268">
            <v>-6739.93</v>
          </cell>
          <cell r="BF268">
            <v>-10430.65</v>
          </cell>
          <cell r="BG268">
            <v>-40069.339999999997</v>
          </cell>
          <cell r="BH268">
            <v>-2305.59</v>
          </cell>
          <cell r="BI268">
            <v>-1503.84</v>
          </cell>
          <cell r="BJ268">
            <v>-3108.23</v>
          </cell>
          <cell r="BK268">
            <v>-4015.51</v>
          </cell>
          <cell r="BL268">
            <v>-2930.59</v>
          </cell>
          <cell r="BM268">
            <v>-3333.95</v>
          </cell>
          <cell r="BN268">
            <v>-2732.45</v>
          </cell>
          <cell r="BO268">
            <v>-4904.76</v>
          </cell>
          <cell r="BP268">
            <v>-11578.82</v>
          </cell>
          <cell r="BQ268">
            <v>-7248.23</v>
          </cell>
          <cell r="BR268">
            <v>-2399.46</v>
          </cell>
          <cell r="BS268">
            <v>-2327.62</v>
          </cell>
          <cell r="BT268">
            <v>-48389.05</v>
          </cell>
          <cell r="BU268">
            <v>-4287.07</v>
          </cell>
          <cell r="BV268">
            <v>-3547.58</v>
          </cell>
          <cell r="BW268">
            <v>-3413.34</v>
          </cell>
          <cell r="BX268">
            <v>-2217.66</v>
          </cell>
          <cell r="BY268">
            <v>-7456.89</v>
          </cell>
          <cell r="BZ268">
            <v>-3771.67</v>
          </cell>
          <cell r="CA268">
            <v>-2855.27</v>
          </cell>
          <cell r="CE268">
            <v>-27549.48</v>
          </cell>
          <cell r="CG268">
            <v>0</v>
          </cell>
        </row>
        <row r="269">
          <cell r="A269" t="str">
            <v>4.2.1.2.06.00002</v>
          </cell>
          <cell r="B269" t="str">
            <v>COMBUSTIVEL E LUBRIFICANTES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-4566.25</v>
          </cell>
          <cell r="H269">
            <v>-357.4</v>
          </cell>
          <cell r="I269">
            <v>-565.35</v>
          </cell>
          <cell r="J269">
            <v>-539.99</v>
          </cell>
          <cell r="K269">
            <v>-505.76</v>
          </cell>
          <cell r="L269">
            <v>-579.25</v>
          </cell>
          <cell r="M269">
            <v>-816.28</v>
          </cell>
          <cell r="N269">
            <v>-1014.12</v>
          </cell>
          <cell r="O269">
            <v>-1085.77</v>
          </cell>
          <cell r="P269">
            <v>-1110.47</v>
          </cell>
          <cell r="Q269">
            <v>-1271.32</v>
          </cell>
          <cell r="R269">
            <v>-221.32</v>
          </cell>
          <cell r="S269">
            <v>-214.48</v>
          </cell>
          <cell r="T269">
            <v>-8281.51</v>
          </cell>
          <cell r="U269">
            <v>-704.88</v>
          </cell>
          <cell r="V269">
            <v>-1053.32</v>
          </cell>
          <cell r="W269">
            <v>-649.4</v>
          </cell>
          <cell r="X269">
            <v>-908.54</v>
          </cell>
          <cell r="Y269">
            <v>-638.83000000000004</v>
          </cell>
          <cell r="Z269">
            <v>-521.70000000000005</v>
          </cell>
          <cell r="AA269">
            <v>-423.57</v>
          </cell>
          <cell r="AB269">
            <v>-1168.3800000000001</v>
          </cell>
          <cell r="AC269">
            <v>-419.89</v>
          </cell>
          <cell r="AD269">
            <v>-497.82</v>
          </cell>
          <cell r="AE269">
            <v>-455.84</v>
          </cell>
          <cell r="AF269">
            <v>-433.99</v>
          </cell>
          <cell r="AG269">
            <v>-7876.16</v>
          </cell>
          <cell r="AH269">
            <v>-432.09</v>
          </cell>
          <cell r="AI269">
            <v>-433.99</v>
          </cell>
          <cell r="AJ269">
            <v>-183.02</v>
          </cell>
          <cell r="AK269">
            <v>-249.07</v>
          </cell>
          <cell r="AL269">
            <v>-469.14</v>
          </cell>
          <cell r="AM269">
            <v>-456.46</v>
          </cell>
          <cell r="AN269">
            <v>-456.46</v>
          </cell>
          <cell r="AO269">
            <v>-504.58</v>
          </cell>
          <cell r="AP269">
            <v>-475.13</v>
          </cell>
          <cell r="AQ269">
            <v>-566.39</v>
          </cell>
          <cell r="AR269">
            <v>-564.83000000000004</v>
          </cell>
          <cell r="AS269">
            <v>-560.35</v>
          </cell>
          <cell r="AT269">
            <v>-5351.51</v>
          </cell>
          <cell r="AU269">
            <v>-562.59</v>
          </cell>
          <cell r="AV269">
            <v>-643.83000000000004</v>
          </cell>
          <cell r="AW269">
            <v>-968.51</v>
          </cell>
          <cell r="AX269">
            <v>-1813.41</v>
          </cell>
          <cell r="AY269">
            <v>-632.4</v>
          </cell>
          <cell r="AZ269">
            <v>-586.85</v>
          </cell>
          <cell r="BA269">
            <v>-645.72</v>
          </cell>
          <cell r="BB269">
            <v>-615.59</v>
          </cell>
          <cell r="BC269">
            <v>-1083.67</v>
          </cell>
          <cell r="BD269">
            <v>-770.92</v>
          </cell>
          <cell r="BE269">
            <v>-771.48</v>
          </cell>
          <cell r="BF269">
            <v>-1065.32</v>
          </cell>
          <cell r="BG269">
            <v>-10160.289999999999</v>
          </cell>
          <cell r="BH269">
            <v>-1125.5899999999999</v>
          </cell>
          <cell r="BI269">
            <v>-1503.84</v>
          </cell>
          <cell r="BJ269">
            <v>-2407.23</v>
          </cell>
          <cell r="BK269">
            <v>-1011.51</v>
          </cell>
          <cell r="BL269">
            <v>-1949.19</v>
          </cell>
          <cell r="BM269">
            <v>-1001.05</v>
          </cell>
          <cell r="BN269">
            <v>-997.51</v>
          </cell>
          <cell r="BO269">
            <v>-1882.24</v>
          </cell>
          <cell r="BP269">
            <v>-1033.4000000000001</v>
          </cell>
          <cell r="BQ269">
            <v>-2943.45</v>
          </cell>
          <cell r="BR269">
            <v>-1121.69</v>
          </cell>
          <cell r="BS269">
            <v>-1047.02</v>
          </cell>
          <cell r="BT269">
            <v>-18023.719999999998</v>
          </cell>
          <cell r="BU269">
            <v>-2127.41</v>
          </cell>
          <cell r="BV269">
            <v>-1503.34</v>
          </cell>
          <cell r="BW269">
            <v>-1220.99</v>
          </cell>
          <cell r="BX269">
            <v>-1357.97</v>
          </cell>
          <cell r="BY269">
            <v>-1805.45</v>
          </cell>
          <cell r="BZ269">
            <v>-1724.62</v>
          </cell>
          <cell r="CA269">
            <v>-1322.87</v>
          </cell>
          <cell r="CE269">
            <v>-11062.649999999998</v>
          </cell>
          <cell r="CG269">
            <v>0</v>
          </cell>
        </row>
        <row r="270">
          <cell r="A270" t="str">
            <v>4.2.1.2.06.00003</v>
          </cell>
          <cell r="B270" t="str">
            <v>ESTADIAS E REFEICOES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-10385.200000000001</v>
          </cell>
          <cell r="H270">
            <v>-153.85</v>
          </cell>
          <cell r="I270">
            <v>0</v>
          </cell>
          <cell r="J270">
            <v>-2805</v>
          </cell>
          <cell r="K270">
            <v>-13.9</v>
          </cell>
          <cell r="L270">
            <v>-788.8</v>
          </cell>
          <cell r="M270">
            <v>-1589.55</v>
          </cell>
          <cell r="N270">
            <v>-10.5</v>
          </cell>
          <cell r="O270">
            <v>-69.900000000000006</v>
          </cell>
          <cell r="P270">
            <v>-725.11</v>
          </cell>
          <cell r="Q270">
            <v>-475.01</v>
          </cell>
          <cell r="R270">
            <v>-2456.42</v>
          </cell>
          <cell r="S270">
            <v>-467.4</v>
          </cell>
          <cell r="T270">
            <v>-9555.44</v>
          </cell>
          <cell r="U270">
            <v>-275</v>
          </cell>
          <cell r="V270">
            <v>-417.52</v>
          </cell>
          <cell r="W270">
            <v>-3929</v>
          </cell>
          <cell r="X270">
            <v>-232.49</v>
          </cell>
          <cell r="Y270">
            <v>0</v>
          </cell>
          <cell r="Z270">
            <v>-6</v>
          </cell>
          <cell r="AA270">
            <v>-193.92</v>
          </cell>
          <cell r="AB270">
            <v>0</v>
          </cell>
          <cell r="AC270">
            <v>0</v>
          </cell>
          <cell r="AD270">
            <v>-556.85</v>
          </cell>
          <cell r="AE270">
            <v>-14.95</v>
          </cell>
          <cell r="AF270">
            <v>-2747.85</v>
          </cell>
          <cell r="AG270">
            <v>-8373.58</v>
          </cell>
          <cell r="AH270">
            <v>-24.5</v>
          </cell>
          <cell r="AI270">
            <v>2355.86</v>
          </cell>
          <cell r="AJ270">
            <v>-73.66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-355.04</v>
          </cell>
          <cell r="AT270">
            <v>1902.6600000000003</v>
          </cell>
          <cell r="AU270">
            <v>0</v>
          </cell>
          <cell r="AV270">
            <v>-1179.75</v>
          </cell>
          <cell r="AW270">
            <v>0</v>
          </cell>
          <cell r="AX270">
            <v>-72</v>
          </cell>
          <cell r="AY270">
            <v>-828.13</v>
          </cell>
          <cell r="AZ270">
            <v>-715</v>
          </cell>
          <cell r="BA270">
            <v>-657</v>
          </cell>
          <cell r="BB270">
            <v>-2392.5</v>
          </cell>
          <cell r="BC270">
            <v>-1484.62</v>
          </cell>
          <cell r="BD270">
            <v>-922.67</v>
          </cell>
          <cell r="BE270">
            <v>-4018.69</v>
          </cell>
          <cell r="BF270">
            <v>-732</v>
          </cell>
          <cell r="BG270">
            <v>-13002.36</v>
          </cell>
          <cell r="BH270">
            <v>-1180</v>
          </cell>
          <cell r="BI270">
            <v>0</v>
          </cell>
          <cell r="BJ270">
            <v>-701</v>
          </cell>
          <cell r="BK270">
            <v>-3004</v>
          </cell>
          <cell r="BL270">
            <v>-823</v>
          </cell>
          <cell r="BM270">
            <v>-1781</v>
          </cell>
          <cell r="BN270">
            <v>-1734.94</v>
          </cell>
          <cell r="BO270">
            <v>-3002.12</v>
          </cell>
          <cell r="BP270">
            <v>-10545.42</v>
          </cell>
          <cell r="BQ270">
            <v>-1490.66</v>
          </cell>
          <cell r="BR270">
            <v>-1277.77</v>
          </cell>
          <cell r="BS270">
            <v>-1280.5999999999999</v>
          </cell>
          <cell r="BT270">
            <v>-26820.510000000002</v>
          </cell>
          <cell r="BU270">
            <v>-1538</v>
          </cell>
          <cell r="BV270">
            <v>-2044.24</v>
          </cell>
          <cell r="BW270">
            <v>-2192.35</v>
          </cell>
          <cell r="BX270">
            <v>-378</v>
          </cell>
          <cell r="BY270">
            <v>-4731.53</v>
          </cell>
          <cell r="BZ270">
            <v>-1908.2</v>
          </cell>
          <cell r="CA270">
            <v>-1532.4</v>
          </cell>
          <cell r="CE270">
            <v>-14324.72</v>
          </cell>
          <cell r="CG270">
            <v>0</v>
          </cell>
        </row>
        <row r="271">
          <cell r="A271" t="str">
            <v>4.2.1.2.07</v>
          </cell>
          <cell r="B271" t="str">
            <v>DESPESAS COM VEICULOS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-736.45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-1210.9000000000001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-80</v>
          </cell>
          <cell r="R271">
            <v>0</v>
          </cell>
          <cell r="S271">
            <v>0</v>
          </cell>
          <cell r="T271">
            <v>-1290.9000000000001</v>
          </cell>
          <cell r="U271">
            <v>0</v>
          </cell>
          <cell r="V271">
            <v>0</v>
          </cell>
          <cell r="W271">
            <v>0</v>
          </cell>
          <cell r="X271">
            <v>-415.38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-415.38</v>
          </cell>
          <cell r="AH271">
            <v>0</v>
          </cell>
          <cell r="AI271">
            <v>0</v>
          </cell>
          <cell r="AJ271">
            <v>-266.19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-266.19</v>
          </cell>
          <cell r="AU271">
            <v>0</v>
          </cell>
          <cell r="AV271">
            <v>-40</v>
          </cell>
          <cell r="AW271">
            <v>-416.52</v>
          </cell>
          <cell r="AX271">
            <v>-104.13</v>
          </cell>
          <cell r="AY271">
            <v>0</v>
          </cell>
          <cell r="AZ271">
            <v>104.13</v>
          </cell>
          <cell r="BA271">
            <v>208.26</v>
          </cell>
          <cell r="BB271">
            <v>208.26</v>
          </cell>
          <cell r="BC271">
            <v>0</v>
          </cell>
          <cell r="BD271">
            <v>0</v>
          </cell>
          <cell r="BE271">
            <v>0</v>
          </cell>
          <cell r="BF271">
            <v>-205.46</v>
          </cell>
          <cell r="BG271">
            <v>-245.46</v>
          </cell>
          <cell r="BH271">
            <v>0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  <cell r="BP271">
            <v>0</v>
          </cell>
          <cell r="BQ271">
            <v>-1000</v>
          </cell>
          <cell r="BR271">
            <v>0</v>
          </cell>
          <cell r="BS271">
            <v>0</v>
          </cell>
          <cell r="BT271">
            <v>-1000</v>
          </cell>
          <cell r="BU271">
            <v>0</v>
          </cell>
          <cell r="BV271">
            <v>-2286</v>
          </cell>
          <cell r="BW271">
            <v>0</v>
          </cell>
          <cell r="BX271">
            <v>-6097.75</v>
          </cell>
          <cell r="BY271">
            <v>-885.55</v>
          </cell>
          <cell r="BZ271">
            <v>-305.05</v>
          </cell>
          <cell r="CA271">
            <v>-1116.98</v>
          </cell>
          <cell r="CE271">
            <v>-10691.329999999998</v>
          </cell>
          <cell r="CG271">
            <v>0</v>
          </cell>
        </row>
        <row r="272">
          <cell r="A272" t="str">
            <v>4.2.1.2.07.00004</v>
          </cell>
          <cell r="B272" t="str">
            <v>IPVA / LICENCIAMENTO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-297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-297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-266.19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-266.19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0</v>
          </cell>
          <cell r="BI272">
            <v>0</v>
          </cell>
          <cell r="BJ272">
            <v>0</v>
          </cell>
          <cell r="BK272">
            <v>0</v>
          </cell>
          <cell r="BL272">
            <v>0</v>
          </cell>
          <cell r="BM272">
            <v>0</v>
          </cell>
          <cell r="BN272">
            <v>0</v>
          </cell>
          <cell r="BO272">
            <v>0</v>
          </cell>
          <cell r="BP272">
            <v>0</v>
          </cell>
          <cell r="BQ272">
            <v>0</v>
          </cell>
          <cell r="BR272">
            <v>0</v>
          </cell>
          <cell r="BS272">
            <v>0</v>
          </cell>
          <cell r="BT272">
            <v>0</v>
          </cell>
          <cell r="BU272">
            <v>0</v>
          </cell>
          <cell r="BV272">
            <v>0</v>
          </cell>
          <cell r="BW272">
            <v>0</v>
          </cell>
          <cell r="BX272">
            <v>-287.05</v>
          </cell>
          <cell r="BY272">
            <v>-287.05</v>
          </cell>
          <cell r="BZ272">
            <v>-287.05</v>
          </cell>
          <cell r="CA272">
            <v>-327.05</v>
          </cell>
          <cell r="CE272">
            <v>-1188.2</v>
          </cell>
          <cell r="CG272">
            <v>0</v>
          </cell>
        </row>
        <row r="273">
          <cell r="A273" t="str">
            <v>4.2.1.2.07.00005</v>
          </cell>
          <cell r="B273" t="str">
            <v>MULTA TRANSITO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-285.58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-913.9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-913.9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-416.52</v>
          </cell>
          <cell r="AX273">
            <v>-104.13</v>
          </cell>
          <cell r="AY273">
            <v>0</v>
          </cell>
          <cell r="AZ273">
            <v>104.13</v>
          </cell>
          <cell r="BA273">
            <v>208.26</v>
          </cell>
          <cell r="BB273">
            <v>208.26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0</v>
          </cell>
          <cell r="BJ273">
            <v>0</v>
          </cell>
          <cell r="BK273">
            <v>0</v>
          </cell>
          <cell r="BL273">
            <v>0</v>
          </cell>
          <cell r="BM273">
            <v>0</v>
          </cell>
          <cell r="BN273">
            <v>0</v>
          </cell>
          <cell r="BO273">
            <v>0</v>
          </cell>
          <cell r="BP273">
            <v>0</v>
          </cell>
          <cell r="BQ273">
            <v>0</v>
          </cell>
          <cell r="BR273">
            <v>0</v>
          </cell>
          <cell r="BS273">
            <v>0</v>
          </cell>
          <cell r="BT273">
            <v>0</v>
          </cell>
          <cell r="BU273">
            <v>0</v>
          </cell>
          <cell r="BV273">
            <v>-2286</v>
          </cell>
          <cell r="BW273">
            <v>0</v>
          </cell>
          <cell r="BX273">
            <v>-5810.7</v>
          </cell>
          <cell r="BY273">
            <v>0</v>
          </cell>
          <cell r="BZ273">
            <v>0</v>
          </cell>
          <cell r="CA273">
            <v>0</v>
          </cell>
          <cell r="CE273">
            <v>-8096.7</v>
          </cell>
          <cell r="CG273">
            <v>0</v>
          </cell>
        </row>
        <row r="274">
          <cell r="A274" t="str">
            <v>4.2.1.2.08</v>
          </cell>
          <cell r="B274" t="str">
            <v>DESPESAS GERAIS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-48820.38</v>
          </cell>
          <cell r="H274">
            <v>-1275.9000000000001</v>
          </cell>
          <cell r="I274">
            <v>-670</v>
          </cell>
          <cell r="J274">
            <v>-2238.6</v>
          </cell>
          <cell r="K274">
            <v>-670</v>
          </cell>
          <cell r="L274">
            <v>-759.6</v>
          </cell>
          <cell r="M274">
            <v>-1305.7</v>
          </cell>
          <cell r="N274">
            <v>-880.19</v>
          </cell>
          <cell r="O274">
            <v>-1902.36</v>
          </cell>
          <cell r="P274">
            <v>-3059.75</v>
          </cell>
          <cell r="Q274">
            <v>-1937.03</v>
          </cell>
          <cell r="R274">
            <v>-1966.05</v>
          </cell>
          <cell r="S274">
            <v>-129.99</v>
          </cell>
          <cell r="T274">
            <v>-16795.170000000002</v>
          </cell>
          <cell r="U274">
            <v>-3224</v>
          </cell>
          <cell r="V274">
            <v>-825.86</v>
          </cell>
          <cell r="W274">
            <v>-4100.1099999999997</v>
          </cell>
          <cell r="X274">
            <v>-3081.1</v>
          </cell>
          <cell r="Y274">
            <v>-928.18</v>
          </cell>
          <cell r="Z274">
            <v>-1206</v>
          </cell>
          <cell r="AA274">
            <v>-7542.49</v>
          </cell>
          <cell r="AB274">
            <v>-6374.55</v>
          </cell>
          <cell r="AC274">
            <v>-3370.09</v>
          </cell>
          <cell r="AD274">
            <v>-13493.73</v>
          </cell>
          <cell r="AE274">
            <v>-628.17999999999995</v>
          </cell>
          <cell r="AF274">
            <v>-3521.6</v>
          </cell>
          <cell r="AG274">
            <v>-48295.89</v>
          </cell>
          <cell r="AH274">
            <v>-910.8</v>
          </cell>
          <cell r="AI274">
            <v>-3087.26</v>
          </cell>
          <cell r="AJ274">
            <v>-725</v>
          </cell>
          <cell r="AK274">
            <v>-2109.5</v>
          </cell>
          <cell r="AL274">
            <v>-550</v>
          </cell>
          <cell r="AM274">
            <v>-1461.95</v>
          </cell>
          <cell r="AN274">
            <v>-992.67</v>
          </cell>
          <cell r="AO274">
            <v>-6650</v>
          </cell>
          <cell r="AP274">
            <v>-5312.9</v>
          </cell>
          <cell r="AQ274">
            <v>-444.99</v>
          </cell>
          <cell r="AR274">
            <v>-2370.6799999999998</v>
          </cell>
          <cell r="AS274">
            <v>-1786</v>
          </cell>
          <cell r="AT274">
            <v>-26401.750000000004</v>
          </cell>
          <cell r="AU274">
            <v>-3436.07</v>
          </cell>
          <cell r="AV274">
            <v>-1735.37</v>
          </cell>
          <cell r="AW274">
            <v>-1974.43</v>
          </cell>
          <cell r="AX274">
            <v>-15058.52</v>
          </cell>
          <cell r="AY274">
            <v>-28500.45</v>
          </cell>
          <cell r="AZ274">
            <v>-21934.639999999999</v>
          </cell>
          <cell r="BA274">
            <v>-17683.95</v>
          </cell>
          <cell r="BB274">
            <v>-2957.97</v>
          </cell>
          <cell r="BC274">
            <v>-11917</v>
          </cell>
          <cell r="BD274">
            <v>-21623.87</v>
          </cell>
          <cell r="BE274">
            <v>-39248.54</v>
          </cell>
          <cell r="BF274">
            <v>-12817.21</v>
          </cell>
          <cell r="BG274">
            <v>-178888.02</v>
          </cell>
          <cell r="BH274">
            <v>-13512.78</v>
          </cell>
          <cell r="BI274">
            <v>-4768.29</v>
          </cell>
          <cell r="BJ274">
            <v>-6600.25</v>
          </cell>
          <cell r="BK274">
            <v>-7710.37</v>
          </cell>
          <cell r="BL274">
            <v>-9993.2900000000009</v>
          </cell>
          <cell r="BM274">
            <v>-3923.07</v>
          </cell>
          <cell r="BN274">
            <v>-3792.64</v>
          </cell>
          <cell r="BO274">
            <v>-2516.77</v>
          </cell>
          <cell r="BP274">
            <v>-1105.8900000000001</v>
          </cell>
          <cell r="BQ274">
            <v>-819.21</v>
          </cell>
          <cell r="BR274">
            <v>-704.87</v>
          </cell>
          <cell r="BS274">
            <v>-14532.62</v>
          </cell>
          <cell r="BT274">
            <v>-69980.049999999988</v>
          </cell>
          <cell r="BU274">
            <v>-10653.01</v>
          </cell>
          <cell r="BV274">
            <v>-1782.91</v>
          </cell>
          <cell r="BW274">
            <v>-7961.68</v>
          </cell>
          <cell r="BX274">
            <v>-16625.45</v>
          </cell>
          <cell r="BY274">
            <v>-87701.22</v>
          </cell>
          <cell r="BZ274">
            <v>-15876.31</v>
          </cell>
          <cell r="CA274">
            <v>-15539.37</v>
          </cell>
          <cell r="CE274">
            <v>-156139.95000000001</v>
          </cell>
          <cell r="CG274">
            <v>0</v>
          </cell>
        </row>
        <row r="275">
          <cell r="A275" t="str">
            <v>4.2.1.2.08.00001</v>
          </cell>
          <cell r="B275" t="str">
            <v>ALUGUEL DE BENS MOVEIS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-32518.799999999999</v>
          </cell>
          <cell r="H275">
            <v>-670</v>
          </cell>
          <cell r="I275">
            <v>-670</v>
          </cell>
          <cell r="J275">
            <v>-670</v>
          </cell>
          <cell r="K275">
            <v>-670</v>
          </cell>
          <cell r="L275">
            <v>-670</v>
          </cell>
          <cell r="M275">
            <v>-670</v>
          </cell>
          <cell r="N275">
            <v>-822.73</v>
          </cell>
          <cell r="O275">
            <v>-711</v>
          </cell>
          <cell r="P275">
            <v>-1925</v>
          </cell>
          <cell r="Q275">
            <v>-875</v>
          </cell>
          <cell r="R275">
            <v>-725</v>
          </cell>
          <cell r="S275">
            <v>-117</v>
          </cell>
          <cell r="T275">
            <v>-9195.73</v>
          </cell>
          <cell r="U275">
            <v>-725</v>
          </cell>
          <cell r="V275">
            <v>-725</v>
          </cell>
          <cell r="W275">
            <v>-3412</v>
          </cell>
          <cell r="X275">
            <v>-725</v>
          </cell>
          <cell r="Y275">
            <v>-875</v>
          </cell>
          <cell r="Z275">
            <v>-1206</v>
          </cell>
          <cell r="AA275">
            <v>-7542.49</v>
          </cell>
          <cell r="AB275">
            <v>-6374.55</v>
          </cell>
          <cell r="AC275">
            <v>-733.75</v>
          </cell>
          <cell r="AD275">
            <v>-5902.5</v>
          </cell>
          <cell r="AE275">
            <v>-575</v>
          </cell>
          <cell r="AF275">
            <v>-725</v>
          </cell>
          <cell r="AG275">
            <v>-29521.29</v>
          </cell>
          <cell r="AH275">
            <v>-725</v>
          </cell>
          <cell r="AI275">
            <v>-575</v>
          </cell>
          <cell r="AJ275">
            <v>-725</v>
          </cell>
          <cell r="AK275">
            <v>0</v>
          </cell>
          <cell r="AL275">
            <v>-550</v>
          </cell>
          <cell r="AM275">
            <v>-1191</v>
          </cell>
          <cell r="AN275">
            <v>-125</v>
          </cell>
          <cell r="AO275">
            <v>-650</v>
          </cell>
          <cell r="AP275">
            <v>-5285</v>
          </cell>
          <cell r="AQ275">
            <v>-125</v>
          </cell>
          <cell r="AR275">
            <v>-2370.6799999999998</v>
          </cell>
          <cell r="AS275">
            <v>-1786</v>
          </cell>
          <cell r="AT275">
            <v>-14107.68</v>
          </cell>
          <cell r="AU275">
            <v>-1786</v>
          </cell>
          <cell r="AV275">
            <v>-1505.37</v>
          </cell>
          <cell r="AW275">
            <v>-1974.43</v>
          </cell>
          <cell r="AX275">
            <v>-1774.2</v>
          </cell>
          <cell r="AY275">
            <v>-1908.45</v>
          </cell>
          <cell r="AZ275">
            <v>-3063.71</v>
          </cell>
          <cell r="BA275">
            <v>-1943.95</v>
          </cell>
          <cell r="BB275">
            <v>-1441.92</v>
          </cell>
          <cell r="BC275">
            <v>-2085.5</v>
          </cell>
          <cell r="BD275">
            <v>-9890.52</v>
          </cell>
          <cell r="BE275">
            <v>-26940.59</v>
          </cell>
          <cell r="BF275">
            <v>-1260.92</v>
          </cell>
          <cell r="BG275">
            <v>-55575.56</v>
          </cell>
          <cell r="BH275">
            <v>-1869.43</v>
          </cell>
          <cell r="BI275">
            <v>-1222.98</v>
          </cell>
          <cell r="BJ275">
            <v>-1658.8</v>
          </cell>
          <cell r="BK275">
            <v>-1182.3699999999999</v>
          </cell>
          <cell r="BL275">
            <v>-1109.43</v>
          </cell>
          <cell r="BM275">
            <v>-966.25</v>
          </cell>
          <cell r="BN275">
            <v>-845.43</v>
          </cell>
          <cell r="BO275">
            <v>-709.01</v>
          </cell>
          <cell r="BP275">
            <v>-1105.8900000000001</v>
          </cell>
          <cell r="BQ275">
            <v>-732.68</v>
          </cell>
          <cell r="BR275">
            <v>-704.87</v>
          </cell>
          <cell r="BS275">
            <v>-687.17</v>
          </cell>
          <cell r="BT275">
            <v>-12794.310000000001</v>
          </cell>
          <cell r="BU275">
            <v>-875.67</v>
          </cell>
          <cell r="BV275">
            <v>-932.91</v>
          </cell>
          <cell r="BW275">
            <v>-686.17</v>
          </cell>
          <cell r="BX275">
            <v>-719.76</v>
          </cell>
          <cell r="BY275">
            <v>-1400.32</v>
          </cell>
          <cell r="BZ275">
            <v>-846.07</v>
          </cell>
          <cell r="CA275">
            <v>-762.93</v>
          </cell>
          <cell r="CE275">
            <v>-6223.83</v>
          </cell>
          <cell r="CG275">
            <v>0</v>
          </cell>
        </row>
        <row r="276">
          <cell r="A276" t="str">
            <v>4.2.1.2.08.00002</v>
          </cell>
          <cell r="B276" t="str">
            <v>ANUNCIOS E PUBLICAÇÕES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-256</v>
          </cell>
          <cell r="H276">
            <v>-215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-215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-6000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-6000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-184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-184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  <cell r="BP276">
            <v>0</v>
          </cell>
          <cell r="BQ276">
            <v>0</v>
          </cell>
          <cell r="BR276">
            <v>0</v>
          </cell>
          <cell r="BS276">
            <v>0</v>
          </cell>
          <cell r="BT276">
            <v>0</v>
          </cell>
          <cell r="BU276">
            <v>0</v>
          </cell>
          <cell r="BV276">
            <v>0</v>
          </cell>
          <cell r="BW276">
            <v>0</v>
          </cell>
          <cell r="BX276">
            <v>0</v>
          </cell>
          <cell r="BY276">
            <v>0</v>
          </cell>
          <cell r="BZ276">
            <v>0</v>
          </cell>
          <cell r="CA276">
            <v>0</v>
          </cell>
          <cell r="CE276">
            <v>0</v>
          </cell>
          <cell r="CG276">
            <v>0</v>
          </cell>
        </row>
        <row r="277">
          <cell r="A277" t="str">
            <v>4.2.1.2.08.00003</v>
          </cell>
          <cell r="B277" t="str">
            <v>BENS DE PEQUENO VALOR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-445.49</v>
          </cell>
          <cell r="H277">
            <v>-366</v>
          </cell>
          <cell r="I277">
            <v>0</v>
          </cell>
          <cell r="J277">
            <v>-1134.2</v>
          </cell>
          <cell r="K277">
            <v>0</v>
          </cell>
          <cell r="L277">
            <v>-89.6</v>
          </cell>
          <cell r="M277">
            <v>0</v>
          </cell>
          <cell r="N277">
            <v>-57.46</v>
          </cell>
          <cell r="O277">
            <v>-1191.3599999999999</v>
          </cell>
          <cell r="P277">
            <v>0</v>
          </cell>
          <cell r="Q277">
            <v>0</v>
          </cell>
          <cell r="R277">
            <v>-1241.05</v>
          </cell>
          <cell r="S277">
            <v>0</v>
          </cell>
          <cell r="T277">
            <v>-4079.67</v>
          </cell>
          <cell r="U277">
            <v>-2499</v>
          </cell>
          <cell r="V277">
            <v>-100.86</v>
          </cell>
          <cell r="W277">
            <v>-688.11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-3287.9700000000003</v>
          </cell>
          <cell r="AH277">
            <v>0</v>
          </cell>
          <cell r="AI277">
            <v>-883.79</v>
          </cell>
          <cell r="AJ277">
            <v>0</v>
          </cell>
          <cell r="AK277">
            <v>0</v>
          </cell>
          <cell r="AL277">
            <v>0</v>
          </cell>
          <cell r="AM277">
            <v>-213</v>
          </cell>
          <cell r="AN277">
            <v>-867.67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-1964.46</v>
          </cell>
          <cell r="AU277">
            <v>0</v>
          </cell>
          <cell r="AV277">
            <v>-230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-230</v>
          </cell>
          <cell r="BH277">
            <v>0</v>
          </cell>
          <cell r="BI277">
            <v>0</v>
          </cell>
          <cell r="BJ277">
            <v>0</v>
          </cell>
          <cell r="BK277">
            <v>0</v>
          </cell>
          <cell r="BL277">
            <v>0</v>
          </cell>
          <cell r="BM277">
            <v>0</v>
          </cell>
          <cell r="BN277">
            <v>0</v>
          </cell>
          <cell r="BO277">
            <v>0</v>
          </cell>
          <cell r="BP277">
            <v>0</v>
          </cell>
          <cell r="BQ277">
            <v>0</v>
          </cell>
          <cell r="BR277">
            <v>0</v>
          </cell>
          <cell r="BS277">
            <v>0</v>
          </cell>
          <cell r="BT277">
            <v>0</v>
          </cell>
          <cell r="BU277">
            <v>0</v>
          </cell>
          <cell r="BV277">
            <v>0</v>
          </cell>
          <cell r="BW277">
            <v>0</v>
          </cell>
          <cell r="BX277">
            <v>0</v>
          </cell>
          <cell r="BY277">
            <v>0</v>
          </cell>
          <cell r="BZ277">
            <v>0</v>
          </cell>
          <cell r="CA277">
            <v>0</v>
          </cell>
          <cell r="CE277">
            <v>0</v>
          </cell>
          <cell r="CG277">
            <v>0</v>
          </cell>
        </row>
        <row r="278">
          <cell r="A278" t="str">
            <v>4.2.1.2.08.00004</v>
          </cell>
          <cell r="B278" t="str">
            <v>CONTRIB.A ASSOCIACAO DE CLASSE/SINDICATO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-1860.14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  <cell r="BP278">
            <v>0</v>
          </cell>
          <cell r="BQ278">
            <v>0</v>
          </cell>
          <cell r="BR278">
            <v>0</v>
          </cell>
          <cell r="BS278">
            <v>0</v>
          </cell>
          <cell r="BT278">
            <v>0</v>
          </cell>
          <cell r="BU278">
            <v>-6505.24</v>
          </cell>
          <cell r="BV278">
            <v>0</v>
          </cell>
          <cell r="BW278">
            <v>0</v>
          </cell>
          <cell r="BX278">
            <v>0</v>
          </cell>
          <cell r="BY278">
            <v>0</v>
          </cell>
          <cell r="BZ278">
            <v>0</v>
          </cell>
          <cell r="CA278">
            <v>0</v>
          </cell>
          <cell r="CE278">
            <v>-6505.24</v>
          </cell>
          <cell r="CG278">
            <v>0</v>
          </cell>
        </row>
        <row r="279">
          <cell r="A279" t="str">
            <v>4.2.1.2.08.00005</v>
          </cell>
          <cell r="B279" t="str">
            <v>DESPESAS LEGAIS E JUDICIAIS/CARTORARIAS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-5524.95</v>
          </cell>
          <cell r="H279">
            <v>0</v>
          </cell>
          <cell r="I279">
            <v>0</v>
          </cell>
          <cell r="J279">
            <v>-434.4</v>
          </cell>
          <cell r="K279">
            <v>0</v>
          </cell>
          <cell r="L279">
            <v>0</v>
          </cell>
          <cell r="M279">
            <v>-635.70000000000005</v>
          </cell>
          <cell r="N279">
            <v>0</v>
          </cell>
          <cell r="O279">
            <v>0</v>
          </cell>
          <cell r="P279">
            <v>-1134.75</v>
          </cell>
          <cell r="Q279">
            <v>-1062.03</v>
          </cell>
          <cell r="R279">
            <v>0</v>
          </cell>
          <cell r="S279">
            <v>-12.99</v>
          </cell>
          <cell r="T279">
            <v>-3279.87</v>
          </cell>
          <cell r="U279">
            <v>0</v>
          </cell>
          <cell r="V279">
            <v>0</v>
          </cell>
          <cell r="W279">
            <v>0</v>
          </cell>
          <cell r="X279">
            <v>-2356.1</v>
          </cell>
          <cell r="Y279">
            <v>-53.18</v>
          </cell>
          <cell r="Z279">
            <v>-518.54</v>
          </cell>
          <cell r="AA279">
            <v>0</v>
          </cell>
          <cell r="AB279">
            <v>0</v>
          </cell>
          <cell r="AC279">
            <v>-2636.34</v>
          </cell>
          <cell r="AD279">
            <v>-7591.23</v>
          </cell>
          <cell r="AE279">
            <v>-53.18</v>
          </cell>
          <cell r="AF279">
            <v>-171.6</v>
          </cell>
          <cell r="AG279">
            <v>-13380.17</v>
          </cell>
          <cell r="AH279">
            <v>-185.8</v>
          </cell>
          <cell r="AI279">
            <v>-1628.47</v>
          </cell>
          <cell r="AJ279">
            <v>0</v>
          </cell>
          <cell r="AK279">
            <v>-2109.5</v>
          </cell>
          <cell r="AL279">
            <v>0</v>
          </cell>
          <cell r="AM279">
            <v>-57.95</v>
          </cell>
          <cell r="AN279">
            <v>0</v>
          </cell>
          <cell r="AO279">
            <v>0</v>
          </cell>
          <cell r="AP279">
            <v>-27.9</v>
          </cell>
          <cell r="AQ279">
            <v>-319.99</v>
          </cell>
          <cell r="AR279">
            <v>0</v>
          </cell>
          <cell r="AS279">
            <v>0</v>
          </cell>
          <cell r="AT279">
            <v>-4329.6099999999997</v>
          </cell>
          <cell r="AU279">
            <v>-1650.07</v>
          </cell>
          <cell r="AV279">
            <v>0</v>
          </cell>
          <cell r="AW279">
            <v>0</v>
          </cell>
          <cell r="AX279">
            <v>-3934.72</v>
          </cell>
          <cell r="AY279">
            <v>0</v>
          </cell>
          <cell r="AZ279">
            <v>-601.01</v>
          </cell>
          <cell r="BA279">
            <v>-41.6</v>
          </cell>
          <cell r="BB279">
            <v>-1163.55</v>
          </cell>
          <cell r="BC279">
            <v>-112.3</v>
          </cell>
          <cell r="BD279">
            <v>-41.6</v>
          </cell>
          <cell r="BE279">
            <v>-260.55</v>
          </cell>
          <cell r="BF279">
            <v>-169.29</v>
          </cell>
          <cell r="BG279">
            <v>-7974.6900000000014</v>
          </cell>
          <cell r="BH279">
            <v>-41.6</v>
          </cell>
          <cell r="BI279">
            <v>-321.7</v>
          </cell>
          <cell r="BJ279">
            <v>0</v>
          </cell>
          <cell r="BK279">
            <v>0</v>
          </cell>
          <cell r="BL279">
            <v>-465.98</v>
          </cell>
          <cell r="BM279">
            <v>-34.32</v>
          </cell>
          <cell r="BN279">
            <v>-1897.21</v>
          </cell>
          <cell r="BO279">
            <v>-44.96</v>
          </cell>
          <cell r="BP279">
            <v>0</v>
          </cell>
          <cell r="BQ279">
            <v>-86.53</v>
          </cell>
          <cell r="BR279">
            <v>0</v>
          </cell>
          <cell r="BS279">
            <v>-2600</v>
          </cell>
          <cell r="BT279">
            <v>-5492.3</v>
          </cell>
          <cell r="BU279">
            <v>-12.25</v>
          </cell>
          <cell r="BV279">
            <v>0</v>
          </cell>
          <cell r="BW279">
            <v>-166.26</v>
          </cell>
          <cell r="BX279">
            <v>-24.5</v>
          </cell>
          <cell r="BY279">
            <v>-70111.460000000006</v>
          </cell>
          <cell r="BZ279">
            <v>0</v>
          </cell>
          <cell r="CA279">
            <v>-1966.15</v>
          </cell>
          <cell r="CE279">
            <v>-72280.62</v>
          </cell>
          <cell r="CG279">
            <v>0</v>
          </cell>
        </row>
        <row r="280">
          <cell r="A280" t="str">
            <v>4.2.1.2.08.00006</v>
          </cell>
          <cell r="B280" t="str">
            <v>FESTAS E CONFRATERNIZACOES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-8215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-2625</v>
          </cell>
          <cell r="AG280">
            <v>-2625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-3127</v>
          </cell>
          <cell r="BG280">
            <v>-3127</v>
          </cell>
          <cell r="BH280">
            <v>0</v>
          </cell>
          <cell r="BI280">
            <v>0</v>
          </cell>
          <cell r="BJ280">
            <v>0</v>
          </cell>
          <cell r="BK280">
            <v>0</v>
          </cell>
          <cell r="BL280">
            <v>-562.04</v>
          </cell>
          <cell r="BM280">
            <v>0</v>
          </cell>
          <cell r="BN280">
            <v>-1050</v>
          </cell>
          <cell r="BO280">
            <v>0</v>
          </cell>
          <cell r="BP280">
            <v>0</v>
          </cell>
          <cell r="BQ280">
            <v>0</v>
          </cell>
          <cell r="BR280">
            <v>0</v>
          </cell>
          <cell r="BS280">
            <v>-3730</v>
          </cell>
          <cell r="BT280">
            <v>-5342.04</v>
          </cell>
          <cell r="BU280">
            <v>-3200</v>
          </cell>
          <cell r="BV280">
            <v>0</v>
          </cell>
          <cell r="BW280">
            <v>0</v>
          </cell>
          <cell r="BX280">
            <v>0</v>
          </cell>
          <cell r="BY280">
            <v>0</v>
          </cell>
          <cell r="BZ280">
            <v>-1584</v>
          </cell>
          <cell r="CA280">
            <v>0</v>
          </cell>
          <cell r="CE280">
            <v>-4784</v>
          </cell>
          <cell r="CG280">
            <v>0</v>
          </cell>
        </row>
        <row r="281">
          <cell r="A281" t="str">
            <v>4.2.1.2.08.00011</v>
          </cell>
          <cell r="B281" t="str">
            <v>DOACOES A ENTIDADES CIVIS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0</v>
          </cell>
          <cell r="BJ281">
            <v>0</v>
          </cell>
          <cell r="BK281">
            <v>0</v>
          </cell>
          <cell r="BL281">
            <v>0</v>
          </cell>
          <cell r="BM281">
            <v>0</v>
          </cell>
          <cell r="BN281">
            <v>0</v>
          </cell>
          <cell r="BO281">
            <v>0</v>
          </cell>
          <cell r="BP281">
            <v>0</v>
          </cell>
          <cell r="BQ281">
            <v>0</v>
          </cell>
          <cell r="BR281">
            <v>0</v>
          </cell>
          <cell r="BS281">
            <v>0</v>
          </cell>
          <cell r="BT281">
            <v>0</v>
          </cell>
          <cell r="BU281">
            <v>0</v>
          </cell>
          <cell r="BV281">
            <v>0</v>
          </cell>
          <cell r="BW281">
            <v>-5391.5</v>
          </cell>
          <cell r="BX281">
            <v>-11820.44</v>
          </cell>
          <cell r="BY281">
            <v>-15014.44</v>
          </cell>
          <cell r="BZ281">
            <v>-11761.24</v>
          </cell>
          <cell r="CA281">
            <v>-11655.44</v>
          </cell>
        </row>
        <row r="282">
          <cell r="A282" t="str">
            <v>4.2.1.2.20</v>
          </cell>
          <cell r="B282" t="str">
            <v>DESPESAS TRIBUTARIAS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-23248.12</v>
          </cell>
          <cell r="H282">
            <v>-42.74</v>
          </cell>
          <cell r="I282">
            <v>-25.68</v>
          </cell>
          <cell r="J282">
            <v>-1385.63</v>
          </cell>
          <cell r="K282">
            <v>-4116.83</v>
          </cell>
          <cell r="L282">
            <v>-538.80999999999995</v>
          </cell>
          <cell r="M282">
            <v>-583.33000000000004</v>
          </cell>
          <cell r="N282">
            <v>-36769.83</v>
          </cell>
          <cell r="O282">
            <v>-154.88</v>
          </cell>
          <cell r="P282">
            <v>-2816.97</v>
          </cell>
          <cell r="Q282">
            <v>-24.23</v>
          </cell>
          <cell r="R282">
            <v>-539.41999999999996</v>
          </cell>
          <cell r="S282">
            <v>-50.57</v>
          </cell>
          <cell r="T282">
            <v>-47048.920000000006</v>
          </cell>
          <cell r="U282">
            <v>-190.06</v>
          </cell>
          <cell r="V282">
            <v>-549.92999999999995</v>
          </cell>
          <cell r="W282">
            <v>-7671.08</v>
          </cell>
          <cell r="X282">
            <v>-4118.32</v>
          </cell>
          <cell r="Y282">
            <v>-5753.29</v>
          </cell>
          <cell r="Z282">
            <v>0</v>
          </cell>
          <cell r="AA282">
            <v>-1630.21</v>
          </cell>
          <cell r="AB282">
            <v>-963.01</v>
          </cell>
          <cell r="AC282">
            <v>-969.93</v>
          </cell>
          <cell r="AD282">
            <v>-15434.83</v>
          </cell>
          <cell r="AE282">
            <v>-2064.4899999999998</v>
          </cell>
          <cell r="AF282">
            <v>-1425.92</v>
          </cell>
          <cell r="AG282">
            <v>-40771.069999999992</v>
          </cell>
          <cell r="AH282">
            <v>-1150.27</v>
          </cell>
          <cell r="AI282">
            <v>-7941.9</v>
          </cell>
          <cell r="AJ282">
            <v>-15546.61</v>
          </cell>
          <cell r="AK282">
            <v>-6167.14</v>
          </cell>
          <cell r="AL282">
            <v>-423.59</v>
          </cell>
          <cell r="AM282">
            <v>-22539.81</v>
          </cell>
          <cell r="AN282">
            <v>-3337.15</v>
          </cell>
          <cell r="AO282">
            <v>-391.79</v>
          </cell>
          <cell r="AP282">
            <v>-20165.36</v>
          </cell>
          <cell r="AQ282">
            <v>-2590.0300000000002</v>
          </cell>
          <cell r="AR282">
            <v>-423.07</v>
          </cell>
          <cell r="AS282">
            <v>-12.21</v>
          </cell>
          <cell r="AT282">
            <v>-80688.930000000008</v>
          </cell>
          <cell r="AU282">
            <v>-2658.42</v>
          </cell>
          <cell r="AV282">
            <v>-12805.15</v>
          </cell>
          <cell r="AW282">
            <v>-973.6</v>
          </cell>
          <cell r="AX282">
            <v>-3770.93</v>
          </cell>
          <cell r="AY282">
            <v>-17.68</v>
          </cell>
          <cell r="AZ282">
            <v>-26.87</v>
          </cell>
          <cell r="BA282">
            <v>-23842.38</v>
          </cell>
          <cell r="BB282">
            <v>-1329.55</v>
          </cell>
          <cell r="BC282">
            <v>-928.54</v>
          </cell>
          <cell r="BD282">
            <v>-18813.310000000001</v>
          </cell>
          <cell r="BE282">
            <v>-3974.91</v>
          </cell>
          <cell r="BF282">
            <v>-336.49</v>
          </cell>
          <cell r="BG282">
            <v>-69477.830000000016</v>
          </cell>
          <cell r="BH282">
            <v>-2390.5</v>
          </cell>
          <cell r="BI282">
            <v>-18126.36</v>
          </cell>
          <cell r="BJ282">
            <v>-1148.07</v>
          </cell>
          <cell r="BK282">
            <v>-17030.650000000001</v>
          </cell>
          <cell r="BL282">
            <v>-2082.35</v>
          </cell>
          <cell r="BM282">
            <v>-2263.23</v>
          </cell>
          <cell r="BN282">
            <v>-5898.4</v>
          </cell>
          <cell r="BO282">
            <v>-304.2</v>
          </cell>
          <cell r="BP282">
            <v>-3289.03</v>
          </cell>
          <cell r="BQ282">
            <v>-5000.99</v>
          </cell>
          <cell r="BR282">
            <v>-71.77</v>
          </cell>
          <cell r="BS282">
            <v>-171.35</v>
          </cell>
          <cell r="BT282">
            <v>-57776.899999999994</v>
          </cell>
          <cell r="BU282">
            <v>-3795.1</v>
          </cell>
          <cell r="BV282">
            <v>-13513.09</v>
          </cell>
          <cell r="BW282">
            <v>-6807.7</v>
          </cell>
          <cell r="BX282">
            <v>-30611.22</v>
          </cell>
          <cell r="BY282">
            <v>-5210.6000000000004</v>
          </cell>
          <cell r="BZ282">
            <v>-2140.62</v>
          </cell>
          <cell r="CA282">
            <v>-43750.15</v>
          </cell>
          <cell r="CE282">
            <v>-105828.48000000001</v>
          </cell>
          <cell r="CG282">
            <v>0</v>
          </cell>
        </row>
        <row r="283">
          <cell r="A283" t="str">
            <v>4.2.1.2.20.00003</v>
          </cell>
          <cell r="B283" t="str">
            <v>IPTU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-3083.43</v>
          </cell>
          <cell r="L283">
            <v>0</v>
          </cell>
          <cell r="M283">
            <v>0</v>
          </cell>
          <cell r="N283">
            <v>-36447.82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-39531.25</v>
          </cell>
          <cell r="U283">
            <v>0</v>
          </cell>
          <cell r="V283">
            <v>0</v>
          </cell>
          <cell r="W283">
            <v>-7659.98</v>
          </cell>
          <cell r="X283">
            <v>-3183.89</v>
          </cell>
          <cell r="Y283">
            <v>0</v>
          </cell>
          <cell r="Z283">
            <v>0</v>
          </cell>
          <cell r="AA283">
            <v>-766</v>
          </cell>
          <cell r="AB283">
            <v>-766</v>
          </cell>
          <cell r="AC283">
            <v>-766</v>
          </cell>
          <cell r="AD283">
            <v>-766</v>
          </cell>
          <cell r="AE283">
            <v>0</v>
          </cell>
          <cell r="AF283">
            <v>-765.91</v>
          </cell>
          <cell r="AG283">
            <v>-14673.779999999999</v>
          </cell>
          <cell r="AH283">
            <v>0</v>
          </cell>
          <cell r="AI283">
            <v>-7502.99</v>
          </cell>
          <cell r="AJ283">
            <v>0</v>
          </cell>
          <cell r="AK283">
            <v>-3253.28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-10756.27</v>
          </cell>
          <cell r="AU283">
            <v>0</v>
          </cell>
          <cell r="AV283">
            <v>-12156.96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-3790.49</v>
          </cell>
          <cell r="BE283">
            <v>0</v>
          </cell>
          <cell r="BF283">
            <v>0</v>
          </cell>
          <cell r="BG283">
            <v>-15947.449999999999</v>
          </cell>
          <cell r="BH283">
            <v>0</v>
          </cell>
          <cell r="BI283">
            <v>-15978.62</v>
          </cell>
          <cell r="BJ283">
            <v>0</v>
          </cell>
          <cell r="BK283">
            <v>-4244.5200000000004</v>
          </cell>
          <cell r="BL283">
            <v>0</v>
          </cell>
          <cell r="BM283">
            <v>0</v>
          </cell>
          <cell r="BN283">
            <v>-2924.58</v>
          </cell>
          <cell r="BO283">
            <v>0</v>
          </cell>
          <cell r="BP283">
            <v>0</v>
          </cell>
          <cell r="BQ283">
            <v>0</v>
          </cell>
          <cell r="BR283">
            <v>0</v>
          </cell>
          <cell r="BS283">
            <v>0</v>
          </cell>
          <cell r="BT283">
            <v>-23147.72</v>
          </cell>
          <cell r="BU283">
            <v>0</v>
          </cell>
          <cell r="BV283">
            <v>-14044.79</v>
          </cell>
          <cell r="BW283">
            <v>0</v>
          </cell>
          <cell r="BX283">
            <v>-4565.18</v>
          </cell>
          <cell r="BY283">
            <v>-3817.6</v>
          </cell>
          <cell r="BZ283">
            <v>0</v>
          </cell>
          <cell r="CA283">
            <v>0</v>
          </cell>
          <cell r="CE283">
            <v>-22427.57</v>
          </cell>
          <cell r="CG283">
            <v>0</v>
          </cell>
        </row>
        <row r="284">
          <cell r="A284" t="str">
            <v>4.2.1.2.20.00005</v>
          </cell>
          <cell r="B284" t="str">
            <v>IMPOSTOS E TAXAS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-8953.7800000000007</v>
          </cell>
          <cell r="H284">
            <v>-26.04</v>
          </cell>
          <cell r="I284">
            <v>0</v>
          </cell>
          <cell r="J284">
            <v>0</v>
          </cell>
          <cell r="K284">
            <v>-884.38</v>
          </cell>
          <cell r="L284">
            <v>-526.26</v>
          </cell>
          <cell r="M284">
            <v>-538.72</v>
          </cell>
          <cell r="N284">
            <v>-302.87</v>
          </cell>
          <cell r="O284">
            <v>-41.85</v>
          </cell>
          <cell r="P284">
            <v>-813.86</v>
          </cell>
          <cell r="Q284">
            <v>0</v>
          </cell>
          <cell r="R284">
            <v>-460.93</v>
          </cell>
          <cell r="S284">
            <v>-25.7</v>
          </cell>
          <cell r="T284">
            <v>-3620.6099999999997</v>
          </cell>
          <cell r="U284">
            <v>-151.84</v>
          </cell>
          <cell r="V284">
            <v>-535.33000000000004</v>
          </cell>
          <cell r="W284">
            <v>0</v>
          </cell>
          <cell r="X284">
            <v>-920.39</v>
          </cell>
          <cell r="Y284">
            <v>-5745.55</v>
          </cell>
          <cell r="Z284">
            <v>-497.65</v>
          </cell>
          <cell r="AA284">
            <v>-830.76</v>
          </cell>
          <cell r="AB284">
            <v>-178</v>
          </cell>
          <cell r="AC284">
            <v>-177.79</v>
          </cell>
          <cell r="AD284">
            <v>-14627.54</v>
          </cell>
          <cell r="AE284">
            <v>-192.63</v>
          </cell>
          <cell r="AF284">
            <v>-642.95000000000005</v>
          </cell>
          <cell r="AG284">
            <v>-24500.430000000004</v>
          </cell>
          <cell r="AH284">
            <v>-519.4</v>
          </cell>
          <cell r="AI284">
            <v>0.1</v>
          </cell>
          <cell r="AJ284">
            <v>-15529.27</v>
          </cell>
          <cell r="AK284">
            <v>-2433.46</v>
          </cell>
          <cell r="AL284">
            <v>-410.83</v>
          </cell>
          <cell r="AM284">
            <v>-22523.98</v>
          </cell>
          <cell r="AN284">
            <v>-3321.32</v>
          </cell>
          <cell r="AO284">
            <v>-212.27</v>
          </cell>
          <cell r="AP284">
            <v>-20160.14</v>
          </cell>
          <cell r="AQ284">
            <v>-2578.79</v>
          </cell>
          <cell r="AR284">
            <v>-414</v>
          </cell>
          <cell r="AS284">
            <v>0</v>
          </cell>
          <cell r="AT284">
            <v>-68103.359999999986</v>
          </cell>
          <cell r="AU284">
            <v>-2641.25</v>
          </cell>
          <cell r="AV284">
            <v>-636.74</v>
          </cell>
          <cell r="AW284">
            <v>-966.26</v>
          </cell>
          <cell r="AX284">
            <v>-3751.84</v>
          </cell>
          <cell r="AY284">
            <v>0</v>
          </cell>
          <cell r="AZ284">
            <v>0</v>
          </cell>
          <cell r="BA284">
            <v>-23803.93</v>
          </cell>
          <cell r="BB284">
            <v>-1294.9100000000001</v>
          </cell>
          <cell r="BC284">
            <v>-386.61</v>
          </cell>
          <cell r="BD284">
            <v>-14968.69</v>
          </cell>
          <cell r="BE284">
            <v>0</v>
          </cell>
          <cell r="BF284">
            <v>-251.85000000000002</v>
          </cell>
          <cell r="BG284">
            <v>-48702.080000000002</v>
          </cell>
          <cell r="BH284">
            <v>-2318.69</v>
          </cell>
          <cell r="BI284">
            <v>-2077.31</v>
          </cell>
          <cell r="BJ284">
            <v>-995.75</v>
          </cell>
          <cell r="BK284">
            <v>-12667.63</v>
          </cell>
          <cell r="BL284">
            <v>-2010.08</v>
          </cell>
          <cell r="BM284">
            <v>0</v>
          </cell>
          <cell r="BN284">
            <v>-2922.27</v>
          </cell>
          <cell r="BO284">
            <v>-241.78</v>
          </cell>
          <cell r="BP284">
            <v>-745.03</v>
          </cell>
          <cell r="BQ284">
            <v>-2733.69</v>
          </cell>
          <cell r="BR284">
            <v>0</v>
          </cell>
          <cell r="BS284">
            <v>-107.64</v>
          </cell>
          <cell r="BT284">
            <v>-26819.869999999995</v>
          </cell>
          <cell r="BU284">
            <v>-3598.72</v>
          </cell>
          <cell r="BV284">
            <v>-411.12</v>
          </cell>
          <cell r="BW284">
            <v>-6794.54</v>
          </cell>
          <cell r="BX284">
            <v>-24608.9</v>
          </cell>
          <cell r="BY284">
            <v>-1077.0999999999999</v>
          </cell>
          <cell r="BZ284">
            <v>0</v>
          </cell>
          <cell r="CA284">
            <v>-38762.03</v>
          </cell>
          <cell r="CE284">
            <v>-75252.41</v>
          </cell>
          <cell r="CG284">
            <v>0</v>
          </cell>
        </row>
        <row r="285">
          <cell r="A285" t="str">
            <v>4.2.1.2.20.00006</v>
          </cell>
          <cell r="B285" t="str">
            <v>IOF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-10060.6</v>
          </cell>
          <cell r="H285">
            <v>-16.7</v>
          </cell>
          <cell r="I285">
            <v>-25.68</v>
          </cell>
          <cell r="J285">
            <v>-20.92</v>
          </cell>
          <cell r="K285">
            <v>-20.52</v>
          </cell>
          <cell r="L285">
            <v>-12.55</v>
          </cell>
          <cell r="M285">
            <v>-44.61</v>
          </cell>
          <cell r="N285">
            <v>-19.14</v>
          </cell>
          <cell r="O285">
            <v>-113.03</v>
          </cell>
          <cell r="P285">
            <v>-37.76</v>
          </cell>
          <cell r="Q285">
            <v>-24.23</v>
          </cell>
          <cell r="R285">
            <v>-78.489999999999995</v>
          </cell>
          <cell r="S285">
            <v>-24.87</v>
          </cell>
          <cell r="T285">
            <v>-438.5</v>
          </cell>
          <cell r="U285">
            <v>-38.22</v>
          </cell>
          <cell r="V285">
            <v>-14.6</v>
          </cell>
          <cell r="W285">
            <v>-11.1</v>
          </cell>
          <cell r="X285">
            <v>-14.04</v>
          </cell>
          <cell r="Y285">
            <v>-7.74</v>
          </cell>
          <cell r="Z285">
            <v>-20.89</v>
          </cell>
          <cell r="AA285">
            <v>-33.450000000000003</v>
          </cell>
          <cell r="AB285">
            <v>-19.010000000000002</v>
          </cell>
          <cell r="AC285">
            <v>-26.14</v>
          </cell>
          <cell r="AD285">
            <v>-41.29</v>
          </cell>
          <cell r="AE285">
            <v>-14.16</v>
          </cell>
          <cell r="AF285">
            <v>-17.059999999999999</v>
          </cell>
          <cell r="AG285">
            <v>-257.7</v>
          </cell>
          <cell r="AH285">
            <v>-33.840000000000003</v>
          </cell>
          <cell r="AI285">
            <v>-17.11</v>
          </cell>
          <cell r="AJ285">
            <v>-17.34</v>
          </cell>
          <cell r="AK285">
            <v>-19.43</v>
          </cell>
          <cell r="AL285">
            <v>-12.76</v>
          </cell>
          <cell r="AM285">
            <v>-15.83</v>
          </cell>
          <cell r="AN285">
            <v>-15.83</v>
          </cell>
          <cell r="AO285">
            <v>-18.2</v>
          </cell>
          <cell r="AP285">
            <v>-5.22</v>
          </cell>
          <cell r="AQ285">
            <v>-11.24</v>
          </cell>
          <cell r="AR285">
            <v>-9.07</v>
          </cell>
          <cell r="AS285">
            <v>-12.21</v>
          </cell>
          <cell r="AT285">
            <v>-188.08</v>
          </cell>
          <cell r="AU285">
            <v>-17.170000000000002</v>
          </cell>
          <cell r="AV285">
            <v>-11.45</v>
          </cell>
          <cell r="AW285">
            <v>-7.34</v>
          </cell>
          <cell r="AX285">
            <v>-19.09</v>
          </cell>
          <cell r="AY285">
            <v>-17.68</v>
          </cell>
          <cell r="AZ285">
            <v>-26.87</v>
          </cell>
          <cell r="BA285">
            <v>-38.450000000000003</v>
          </cell>
          <cell r="BB285">
            <v>-34.64</v>
          </cell>
          <cell r="BC285">
            <v>-541.92999999999995</v>
          </cell>
          <cell r="BD285">
            <v>-54.13</v>
          </cell>
          <cell r="BE285">
            <v>-3974.91</v>
          </cell>
          <cell r="BF285">
            <v>-84.64</v>
          </cell>
          <cell r="BG285">
            <v>-4828.3</v>
          </cell>
          <cell r="BH285">
            <v>-71.81</v>
          </cell>
          <cell r="BI285">
            <v>-70.430000000000007</v>
          </cell>
          <cell r="BJ285">
            <v>-152.32</v>
          </cell>
          <cell r="BK285">
            <v>-118.5</v>
          </cell>
          <cell r="BL285">
            <v>-72.27</v>
          </cell>
          <cell r="BM285">
            <v>-105.54</v>
          </cell>
          <cell r="BN285">
            <v>-51.55</v>
          </cell>
          <cell r="BO285">
            <v>-62.42</v>
          </cell>
          <cell r="BP285">
            <v>-155.19</v>
          </cell>
          <cell r="BQ285">
            <v>-69.349999999999994</v>
          </cell>
          <cell r="BR285">
            <v>-71.77</v>
          </cell>
          <cell r="BS285">
            <v>-63.71</v>
          </cell>
          <cell r="BT285">
            <v>-1064.8599999999999</v>
          </cell>
          <cell r="BU285">
            <v>-196.38</v>
          </cell>
          <cell r="BV285">
            <v>-69.239999999999995</v>
          </cell>
          <cell r="BW285">
            <v>-105.95</v>
          </cell>
          <cell r="BX285">
            <v>-1437.14</v>
          </cell>
          <cell r="BY285">
            <v>-115.9</v>
          </cell>
          <cell r="BZ285">
            <v>-88.82</v>
          </cell>
          <cell r="CA285">
            <v>-297.47000000000003</v>
          </cell>
          <cell r="CE285">
            <v>-2310.9</v>
          </cell>
          <cell r="CG285">
            <v>0</v>
          </cell>
        </row>
        <row r="286">
          <cell r="A286" t="str">
            <v>4.2.1.2.25</v>
          </cell>
          <cell r="B286" t="str">
            <v>DEPRECIACAO/AMORTIZACAO ADM./VENDAS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-574287.56000000006</v>
          </cell>
          <cell r="H286">
            <v>-55673.62</v>
          </cell>
          <cell r="I286">
            <v>-55673.62</v>
          </cell>
          <cell r="J286">
            <v>-53323.62</v>
          </cell>
          <cell r="K286">
            <v>-53323.62</v>
          </cell>
          <cell r="L286">
            <v>-53323.62</v>
          </cell>
          <cell r="M286">
            <v>-53323.62</v>
          </cell>
          <cell r="N286">
            <v>-53323.62</v>
          </cell>
          <cell r="O286">
            <v>-50616.04</v>
          </cell>
          <cell r="P286">
            <v>-57966.83</v>
          </cell>
          <cell r="Q286">
            <v>-52466.84</v>
          </cell>
          <cell r="R286">
            <v>-57498.36</v>
          </cell>
          <cell r="S286">
            <v>-57498.37</v>
          </cell>
          <cell r="T286">
            <v>-654011.78</v>
          </cell>
          <cell r="U286">
            <v>-57720.32</v>
          </cell>
          <cell r="V286">
            <v>-55982.8</v>
          </cell>
          <cell r="W286">
            <v>-57089.79</v>
          </cell>
          <cell r="X286">
            <v>-58394.77</v>
          </cell>
          <cell r="Y286">
            <v>-58931.24</v>
          </cell>
          <cell r="Z286">
            <v>-58121.29</v>
          </cell>
          <cell r="AA286">
            <v>-58467.81</v>
          </cell>
          <cell r="AB286">
            <v>-59340.2</v>
          </cell>
          <cell r="AC286">
            <v>-58259.38</v>
          </cell>
          <cell r="AD286">
            <v>-52704.95</v>
          </cell>
          <cell r="AE286">
            <v>-62762.32</v>
          </cell>
          <cell r="AF286">
            <v>-62931.72</v>
          </cell>
          <cell r="AG286">
            <v>-700706.58999999985</v>
          </cell>
          <cell r="AH286">
            <v>-64793.57</v>
          </cell>
          <cell r="AI286">
            <v>-65276.99</v>
          </cell>
          <cell r="AJ286">
            <v>-65511.3</v>
          </cell>
          <cell r="AK286">
            <v>-66357.039999999994</v>
          </cell>
          <cell r="AL286">
            <v>-66450.3</v>
          </cell>
          <cell r="AM286">
            <v>-70921.89</v>
          </cell>
          <cell r="AN286">
            <v>-73047.19</v>
          </cell>
          <cell r="AO286">
            <v>-74105.210000000006</v>
          </cell>
          <cell r="AP286">
            <v>-76659.100000000006</v>
          </cell>
          <cell r="AQ286">
            <v>-79223.27</v>
          </cell>
          <cell r="AR286">
            <v>-79154.73</v>
          </cell>
          <cell r="AS286">
            <v>-81225.88</v>
          </cell>
          <cell r="AT286">
            <v>-862726.47</v>
          </cell>
          <cell r="AU286">
            <v>-82131.63</v>
          </cell>
          <cell r="AV286">
            <v>-83812.84</v>
          </cell>
          <cell r="AW286">
            <v>-69789.429999999993</v>
          </cell>
          <cell r="AX286">
            <v>-70094.080000000002</v>
          </cell>
          <cell r="AY286">
            <v>-71434.91</v>
          </cell>
          <cell r="AZ286">
            <v>-72968.83</v>
          </cell>
          <cell r="BA286">
            <v>-75052.52</v>
          </cell>
          <cell r="BB286">
            <v>-71089.81</v>
          </cell>
          <cell r="BC286">
            <v>-72526.289999999994</v>
          </cell>
          <cell r="BD286">
            <v>-73428.41</v>
          </cell>
          <cell r="BE286">
            <v>-73863.23</v>
          </cell>
          <cell r="BF286">
            <v>277684.63</v>
          </cell>
          <cell r="BG286">
            <v>-538507.35000000009</v>
          </cell>
          <cell r="BH286">
            <v>-70197.56</v>
          </cell>
          <cell r="BI286">
            <v>-59132.88</v>
          </cell>
          <cell r="BJ286">
            <v>-57405.760000000002</v>
          </cell>
          <cell r="BK286">
            <v>-62336.14</v>
          </cell>
          <cell r="BL286">
            <v>-64290.13</v>
          </cell>
          <cell r="BM286">
            <v>-66905.89</v>
          </cell>
          <cell r="BN286">
            <v>-67244.740000000005</v>
          </cell>
          <cell r="BO286">
            <v>-67662.990000000005</v>
          </cell>
          <cell r="BP286">
            <v>-66551.039999999994</v>
          </cell>
          <cell r="BQ286">
            <v>-66982.64</v>
          </cell>
          <cell r="BR286">
            <v>-75325.89</v>
          </cell>
          <cell r="BS286">
            <v>-76562.36</v>
          </cell>
          <cell r="BT286">
            <v>-800598.02</v>
          </cell>
          <cell r="BU286">
            <v>-76722.5</v>
          </cell>
          <cell r="BV286">
            <v>-77110.92</v>
          </cell>
          <cell r="BW286">
            <v>-77528.479999999996</v>
          </cell>
          <cell r="BX286">
            <v>-77611.95</v>
          </cell>
          <cell r="BY286">
            <v>-81143.91</v>
          </cell>
          <cell r="BZ286">
            <v>-81838.16</v>
          </cell>
          <cell r="CA286">
            <v>-86951.19</v>
          </cell>
          <cell r="CE286">
            <v>-558907.1100000001</v>
          </cell>
          <cell r="CG286">
            <v>0</v>
          </cell>
        </row>
        <row r="287">
          <cell r="A287" t="str">
            <v>4.2.1.2.25.00001</v>
          </cell>
          <cell r="B287" t="str">
            <v>DEPRECIACAO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-543644.12</v>
          </cell>
          <cell r="H287">
            <v>-53120</v>
          </cell>
          <cell r="I287">
            <v>-53120</v>
          </cell>
          <cell r="J287">
            <v>-50770</v>
          </cell>
          <cell r="K287">
            <v>-50770</v>
          </cell>
          <cell r="L287">
            <v>-50770</v>
          </cell>
          <cell r="M287">
            <v>-50770</v>
          </cell>
          <cell r="N287">
            <v>-50770</v>
          </cell>
          <cell r="O287">
            <v>-48062.42</v>
          </cell>
          <cell r="P287">
            <v>-55413.21</v>
          </cell>
          <cell r="Q287">
            <v>-49913.22</v>
          </cell>
          <cell r="R287">
            <v>-54944.74</v>
          </cell>
          <cell r="S287">
            <v>-54944.75</v>
          </cell>
          <cell r="T287">
            <v>-623368.34</v>
          </cell>
          <cell r="U287">
            <v>-55166.7</v>
          </cell>
          <cell r="V287">
            <v>-53429.18</v>
          </cell>
          <cell r="W287">
            <v>-54536.17</v>
          </cell>
          <cell r="X287">
            <v>-55841.15</v>
          </cell>
          <cell r="Y287">
            <v>-56377.62</v>
          </cell>
          <cell r="Z287">
            <v>-55567.67</v>
          </cell>
          <cell r="AA287">
            <v>-55914.19</v>
          </cell>
          <cell r="AB287">
            <v>-56786.58</v>
          </cell>
          <cell r="AC287">
            <v>-56824.44</v>
          </cell>
          <cell r="AD287">
            <v>-52704.95</v>
          </cell>
          <cell r="AE287">
            <v>-57762.32</v>
          </cell>
          <cell r="AF287">
            <v>-57931.72</v>
          </cell>
          <cell r="AG287">
            <v>-668842.68999999994</v>
          </cell>
          <cell r="AH287">
            <v>-59793.57</v>
          </cell>
          <cell r="AI287">
            <v>-60276.99</v>
          </cell>
          <cell r="AJ287">
            <v>-60511.3</v>
          </cell>
          <cell r="AK287">
            <v>-61357.04</v>
          </cell>
          <cell r="AL287">
            <v>-61450.3</v>
          </cell>
          <cell r="AM287">
            <v>-65921.89</v>
          </cell>
          <cell r="AN287">
            <v>-68047.19</v>
          </cell>
          <cell r="AO287">
            <v>-69105.210000000006</v>
          </cell>
          <cell r="AP287">
            <v>-71166.34</v>
          </cell>
          <cell r="AQ287">
            <v>-73730.509999999995</v>
          </cell>
          <cell r="AR287">
            <v>-73661.97</v>
          </cell>
          <cell r="AS287">
            <v>-75733.119999999995</v>
          </cell>
          <cell r="AT287">
            <v>-800755.43</v>
          </cell>
          <cell r="AU287">
            <v>-76394.009999999995</v>
          </cell>
          <cell r="AV287">
            <v>-78075.22</v>
          </cell>
          <cell r="AW287">
            <v>-64051.81</v>
          </cell>
          <cell r="AX287">
            <v>-64356.46</v>
          </cell>
          <cell r="AY287">
            <v>-65697.289999999994</v>
          </cell>
          <cell r="AZ287">
            <v>-67231.210000000006</v>
          </cell>
          <cell r="BA287">
            <v>-69314.899999999994</v>
          </cell>
          <cell r="BB287">
            <v>-65352.19</v>
          </cell>
          <cell r="BC287">
            <v>-66788.67</v>
          </cell>
          <cell r="BD287">
            <v>-67381.17</v>
          </cell>
          <cell r="BE287">
            <v>-67815.990000000005</v>
          </cell>
          <cell r="BF287">
            <v>277731.92</v>
          </cell>
          <cell r="BG287">
            <v>-474727.00000000017</v>
          </cell>
          <cell r="BH287">
            <v>-64150.32</v>
          </cell>
          <cell r="BI287">
            <v>-53085.64</v>
          </cell>
          <cell r="BJ287">
            <v>-51358.52</v>
          </cell>
          <cell r="BK287">
            <v>-55880.22</v>
          </cell>
          <cell r="BL287">
            <v>-57834.21</v>
          </cell>
          <cell r="BM287">
            <v>-60449.97</v>
          </cell>
          <cell r="BN287">
            <v>-60788.82</v>
          </cell>
          <cell r="BO287">
            <v>-61207.07</v>
          </cell>
          <cell r="BP287">
            <v>-60095.12</v>
          </cell>
          <cell r="BQ287">
            <v>-60526.720000000001</v>
          </cell>
          <cell r="BR287">
            <v>-64703.3</v>
          </cell>
          <cell r="BS287">
            <v>-65939.77</v>
          </cell>
          <cell r="BT287">
            <v>-716019.68</v>
          </cell>
          <cell r="BU287">
            <v>-66099.91</v>
          </cell>
          <cell r="BV287">
            <v>-66488.33</v>
          </cell>
          <cell r="BW287">
            <v>-66905.89</v>
          </cell>
          <cell r="BX287">
            <v>-66989.36</v>
          </cell>
          <cell r="BY287">
            <v>-70202.820000000007</v>
          </cell>
          <cell r="BZ287">
            <v>-70897.070000000007</v>
          </cell>
          <cell r="CA287">
            <v>-71874.880000000005</v>
          </cell>
          <cell r="CE287">
            <v>-479458.26</v>
          </cell>
          <cell r="CG287">
            <v>0</v>
          </cell>
        </row>
        <row r="288">
          <cell r="A288" t="str">
            <v>4.2.1.2.25.00002</v>
          </cell>
          <cell r="B288" t="str">
            <v>AMORTIZACAO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-30643.439999999999</v>
          </cell>
          <cell r="H288">
            <v>-2553.62</v>
          </cell>
          <cell r="I288">
            <v>-2553.62</v>
          </cell>
          <cell r="J288">
            <v>-2553.62</v>
          </cell>
          <cell r="K288">
            <v>-2553.62</v>
          </cell>
          <cell r="L288">
            <v>-2553.62</v>
          </cell>
          <cell r="M288">
            <v>-2553.62</v>
          </cell>
          <cell r="N288">
            <v>-2553.62</v>
          </cell>
          <cell r="O288">
            <v>-2553.62</v>
          </cell>
          <cell r="P288">
            <v>-2553.62</v>
          </cell>
          <cell r="Q288">
            <v>-2553.62</v>
          </cell>
          <cell r="R288">
            <v>-2553.62</v>
          </cell>
          <cell r="S288">
            <v>-2553.62</v>
          </cell>
          <cell r="T288">
            <v>-30643.439999999991</v>
          </cell>
          <cell r="U288">
            <v>-2553.62</v>
          </cell>
          <cell r="V288">
            <v>-2553.62</v>
          </cell>
          <cell r="W288">
            <v>-2553.62</v>
          </cell>
          <cell r="X288">
            <v>-2553.62</v>
          </cell>
          <cell r="Y288">
            <v>-2553.62</v>
          </cell>
          <cell r="Z288">
            <v>-2553.62</v>
          </cell>
          <cell r="AA288">
            <v>-2553.62</v>
          </cell>
          <cell r="AB288">
            <v>-2553.62</v>
          </cell>
          <cell r="AC288">
            <v>-1434.94</v>
          </cell>
          <cell r="AD288">
            <v>0</v>
          </cell>
          <cell r="AE288">
            <v>-5000</v>
          </cell>
          <cell r="AF288">
            <v>-5000</v>
          </cell>
          <cell r="AG288">
            <v>-31863.899999999994</v>
          </cell>
          <cell r="AH288">
            <v>-5000</v>
          </cell>
          <cell r="AI288">
            <v>-5000</v>
          </cell>
          <cell r="AJ288">
            <v>-5000</v>
          </cell>
          <cell r="AK288">
            <v>-5000</v>
          </cell>
          <cell r="AL288">
            <v>-5000</v>
          </cell>
          <cell r="AM288">
            <v>-5000</v>
          </cell>
          <cell r="AN288">
            <v>-5000</v>
          </cell>
          <cell r="AO288">
            <v>-5000</v>
          </cell>
          <cell r="AP288">
            <v>-5492.76</v>
          </cell>
          <cell r="AQ288">
            <v>-5492.76</v>
          </cell>
          <cell r="AR288">
            <v>-5492.76</v>
          </cell>
          <cell r="AS288">
            <v>-5492.76</v>
          </cell>
          <cell r="AT288">
            <v>-61971.040000000008</v>
          </cell>
          <cell r="AU288">
            <v>-5737.62</v>
          </cell>
          <cell r="AV288">
            <v>-5737.62</v>
          </cell>
          <cell r="AW288">
            <v>-5737.62</v>
          </cell>
          <cell r="AX288">
            <v>-5737.62</v>
          </cell>
          <cell r="AY288">
            <v>-5737.62</v>
          </cell>
          <cell r="AZ288">
            <v>-5737.62</v>
          </cell>
          <cell r="BA288">
            <v>-5737.62</v>
          </cell>
          <cell r="BB288">
            <v>-5737.62</v>
          </cell>
          <cell r="BC288">
            <v>-5737.62</v>
          </cell>
          <cell r="BD288">
            <v>-6047.24</v>
          </cell>
          <cell r="BE288">
            <v>-6047.24</v>
          </cell>
          <cell r="BF288">
            <v>-47.289999999999964</v>
          </cell>
          <cell r="BG288">
            <v>-63780.350000000006</v>
          </cell>
          <cell r="BH288">
            <v>-6047.24</v>
          </cell>
          <cell r="BI288">
            <v>-6047.24</v>
          </cell>
          <cell r="BJ288">
            <v>-6047.24</v>
          </cell>
          <cell r="BK288">
            <v>-6455.92</v>
          </cell>
          <cell r="BL288">
            <v>-6455.92</v>
          </cell>
          <cell r="BM288">
            <v>-6455.92</v>
          </cell>
          <cell r="BN288">
            <v>-6455.92</v>
          </cell>
          <cell r="BO288">
            <v>-6455.92</v>
          </cell>
          <cell r="BP288">
            <v>-6455.92</v>
          </cell>
          <cell r="BQ288">
            <v>-6455.92</v>
          </cell>
          <cell r="BR288">
            <v>-10622.59</v>
          </cell>
          <cell r="BS288">
            <v>-10622.59</v>
          </cell>
          <cell r="BT288">
            <v>-84578.339999999982</v>
          </cell>
          <cell r="BU288">
            <v>-10622.59</v>
          </cell>
          <cell r="BV288">
            <v>-10622.59</v>
          </cell>
          <cell r="BW288">
            <v>-10622.59</v>
          </cell>
          <cell r="BX288">
            <v>-10622.59</v>
          </cell>
          <cell r="BY288">
            <v>-10941.09</v>
          </cell>
          <cell r="BZ288">
            <v>-10941.09</v>
          </cell>
          <cell r="CA288">
            <v>-15076.31</v>
          </cell>
          <cell r="CE288">
            <v>-79448.849999999991</v>
          </cell>
          <cell r="CG288">
            <v>0</v>
          </cell>
        </row>
        <row r="289">
          <cell r="A289" t="str">
            <v>4.2.1.2.90</v>
          </cell>
          <cell r="B289" t="str">
            <v>DOACAO/PATROCINIO COM INCENTIVOS FISCAIS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0</v>
          </cell>
          <cell r="BJ289">
            <v>0</v>
          </cell>
          <cell r="BK289">
            <v>0</v>
          </cell>
          <cell r="BL289">
            <v>0</v>
          </cell>
          <cell r="BM289">
            <v>0</v>
          </cell>
          <cell r="BN289">
            <v>0</v>
          </cell>
          <cell r="BO289">
            <v>0</v>
          </cell>
          <cell r="BP289">
            <v>-35000</v>
          </cell>
          <cell r="BQ289">
            <v>0</v>
          </cell>
          <cell r="BR289">
            <v>0</v>
          </cell>
          <cell r="BS289">
            <v>-3000</v>
          </cell>
          <cell r="BT289">
            <v>-38000</v>
          </cell>
          <cell r="BU289">
            <v>0</v>
          </cell>
          <cell r="BV289">
            <v>0</v>
          </cell>
          <cell r="BW289">
            <v>0</v>
          </cell>
          <cell r="BX289">
            <v>0</v>
          </cell>
          <cell r="BY289">
            <v>0</v>
          </cell>
          <cell r="BZ289">
            <v>0</v>
          </cell>
          <cell r="CA289">
            <v>0</v>
          </cell>
          <cell r="CE289">
            <v>0</v>
          </cell>
          <cell r="CG289">
            <v>0</v>
          </cell>
        </row>
        <row r="290">
          <cell r="A290" t="str">
            <v>4.2.1.2.90.00001</v>
          </cell>
          <cell r="B290" t="str">
            <v>CULTURAL E ARTISTICO (LEI NO 8.313/1991)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0</v>
          </cell>
          <cell r="BJ290">
            <v>0</v>
          </cell>
          <cell r="BK290">
            <v>0</v>
          </cell>
          <cell r="BL290">
            <v>0</v>
          </cell>
          <cell r="BM290">
            <v>0</v>
          </cell>
          <cell r="BN290">
            <v>0</v>
          </cell>
          <cell r="BO290">
            <v>0</v>
          </cell>
          <cell r="BP290">
            <v>-35000</v>
          </cell>
          <cell r="BQ290">
            <v>0</v>
          </cell>
          <cell r="BR290">
            <v>0</v>
          </cell>
          <cell r="BS290">
            <v>-3000</v>
          </cell>
          <cell r="BT290">
            <v>-38000</v>
          </cell>
          <cell r="BU290">
            <v>0</v>
          </cell>
          <cell r="BV290">
            <v>0</v>
          </cell>
          <cell r="BW290">
            <v>0</v>
          </cell>
          <cell r="BX290">
            <v>0</v>
          </cell>
          <cell r="BY290">
            <v>0</v>
          </cell>
          <cell r="BZ290">
            <v>0</v>
          </cell>
          <cell r="CA290">
            <v>0</v>
          </cell>
          <cell r="CE290">
            <v>0</v>
          </cell>
          <cell r="CG290">
            <v>0</v>
          </cell>
        </row>
        <row r="291">
          <cell r="A291" t="str">
            <v>4.3</v>
          </cell>
          <cell r="B291" t="str">
            <v>EFEITOS FINANCEIROS LIQUIDOS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-140109.19</v>
          </cell>
          <cell r="H291">
            <v>31119.59</v>
          </cell>
          <cell r="I291">
            <v>5038.1900000000005</v>
          </cell>
          <cell r="J291">
            <v>8676.6100000000024</v>
          </cell>
          <cell r="K291">
            <v>21931.29</v>
          </cell>
          <cell r="L291">
            <v>9884.9600000000009</v>
          </cell>
          <cell r="M291">
            <v>19616.04</v>
          </cell>
          <cell r="N291">
            <v>-2795.15</v>
          </cell>
          <cell r="O291">
            <v>22418.84</v>
          </cell>
          <cell r="P291">
            <v>2730.19</v>
          </cell>
          <cell r="Q291">
            <v>10862.22</v>
          </cell>
          <cell r="R291">
            <v>1630.74</v>
          </cell>
          <cell r="S291">
            <v>-10908.38</v>
          </cell>
          <cell r="T291">
            <v>120205.13999999998</v>
          </cell>
          <cell r="U291">
            <v>44458.89</v>
          </cell>
          <cell r="V291">
            <v>-4267.46</v>
          </cell>
          <cell r="W291">
            <v>23364.86</v>
          </cell>
          <cell r="X291">
            <v>13241.57</v>
          </cell>
          <cell r="Y291">
            <v>20445.97</v>
          </cell>
          <cell r="Z291">
            <v>32781.269999999997</v>
          </cell>
          <cell r="AA291">
            <v>60141.49</v>
          </cell>
          <cell r="AB291">
            <v>-40754.870000000003</v>
          </cell>
          <cell r="AC291">
            <v>18253.939999999999</v>
          </cell>
          <cell r="AD291">
            <v>21365.43</v>
          </cell>
          <cell r="AE291">
            <v>-15820.199999999997</v>
          </cell>
          <cell r="AF291">
            <v>43802.7</v>
          </cell>
          <cell r="AG291">
            <v>217013.59000000003</v>
          </cell>
          <cell r="AH291">
            <v>-38540.959999999999</v>
          </cell>
          <cell r="AI291">
            <v>-41436.230000000003</v>
          </cell>
          <cell r="AJ291">
            <v>-118886.04999999999</v>
          </cell>
          <cell r="AK291">
            <v>-43308.890000000007</v>
          </cell>
          <cell r="AL291">
            <v>-56482.51</v>
          </cell>
          <cell r="AM291">
            <v>31990.139999999996</v>
          </cell>
          <cell r="AN291">
            <v>-4688.8600000000006</v>
          </cell>
          <cell r="AO291">
            <v>-72097.64</v>
          </cell>
          <cell r="AP291">
            <v>76394.929999999993</v>
          </cell>
          <cell r="AQ291">
            <v>9131.18</v>
          </cell>
          <cell r="AR291">
            <v>-30499.68</v>
          </cell>
          <cell r="AS291">
            <v>5030.7900000000009</v>
          </cell>
          <cell r="AT291">
            <v>-283393.78000000003</v>
          </cell>
          <cell r="AU291">
            <v>75149.569999999992</v>
          </cell>
          <cell r="AV291">
            <v>-34628.660000000003</v>
          </cell>
          <cell r="AW291">
            <v>-44165.36</v>
          </cell>
          <cell r="AX291">
            <v>52154.69</v>
          </cell>
          <cell r="AY291">
            <v>17145.32</v>
          </cell>
          <cell r="AZ291">
            <v>-47046.449999999983</v>
          </cell>
          <cell r="BA291">
            <v>10337.199999999997</v>
          </cell>
          <cell r="BB291">
            <v>10905.57</v>
          </cell>
          <cell r="BC291">
            <v>69609.740000000005</v>
          </cell>
          <cell r="BD291">
            <v>66437.489999999991</v>
          </cell>
          <cell r="BE291">
            <v>-46394</v>
          </cell>
          <cell r="BF291">
            <v>31414.999999999993</v>
          </cell>
          <cell r="BG291">
            <v>160920.11000000002</v>
          </cell>
          <cell r="BH291">
            <v>-52078.47</v>
          </cell>
          <cell r="BI291">
            <v>-25679.939999999988</v>
          </cell>
          <cell r="BJ291">
            <v>-450413.47000000003</v>
          </cell>
          <cell r="BK291">
            <v>126786.44</v>
          </cell>
          <cell r="BL291">
            <v>-5206.25</v>
          </cell>
          <cell r="BM291">
            <v>-202745.78000000003</v>
          </cell>
          <cell r="BN291">
            <v>94612.32</v>
          </cell>
          <cell r="BO291">
            <v>144966.82999999999</v>
          </cell>
          <cell r="BP291">
            <v>-459834.57000000007</v>
          </cell>
          <cell r="BQ291">
            <v>120349.65</v>
          </cell>
          <cell r="BR291">
            <v>80605.710000000006</v>
          </cell>
          <cell r="BS291">
            <v>-373195.32000000007</v>
          </cell>
          <cell r="BT291">
            <v>-1001832.8500000001</v>
          </cell>
          <cell r="BU291">
            <v>119199.93000000001</v>
          </cell>
          <cell r="BV291">
            <v>7386.1499999999942</v>
          </cell>
          <cell r="BW291">
            <v>-268256.26</v>
          </cell>
          <cell r="BX291">
            <v>113167.31000000001</v>
          </cell>
          <cell r="BY291">
            <v>98884.78</v>
          </cell>
          <cell r="BZ291">
            <v>-235683.52000000002</v>
          </cell>
          <cell r="CA291">
            <v>174361.69999999998</v>
          </cell>
          <cell r="CE291">
            <v>9060.0899999999965</v>
          </cell>
          <cell r="CG291">
            <v>0</v>
          </cell>
        </row>
        <row r="292">
          <cell r="A292" t="str">
            <v>4.3.1</v>
          </cell>
          <cell r="B292" t="str">
            <v>EFEITOS FINANCEIROS LIQUIDOS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-140109.19</v>
          </cell>
          <cell r="H292">
            <v>31119.59</v>
          </cell>
          <cell r="I292">
            <v>5038.1900000000005</v>
          </cell>
          <cell r="J292">
            <v>8676.6100000000024</v>
          </cell>
          <cell r="K292">
            <v>21931.29</v>
          </cell>
          <cell r="L292">
            <v>9884.9600000000009</v>
          </cell>
          <cell r="M292">
            <v>19616.04</v>
          </cell>
          <cell r="N292">
            <v>-2795.15</v>
          </cell>
          <cell r="O292">
            <v>22418.84</v>
          </cell>
          <cell r="P292">
            <v>2730.19</v>
          </cell>
          <cell r="Q292">
            <v>10862.22</v>
          </cell>
          <cell r="R292">
            <v>1630.74</v>
          </cell>
          <cell r="S292">
            <v>-10908.38</v>
          </cell>
          <cell r="T292">
            <v>120205.13999999998</v>
          </cell>
          <cell r="U292">
            <v>44458.89</v>
          </cell>
          <cell r="V292">
            <v>-4267.46</v>
          </cell>
          <cell r="W292">
            <v>23364.86</v>
          </cell>
          <cell r="X292">
            <v>13241.57</v>
          </cell>
          <cell r="Y292">
            <v>20445.97</v>
          </cell>
          <cell r="Z292">
            <v>32781.269999999997</v>
          </cell>
          <cell r="AA292">
            <v>60141.49</v>
          </cell>
          <cell r="AB292">
            <v>-40754.870000000003</v>
          </cell>
          <cell r="AC292">
            <v>18253.939999999999</v>
          </cell>
          <cell r="AD292">
            <v>21365.43</v>
          </cell>
          <cell r="AE292">
            <v>-15820.199999999997</v>
          </cell>
          <cell r="AF292">
            <v>43802.7</v>
          </cell>
          <cell r="AG292">
            <v>217013.59000000003</v>
          </cell>
          <cell r="AH292">
            <v>-38540.959999999999</v>
          </cell>
          <cell r="AI292">
            <v>-41436.230000000003</v>
          </cell>
          <cell r="AJ292">
            <v>-118886.04999999999</v>
          </cell>
          <cell r="AK292">
            <v>-43308.890000000007</v>
          </cell>
          <cell r="AL292">
            <v>-56482.51</v>
          </cell>
          <cell r="AM292">
            <v>31990.139999999996</v>
          </cell>
          <cell r="AN292">
            <v>-4688.8600000000006</v>
          </cell>
          <cell r="AO292">
            <v>-72097.64</v>
          </cell>
          <cell r="AP292">
            <v>76394.929999999993</v>
          </cell>
          <cell r="AQ292">
            <v>9131.18</v>
          </cell>
          <cell r="AR292">
            <v>-30499.68</v>
          </cell>
          <cell r="AS292">
            <v>5030.7900000000009</v>
          </cell>
          <cell r="AT292">
            <v>-283393.78000000003</v>
          </cell>
          <cell r="AU292">
            <v>75149.569999999992</v>
          </cell>
          <cell r="AV292">
            <v>-34628.660000000003</v>
          </cell>
          <cell r="AW292">
            <v>-44165.36</v>
          </cell>
          <cell r="AX292">
            <v>52154.69</v>
          </cell>
          <cell r="AY292">
            <v>17145.32</v>
          </cell>
          <cell r="AZ292">
            <v>-47046.449999999983</v>
          </cell>
          <cell r="BA292">
            <v>10337.199999999997</v>
          </cell>
          <cell r="BB292">
            <v>10905.57</v>
          </cell>
          <cell r="BC292">
            <v>69609.740000000005</v>
          </cell>
          <cell r="BD292">
            <v>66437.489999999991</v>
          </cell>
          <cell r="BE292">
            <v>-46394</v>
          </cell>
          <cell r="BF292">
            <v>31414.999999999993</v>
          </cell>
          <cell r="BG292">
            <v>160920.11000000002</v>
          </cell>
          <cell r="BH292">
            <v>-52078.47</v>
          </cell>
          <cell r="BI292">
            <v>-25679.939999999988</v>
          </cell>
          <cell r="BJ292">
            <v>-450413.47000000003</v>
          </cell>
          <cell r="BK292">
            <v>126786.44</v>
          </cell>
          <cell r="BL292">
            <v>-5206.25</v>
          </cell>
          <cell r="BM292">
            <v>-202745.78000000003</v>
          </cell>
          <cell r="BN292">
            <v>94612.32</v>
          </cell>
          <cell r="BO292">
            <v>144966.82999999999</v>
          </cell>
          <cell r="BP292">
            <v>-459834.57000000007</v>
          </cell>
          <cell r="BQ292">
            <v>120349.65</v>
          </cell>
          <cell r="BR292">
            <v>80605.710000000006</v>
          </cell>
          <cell r="BS292">
            <v>-373195.32000000007</v>
          </cell>
          <cell r="BT292">
            <v>-1001832.8500000001</v>
          </cell>
          <cell r="BU292">
            <v>119199.93000000001</v>
          </cell>
          <cell r="BV292">
            <v>7386.1499999999942</v>
          </cell>
          <cell r="BW292">
            <v>-268256.26</v>
          </cell>
          <cell r="BX292">
            <v>113167.31000000001</v>
          </cell>
          <cell r="BY292">
            <v>98884.78</v>
          </cell>
          <cell r="BZ292">
            <v>-235683.52000000002</v>
          </cell>
          <cell r="CA292">
            <v>174361.69999999998</v>
          </cell>
          <cell r="CE292">
            <v>9060.0899999999965</v>
          </cell>
          <cell r="CG292">
            <v>0</v>
          </cell>
        </row>
        <row r="293">
          <cell r="A293" t="str">
            <v>4.3.1.1</v>
          </cell>
          <cell r="B293" t="str">
            <v>RECEITAS E DEPESAS FINANCEIRAS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-140109.19</v>
          </cell>
          <cell r="H293">
            <v>31119.59</v>
          </cell>
          <cell r="I293">
            <v>5038.1900000000005</v>
          </cell>
          <cell r="J293">
            <v>8676.6100000000024</v>
          </cell>
          <cell r="K293">
            <v>21931.29</v>
          </cell>
          <cell r="L293">
            <v>9884.9600000000009</v>
          </cell>
          <cell r="M293">
            <v>19616.04</v>
          </cell>
          <cell r="N293">
            <v>-2795.15</v>
          </cell>
          <cell r="O293">
            <v>22418.84</v>
          </cell>
          <cell r="P293">
            <v>2730.19</v>
          </cell>
          <cell r="Q293">
            <v>10862.22</v>
          </cell>
          <cell r="R293">
            <v>1630.74</v>
          </cell>
          <cell r="S293">
            <v>-10908.38</v>
          </cell>
          <cell r="T293">
            <v>120205.13999999998</v>
          </cell>
          <cell r="U293">
            <v>44458.89</v>
          </cell>
          <cell r="V293">
            <v>-4267.46</v>
          </cell>
          <cell r="W293">
            <v>23364.86</v>
          </cell>
          <cell r="X293">
            <v>13241.57</v>
          </cell>
          <cell r="Y293">
            <v>20445.97</v>
          </cell>
          <cell r="Z293">
            <v>32781.269999999997</v>
          </cell>
          <cell r="AA293">
            <v>60141.49</v>
          </cell>
          <cell r="AB293">
            <v>-40754.870000000003</v>
          </cell>
          <cell r="AC293">
            <v>18253.939999999999</v>
          </cell>
          <cell r="AD293">
            <v>21365.43</v>
          </cell>
          <cell r="AE293">
            <v>-15820.199999999997</v>
          </cell>
          <cell r="AF293">
            <v>43802.7</v>
          </cell>
          <cell r="AG293">
            <v>217013.59000000003</v>
          </cell>
          <cell r="AH293">
            <v>-38540.959999999999</v>
          </cell>
          <cell r="AI293">
            <v>-41436.230000000003</v>
          </cell>
          <cell r="AJ293">
            <v>-118886.04999999999</v>
          </cell>
          <cell r="AK293">
            <v>-43308.890000000007</v>
          </cell>
          <cell r="AL293">
            <v>-56482.51</v>
          </cell>
          <cell r="AM293">
            <v>31990.139999999996</v>
          </cell>
          <cell r="AN293">
            <v>-4688.8600000000006</v>
          </cell>
          <cell r="AO293">
            <v>-72097.64</v>
          </cell>
          <cell r="AP293">
            <v>76394.929999999993</v>
          </cell>
          <cell r="AQ293">
            <v>9131.18</v>
          </cell>
          <cell r="AR293">
            <v>-30499.68</v>
          </cell>
          <cell r="AS293">
            <v>5030.7900000000009</v>
          </cell>
          <cell r="AT293">
            <v>-283393.78000000003</v>
          </cell>
          <cell r="AU293">
            <v>75149.569999999992</v>
          </cell>
          <cell r="AV293">
            <v>-34628.660000000003</v>
          </cell>
          <cell r="AW293">
            <v>-44165.36</v>
          </cell>
          <cell r="AX293">
            <v>52154.69</v>
          </cell>
          <cell r="AY293">
            <v>17145.32</v>
          </cell>
          <cell r="AZ293">
            <v>-47046.449999999983</v>
          </cell>
          <cell r="BA293">
            <v>10337.199999999997</v>
          </cell>
          <cell r="BB293">
            <v>10905.57</v>
          </cell>
          <cell r="BC293">
            <v>69609.740000000005</v>
          </cell>
          <cell r="BD293">
            <v>66437.489999999991</v>
          </cell>
          <cell r="BE293">
            <v>-46394</v>
          </cell>
          <cell r="BF293">
            <v>31414.999999999993</v>
          </cell>
          <cell r="BG293">
            <v>160920.11000000002</v>
          </cell>
          <cell r="BH293">
            <v>-52078.47</v>
          </cell>
          <cell r="BI293">
            <v>-25679.939999999988</v>
          </cell>
          <cell r="BJ293">
            <v>-450413.47000000003</v>
          </cell>
          <cell r="BK293">
            <v>126786.44</v>
          </cell>
          <cell r="BL293">
            <v>-5206.25</v>
          </cell>
          <cell r="BM293">
            <v>-202745.78000000003</v>
          </cell>
          <cell r="BN293">
            <v>94612.32</v>
          </cell>
          <cell r="BO293">
            <v>144966.82999999999</v>
          </cell>
          <cell r="BP293">
            <v>-459834.57000000007</v>
          </cell>
          <cell r="BQ293">
            <v>120349.65</v>
          </cell>
          <cell r="BR293">
            <v>80605.710000000006</v>
          </cell>
          <cell r="BS293">
            <v>-373195.32000000007</v>
          </cell>
          <cell r="BT293">
            <v>-1001832.8500000001</v>
          </cell>
          <cell r="BU293">
            <v>119199.93000000001</v>
          </cell>
          <cell r="BV293">
            <v>7386.1499999999942</v>
          </cell>
          <cell r="BW293">
            <v>-268256.26</v>
          </cell>
          <cell r="BX293">
            <v>113167.31000000001</v>
          </cell>
          <cell r="BY293">
            <v>98884.78</v>
          </cell>
          <cell r="BZ293">
            <v>-235683.52000000002</v>
          </cell>
          <cell r="CA293">
            <v>174361.69999999998</v>
          </cell>
          <cell r="CE293">
            <v>9060.0899999999965</v>
          </cell>
          <cell r="CG293">
            <v>0</v>
          </cell>
        </row>
        <row r="294">
          <cell r="A294" t="str">
            <v>4.3.1.1.01</v>
          </cell>
          <cell r="B294" t="str">
            <v>RECEITAS FINANCEIRAS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-357752.22</v>
          </cell>
          <cell r="H294">
            <v>45408.14</v>
          </cell>
          <cell r="I294">
            <v>17053.71</v>
          </cell>
          <cell r="J294">
            <v>17258.240000000002</v>
          </cell>
          <cell r="K294">
            <v>27577.8</v>
          </cell>
          <cell r="L294">
            <v>15865.07</v>
          </cell>
          <cell r="M294">
            <v>17468.3</v>
          </cell>
          <cell r="N294">
            <v>15628.77</v>
          </cell>
          <cell r="O294">
            <v>18661.72</v>
          </cell>
          <cell r="P294">
            <v>20504.71</v>
          </cell>
          <cell r="Q294">
            <v>29789.39</v>
          </cell>
          <cell r="R294">
            <v>19411.78</v>
          </cell>
          <cell r="S294">
            <v>16147.63</v>
          </cell>
          <cell r="T294">
            <v>260775.25999999998</v>
          </cell>
          <cell r="U294">
            <v>19777.47</v>
          </cell>
          <cell r="V294">
            <v>20916.189999999999</v>
          </cell>
          <cell r="W294">
            <v>21304.14</v>
          </cell>
          <cell r="X294">
            <v>25219.82</v>
          </cell>
          <cell r="Y294">
            <v>29796.33</v>
          </cell>
          <cell r="Z294">
            <v>19383.8</v>
          </cell>
          <cell r="AA294">
            <v>36898.639999999999</v>
          </cell>
          <cell r="AB294">
            <v>21861.01</v>
          </cell>
          <cell r="AC294">
            <v>21080.639999999999</v>
          </cell>
          <cell r="AD294">
            <v>25202.35</v>
          </cell>
          <cell r="AE294">
            <v>13634.62</v>
          </cell>
          <cell r="AF294">
            <v>24563.03</v>
          </cell>
          <cell r="AG294">
            <v>279638.04000000004</v>
          </cell>
          <cell r="AH294">
            <v>20402.7</v>
          </cell>
          <cell r="AI294">
            <v>15596.42</v>
          </cell>
          <cell r="AJ294">
            <v>-3032.75</v>
          </cell>
          <cell r="AK294">
            <v>4291.5200000000004</v>
          </cell>
          <cell r="AL294">
            <v>10264.67</v>
          </cell>
          <cell r="AM294">
            <v>10482.280000000001</v>
          </cell>
          <cell r="AN294">
            <v>19851.3</v>
          </cell>
          <cell r="AO294">
            <v>12023.6</v>
          </cell>
          <cell r="AP294">
            <v>15138.6</v>
          </cell>
          <cell r="AQ294">
            <v>15232.84</v>
          </cell>
          <cell r="AR294">
            <v>16129.49</v>
          </cell>
          <cell r="AS294">
            <v>18320.36</v>
          </cell>
          <cell r="AT294">
            <v>154701.03000000003</v>
          </cell>
          <cell r="AU294">
            <v>18251.489999999998</v>
          </cell>
          <cell r="AV294">
            <v>12667.91</v>
          </cell>
          <cell r="AW294">
            <v>23122.47</v>
          </cell>
          <cell r="AX294">
            <v>23413.17</v>
          </cell>
          <cell r="AY294">
            <v>29890.799999999999</v>
          </cell>
          <cell r="AZ294">
            <v>65596.37</v>
          </cell>
          <cell r="BA294">
            <v>36023.229999999996</v>
          </cell>
          <cell r="BB294">
            <v>40039.75</v>
          </cell>
          <cell r="BC294">
            <v>30744.639999999999</v>
          </cell>
          <cell r="BD294">
            <v>60277.33</v>
          </cell>
          <cell r="BE294">
            <v>48647.11</v>
          </cell>
          <cell r="BF294">
            <v>83956.74</v>
          </cell>
          <cell r="BG294">
            <v>472631.01</v>
          </cell>
          <cell r="BH294">
            <v>54298.600000000006</v>
          </cell>
          <cell r="BI294">
            <v>71454.39</v>
          </cell>
          <cell r="BJ294">
            <v>111764.22</v>
          </cell>
          <cell r="BK294">
            <v>113003.93</v>
          </cell>
          <cell r="BL294">
            <v>136687.13</v>
          </cell>
          <cell r="BM294">
            <v>144714.93</v>
          </cell>
          <cell r="BN294">
            <v>138071.63</v>
          </cell>
          <cell r="BO294">
            <v>176201.60000000001</v>
          </cell>
          <cell r="BP294">
            <v>148184.94</v>
          </cell>
          <cell r="BQ294">
            <v>145122.87</v>
          </cell>
          <cell r="BR294">
            <v>140270.73000000001</v>
          </cell>
          <cell r="BS294">
            <v>149480.04999999999</v>
          </cell>
          <cell r="BT294">
            <v>1529255.0199999998</v>
          </cell>
          <cell r="BU294">
            <v>155874.54</v>
          </cell>
          <cell r="BV294">
            <v>128257.07</v>
          </cell>
          <cell r="BW294">
            <v>173576.94</v>
          </cell>
          <cell r="BX294">
            <v>136088.29999999999</v>
          </cell>
          <cell r="BY294">
            <v>189371.88</v>
          </cell>
          <cell r="BZ294">
            <v>181551.46</v>
          </cell>
          <cell r="CA294">
            <v>184247.33</v>
          </cell>
          <cell r="CE294">
            <v>1148967.52</v>
          </cell>
          <cell r="CG294">
            <v>0</v>
          </cell>
        </row>
        <row r="295">
          <cell r="A295" t="str">
            <v>4.3.1.1.01.00001</v>
          </cell>
          <cell r="B295" t="str">
            <v>RENDIMENTOS DE APLICACOES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-265815.06</v>
          </cell>
          <cell r="H295">
            <v>12712.41</v>
          </cell>
          <cell r="I295">
            <v>10994.58</v>
          </cell>
          <cell r="J295">
            <v>15157.67</v>
          </cell>
          <cell r="K295">
            <v>19156.68</v>
          </cell>
          <cell r="L295">
            <v>11833.1</v>
          </cell>
          <cell r="M295">
            <v>10627.85</v>
          </cell>
          <cell r="N295">
            <v>13191.24</v>
          </cell>
          <cell r="O295">
            <v>14371.65</v>
          </cell>
          <cell r="P295">
            <v>13918.81</v>
          </cell>
          <cell r="Q295">
            <v>18275.080000000002</v>
          </cell>
          <cell r="R295">
            <v>15675.17</v>
          </cell>
          <cell r="S295">
            <v>13351.4</v>
          </cell>
          <cell r="T295">
            <v>169265.64</v>
          </cell>
          <cell r="U295">
            <v>15511.71</v>
          </cell>
          <cell r="V295">
            <v>16000.48</v>
          </cell>
          <cell r="W295">
            <v>16840.22</v>
          </cell>
          <cell r="X295">
            <v>19290.919999999998</v>
          </cell>
          <cell r="Y295">
            <v>17929.349999999999</v>
          </cell>
          <cell r="Z295">
            <v>14432.88</v>
          </cell>
          <cell r="AA295">
            <v>18152.28</v>
          </cell>
          <cell r="AB295">
            <v>14275.87</v>
          </cell>
          <cell r="AC295">
            <v>17252.36</v>
          </cell>
          <cell r="AD295">
            <v>18227.740000000002</v>
          </cell>
          <cell r="AE295">
            <v>9658.1</v>
          </cell>
          <cell r="AF295">
            <v>9772.2099999999991</v>
          </cell>
          <cell r="AG295">
            <v>187344.12</v>
          </cell>
          <cell r="AH295">
            <v>9746.11</v>
          </cell>
          <cell r="AI295">
            <v>9795.2099999999991</v>
          </cell>
          <cell r="AJ295">
            <v>-10798.55</v>
          </cell>
          <cell r="AK295">
            <v>-3772.13</v>
          </cell>
          <cell r="AL295">
            <v>7101.44</v>
          </cell>
          <cell r="AM295">
            <v>6706.23</v>
          </cell>
          <cell r="AN295">
            <v>9014.93</v>
          </cell>
          <cell r="AO295">
            <v>7726.5800000000008</v>
          </cell>
          <cell r="AP295">
            <v>9770.2000000000007</v>
          </cell>
          <cell r="AQ295">
            <v>9649.84</v>
          </cell>
          <cell r="AR295">
            <v>9606.2300000000014</v>
          </cell>
          <cell r="AS295">
            <v>12691.37</v>
          </cell>
          <cell r="AT295">
            <v>77237.460000000006</v>
          </cell>
          <cell r="AU295">
            <v>11368.88</v>
          </cell>
          <cell r="AV295">
            <v>10113.59</v>
          </cell>
          <cell r="AW295">
            <v>16530.89</v>
          </cell>
          <cell r="AX295">
            <v>17568.86</v>
          </cell>
          <cell r="AY295">
            <v>24115.89</v>
          </cell>
          <cell r="AZ295">
            <v>26533.57</v>
          </cell>
          <cell r="BA295">
            <v>25925</v>
          </cell>
          <cell r="BB295">
            <v>28891.64</v>
          </cell>
          <cell r="BC295">
            <v>23506.559999999998</v>
          </cell>
          <cell r="BD295">
            <v>55886.21</v>
          </cell>
          <cell r="BE295">
            <v>38907.919999999998</v>
          </cell>
          <cell r="BF295">
            <v>71801.759999999995</v>
          </cell>
          <cell r="BG295">
            <v>351150.77</v>
          </cell>
          <cell r="BH295">
            <v>38967.819999999992</v>
          </cell>
          <cell r="BI295">
            <v>61473.729999999996</v>
          </cell>
          <cell r="BJ295">
            <v>103848.42</v>
          </cell>
          <cell r="BK295">
            <v>106028.14</v>
          </cell>
          <cell r="BL295">
            <v>115382.93</v>
          </cell>
          <cell r="BM295">
            <v>116021.71</v>
          </cell>
          <cell r="BN295">
            <v>114079.44</v>
          </cell>
          <cell r="BO295">
            <v>131942.18</v>
          </cell>
          <cell r="BP295">
            <v>134577.62</v>
          </cell>
          <cell r="BQ295">
            <v>138738.82</v>
          </cell>
          <cell r="BR295">
            <v>131046.75</v>
          </cell>
          <cell r="BS295">
            <v>138459.13</v>
          </cell>
          <cell r="BT295">
            <v>1330566.69</v>
          </cell>
          <cell r="BU295">
            <v>145926.69</v>
          </cell>
          <cell r="BV295">
            <v>120487.56</v>
          </cell>
          <cell r="BW295">
            <v>159421.51</v>
          </cell>
          <cell r="BX295">
            <v>122857.72</v>
          </cell>
          <cell r="BY295">
            <v>173476.23</v>
          </cell>
          <cell r="BZ295">
            <v>166876.57</v>
          </cell>
          <cell r="CA295">
            <v>169090.35</v>
          </cell>
          <cell r="CE295">
            <v>1058136.6300000001</v>
          </cell>
          <cell r="CG295">
            <v>0</v>
          </cell>
        </row>
        <row r="296">
          <cell r="A296" t="str">
            <v>4.3.1.1.01.00003</v>
          </cell>
          <cell r="B296" t="str">
            <v>JUROS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-76621.97</v>
          </cell>
          <cell r="H296">
            <v>4543.9399999999996</v>
          </cell>
          <cell r="I296">
            <v>5581.19</v>
          </cell>
          <cell r="J296">
            <v>1650.41</v>
          </cell>
          <cell r="K296">
            <v>7936.51</v>
          </cell>
          <cell r="L296">
            <v>3814.13</v>
          </cell>
          <cell r="M296">
            <v>5609.66</v>
          </cell>
          <cell r="N296">
            <v>1880.03</v>
          </cell>
          <cell r="O296">
            <v>3882.53</v>
          </cell>
          <cell r="P296">
            <v>6308.86</v>
          </cell>
          <cell r="Q296">
            <v>11512.59</v>
          </cell>
          <cell r="R296">
            <v>3736.38</v>
          </cell>
          <cell r="S296">
            <v>2762.62</v>
          </cell>
          <cell r="T296">
            <v>59218.850000000006</v>
          </cell>
          <cell r="U296">
            <v>4245.33</v>
          </cell>
          <cell r="V296">
            <v>4888.59</v>
          </cell>
          <cell r="W296">
            <v>6514.79</v>
          </cell>
          <cell r="X296">
            <v>5763.21</v>
          </cell>
          <cell r="Y296">
            <v>11193.12</v>
          </cell>
          <cell r="Z296">
            <v>4890.6499999999996</v>
          </cell>
          <cell r="AA296">
            <v>18693.099999999999</v>
          </cell>
          <cell r="AB296">
            <v>6781.16</v>
          </cell>
          <cell r="AC296">
            <v>3828.07</v>
          </cell>
          <cell r="AD296">
            <v>6914.41</v>
          </cell>
          <cell r="AE296">
            <v>3842.99</v>
          </cell>
          <cell r="AF296">
            <v>14279.13</v>
          </cell>
          <cell r="AG296">
            <v>91834.550000000017</v>
          </cell>
          <cell r="AH296">
            <v>10656.51</v>
          </cell>
          <cell r="AI296">
            <v>5799.11</v>
          </cell>
          <cell r="AJ296">
            <v>7764.28</v>
          </cell>
          <cell r="AK296">
            <v>7690.86</v>
          </cell>
          <cell r="AL296">
            <v>3132.51</v>
          </cell>
          <cell r="AM296">
            <v>3421.2</v>
          </cell>
          <cell r="AN296">
            <v>10075.56</v>
          </cell>
          <cell r="AO296">
            <v>4180.22</v>
          </cell>
          <cell r="AP296">
            <v>5368.34</v>
          </cell>
          <cell r="AQ296">
            <v>5576.42</v>
          </cell>
          <cell r="AR296">
            <v>6523.18</v>
          </cell>
          <cell r="AS296">
            <v>5472.74</v>
          </cell>
          <cell r="AT296">
            <v>75660.930000000008</v>
          </cell>
          <cell r="AU296">
            <v>6881.92</v>
          </cell>
          <cell r="AV296">
            <v>2553.83</v>
          </cell>
          <cell r="AW296">
            <v>5541</v>
          </cell>
          <cell r="AX296">
            <v>5843.91</v>
          </cell>
          <cell r="AY296">
            <v>5772.78</v>
          </cell>
          <cell r="AZ296">
            <v>39062.35</v>
          </cell>
          <cell r="BA296">
            <v>10098.07</v>
          </cell>
          <cell r="BB296">
            <v>10339.81</v>
          </cell>
          <cell r="BC296">
            <v>7219.72</v>
          </cell>
          <cell r="BD296">
            <v>4389.6499999999996</v>
          </cell>
          <cell r="BE296">
            <v>9737.09</v>
          </cell>
          <cell r="BF296">
            <v>12153.93</v>
          </cell>
          <cell r="BG296">
            <v>119594.05999999997</v>
          </cell>
          <cell r="BH296">
            <v>15328.59</v>
          </cell>
          <cell r="BI296">
            <v>9980.57</v>
          </cell>
          <cell r="BJ296">
            <v>7915.48</v>
          </cell>
          <cell r="BK296">
            <v>6773.02</v>
          </cell>
          <cell r="BL296">
            <v>10284.370000000001</v>
          </cell>
          <cell r="BM296">
            <v>9025.5</v>
          </cell>
          <cell r="BN296">
            <v>10892.02</v>
          </cell>
          <cell r="BO296">
            <v>16122.24</v>
          </cell>
          <cell r="BP296">
            <v>13524.66</v>
          </cell>
          <cell r="BQ296">
            <v>6301.09</v>
          </cell>
          <cell r="BR296">
            <v>9223.74</v>
          </cell>
          <cell r="BS296">
            <v>10797.73</v>
          </cell>
          <cell r="BT296">
            <v>126169.01000000001</v>
          </cell>
          <cell r="BU296">
            <v>9877.4</v>
          </cell>
          <cell r="BV296">
            <v>7769.41</v>
          </cell>
          <cell r="BW296">
            <v>13665.41</v>
          </cell>
          <cell r="BX296">
            <v>13230.43</v>
          </cell>
          <cell r="BY296">
            <v>15686.53</v>
          </cell>
          <cell r="BZ296">
            <v>14569.83</v>
          </cell>
          <cell r="CA296">
            <v>15142.48</v>
          </cell>
          <cell r="CE296">
            <v>89941.489999999991</v>
          </cell>
          <cell r="CG296">
            <v>0</v>
          </cell>
        </row>
        <row r="297">
          <cell r="A297" t="str">
            <v>4.3.1.1.01.00004</v>
          </cell>
          <cell r="B297" t="str">
            <v>DESCONTOS OBTIDOS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-12685.35</v>
          </cell>
          <cell r="H297">
            <v>95.5</v>
          </cell>
          <cell r="I297">
            <v>477.94</v>
          </cell>
          <cell r="J297">
            <v>450.16</v>
          </cell>
          <cell r="K297">
            <v>23.68</v>
          </cell>
          <cell r="L297">
            <v>197.17</v>
          </cell>
          <cell r="M297">
            <v>1191.26</v>
          </cell>
          <cell r="N297">
            <v>557.5</v>
          </cell>
          <cell r="O297">
            <v>407.54</v>
          </cell>
          <cell r="P297">
            <v>277.04000000000002</v>
          </cell>
          <cell r="Q297">
            <v>1.72</v>
          </cell>
          <cell r="R297">
            <v>0.23</v>
          </cell>
          <cell r="S297">
            <v>33.61</v>
          </cell>
          <cell r="T297">
            <v>3713.35</v>
          </cell>
          <cell r="U297">
            <v>20.43</v>
          </cell>
          <cell r="V297">
            <v>-27.12</v>
          </cell>
          <cell r="W297">
            <v>18.170000000000002</v>
          </cell>
          <cell r="X297">
            <v>165.69</v>
          </cell>
          <cell r="Y297">
            <v>673.86</v>
          </cell>
          <cell r="Z297">
            <v>60.27</v>
          </cell>
          <cell r="AA297">
            <v>53.26</v>
          </cell>
          <cell r="AB297">
            <v>803.32</v>
          </cell>
          <cell r="AC297">
            <v>0.21</v>
          </cell>
          <cell r="AD297">
            <v>60.2</v>
          </cell>
          <cell r="AE297">
            <v>133.53</v>
          </cell>
          <cell r="AF297">
            <v>511.69</v>
          </cell>
          <cell r="AG297">
            <v>2473.5100000000002</v>
          </cell>
          <cell r="AH297">
            <v>0.08</v>
          </cell>
          <cell r="AI297">
            <v>2.1</v>
          </cell>
          <cell r="AJ297">
            <v>1.52</v>
          </cell>
          <cell r="AK297">
            <v>372.79</v>
          </cell>
          <cell r="AL297">
            <v>30.72</v>
          </cell>
          <cell r="AM297">
            <v>354.85</v>
          </cell>
          <cell r="AN297">
            <v>760.81</v>
          </cell>
          <cell r="AO297">
            <v>116.8</v>
          </cell>
          <cell r="AP297">
            <v>0.06</v>
          </cell>
          <cell r="AQ297">
            <v>6.58</v>
          </cell>
          <cell r="AR297">
            <v>0.08</v>
          </cell>
          <cell r="AS297">
            <v>156.25</v>
          </cell>
          <cell r="AT297">
            <v>1802.6399999999996</v>
          </cell>
          <cell r="AU297">
            <v>0.69</v>
          </cell>
          <cell r="AV297">
            <v>0.49</v>
          </cell>
          <cell r="AW297">
            <v>1050.58</v>
          </cell>
          <cell r="AX297">
            <v>0.4</v>
          </cell>
          <cell r="AY297">
            <v>2.13</v>
          </cell>
          <cell r="AZ297">
            <v>0.45</v>
          </cell>
          <cell r="BA297">
            <v>0.16</v>
          </cell>
          <cell r="BB297">
            <v>808.3</v>
          </cell>
          <cell r="BC297">
            <v>18.36</v>
          </cell>
          <cell r="BD297">
            <v>1.47</v>
          </cell>
          <cell r="BE297">
            <v>2.1</v>
          </cell>
          <cell r="BF297">
            <v>1.05</v>
          </cell>
          <cell r="BG297">
            <v>1886.18</v>
          </cell>
          <cell r="BH297">
            <v>2.19</v>
          </cell>
          <cell r="BI297">
            <v>0.09</v>
          </cell>
          <cell r="BJ297">
            <v>0.32</v>
          </cell>
          <cell r="BK297">
            <v>202.77</v>
          </cell>
          <cell r="BL297">
            <v>11019.83</v>
          </cell>
          <cell r="BM297">
            <v>19667.72</v>
          </cell>
          <cell r="BN297">
            <v>13100.17</v>
          </cell>
          <cell r="BO297">
            <v>28137.18</v>
          </cell>
          <cell r="BP297">
            <v>82.660000000000082</v>
          </cell>
          <cell r="BQ297">
            <v>82.96</v>
          </cell>
          <cell r="BR297">
            <v>0.24</v>
          </cell>
          <cell r="BS297">
            <v>223.19</v>
          </cell>
          <cell r="BT297">
            <v>72519.320000000022</v>
          </cell>
          <cell r="BU297">
            <v>70.45</v>
          </cell>
          <cell r="BV297">
            <v>0.1</v>
          </cell>
          <cell r="BW297">
            <v>490.02</v>
          </cell>
          <cell r="BX297">
            <v>0.15</v>
          </cell>
          <cell r="BY297">
            <v>209.12</v>
          </cell>
          <cell r="BZ297">
            <v>105.06</v>
          </cell>
          <cell r="CA297">
            <v>14.5</v>
          </cell>
          <cell r="CE297">
            <v>889.39999999999986</v>
          </cell>
          <cell r="CG297">
            <v>0</v>
          </cell>
        </row>
        <row r="298">
          <cell r="A298" t="str">
            <v>4.3.1.1.01.00005</v>
          </cell>
          <cell r="B298" t="str">
            <v>OUTRAS RECEITAS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-2629.84</v>
          </cell>
          <cell r="H298">
            <v>28056.29</v>
          </cell>
          <cell r="I298">
            <v>0</v>
          </cell>
          <cell r="J298">
            <v>0</v>
          </cell>
          <cell r="K298">
            <v>460.93</v>
          </cell>
          <cell r="L298">
            <v>20.67</v>
          </cell>
          <cell r="M298">
            <v>39.53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28577.42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0</v>
          </cell>
          <cell r="BJ298">
            <v>0</v>
          </cell>
          <cell r="BK298">
            <v>0</v>
          </cell>
          <cell r="BL298">
            <v>0</v>
          </cell>
          <cell r="BM298">
            <v>0</v>
          </cell>
          <cell r="BN298">
            <v>0</v>
          </cell>
          <cell r="BO298">
            <v>0</v>
          </cell>
          <cell r="BP298">
            <v>0</v>
          </cell>
          <cell r="BQ298">
            <v>0</v>
          </cell>
          <cell r="BR298">
            <v>0</v>
          </cell>
          <cell r="BS298">
            <v>0</v>
          </cell>
          <cell r="BT298">
            <v>0</v>
          </cell>
          <cell r="BU298">
            <v>0</v>
          </cell>
          <cell r="BV298">
            <v>0</v>
          </cell>
          <cell r="BW298">
            <v>0</v>
          </cell>
          <cell r="BX298">
            <v>0</v>
          </cell>
          <cell r="BY298">
            <v>0</v>
          </cell>
          <cell r="BZ298">
            <v>0</v>
          </cell>
          <cell r="CA298">
            <v>0</v>
          </cell>
          <cell r="CE298">
            <v>0</v>
          </cell>
          <cell r="CG298">
            <v>0</v>
          </cell>
        </row>
        <row r="299">
          <cell r="A299" t="str">
            <v>4.3.1.1.02</v>
          </cell>
          <cell r="B299" t="str">
            <v>DESPESAS FINANCEIRAS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-203555.34</v>
          </cell>
          <cell r="H299">
            <v>-15495.08</v>
          </cell>
          <cell r="I299">
            <v>-14298.16</v>
          </cell>
          <cell r="J299">
            <v>-9719.2800000000007</v>
          </cell>
          <cell r="K299">
            <v>-10916.95</v>
          </cell>
          <cell r="L299">
            <v>-12493.21</v>
          </cell>
          <cell r="M299">
            <v>-9307.17</v>
          </cell>
          <cell r="N299">
            <v>-9863.34</v>
          </cell>
          <cell r="O299">
            <v>-7628.37</v>
          </cell>
          <cell r="P299">
            <v>-14617.8</v>
          </cell>
          <cell r="Q299">
            <v>-14653.61</v>
          </cell>
          <cell r="R299">
            <v>-10922.32</v>
          </cell>
          <cell r="S299">
            <v>-11380.42</v>
          </cell>
          <cell r="T299">
            <v>-141295.71000000002</v>
          </cell>
          <cell r="U299">
            <v>-10680.21</v>
          </cell>
          <cell r="V299">
            <v>-9674.74</v>
          </cell>
          <cell r="W299">
            <v>-8761.82</v>
          </cell>
          <cell r="X299">
            <v>-11124.68</v>
          </cell>
          <cell r="Y299">
            <v>-9812.64</v>
          </cell>
          <cell r="Z299">
            <v>-8372.7999999999993</v>
          </cell>
          <cell r="AA299">
            <v>-7810.15</v>
          </cell>
          <cell r="AB299">
            <v>-14497.33</v>
          </cell>
          <cell r="AC299">
            <v>-12755.09</v>
          </cell>
          <cell r="AD299">
            <v>-12270.15</v>
          </cell>
          <cell r="AE299">
            <v>-12065.19</v>
          </cell>
          <cell r="AF299">
            <v>-11365.45</v>
          </cell>
          <cell r="AG299">
            <v>-129190.24999999999</v>
          </cell>
          <cell r="AH299">
            <v>-11361.03</v>
          </cell>
          <cell r="AI299">
            <v>-11078.93</v>
          </cell>
          <cell r="AJ299">
            <v>-15664.49</v>
          </cell>
          <cell r="AK299">
            <v>-17505.38</v>
          </cell>
          <cell r="AL299">
            <v>-15552.06</v>
          </cell>
          <cell r="AM299">
            <v>-16898.04</v>
          </cell>
          <cell r="AN299">
            <v>-20132.150000000001</v>
          </cell>
          <cell r="AO299">
            <v>-112769.16</v>
          </cell>
          <cell r="AP299">
            <v>-15889.45</v>
          </cell>
          <cell r="AQ299">
            <v>-15446.03</v>
          </cell>
          <cell r="AR299">
            <v>-16033.01</v>
          </cell>
          <cell r="AS299">
            <v>-14883.66</v>
          </cell>
          <cell r="AT299">
            <v>-283213.38999999996</v>
          </cell>
          <cell r="AU299">
            <v>-16351.92</v>
          </cell>
          <cell r="AV299">
            <v>-12943.07</v>
          </cell>
          <cell r="AW299">
            <v>-19773.080000000002</v>
          </cell>
          <cell r="AX299">
            <v>-20944.349999999999</v>
          </cell>
          <cell r="AY299">
            <v>-14980.37</v>
          </cell>
          <cell r="AZ299">
            <v>-25955.3</v>
          </cell>
          <cell r="BA299">
            <v>-59415.78</v>
          </cell>
          <cell r="BB299">
            <v>-26321.23</v>
          </cell>
          <cell r="BC299">
            <v>-25747.61</v>
          </cell>
          <cell r="BD299">
            <v>-29288.78</v>
          </cell>
          <cell r="BE299">
            <v>-44788.74</v>
          </cell>
          <cell r="BF299">
            <v>-30168.780000000002</v>
          </cell>
          <cell r="BG299">
            <v>-326679.01000000007</v>
          </cell>
          <cell r="BH299">
            <v>-30359.96</v>
          </cell>
          <cell r="BI299">
            <v>-27954.75</v>
          </cell>
          <cell r="BJ299">
            <v>-530755.26</v>
          </cell>
          <cell r="BK299">
            <v>-46820.53</v>
          </cell>
          <cell r="BL299">
            <v>-34679.93</v>
          </cell>
          <cell r="BM299">
            <v>-525854.5</v>
          </cell>
          <cell r="BN299">
            <v>-52674.68</v>
          </cell>
          <cell r="BO299">
            <v>-23070.29</v>
          </cell>
          <cell r="BP299">
            <v>-546776.42999999993</v>
          </cell>
          <cell r="BQ299">
            <v>-103170.42</v>
          </cell>
          <cell r="BR299">
            <v>-27563.89</v>
          </cell>
          <cell r="BS299">
            <v>-530795.54</v>
          </cell>
          <cell r="BT299">
            <v>-2480476.1799999997</v>
          </cell>
          <cell r="BU299">
            <v>-68699.66</v>
          </cell>
          <cell r="BV299">
            <v>-55269.47</v>
          </cell>
          <cell r="BW299">
            <v>-525091.77</v>
          </cell>
          <cell r="BX299">
            <v>-66996.820000000007</v>
          </cell>
          <cell r="BY299">
            <v>-43625.680000000008</v>
          </cell>
          <cell r="BZ299">
            <v>-543435.29</v>
          </cell>
          <cell r="CA299">
            <v>-61248.94</v>
          </cell>
          <cell r="CE299">
            <v>-1364367.63</v>
          </cell>
          <cell r="CG299">
            <v>0</v>
          </cell>
        </row>
        <row r="300">
          <cell r="A300" t="str">
            <v>4.3.1.1.02.00001</v>
          </cell>
          <cell r="B300" t="str">
            <v>JUROS SOBRE EMPRESTIMOS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-94140.24</v>
          </cell>
          <cell r="H300">
            <v>-6224.58</v>
          </cell>
          <cell r="I300">
            <v>-6716.5</v>
          </cell>
          <cell r="J300">
            <v>-5186.26</v>
          </cell>
          <cell r="K300">
            <v>-567.66</v>
          </cell>
          <cell r="L300">
            <v>-567.66</v>
          </cell>
          <cell r="M300">
            <v>-567.66</v>
          </cell>
          <cell r="N300">
            <v>-4497.97</v>
          </cell>
          <cell r="O300">
            <v>-567.66</v>
          </cell>
          <cell r="P300">
            <v>-567.66</v>
          </cell>
          <cell r="Q300">
            <v>-567.66</v>
          </cell>
          <cell r="R300">
            <v>-567.66</v>
          </cell>
          <cell r="S300">
            <v>-567.66</v>
          </cell>
          <cell r="T300">
            <v>-27166.59</v>
          </cell>
          <cell r="U300">
            <v>-567.66</v>
          </cell>
          <cell r="V300">
            <v>-4903.12</v>
          </cell>
          <cell r="W300">
            <v>-6414.43</v>
          </cell>
          <cell r="X300">
            <v>-7914.85</v>
          </cell>
          <cell r="Y300">
            <v>7454.78</v>
          </cell>
          <cell r="Z300">
            <v>-5835.61</v>
          </cell>
          <cell r="AA300">
            <v>-4186.9399999999996</v>
          </cell>
          <cell r="AB300">
            <v>-9732.32</v>
          </cell>
          <cell r="AC300">
            <v>-9578.69</v>
          </cell>
          <cell r="AD300">
            <v>-9229.2000000000007</v>
          </cell>
          <cell r="AE300">
            <v>-9429.08</v>
          </cell>
          <cell r="AF300">
            <v>-9085.2999999999993</v>
          </cell>
          <cell r="AG300">
            <v>-69422.42</v>
          </cell>
          <cell r="AH300">
            <v>-8980.4</v>
          </cell>
          <cell r="AI300">
            <v>-8876.19</v>
          </cell>
          <cell r="AJ300">
            <v>-13185.02</v>
          </cell>
          <cell r="AK300">
            <v>-12835.58</v>
          </cell>
          <cell r="AL300">
            <v>-12937.1</v>
          </cell>
          <cell r="AM300">
            <v>-12588.06</v>
          </cell>
          <cell r="AN300">
            <v>-12588.06</v>
          </cell>
          <cell r="AO300">
            <v>-107879.32</v>
          </cell>
          <cell r="AP300">
            <v>-6980.26</v>
          </cell>
          <cell r="AQ300">
            <v>-4320.01</v>
          </cell>
          <cell r="AR300">
            <v>-9506.4699999999993</v>
          </cell>
          <cell r="AS300">
            <v>-9506.4699999999993</v>
          </cell>
          <cell r="AT300">
            <v>-220182.94000000003</v>
          </cell>
          <cell r="AU300">
            <v>-9506.4699999999993</v>
          </cell>
          <cell r="AV300">
            <v>-9506.4699999999993</v>
          </cell>
          <cell r="AW300">
            <v>-9506.4699999999993</v>
          </cell>
          <cell r="AX300">
            <v>-9506.4699999999993</v>
          </cell>
          <cell r="AY300">
            <v>-9506.4699999999993</v>
          </cell>
          <cell r="AZ300">
            <v>-19799.09</v>
          </cell>
          <cell r="BA300">
            <v>-19799.09</v>
          </cell>
          <cell r="BB300">
            <v>-19799.03</v>
          </cell>
          <cell r="BC300">
            <v>-15964.49</v>
          </cell>
          <cell r="BD300">
            <v>-17903.310000000001</v>
          </cell>
          <cell r="BE300">
            <v>-19607.13</v>
          </cell>
          <cell r="BF300">
            <v>-19698.29</v>
          </cell>
          <cell r="BG300">
            <v>-180102.78000000003</v>
          </cell>
          <cell r="BH300">
            <v>-19791.13</v>
          </cell>
          <cell r="BI300">
            <v>-15964.49</v>
          </cell>
          <cell r="BJ300">
            <v>-23295.51</v>
          </cell>
          <cell r="BK300">
            <v>-19759.68</v>
          </cell>
          <cell r="BL300">
            <v>-19844.55</v>
          </cell>
          <cell r="BM300">
            <v>-19930.990000000002</v>
          </cell>
          <cell r="BN300">
            <v>-20013.330000000002</v>
          </cell>
          <cell r="BO300">
            <v>-15710.44</v>
          </cell>
          <cell r="BP300">
            <v>-18769.919999999998</v>
          </cell>
          <cell r="BQ300">
            <v>-54516.38</v>
          </cell>
          <cell r="BR300">
            <v>-19854.099999999999</v>
          </cell>
          <cell r="BS300">
            <v>-19930.79</v>
          </cell>
          <cell r="BT300">
            <v>-267381.31</v>
          </cell>
          <cell r="BU300">
            <v>-50334.54</v>
          </cell>
          <cell r="BV300">
            <v>-41906.75</v>
          </cell>
          <cell r="BW300">
            <v>-20154.439999999999</v>
          </cell>
          <cell r="BX300">
            <v>-43950.03</v>
          </cell>
          <cell r="BY300">
            <v>-37299.350000000006</v>
          </cell>
          <cell r="BZ300">
            <v>-34537.230000000003</v>
          </cell>
          <cell r="CA300">
            <v>-41441.089999999997</v>
          </cell>
          <cell r="CE300">
            <v>-269623.43000000005</v>
          </cell>
          <cell r="CG300">
            <v>0</v>
          </cell>
        </row>
        <row r="301">
          <cell r="A301" t="str">
            <v>4.3.1.1.02.00004</v>
          </cell>
          <cell r="B301" t="str">
            <v>JUROS DE MORA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-12983.23</v>
          </cell>
          <cell r="H301">
            <v>-1424.39</v>
          </cell>
          <cell r="I301">
            <v>-1281.72</v>
          </cell>
          <cell r="J301">
            <v>-1118.95</v>
          </cell>
          <cell r="K301">
            <v>-6077.18</v>
          </cell>
          <cell r="L301">
            <v>-5423.75</v>
          </cell>
          <cell r="M301">
            <v>-5533.17</v>
          </cell>
          <cell r="N301">
            <v>-1981.4</v>
          </cell>
          <cell r="O301">
            <v>-5012.42</v>
          </cell>
          <cell r="P301">
            <v>-6211.29</v>
          </cell>
          <cell r="Q301">
            <v>-11333.62</v>
          </cell>
          <cell r="R301">
            <v>-7074.18</v>
          </cell>
          <cell r="S301">
            <v>-6456.02</v>
          </cell>
          <cell r="T301">
            <v>-58928.090000000011</v>
          </cell>
          <cell r="U301">
            <v>-6025.08</v>
          </cell>
          <cell r="V301">
            <v>-2053.9299999999998</v>
          </cell>
          <cell r="W301">
            <v>-32.200000000000003</v>
          </cell>
          <cell r="X301">
            <v>-12.82</v>
          </cell>
          <cell r="Y301">
            <v>0</v>
          </cell>
          <cell r="Z301">
            <v>-72.42</v>
          </cell>
          <cell r="AA301">
            <v>-606.85</v>
          </cell>
          <cell r="AB301">
            <v>-31.86</v>
          </cell>
          <cell r="AC301">
            <v>-1.04</v>
          </cell>
          <cell r="AD301">
            <v>-5.47</v>
          </cell>
          <cell r="AE301">
            <v>-655.43</v>
          </cell>
          <cell r="AF301">
            <v>-13.8</v>
          </cell>
          <cell r="AG301">
            <v>-9510.9</v>
          </cell>
          <cell r="AH301">
            <v>-23.22</v>
          </cell>
          <cell r="AI301">
            <v>-0.43</v>
          </cell>
          <cell r="AJ301">
            <v>-0.06</v>
          </cell>
          <cell r="AK301">
            <v>-297.57</v>
          </cell>
          <cell r="AL301">
            <v>-388.79</v>
          </cell>
          <cell r="AM301">
            <v>-579.57000000000005</v>
          </cell>
          <cell r="AN301">
            <v>-6.94</v>
          </cell>
          <cell r="AO301">
            <v>-55.55</v>
          </cell>
          <cell r="AP301">
            <v>-14.100000000000001</v>
          </cell>
          <cell r="AQ301">
            <v>-5206.29</v>
          </cell>
          <cell r="AR301">
            <v>-31.79</v>
          </cell>
          <cell r="AS301">
            <v>-39.17</v>
          </cell>
          <cell r="AT301">
            <v>-6643.48</v>
          </cell>
          <cell r="AU301">
            <v>-214.03</v>
          </cell>
          <cell r="AV301">
            <v>-52.22</v>
          </cell>
          <cell r="AW301">
            <v>-533.44000000000005</v>
          </cell>
          <cell r="AX301">
            <v>-85.35</v>
          </cell>
          <cell r="AY301">
            <v>-3.17</v>
          </cell>
          <cell r="AZ301">
            <v>-426.5</v>
          </cell>
          <cell r="BA301">
            <v>-6.75</v>
          </cell>
          <cell r="BB301">
            <v>-96.74</v>
          </cell>
          <cell r="BC301">
            <v>-3758.18</v>
          </cell>
          <cell r="BD301">
            <v>-1644.32</v>
          </cell>
          <cell r="BE301">
            <v>-7.08</v>
          </cell>
          <cell r="BF301">
            <v>-0.06</v>
          </cell>
          <cell r="BG301">
            <v>-6827.84</v>
          </cell>
          <cell r="BH301">
            <v>-2.02</v>
          </cell>
          <cell r="BI301">
            <v>-41.57</v>
          </cell>
          <cell r="BJ301">
            <v>-1013.51</v>
          </cell>
          <cell r="BK301">
            <v>-1868.34</v>
          </cell>
          <cell r="BL301">
            <v>-690.41</v>
          </cell>
          <cell r="BM301">
            <v>-1187.3399999999999</v>
          </cell>
          <cell r="BN301">
            <v>-56.83</v>
          </cell>
          <cell r="BO301">
            <v>-4139.13</v>
          </cell>
          <cell r="BP301">
            <v>-1240.46</v>
          </cell>
          <cell r="BQ301">
            <v>-172.65</v>
          </cell>
          <cell r="BR301">
            <v>-16.190000000000001</v>
          </cell>
          <cell r="BS301">
            <v>-12.33</v>
          </cell>
          <cell r="BT301">
            <v>-10440.780000000001</v>
          </cell>
          <cell r="BU301">
            <v>-38.72</v>
          </cell>
          <cell r="BV301">
            <v>-4046.54</v>
          </cell>
          <cell r="BW301">
            <v>-13.51</v>
          </cell>
          <cell r="BX301">
            <v>-9891.58</v>
          </cell>
          <cell r="BY301">
            <v>-14.65</v>
          </cell>
          <cell r="BZ301">
            <v>-17.64</v>
          </cell>
          <cell r="CA301">
            <v>-11312.85</v>
          </cell>
          <cell r="CE301">
            <v>-25335.489999999998</v>
          </cell>
          <cell r="CG301">
            <v>0</v>
          </cell>
        </row>
        <row r="302">
          <cell r="A302" t="str">
            <v>4.3.1.1.02.00005</v>
          </cell>
          <cell r="B302" t="str">
            <v>DESCONTOS CONCEDIDOS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-56569.85</v>
          </cell>
          <cell r="H302">
            <v>-4917.95</v>
          </cell>
          <cell r="I302">
            <v>-4256.2299999999996</v>
          </cell>
          <cell r="J302">
            <v>-1315.72</v>
          </cell>
          <cell r="K302">
            <v>-2040.54</v>
          </cell>
          <cell r="L302">
            <v>-4288.42</v>
          </cell>
          <cell r="M302">
            <v>-606.89</v>
          </cell>
          <cell r="N302">
            <v>-986.95</v>
          </cell>
          <cell r="O302">
            <v>-264.01</v>
          </cell>
          <cell r="P302">
            <v>-5825.26</v>
          </cell>
          <cell r="Q302">
            <v>-753.6</v>
          </cell>
          <cell r="R302">
            <v>-542.6</v>
          </cell>
          <cell r="S302">
            <v>-3314.57</v>
          </cell>
          <cell r="T302">
            <v>-29112.739999999998</v>
          </cell>
          <cell r="U302">
            <v>-368.47</v>
          </cell>
          <cell r="V302">
            <v>-254.64</v>
          </cell>
          <cell r="W302">
            <v>-169.92</v>
          </cell>
          <cell r="X302">
            <v>-974.2</v>
          </cell>
          <cell r="Y302">
            <v>-112.36</v>
          </cell>
          <cell r="Z302">
            <v>-294.89999999999998</v>
          </cell>
          <cell r="AA302">
            <v>-225.62</v>
          </cell>
          <cell r="AB302">
            <v>-2421.67</v>
          </cell>
          <cell r="AC302">
            <v>-1197.6500000000001</v>
          </cell>
          <cell r="AD302">
            <v>-857.39</v>
          </cell>
          <cell r="AE302">
            <v>-264.29000000000002</v>
          </cell>
          <cell r="AF302">
            <v>-549.65</v>
          </cell>
          <cell r="AG302">
            <v>-7690.76</v>
          </cell>
          <cell r="AH302">
            <v>-386.58</v>
          </cell>
          <cell r="AI302">
            <v>-278.5</v>
          </cell>
          <cell r="AJ302">
            <v>-351.78</v>
          </cell>
          <cell r="AK302">
            <v>-2970.25</v>
          </cell>
          <cell r="AL302">
            <v>-188.06</v>
          </cell>
          <cell r="AM302">
            <v>-1515.29</v>
          </cell>
          <cell r="AN302">
            <v>-5260.07</v>
          </cell>
          <cell r="AO302">
            <v>-2818.1</v>
          </cell>
          <cell r="AP302">
            <v>-6633.42</v>
          </cell>
          <cell r="AQ302">
            <v>-3919.2</v>
          </cell>
          <cell r="AR302">
            <v>-4148.43</v>
          </cell>
          <cell r="AS302">
            <v>-2870.29</v>
          </cell>
          <cell r="AT302">
            <v>-31339.97</v>
          </cell>
          <cell r="AU302">
            <v>-4282.67</v>
          </cell>
          <cell r="AV302">
            <v>-931.09</v>
          </cell>
          <cell r="AW302">
            <v>-7257.15</v>
          </cell>
          <cell r="AX302">
            <v>-8469.7800000000007</v>
          </cell>
          <cell r="AY302">
            <v>-2767.25</v>
          </cell>
          <cell r="AZ302">
            <v>-3042.98</v>
          </cell>
          <cell r="BA302">
            <v>-36925.160000000003</v>
          </cell>
          <cell r="BB302">
            <v>-3137.64</v>
          </cell>
          <cell r="BC302">
            <v>-3231.18</v>
          </cell>
          <cell r="BD302">
            <v>-6422.26</v>
          </cell>
          <cell r="BE302">
            <v>-19006.61</v>
          </cell>
          <cell r="BF302">
            <v>-7379.87</v>
          </cell>
          <cell r="BG302">
            <v>-102853.63999999998</v>
          </cell>
          <cell r="BH302">
            <v>-7372.06</v>
          </cell>
          <cell r="BI302">
            <v>-9447.1299999999992</v>
          </cell>
          <cell r="BJ302">
            <v>-3037.3799999999997</v>
          </cell>
          <cell r="BK302">
            <v>-22260.959999999999</v>
          </cell>
          <cell r="BL302">
            <v>-11444.78</v>
          </cell>
          <cell r="BM302">
            <v>-2971.69</v>
          </cell>
          <cell r="BN302">
            <v>-26276.21</v>
          </cell>
          <cell r="BO302">
            <v>-881.21</v>
          </cell>
          <cell r="BP302">
            <v>-22449.16</v>
          </cell>
          <cell r="BQ302">
            <v>-35882.22</v>
          </cell>
          <cell r="BR302">
            <v>-4990.67</v>
          </cell>
          <cell r="BS302">
            <v>-1972.4</v>
          </cell>
          <cell r="BT302">
            <v>-148985.87</v>
          </cell>
          <cell r="BU302">
            <v>-6753.12</v>
          </cell>
          <cell r="BV302">
            <v>-2695.5</v>
          </cell>
          <cell r="BW302">
            <v>-2247.9299999999998</v>
          </cell>
          <cell r="BX302">
            <v>-1635.76</v>
          </cell>
          <cell r="BY302">
            <v>-575.04</v>
          </cell>
          <cell r="BZ302">
            <v>-194.38</v>
          </cell>
          <cell r="CA302">
            <v>-259.44</v>
          </cell>
          <cell r="CE302">
            <v>-14361.169999999998</v>
          </cell>
          <cell r="CG302">
            <v>0</v>
          </cell>
        </row>
        <row r="303">
          <cell r="A303" t="str">
            <v>4.3.1.1.02.00006</v>
          </cell>
          <cell r="B303" t="str">
            <v>DESPESAS BANCARIAS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-24735.14</v>
          </cell>
          <cell r="H303">
            <v>-2334.92</v>
          </cell>
          <cell r="I303">
            <v>-2043.71</v>
          </cell>
          <cell r="J303">
            <v>-2098.35</v>
          </cell>
          <cell r="K303">
            <v>-2231.5700000000002</v>
          </cell>
          <cell r="L303">
            <v>-2213.38</v>
          </cell>
          <cell r="M303">
            <v>-2599.4499999999998</v>
          </cell>
          <cell r="N303">
            <v>-2397.02</v>
          </cell>
          <cell r="O303">
            <v>-591.48</v>
          </cell>
          <cell r="P303">
            <v>-2013.59</v>
          </cell>
          <cell r="Q303">
            <v>-1998.73</v>
          </cell>
          <cell r="R303">
            <v>-2737.88</v>
          </cell>
          <cell r="S303">
            <v>-1042.17</v>
          </cell>
          <cell r="T303">
            <v>-24302.25</v>
          </cell>
          <cell r="U303">
            <v>-3719</v>
          </cell>
          <cell r="V303">
            <v>-2463.0500000000002</v>
          </cell>
          <cell r="W303">
            <v>-2145.27</v>
          </cell>
          <cell r="X303">
            <v>-2222.81</v>
          </cell>
          <cell r="Y303">
            <v>-2245.8000000000002</v>
          </cell>
          <cell r="Z303">
            <v>-2169.87</v>
          </cell>
          <cell r="AA303">
            <v>-2790.74</v>
          </cell>
          <cell r="AB303">
            <v>-2311.48</v>
          </cell>
          <cell r="AC303">
            <v>-1977.71</v>
          </cell>
          <cell r="AD303">
            <v>-2178.09</v>
          </cell>
          <cell r="AE303">
            <v>-1716.39</v>
          </cell>
          <cell r="AF303">
            <v>-1716.7</v>
          </cell>
          <cell r="AG303">
            <v>-27656.91</v>
          </cell>
          <cell r="AH303">
            <v>-1970.83</v>
          </cell>
          <cell r="AI303">
            <v>-1923.81</v>
          </cell>
          <cell r="AJ303">
            <v>-2127.63</v>
          </cell>
          <cell r="AK303">
            <v>-1401.98</v>
          </cell>
          <cell r="AL303">
            <v>-2038.11</v>
          </cell>
          <cell r="AM303">
            <v>-2215.12</v>
          </cell>
          <cell r="AN303">
            <v>-2277.08</v>
          </cell>
          <cell r="AO303">
            <v>-2016.19</v>
          </cell>
          <cell r="AP303">
            <v>-2261.67</v>
          </cell>
          <cell r="AQ303">
            <v>-2000.53</v>
          </cell>
          <cell r="AR303">
            <v>-2346.3200000000002</v>
          </cell>
          <cell r="AS303">
            <v>-2467.73</v>
          </cell>
          <cell r="AT303">
            <v>-25046.999999999996</v>
          </cell>
          <cell r="AU303">
            <v>-2348.75</v>
          </cell>
          <cell r="AV303">
            <v>-2453.29</v>
          </cell>
          <cell r="AW303">
            <v>-2476.02</v>
          </cell>
          <cell r="AX303">
            <v>-2882.75</v>
          </cell>
          <cell r="AY303">
            <v>-2703.48</v>
          </cell>
          <cell r="AZ303">
            <v>-2686.73</v>
          </cell>
          <cell r="BA303">
            <v>-2684.78</v>
          </cell>
          <cell r="BB303">
            <v>-3287.82</v>
          </cell>
          <cell r="BC303">
            <v>-2793.76</v>
          </cell>
          <cell r="BD303">
            <v>-3318.89</v>
          </cell>
          <cell r="BE303">
            <v>-6167.92</v>
          </cell>
          <cell r="BF303">
            <v>-3090.56</v>
          </cell>
          <cell r="BG303">
            <v>-36894.749999999993</v>
          </cell>
          <cell r="BH303">
            <v>-3194.75</v>
          </cell>
          <cell r="BI303">
            <v>-2501.56</v>
          </cell>
          <cell r="BJ303">
            <v>-3408.86</v>
          </cell>
          <cell r="BK303">
            <v>-2931.55</v>
          </cell>
          <cell r="BL303">
            <v>-2700.19</v>
          </cell>
          <cell r="BM303">
            <v>-1764.48</v>
          </cell>
          <cell r="BN303">
            <v>-6328.31</v>
          </cell>
          <cell r="BO303">
            <v>-2339.5100000000002</v>
          </cell>
          <cell r="BP303">
            <v>-4316.8900000000003</v>
          </cell>
          <cell r="BQ303">
            <v>-9111.0300000000007</v>
          </cell>
          <cell r="BR303">
            <v>-2702.93</v>
          </cell>
          <cell r="BS303">
            <v>-8880.02</v>
          </cell>
          <cell r="BT303">
            <v>-50180.08</v>
          </cell>
          <cell r="BU303">
            <v>-8534.9699999999993</v>
          </cell>
          <cell r="BV303">
            <v>-6620.68</v>
          </cell>
          <cell r="BW303">
            <v>-2675.89</v>
          </cell>
          <cell r="BX303">
            <v>-8994.48</v>
          </cell>
          <cell r="BY303">
            <v>-5736.64</v>
          </cell>
          <cell r="BZ303">
            <v>-6066.1</v>
          </cell>
          <cell r="CA303">
            <v>-6268.29</v>
          </cell>
          <cell r="CE303">
            <v>-44897.05</v>
          </cell>
        </row>
        <row r="304">
          <cell r="A304" t="str">
            <v>4.3.1.1.02.00008</v>
          </cell>
          <cell r="B304" t="str">
            <v>JUROS S/ CAPITAL PROPRIO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0</v>
          </cell>
          <cell r="BJ304">
            <v>-500000</v>
          </cell>
          <cell r="BK304">
            <v>0</v>
          </cell>
          <cell r="BL304">
            <v>0</v>
          </cell>
          <cell r="BM304">
            <v>-500000</v>
          </cell>
          <cell r="BN304">
            <v>0</v>
          </cell>
          <cell r="BO304">
            <v>0</v>
          </cell>
          <cell r="BP304">
            <v>-500000</v>
          </cell>
          <cell r="BQ304">
            <v>0</v>
          </cell>
          <cell r="BR304">
            <v>0</v>
          </cell>
          <cell r="BS304">
            <v>-500000</v>
          </cell>
          <cell r="BT304">
            <v>-2000000</v>
          </cell>
          <cell r="BU304">
            <v>0</v>
          </cell>
          <cell r="BV304">
            <v>0</v>
          </cell>
          <cell r="BW304">
            <v>-500000</v>
          </cell>
          <cell r="BX304">
            <v>0</v>
          </cell>
          <cell r="BY304">
            <v>0</v>
          </cell>
          <cell r="BZ304">
            <v>-500000</v>
          </cell>
          <cell r="CA304">
            <v>0</v>
          </cell>
          <cell r="CE304">
            <v>-1000000</v>
          </cell>
          <cell r="CG304">
            <v>0</v>
          </cell>
        </row>
        <row r="305">
          <cell r="A305" t="str">
            <v>4.3.1.1.03</v>
          </cell>
          <cell r="B305" t="str">
            <v>VARIACAO CAMBIAL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-14087.69</v>
          </cell>
          <cell r="H305">
            <v>1206.5300000000007</v>
          </cell>
          <cell r="I305">
            <v>2282.64</v>
          </cell>
          <cell r="J305">
            <v>1137.6500000000001</v>
          </cell>
          <cell r="K305">
            <v>5270.4400000000005</v>
          </cell>
          <cell r="L305">
            <v>6513.1</v>
          </cell>
          <cell r="M305">
            <v>11454.91</v>
          </cell>
          <cell r="N305">
            <v>-8560.58</v>
          </cell>
          <cell r="O305">
            <v>11385.49</v>
          </cell>
          <cell r="P305">
            <v>-3156.72</v>
          </cell>
          <cell r="Q305">
            <v>-4273.5600000000004</v>
          </cell>
          <cell r="R305">
            <v>-6858.72</v>
          </cell>
          <cell r="S305">
            <v>-15676.59</v>
          </cell>
          <cell r="T305">
            <v>724.58999999999651</v>
          </cell>
          <cell r="U305">
            <v>35361.629999999997</v>
          </cell>
          <cell r="V305">
            <v>-15508.91</v>
          </cell>
          <cell r="W305">
            <v>10822.54</v>
          </cell>
          <cell r="X305">
            <v>-853.57</v>
          </cell>
          <cell r="Y305">
            <v>462.28</v>
          </cell>
          <cell r="Z305">
            <v>21770.27</v>
          </cell>
          <cell r="AA305">
            <v>31053</v>
          </cell>
          <cell r="AB305">
            <v>-48118.55</v>
          </cell>
          <cell r="AC305">
            <v>9928.39</v>
          </cell>
          <cell r="AD305">
            <v>8433.23</v>
          </cell>
          <cell r="AE305">
            <v>-17389.63</v>
          </cell>
          <cell r="AF305">
            <v>30605.120000000003</v>
          </cell>
          <cell r="AG305">
            <v>66565.799999999988</v>
          </cell>
          <cell r="AH305">
            <v>-47582.630000000005</v>
          </cell>
          <cell r="AI305">
            <v>-45953.72</v>
          </cell>
          <cell r="AJ305">
            <v>-100188.81</v>
          </cell>
          <cell r="AK305">
            <v>-30095.03</v>
          </cell>
          <cell r="AL305">
            <v>-51195.119999999995</v>
          </cell>
          <cell r="AM305">
            <v>38405.9</v>
          </cell>
          <cell r="AN305">
            <v>-4408.010000000002</v>
          </cell>
          <cell r="AO305">
            <v>28647.920000000002</v>
          </cell>
          <cell r="AP305">
            <v>77145.780000000013</v>
          </cell>
          <cell r="AQ305">
            <v>9344.369999999999</v>
          </cell>
          <cell r="AR305">
            <v>-30596.160000000003</v>
          </cell>
          <cell r="AS305">
            <v>1594.0900000000001</v>
          </cell>
          <cell r="AT305">
            <v>-154881.41999999998</v>
          </cell>
          <cell r="AU305">
            <v>73250</v>
          </cell>
          <cell r="AV305">
            <v>-34353.5</v>
          </cell>
          <cell r="AW305">
            <v>-47514.75</v>
          </cell>
          <cell r="AX305">
            <v>49685.87</v>
          </cell>
          <cell r="AY305">
            <v>2234.8900000000067</v>
          </cell>
          <cell r="AZ305">
            <v>-86687.51999999999</v>
          </cell>
          <cell r="BA305">
            <v>33729.75</v>
          </cell>
          <cell r="BB305">
            <v>-2812.9500000000044</v>
          </cell>
          <cell r="BC305">
            <v>64612.710000000006</v>
          </cell>
          <cell r="BD305">
            <v>35448.939999999988</v>
          </cell>
          <cell r="BE305">
            <v>-50252.369999999995</v>
          </cell>
          <cell r="BF305">
            <v>-22372.959999999999</v>
          </cell>
          <cell r="BG305">
            <v>14968.110000000008</v>
          </cell>
          <cell r="BH305">
            <v>-76017.109999999986</v>
          </cell>
          <cell r="BI305">
            <v>-69179.58</v>
          </cell>
          <cell r="BJ305">
            <v>-31422.429999999993</v>
          </cell>
          <cell r="BK305">
            <v>60603.040000000001</v>
          </cell>
          <cell r="BL305">
            <v>-107213.45</v>
          </cell>
          <cell r="BM305">
            <v>178393.78999999998</v>
          </cell>
          <cell r="BN305">
            <v>9215.3699999999953</v>
          </cell>
          <cell r="BO305">
            <v>-8164.48</v>
          </cell>
          <cell r="BP305">
            <v>-61243.08</v>
          </cell>
          <cell r="BQ305">
            <v>78397.199999999983</v>
          </cell>
          <cell r="BR305">
            <v>-32101.130000000005</v>
          </cell>
          <cell r="BS305">
            <v>8120.1699999999983</v>
          </cell>
          <cell r="BT305">
            <v>-50611.690000000017</v>
          </cell>
          <cell r="BU305">
            <v>32025.049999999996</v>
          </cell>
          <cell r="BV305">
            <v>-65601.45</v>
          </cell>
          <cell r="BW305">
            <v>83258.569999999992</v>
          </cell>
          <cell r="BX305">
            <v>44075.83</v>
          </cell>
          <cell r="BY305">
            <v>-46861.420000000006</v>
          </cell>
          <cell r="BZ305">
            <v>126200.31</v>
          </cell>
          <cell r="CA305">
            <v>51363.31</v>
          </cell>
          <cell r="CE305">
            <v>224460.19999999998</v>
          </cell>
          <cell r="CG305">
            <v>0</v>
          </cell>
        </row>
        <row r="306">
          <cell r="A306" t="str">
            <v>4.3.1.1.03.00001</v>
          </cell>
          <cell r="B306" t="str">
            <v>VARIACAO CAMBIAL ATIVA (RECEITAS)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-34127.050000000003</v>
          </cell>
          <cell r="H306">
            <v>5840.93</v>
          </cell>
          <cell r="I306">
            <v>2313.4699999999998</v>
          </cell>
          <cell r="J306">
            <v>1344</v>
          </cell>
          <cell r="K306">
            <v>5373.81</v>
          </cell>
          <cell r="L306">
            <v>7146.51</v>
          </cell>
          <cell r="M306">
            <v>11631.77</v>
          </cell>
          <cell r="N306">
            <v>2409.52</v>
          </cell>
          <cell r="O306">
            <v>16478.8</v>
          </cell>
          <cell r="P306">
            <v>956.67</v>
          </cell>
          <cell r="Q306">
            <v>7774.17</v>
          </cell>
          <cell r="R306">
            <v>4811.09</v>
          </cell>
          <cell r="S306">
            <v>2401.29</v>
          </cell>
          <cell r="T306">
            <v>68482.029999999984</v>
          </cell>
          <cell r="U306">
            <v>48812.53</v>
          </cell>
          <cell r="V306">
            <v>6346.02</v>
          </cell>
          <cell r="W306">
            <v>15563.69</v>
          </cell>
          <cell r="X306">
            <v>3685.16</v>
          </cell>
          <cell r="Y306">
            <v>1421.41</v>
          </cell>
          <cell r="Z306">
            <v>28324.27</v>
          </cell>
          <cell r="AA306">
            <v>37486.720000000001</v>
          </cell>
          <cell r="AB306">
            <v>30408.34</v>
          </cell>
          <cell r="AC306">
            <v>10524.05</v>
          </cell>
          <cell r="AD306">
            <v>16445.41</v>
          </cell>
          <cell r="AE306">
            <v>12002.59</v>
          </cell>
          <cell r="AF306">
            <v>45816.3</v>
          </cell>
          <cell r="AG306">
            <v>256836.49</v>
          </cell>
          <cell r="AH306">
            <v>18245.759999999998</v>
          </cell>
          <cell r="AI306">
            <v>24612.98</v>
          </cell>
          <cell r="AJ306">
            <v>87651.9</v>
          </cell>
          <cell r="AK306">
            <v>25958.32</v>
          </cell>
          <cell r="AL306">
            <v>988.55</v>
          </cell>
          <cell r="AM306">
            <v>46526.6</v>
          </cell>
          <cell r="AN306">
            <v>38952.239999999998</v>
          </cell>
          <cell r="AO306">
            <v>45356.800000000003</v>
          </cell>
          <cell r="AP306">
            <v>83240.570000000007</v>
          </cell>
          <cell r="AQ306">
            <v>13705.17</v>
          </cell>
          <cell r="AR306">
            <v>19933.53</v>
          </cell>
          <cell r="AS306">
            <v>19987.89</v>
          </cell>
          <cell r="AT306">
            <v>425160.30999999994</v>
          </cell>
          <cell r="AU306">
            <v>84702.21</v>
          </cell>
          <cell r="AV306">
            <v>5877.39</v>
          </cell>
          <cell r="AW306">
            <v>10497.72</v>
          </cell>
          <cell r="AX306">
            <v>107055.99</v>
          </cell>
          <cell r="AY306">
            <v>43964.41</v>
          </cell>
          <cell r="AZ306">
            <v>43117.48</v>
          </cell>
          <cell r="BA306">
            <v>55196.55</v>
          </cell>
          <cell r="BB306">
            <v>34657.129999999997</v>
          </cell>
          <cell r="BC306">
            <v>140807.54</v>
          </cell>
          <cell r="BD306">
            <v>102316.9</v>
          </cell>
          <cell r="BE306">
            <v>18288.740000000002</v>
          </cell>
          <cell r="BF306">
            <v>9139.51</v>
          </cell>
          <cell r="BG306">
            <v>655621.57000000007</v>
          </cell>
          <cell r="BH306">
            <v>39580.18</v>
          </cell>
          <cell r="BI306">
            <v>33966.11</v>
          </cell>
          <cell r="BJ306">
            <v>149531.26</v>
          </cell>
          <cell r="BK306">
            <v>70229.58</v>
          </cell>
          <cell r="BL306">
            <v>14771.25</v>
          </cell>
          <cell r="BM306">
            <v>311112.68</v>
          </cell>
          <cell r="BN306">
            <v>128643.87</v>
          </cell>
          <cell r="BO306">
            <v>21208.49</v>
          </cell>
          <cell r="BP306">
            <v>96830.61</v>
          </cell>
          <cell r="BQ306">
            <v>137647.49</v>
          </cell>
          <cell r="BR306">
            <v>69010.31</v>
          </cell>
          <cell r="BS306">
            <v>94849.31</v>
          </cell>
          <cell r="BT306">
            <v>1167381.1400000001</v>
          </cell>
          <cell r="BU306">
            <v>68065.899999999994</v>
          </cell>
          <cell r="BV306">
            <v>23111.49</v>
          </cell>
          <cell r="BW306">
            <v>120549.18</v>
          </cell>
          <cell r="BX306">
            <v>64988.09</v>
          </cell>
          <cell r="BY306">
            <v>54596.4</v>
          </cell>
          <cell r="BZ306">
            <v>259191.01</v>
          </cell>
          <cell r="CA306">
            <v>83581.03</v>
          </cell>
          <cell r="CE306">
            <v>674083.10000000009</v>
          </cell>
          <cell r="CG306">
            <v>0</v>
          </cell>
        </row>
        <row r="307">
          <cell r="A307" t="str">
            <v>4.3.1.1.03.00002</v>
          </cell>
          <cell r="B307" t="str">
            <v>VARIACAO CAMBIAL PASSIVA (DESPESAS)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-48214.74</v>
          </cell>
          <cell r="H307">
            <v>-4634.3999999999996</v>
          </cell>
          <cell r="I307">
            <v>-30.83</v>
          </cell>
          <cell r="J307">
            <v>-206.35</v>
          </cell>
          <cell r="K307">
            <v>-103.37</v>
          </cell>
          <cell r="L307">
            <v>-633.41</v>
          </cell>
          <cell r="M307">
            <v>-176.86</v>
          </cell>
          <cell r="N307">
            <v>-10970.1</v>
          </cell>
          <cell r="O307">
            <v>-5093.3100000000004</v>
          </cell>
          <cell r="P307">
            <v>-4113.3900000000003</v>
          </cell>
          <cell r="Q307">
            <v>-12047.73</v>
          </cell>
          <cell r="R307">
            <v>-11669.81</v>
          </cell>
          <cell r="S307">
            <v>-18076.88</v>
          </cell>
          <cell r="T307">
            <v>-67756.44</v>
          </cell>
          <cell r="U307">
            <v>-13450.9</v>
          </cell>
          <cell r="V307">
            <v>-21854.93</v>
          </cell>
          <cell r="W307">
            <v>-4741.1499999999996</v>
          </cell>
          <cell r="X307">
            <v>-4538.7299999999996</v>
          </cell>
          <cell r="Y307">
            <v>-959.13</v>
          </cell>
          <cell r="Z307">
            <v>-6554</v>
          </cell>
          <cell r="AA307">
            <v>-6433.72</v>
          </cell>
          <cell r="AB307">
            <v>-78526.89</v>
          </cell>
          <cell r="AC307">
            <v>-595.66</v>
          </cell>
          <cell r="AD307">
            <v>-8012.18</v>
          </cell>
          <cell r="AE307">
            <v>-29392.22</v>
          </cell>
          <cell r="AF307">
            <v>-15211.18</v>
          </cell>
          <cell r="AG307">
            <v>-190270.69</v>
          </cell>
          <cell r="AH307">
            <v>-65828.39</v>
          </cell>
          <cell r="AI307">
            <v>-70566.7</v>
          </cell>
          <cell r="AJ307">
            <v>-187840.71</v>
          </cell>
          <cell r="AK307">
            <v>-56053.35</v>
          </cell>
          <cell r="AL307">
            <v>-52183.67</v>
          </cell>
          <cell r="AM307">
            <v>-8120.7</v>
          </cell>
          <cell r="AN307">
            <v>-43360.25</v>
          </cell>
          <cell r="AO307">
            <v>-16708.88</v>
          </cell>
          <cell r="AP307">
            <v>-6094.79</v>
          </cell>
          <cell r="AQ307">
            <v>-4360.8</v>
          </cell>
          <cell r="AR307">
            <v>-50529.69</v>
          </cell>
          <cell r="AS307">
            <v>-18393.8</v>
          </cell>
          <cell r="AT307">
            <v>-580041.73</v>
          </cell>
          <cell r="AU307">
            <v>-11452.21</v>
          </cell>
          <cell r="AV307">
            <v>-40230.89</v>
          </cell>
          <cell r="AW307">
            <v>-58012.47</v>
          </cell>
          <cell r="AX307">
            <v>-57370.12</v>
          </cell>
          <cell r="AY307">
            <v>-41729.519999999997</v>
          </cell>
          <cell r="AZ307">
            <v>-129805</v>
          </cell>
          <cell r="BA307">
            <v>-21466.799999999999</v>
          </cell>
          <cell r="BB307">
            <v>-37470.080000000002</v>
          </cell>
          <cell r="BC307">
            <v>-76194.83</v>
          </cell>
          <cell r="BD307">
            <v>-66867.960000000006</v>
          </cell>
          <cell r="BE307">
            <v>-68541.11</v>
          </cell>
          <cell r="BF307">
            <v>-31512.47</v>
          </cell>
          <cell r="BG307">
            <v>-640653.46</v>
          </cell>
          <cell r="BH307">
            <v>-115597.29</v>
          </cell>
          <cell r="BI307">
            <v>-103145.69</v>
          </cell>
          <cell r="BJ307">
            <v>-180953.69</v>
          </cell>
          <cell r="BK307">
            <v>-9626.5400000000009</v>
          </cell>
          <cell r="BL307">
            <v>-121984.7</v>
          </cell>
          <cell r="BM307">
            <v>-132718.89000000001</v>
          </cell>
          <cell r="BN307">
            <v>-119428.5</v>
          </cell>
          <cell r="BO307">
            <v>-29372.97</v>
          </cell>
          <cell r="BP307">
            <v>-158073.69</v>
          </cell>
          <cell r="BQ307">
            <v>-59250.29</v>
          </cell>
          <cell r="BR307">
            <v>-101111.44</v>
          </cell>
          <cell r="BS307">
            <v>-86729.14</v>
          </cell>
          <cell r="BT307">
            <v>-1217992.8299999998</v>
          </cell>
          <cell r="BU307">
            <v>-36040.85</v>
          </cell>
          <cell r="BV307">
            <v>-88712.94</v>
          </cell>
          <cell r="BW307">
            <v>-37290.61</v>
          </cell>
          <cell r="BX307">
            <v>-20912.259999999998</v>
          </cell>
          <cell r="BY307">
            <v>-101457.82</v>
          </cell>
          <cell r="BZ307">
            <v>-132990.70000000001</v>
          </cell>
          <cell r="CA307">
            <v>-32217.72</v>
          </cell>
          <cell r="CE307">
            <v>-449622.9</v>
          </cell>
          <cell r="CG307">
            <v>0</v>
          </cell>
        </row>
        <row r="308">
          <cell r="A308" t="str">
            <v>4.9</v>
          </cell>
          <cell r="B308" t="str">
            <v>OUTRAS RECEITAS E DESPESAS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-18660.93</v>
          </cell>
          <cell r="H308">
            <v>800</v>
          </cell>
          <cell r="I308">
            <v>0</v>
          </cell>
          <cell r="J308">
            <v>-1000</v>
          </cell>
          <cell r="K308">
            <v>-5000</v>
          </cell>
          <cell r="L308">
            <v>-3000</v>
          </cell>
          <cell r="M308">
            <v>0</v>
          </cell>
          <cell r="N308">
            <v>-114854.45</v>
          </cell>
          <cell r="O308">
            <v>70000</v>
          </cell>
          <cell r="P308">
            <v>-49666.67</v>
          </cell>
          <cell r="Q308">
            <v>17000</v>
          </cell>
          <cell r="R308">
            <v>0</v>
          </cell>
          <cell r="S308">
            <v>0</v>
          </cell>
          <cell r="T308">
            <v>-85721.12</v>
          </cell>
          <cell r="AB308">
            <v>0</v>
          </cell>
          <cell r="AC308">
            <v>0</v>
          </cell>
          <cell r="AD308">
            <v>-4400</v>
          </cell>
          <cell r="AE308">
            <v>-25000</v>
          </cell>
          <cell r="AF308">
            <v>0</v>
          </cell>
          <cell r="AG308">
            <v>-29400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-4500</v>
          </cell>
          <cell r="AP308">
            <v>-900</v>
          </cell>
          <cell r="AQ308">
            <v>0</v>
          </cell>
          <cell r="AR308">
            <v>124299.00000000003</v>
          </cell>
          <cell r="AS308">
            <v>-3000</v>
          </cell>
          <cell r="AT308">
            <v>115899.00000000003</v>
          </cell>
          <cell r="AU308">
            <v>0</v>
          </cell>
          <cell r="AV308">
            <v>0</v>
          </cell>
          <cell r="AW308">
            <v>0</v>
          </cell>
          <cell r="AX308">
            <v>4664.1699999999983</v>
          </cell>
          <cell r="AY308">
            <v>0</v>
          </cell>
          <cell r="AZ308">
            <v>0</v>
          </cell>
          <cell r="BA308">
            <v>0</v>
          </cell>
          <cell r="BB308">
            <v>1600.6500000000233</v>
          </cell>
          <cell r="BC308">
            <v>0</v>
          </cell>
          <cell r="BD308">
            <v>1525</v>
          </cell>
          <cell r="BE308">
            <v>67191.67</v>
          </cell>
          <cell r="BF308">
            <v>247702.22999999998</v>
          </cell>
          <cell r="BG308">
            <v>322683.71999999997</v>
          </cell>
          <cell r="BH308">
            <v>26833.330000000016</v>
          </cell>
          <cell r="BI308">
            <v>36136.339999999851</v>
          </cell>
          <cell r="BJ308">
            <v>6241.6699999999837</v>
          </cell>
          <cell r="BK308">
            <v>1525</v>
          </cell>
          <cell r="BL308">
            <v>1525</v>
          </cell>
          <cell r="BM308">
            <v>-14475</v>
          </cell>
          <cell r="BN308">
            <v>4087.77</v>
          </cell>
          <cell r="BO308">
            <v>1525</v>
          </cell>
          <cell r="BP308">
            <v>145431.39000000001</v>
          </cell>
          <cell r="BQ308">
            <v>-133.23000000000002</v>
          </cell>
          <cell r="BR308">
            <v>1525</v>
          </cell>
          <cell r="BS308">
            <v>1525</v>
          </cell>
          <cell r="BT308">
            <v>211747.26999999984</v>
          </cell>
          <cell r="BU308">
            <v>1525</v>
          </cell>
          <cell r="BV308">
            <v>1525</v>
          </cell>
          <cell r="BW308">
            <v>1525</v>
          </cell>
          <cell r="BX308">
            <v>1525</v>
          </cell>
          <cell r="BY308">
            <v>1525</v>
          </cell>
          <cell r="BZ308">
            <v>1525</v>
          </cell>
          <cell r="CA308">
            <v>4035.62</v>
          </cell>
          <cell r="CE308">
            <v>13185.619999999999</v>
          </cell>
          <cell r="CG308">
            <v>0</v>
          </cell>
        </row>
        <row r="309">
          <cell r="A309" t="str">
            <v>4.9.1</v>
          </cell>
          <cell r="B309" t="str">
            <v>RESULTADO NAO OPERACIONAL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-18660.93</v>
          </cell>
          <cell r="H309">
            <v>800</v>
          </cell>
          <cell r="I309">
            <v>0</v>
          </cell>
          <cell r="J309">
            <v>-1000</v>
          </cell>
          <cell r="K309">
            <v>-5000</v>
          </cell>
          <cell r="L309">
            <v>-3000</v>
          </cell>
          <cell r="M309">
            <v>0</v>
          </cell>
          <cell r="N309">
            <v>-114854.45</v>
          </cell>
          <cell r="O309">
            <v>70000</v>
          </cell>
          <cell r="P309">
            <v>-49666.67</v>
          </cell>
          <cell r="Q309">
            <v>17000</v>
          </cell>
          <cell r="R309">
            <v>0</v>
          </cell>
          <cell r="S309">
            <v>0</v>
          </cell>
          <cell r="T309">
            <v>-85721.12</v>
          </cell>
          <cell r="AB309">
            <v>0</v>
          </cell>
          <cell r="AC309">
            <v>0</v>
          </cell>
          <cell r="AD309">
            <v>-4400</v>
          </cell>
          <cell r="AE309">
            <v>-25000</v>
          </cell>
          <cell r="AF309">
            <v>0</v>
          </cell>
          <cell r="AG309">
            <v>-29400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-4500</v>
          </cell>
          <cell r="AP309">
            <v>-900</v>
          </cell>
          <cell r="AQ309">
            <v>0</v>
          </cell>
          <cell r="AR309">
            <v>124299.00000000003</v>
          </cell>
          <cell r="AS309">
            <v>-3000</v>
          </cell>
          <cell r="AT309">
            <v>115899.00000000003</v>
          </cell>
          <cell r="AU309">
            <v>0</v>
          </cell>
          <cell r="AV309">
            <v>0</v>
          </cell>
          <cell r="AW309">
            <v>0</v>
          </cell>
          <cell r="AX309">
            <v>4664.1699999999983</v>
          </cell>
          <cell r="AY309">
            <v>0</v>
          </cell>
          <cell r="AZ309">
            <v>0</v>
          </cell>
          <cell r="BA309">
            <v>0</v>
          </cell>
          <cell r="BB309">
            <v>1600.6500000000233</v>
          </cell>
          <cell r="BC309">
            <v>0</v>
          </cell>
          <cell r="BD309">
            <v>1525</v>
          </cell>
          <cell r="BE309">
            <v>67191.67</v>
          </cell>
          <cell r="BF309">
            <v>247702.22999999998</v>
          </cell>
          <cell r="BG309">
            <v>322683.71999999997</v>
          </cell>
          <cell r="BH309">
            <v>26833.330000000016</v>
          </cell>
          <cell r="BI309">
            <v>36136.339999999851</v>
          </cell>
          <cell r="BJ309">
            <v>6241.6699999999837</v>
          </cell>
          <cell r="BK309">
            <v>1525</v>
          </cell>
          <cell r="BL309">
            <v>1525</v>
          </cell>
          <cell r="BM309">
            <v>-14475</v>
          </cell>
          <cell r="BN309">
            <v>4087.77</v>
          </cell>
          <cell r="BO309">
            <v>1525</v>
          </cell>
          <cell r="BP309">
            <v>145431.39000000001</v>
          </cell>
          <cell r="BQ309">
            <v>-133.23000000000002</v>
          </cell>
          <cell r="BR309">
            <v>1525</v>
          </cell>
          <cell r="BS309">
            <v>1525</v>
          </cell>
          <cell r="BT309">
            <v>211747.26999999984</v>
          </cell>
          <cell r="BU309">
            <v>1525</v>
          </cell>
          <cell r="BV309">
            <v>1525</v>
          </cell>
          <cell r="BW309">
            <v>1525</v>
          </cell>
          <cell r="BX309">
            <v>1525</v>
          </cell>
          <cell r="BY309">
            <v>1525</v>
          </cell>
          <cell r="BZ309">
            <v>1525</v>
          </cell>
          <cell r="CA309">
            <v>4035.62</v>
          </cell>
          <cell r="CE309">
            <v>13185.619999999999</v>
          </cell>
          <cell r="CG309">
            <v>0</v>
          </cell>
        </row>
        <row r="310">
          <cell r="A310" t="str">
            <v>4.9.1.1</v>
          </cell>
          <cell r="B310" t="str">
            <v>RESULTADO - VENDA ATIVO IMOBILIZADO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-26724.35</v>
          </cell>
          <cell r="H310">
            <v>800</v>
          </cell>
          <cell r="I310">
            <v>0</v>
          </cell>
          <cell r="J310">
            <v>-1000</v>
          </cell>
          <cell r="K310">
            <v>-5000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-49666.67</v>
          </cell>
          <cell r="Q310">
            <v>17000</v>
          </cell>
          <cell r="R310">
            <v>0</v>
          </cell>
          <cell r="S310">
            <v>0</v>
          </cell>
          <cell r="T310">
            <v>-37866.67</v>
          </cell>
          <cell r="AB310">
            <v>0</v>
          </cell>
          <cell r="AC310">
            <v>1000</v>
          </cell>
          <cell r="AD310">
            <v>-4400</v>
          </cell>
          <cell r="AE310">
            <v>0</v>
          </cell>
          <cell r="AF310">
            <v>0</v>
          </cell>
          <cell r="AG310">
            <v>-3400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124299.00000000003</v>
          </cell>
          <cell r="AS310">
            <v>0</v>
          </cell>
          <cell r="AT310">
            <v>124299.00000000003</v>
          </cell>
          <cell r="AU310">
            <v>0</v>
          </cell>
          <cell r="AV310">
            <v>0</v>
          </cell>
          <cell r="AW310">
            <v>0</v>
          </cell>
          <cell r="AX310">
            <v>4664.1699999999983</v>
          </cell>
          <cell r="AY310">
            <v>0</v>
          </cell>
          <cell r="AZ310">
            <v>0</v>
          </cell>
          <cell r="BA310">
            <v>0</v>
          </cell>
          <cell r="BB310">
            <v>1600.6500000000233</v>
          </cell>
          <cell r="BC310">
            <v>0</v>
          </cell>
          <cell r="BD310">
            <v>0</v>
          </cell>
          <cell r="BE310">
            <v>65666.67</v>
          </cell>
          <cell r="BF310">
            <v>246177.22999999998</v>
          </cell>
          <cell r="BG310">
            <v>318108.71999999997</v>
          </cell>
          <cell r="BH310">
            <v>26833.330000000016</v>
          </cell>
          <cell r="BI310">
            <v>36136.339999999851</v>
          </cell>
          <cell r="BJ310">
            <v>1666.6699999999837</v>
          </cell>
          <cell r="BK310">
            <v>0</v>
          </cell>
          <cell r="BL310">
            <v>0</v>
          </cell>
          <cell r="BM310">
            <v>0</v>
          </cell>
          <cell r="BN310">
            <v>0</v>
          </cell>
          <cell r="BO310">
            <v>0</v>
          </cell>
          <cell r="BP310">
            <v>143906.39000000001</v>
          </cell>
          <cell r="BQ310">
            <v>0</v>
          </cell>
          <cell r="BR310">
            <v>0</v>
          </cell>
          <cell r="BS310">
            <v>0</v>
          </cell>
          <cell r="BT310">
            <v>208542.72999999986</v>
          </cell>
          <cell r="BU310">
            <v>0</v>
          </cell>
          <cell r="BV310">
            <v>0</v>
          </cell>
          <cell r="BW310">
            <v>0</v>
          </cell>
          <cell r="BX310">
            <v>0</v>
          </cell>
          <cell r="BY310">
            <v>0</v>
          </cell>
          <cell r="BZ310">
            <v>0</v>
          </cell>
          <cell r="CA310">
            <v>0</v>
          </cell>
          <cell r="CE310">
            <v>0</v>
          </cell>
          <cell r="CG310">
            <v>0</v>
          </cell>
        </row>
        <row r="311">
          <cell r="A311" t="str">
            <v>4.9.1.1.01</v>
          </cell>
          <cell r="B311" t="str">
            <v>RESULTADO - VENDA ATIVO IMOBILIZADO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-26724.35</v>
          </cell>
          <cell r="H311">
            <v>800</v>
          </cell>
          <cell r="I311">
            <v>0</v>
          </cell>
          <cell r="J311">
            <v>-1000</v>
          </cell>
          <cell r="K311">
            <v>-5000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-49666.67</v>
          </cell>
          <cell r="Q311">
            <v>17000</v>
          </cell>
          <cell r="R311">
            <v>0</v>
          </cell>
          <cell r="S311">
            <v>0</v>
          </cell>
          <cell r="T311">
            <v>-37866.67</v>
          </cell>
          <cell r="AB311">
            <v>0</v>
          </cell>
          <cell r="AC311">
            <v>1000</v>
          </cell>
          <cell r="AD311">
            <v>-4400</v>
          </cell>
          <cell r="AE311">
            <v>0</v>
          </cell>
          <cell r="AF311">
            <v>0</v>
          </cell>
          <cell r="AG311">
            <v>-3400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124299.00000000003</v>
          </cell>
          <cell r="AS311">
            <v>0</v>
          </cell>
          <cell r="AT311">
            <v>124299.00000000003</v>
          </cell>
          <cell r="AU311">
            <v>0</v>
          </cell>
          <cell r="AV311">
            <v>0</v>
          </cell>
          <cell r="AW311">
            <v>0</v>
          </cell>
          <cell r="AX311">
            <v>4664.1699999999983</v>
          </cell>
          <cell r="AY311">
            <v>0</v>
          </cell>
          <cell r="AZ311">
            <v>0</v>
          </cell>
          <cell r="BA311">
            <v>0</v>
          </cell>
          <cell r="BB311">
            <v>1600.6500000000233</v>
          </cell>
          <cell r="BC311">
            <v>0</v>
          </cell>
          <cell r="BD311">
            <v>0</v>
          </cell>
          <cell r="BE311">
            <v>65666.67</v>
          </cell>
          <cell r="BF311">
            <v>246177.22999999998</v>
          </cell>
          <cell r="BG311">
            <v>318108.71999999997</v>
          </cell>
          <cell r="BH311">
            <v>26833.330000000016</v>
          </cell>
          <cell r="BI311">
            <v>36136.339999999851</v>
          </cell>
          <cell r="BJ311">
            <v>1666.6699999999837</v>
          </cell>
          <cell r="BK311">
            <v>0</v>
          </cell>
          <cell r="BL311">
            <v>0</v>
          </cell>
          <cell r="BM311">
            <v>0</v>
          </cell>
          <cell r="BN311">
            <v>0</v>
          </cell>
          <cell r="BO311">
            <v>0</v>
          </cell>
          <cell r="BP311">
            <v>143906.39000000001</v>
          </cell>
          <cell r="BQ311">
            <v>0</v>
          </cell>
          <cell r="BR311">
            <v>0</v>
          </cell>
          <cell r="BS311">
            <v>0</v>
          </cell>
          <cell r="BT311">
            <v>208542.72999999986</v>
          </cell>
          <cell r="BU311">
            <v>0</v>
          </cell>
          <cell r="BV311">
            <v>0</v>
          </cell>
          <cell r="BW311">
            <v>0</v>
          </cell>
          <cell r="BX311">
            <v>0</v>
          </cell>
          <cell r="BY311">
            <v>0</v>
          </cell>
          <cell r="BZ311">
            <v>0</v>
          </cell>
          <cell r="CA311">
            <v>0</v>
          </cell>
          <cell r="CE311">
            <v>0</v>
          </cell>
          <cell r="CG311">
            <v>0</v>
          </cell>
        </row>
        <row r="312">
          <cell r="A312" t="str">
            <v>4.9.1.1.01.00001</v>
          </cell>
          <cell r="B312" t="str">
            <v>VALOR DE VENDA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-205500</v>
          </cell>
          <cell r="H312">
            <v>15800</v>
          </cell>
          <cell r="I312">
            <v>0</v>
          </cell>
          <cell r="J312">
            <v>181000</v>
          </cell>
          <cell r="K312">
            <v>65000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170000</v>
          </cell>
          <cell r="Q312">
            <v>30000</v>
          </cell>
          <cell r="R312">
            <v>0</v>
          </cell>
          <cell r="S312">
            <v>0</v>
          </cell>
          <cell r="T312">
            <v>461800</v>
          </cell>
          <cell r="AB312">
            <v>80000</v>
          </cell>
          <cell r="AC312">
            <v>1000</v>
          </cell>
          <cell r="AD312">
            <v>100100</v>
          </cell>
          <cell r="AE312">
            <v>0</v>
          </cell>
          <cell r="AF312">
            <v>0</v>
          </cell>
          <cell r="AG312">
            <v>181100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265500</v>
          </cell>
          <cell r="AS312">
            <v>0</v>
          </cell>
          <cell r="AT312">
            <v>265500</v>
          </cell>
          <cell r="AU312">
            <v>0</v>
          </cell>
          <cell r="AV312">
            <v>0</v>
          </cell>
          <cell r="AW312">
            <v>73000</v>
          </cell>
          <cell r="AX312">
            <v>70000</v>
          </cell>
          <cell r="AY312">
            <v>0</v>
          </cell>
          <cell r="AZ312">
            <v>0</v>
          </cell>
          <cell r="BA312">
            <v>0</v>
          </cell>
          <cell r="BB312">
            <v>170000</v>
          </cell>
          <cell r="BC312">
            <v>0</v>
          </cell>
          <cell r="BD312">
            <v>0</v>
          </cell>
          <cell r="BE312">
            <v>70000</v>
          </cell>
          <cell r="BF312">
            <v>345100</v>
          </cell>
          <cell r="BG312">
            <v>728100</v>
          </cell>
          <cell r="BH312">
            <v>125000</v>
          </cell>
          <cell r="BI312">
            <v>585038</v>
          </cell>
          <cell r="BJ312">
            <v>200000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  <cell r="BP312">
            <v>300000</v>
          </cell>
          <cell r="BQ312">
            <v>0</v>
          </cell>
          <cell r="BR312">
            <v>0</v>
          </cell>
          <cell r="BS312">
            <v>0</v>
          </cell>
          <cell r="BT312">
            <v>1210038</v>
          </cell>
          <cell r="BU312">
            <v>0</v>
          </cell>
          <cell r="BV312">
            <v>0</v>
          </cell>
          <cell r="BW312">
            <v>0</v>
          </cell>
          <cell r="BX312">
            <v>0</v>
          </cell>
          <cell r="BY312">
            <v>0</v>
          </cell>
          <cell r="BZ312">
            <v>0</v>
          </cell>
          <cell r="CA312">
            <v>0</v>
          </cell>
          <cell r="CE312">
            <v>0</v>
          </cell>
          <cell r="CG312">
            <v>0</v>
          </cell>
        </row>
        <row r="313">
          <cell r="A313" t="str">
            <v>4.9.1.1.01.00002</v>
          </cell>
        </row>
      </sheetData>
      <sheetData sheetId="12">
        <row r="4">
          <cell r="P4" t="str">
            <v>AC. EBIT ANUAL</v>
          </cell>
        </row>
        <row r="5">
          <cell r="P5" t="str">
            <v>AC. RENTABILIDADE DO ATIVO</v>
          </cell>
        </row>
        <row r="6">
          <cell r="P6" t="str">
            <v>AC. RENTABILIDADE DO PL</v>
          </cell>
        </row>
        <row r="7">
          <cell r="P7" t="str">
            <v>ADIANTAMENTO TERCEIRO (CLIENTE)</v>
          </cell>
        </row>
        <row r="8">
          <cell r="P8" t="str">
            <v>CAPITAL DE GIRO PRÓPRIO</v>
          </cell>
        </row>
        <row r="9">
          <cell r="P9" t="str">
            <v>CICLO FINANCEIRO</v>
          </cell>
        </row>
        <row r="10">
          <cell r="P10" t="str">
            <v>CIRCULANTE LÍQUIDO</v>
          </cell>
        </row>
        <row r="11">
          <cell r="P11" t="str">
            <v xml:space="preserve">CUSTO REVENDA / RECEITA </v>
          </cell>
        </row>
        <row r="12">
          <cell r="P12" t="str">
            <v xml:space="preserve">CUSTO SERVICO / RECEITA </v>
          </cell>
        </row>
        <row r="13">
          <cell r="P13" t="str">
            <v xml:space="preserve">CUSTO VENDA / RECEITA </v>
          </cell>
        </row>
        <row r="14">
          <cell r="P14" t="str">
            <v>DOLAR</v>
          </cell>
        </row>
        <row r="15">
          <cell r="P15" t="str">
            <v>DUPLICATAS A RECEBER</v>
          </cell>
        </row>
        <row r="16">
          <cell r="P16" t="str">
            <v>ESTOQUE</v>
          </cell>
        </row>
        <row r="17">
          <cell r="P17" t="str">
            <v>EURO</v>
          </cell>
        </row>
        <row r="18">
          <cell r="P18" t="str">
            <v>FORNECEDORES EXTERIOR</v>
          </cell>
        </row>
        <row r="19">
          <cell r="P19" t="str">
            <v>FORNECEDORES NACIONAIS</v>
          </cell>
        </row>
        <row r="20">
          <cell r="P20" t="str">
            <v>GIRO DO ATIVO</v>
          </cell>
        </row>
        <row r="21">
          <cell r="P21" t="str">
            <v>GRAU DE ENDIVIDAMENTO ATIVO</v>
          </cell>
        </row>
        <row r="22">
          <cell r="P22" t="str">
            <v>IGPM</v>
          </cell>
        </row>
        <row r="23">
          <cell r="P23" t="str">
            <v>LIQUIDEZ CORRENTE</v>
          </cell>
        </row>
        <row r="24">
          <cell r="P24" t="str">
            <v>LIQUIDEZ GERAL</v>
          </cell>
        </row>
        <row r="25">
          <cell r="P25" t="str">
            <v>LIQUIDEZ SECA</v>
          </cell>
        </row>
        <row r="26">
          <cell r="P26" t="str">
            <v>MARGEM EBIT</v>
          </cell>
        </row>
        <row r="27">
          <cell r="P27" t="str">
            <v>PATRIMONIO LIQUIDO</v>
          </cell>
        </row>
        <row r="28">
          <cell r="P28" t="str">
            <v>PM PAGAMENTO DE COMPRAS</v>
          </cell>
        </row>
        <row r="29">
          <cell r="P29" t="str">
            <v>PM RECEBIMENTO DE VENDAS</v>
          </cell>
        </row>
        <row r="30">
          <cell r="P30" t="str">
            <v>PM RENOVAÇÃO DE ESTOQUE</v>
          </cell>
        </row>
        <row r="31">
          <cell r="P31" t="str">
            <v>REL. CAP 3° X CAP. PROPRIO</v>
          </cell>
        </row>
        <row r="32">
          <cell r="P32" t="str">
            <v>RENTABILIDADE DO ATIVO</v>
          </cell>
        </row>
        <row r="33">
          <cell r="P33" t="str">
            <v>RENTABILIDADE DO PL</v>
          </cell>
        </row>
        <row r="34">
          <cell r="P34" t="str">
            <v>SELIC</v>
          </cell>
        </row>
        <row r="35">
          <cell r="P35" t="str">
            <v>TRIBUTO LUCRO ESTIMATIVA</v>
          </cell>
        </row>
        <row r="36">
          <cell r="P36" t="str">
            <v>TRIBUTO LUCRO REAL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0">
          <cell r="H30" t="str">
            <v>Janeiro</v>
          </cell>
          <cell r="I30">
            <v>1</v>
          </cell>
          <cell r="J30">
            <v>1</v>
          </cell>
          <cell r="K30" t="str">
            <v>Janeiro</v>
          </cell>
          <cell r="L30">
            <v>1</v>
          </cell>
          <cell r="M30">
            <v>1</v>
          </cell>
        </row>
        <row r="31">
          <cell r="A31">
            <v>1</v>
          </cell>
          <cell r="B31" t="str">
            <v>Janeiro</v>
          </cell>
          <cell r="C31">
            <v>2013</v>
          </cell>
          <cell r="E31">
            <v>41275</v>
          </cell>
          <cell r="F31">
            <v>41275</v>
          </cell>
          <cell r="H31" t="str">
            <v>Fevereiro</v>
          </cell>
          <cell r="I31">
            <v>2</v>
          </cell>
          <cell r="J31">
            <v>1</v>
          </cell>
          <cell r="K31" t="str">
            <v>Fevereiro</v>
          </cell>
          <cell r="L31">
            <v>2</v>
          </cell>
          <cell r="M31">
            <v>1</v>
          </cell>
        </row>
        <row r="32">
          <cell r="A32">
            <v>2</v>
          </cell>
          <cell r="B32" t="str">
            <v>Fevereiro</v>
          </cell>
          <cell r="C32">
            <v>2014</v>
          </cell>
          <cell r="E32">
            <v>41640</v>
          </cell>
          <cell r="F32">
            <v>41640</v>
          </cell>
          <cell r="H32" t="str">
            <v>Março</v>
          </cell>
          <cell r="I32">
            <v>3</v>
          </cell>
          <cell r="J32">
            <v>1</v>
          </cell>
          <cell r="K32" t="str">
            <v>Março</v>
          </cell>
          <cell r="L32">
            <v>3</v>
          </cell>
          <cell r="M32">
            <v>1</v>
          </cell>
        </row>
        <row r="33">
          <cell r="A33">
            <v>3</v>
          </cell>
          <cell r="B33" t="str">
            <v>Março</v>
          </cell>
          <cell r="C33">
            <v>2015</v>
          </cell>
          <cell r="E33">
            <v>42005</v>
          </cell>
          <cell r="F33">
            <v>42005</v>
          </cell>
          <cell r="H33" t="str">
            <v>Abril</v>
          </cell>
          <cell r="I33">
            <v>4</v>
          </cell>
          <cell r="J33">
            <v>2</v>
          </cell>
          <cell r="K33" t="str">
            <v>Abril</v>
          </cell>
          <cell r="L33">
            <v>4</v>
          </cell>
          <cell r="M33">
            <v>1</v>
          </cell>
        </row>
        <row r="34">
          <cell r="A34">
            <v>4</v>
          </cell>
          <cell r="B34" t="str">
            <v>Abril</v>
          </cell>
          <cell r="C34">
            <v>2016</v>
          </cell>
          <cell r="E34">
            <v>42370</v>
          </cell>
          <cell r="F34">
            <v>42370</v>
          </cell>
          <cell r="H34" t="str">
            <v>Maio</v>
          </cell>
          <cell r="I34">
            <v>5</v>
          </cell>
          <cell r="J34">
            <v>2</v>
          </cell>
          <cell r="K34" t="str">
            <v>Maio</v>
          </cell>
          <cell r="L34">
            <v>5</v>
          </cell>
          <cell r="M34">
            <v>1</v>
          </cell>
        </row>
        <row r="35">
          <cell r="A35">
            <v>5</v>
          </cell>
          <cell r="B35" t="str">
            <v>Maio</v>
          </cell>
          <cell r="C35">
            <v>2017</v>
          </cell>
          <cell r="E35">
            <v>42736</v>
          </cell>
          <cell r="F35">
            <v>42736</v>
          </cell>
          <cell r="H35" t="str">
            <v>Junho</v>
          </cell>
          <cell r="I35">
            <v>6</v>
          </cell>
          <cell r="J35">
            <v>2</v>
          </cell>
          <cell r="K35" t="str">
            <v>Junho</v>
          </cell>
          <cell r="L35">
            <v>6</v>
          </cell>
          <cell r="M35">
            <v>1</v>
          </cell>
        </row>
        <row r="36">
          <cell r="A36">
            <v>6</v>
          </cell>
          <cell r="B36" t="str">
            <v>Junho</v>
          </cell>
          <cell r="C36">
            <v>2018</v>
          </cell>
          <cell r="E36">
            <v>43101</v>
          </cell>
          <cell r="F36">
            <v>43101</v>
          </cell>
          <cell r="H36" t="str">
            <v>Julho</v>
          </cell>
          <cell r="I36">
            <v>7</v>
          </cell>
          <cell r="J36">
            <v>3</v>
          </cell>
          <cell r="K36" t="str">
            <v>Julho</v>
          </cell>
          <cell r="L36">
            <v>7</v>
          </cell>
          <cell r="M36">
            <v>2</v>
          </cell>
        </row>
        <row r="37">
          <cell r="A37">
            <v>7</v>
          </cell>
          <cell r="B37" t="str">
            <v>Julho</v>
          </cell>
          <cell r="C37">
            <v>2019</v>
          </cell>
          <cell r="E37">
            <v>43466</v>
          </cell>
          <cell r="F37">
            <v>43466</v>
          </cell>
          <cell r="H37" t="str">
            <v>Agosto</v>
          </cell>
          <cell r="I37">
            <v>8</v>
          </cell>
          <cell r="J37">
            <v>3</v>
          </cell>
          <cell r="K37" t="str">
            <v>Agosto</v>
          </cell>
          <cell r="L37">
            <v>8</v>
          </cell>
          <cell r="M37">
            <v>2</v>
          </cell>
        </row>
        <row r="38">
          <cell r="A38">
            <v>8</v>
          </cell>
          <cell r="B38" t="str">
            <v>Agosto</v>
          </cell>
          <cell r="C38">
            <v>2020</v>
          </cell>
          <cell r="E38">
            <v>43831</v>
          </cell>
          <cell r="F38">
            <v>43831</v>
          </cell>
          <cell r="H38" t="str">
            <v>Setembro</v>
          </cell>
          <cell r="I38">
            <v>9</v>
          </cell>
          <cell r="J38">
            <v>3</v>
          </cell>
          <cell r="K38" t="str">
            <v>Setembro</v>
          </cell>
          <cell r="L38">
            <v>9</v>
          </cell>
          <cell r="M38">
            <v>2</v>
          </cell>
        </row>
        <row r="39">
          <cell r="A39">
            <v>9</v>
          </cell>
          <cell r="B39" t="str">
            <v>Setembro</v>
          </cell>
          <cell r="C39">
            <v>2021</v>
          </cell>
          <cell r="E39">
            <v>44197</v>
          </cell>
          <cell r="F39">
            <v>44197</v>
          </cell>
          <cell r="H39" t="str">
            <v>Outubro</v>
          </cell>
          <cell r="I39">
            <v>10</v>
          </cell>
          <cell r="J39">
            <v>4</v>
          </cell>
          <cell r="K39" t="str">
            <v>Outubro</v>
          </cell>
          <cell r="L39">
            <v>10</v>
          </cell>
          <cell r="M39">
            <v>2</v>
          </cell>
        </row>
        <row r="40">
          <cell r="A40">
            <v>10</v>
          </cell>
          <cell r="B40" t="str">
            <v>Outubro</v>
          </cell>
          <cell r="C40">
            <v>2022</v>
          </cell>
          <cell r="E40">
            <v>44562</v>
          </cell>
          <cell r="F40">
            <v>44562</v>
          </cell>
          <cell r="H40" t="str">
            <v>Novembro</v>
          </cell>
          <cell r="I40">
            <v>11</v>
          </cell>
          <cell r="J40">
            <v>4</v>
          </cell>
          <cell r="K40" t="str">
            <v>Novembro</v>
          </cell>
          <cell r="L40">
            <v>11</v>
          </cell>
          <cell r="M40">
            <v>2</v>
          </cell>
        </row>
        <row r="41">
          <cell r="A41">
            <v>11</v>
          </cell>
          <cell r="B41" t="str">
            <v>Novembro</v>
          </cell>
          <cell r="C41">
            <v>2023</v>
          </cell>
          <cell r="E41">
            <v>44927</v>
          </cell>
          <cell r="F41">
            <v>44927</v>
          </cell>
          <cell r="H41" t="str">
            <v>Dezembro</v>
          </cell>
          <cell r="I41">
            <v>12</v>
          </cell>
          <cell r="J41">
            <v>4</v>
          </cell>
          <cell r="K41" t="str">
            <v>Dezembro</v>
          </cell>
          <cell r="L41">
            <v>12</v>
          </cell>
          <cell r="M41">
            <v>2</v>
          </cell>
        </row>
        <row r="42">
          <cell r="A42">
            <v>12</v>
          </cell>
          <cell r="B42" t="str">
            <v>Dezembro</v>
          </cell>
          <cell r="C42">
            <v>2024</v>
          </cell>
          <cell r="E42">
            <v>45292</v>
          </cell>
          <cell r="F42">
            <v>45292</v>
          </cell>
          <cell r="H42" t="str">
            <v>Anual</v>
          </cell>
          <cell r="I42">
            <v>13</v>
          </cell>
          <cell r="K42" t="str">
            <v>Trimestral</v>
          </cell>
        </row>
        <row r="43">
          <cell r="K43" t="str">
            <v>Anual</v>
          </cell>
        </row>
      </sheetData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os"/>
      <sheetName val="Relatorio impresso somente em"/>
      <sheetName val="Totalizadores"/>
      <sheetName val="06"/>
    </sheetNames>
    <definedNames>
      <definedName name="TABELABP" refersTo="='Relatorio impresso somente em'!$A$2:$J$2642"/>
    </definedNames>
    <sheetDataSet>
      <sheetData sheetId="0"/>
      <sheetData sheetId="1">
        <row r="2">
          <cell r="A2" t="str">
            <v>Conta</v>
          </cell>
          <cell r="B2" t="str">
            <v>Descricao da Conta</v>
          </cell>
          <cell r="C2" t="str">
            <v>Mov. Anterior_x000D_
Debito</v>
          </cell>
          <cell r="D2" t="str">
            <v>Mov. Anterior_x000D_
Credito</v>
          </cell>
          <cell r="E2" t="str">
            <v>Mov.do Mes_x000D_
Debito</v>
          </cell>
          <cell r="F2" t="str">
            <v>Mov.do Mes_x000D_
Credito</v>
          </cell>
          <cell r="G2" t="str">
            <v>Saldo_x000D_
Debito</v>
          </cell>
          <cell r="H2" t="str">
            <v>Saldo_x000D_
Credito</v>
          </cell>
          <cell r="I2">
            <v>9</v>
          </cell>
          <cell r="J2">
            <v>10</v>
          </cell>
        </row>
        <row r="3">
          <cell r="A3" t="str">
            <v>1</v>
          </cell>
          <cell r="B3" t="str">
            <v>ATIVO</v>
          </cell>
          <cell r="C3" t="str">
            <v>0,00</v>
          </cell>
          <cell r="D3" t="str">
            <v>0,00</v>
          </cell>
          <cell r="E3" t="str">
            <v>66.814.381,42</v>
          </cell>
          <cell r="F3" t="str">
            <v>66.346.081,14</v>
          </cell>
          <cell r="G3" t="str">
            <v>138.688.409,67</v>
          </cell>
          <cell r="H3" t="str">
            <v>0,00</v>
          </cell>
          <cell r="I3">
            <v>138688409.66999999</v>
          </cell>
          <cell r="J3">
            <v>-138688409.66999999</v>
          </cell>
        </row>
        <row r="4">
          <cell r="A4" t="str">
            <v>1.1</v>
          </cell>
          <cell r="B4" t="str">
            <v>CIRCULANTE</v>
          </cell>
          <cell r="C4" t="str">
            <v>0,00</v>
          </cell>
          <cell r="D4" t="str">
            <v>0,00</v>
          </cell>
          <cell r="E4" t="str">
            <v>66.698.266,69</v>
          </cell>
          <cell r="F4" t="str">
            <v>66.102.678,16</v>
          </cell>
          <cell r="G4" t="str">
            <v>123.527.517,18</v>
          </cell>
          <cell r="H4" t="str">
            <v>0,00</v>
          </cell>
          <cell r="I4">
            <v>123527517.18000001</v>
          </cell>
          <cell r="J4">
            <v>-123527517.18000001</v>
          </cell>
        </row>
        <row r="5">
          <cell r="A5" t="str">
            <v>1.1.1</v>
          </cell>
          <cell r="B5" t="str">
            <v>CIRCULANTE</v>
          </cell>
          <cell r="C5" t="str">
            <v>0,00</v>
          </cell>
          <cell r="D5" t="str">
            <v>0,00</v>
          </cell>
          <cell r="E5" t="str">
            <v>66.698.266,69</v>
          </cell>
          <cell r="F5" t="str">
            <v>66.102.678,16</v>
          </cell>
          <cell r="G5" t="str">
            <v>123.527.517,18</v>
          </cell>
          <cell r="H5" t="str">
            <v>0,00</v>
          </cell>
          <cell r="I5">
            <v>123527517.18000001</v>
          </cell>
          <cell r="J5">
            <v>-123527517.18000001</v>
          </cell>
        </row>
        <row r="6">
          <cell r="A6" t="str">
            <v>1.1.1.1</v>
          </cell>
          <cell r="B6" t="str">
            <v>DISPONIVEL</v>
          </cell>
          <cell r="C6" t="str">
            <v>0,00</v>
          </cell>
          <cell r="D6" t="str">
            <v>0,00</v>
          </cell>
          <cell r="E6" t="str">
            <v>18.631.738,82</v>
          </cell>
          <cell r="F6" t="str">
            <v>19.383.121,75</v>
          </cell>
          <cell r="G6" t="str">
            <v>720.878,52</v>
          </cell>
          <cell r="H6" t="str">
            <v>0,00</v>
          </cell>
          <cell r="I6">
            <v>720878.52</v>
          </cell>
          <cell r="J6">
            <v>-720878.52</v>
          </cell>
        </row>
        <row r="7">
          <cell r="A7" t="str">
            <v>1.1.1.1.01</v>
          </cell>
          <cell r="B7" t="str">
            <v>CAIXA</v>
          </cell>
          <cell r="C7" t="str">
            <v>0,00</v>
          </cell>
          <cell r="D7" t="str">
            <v>0,00</v>
          </cell>
          <cell r="E7" t="str">
            <v>32.628,69</v>
          </cell>
          <cell r="F7" t="str">
            <v>33.168,69</v>
          </cell>
          <cell r="G7" t="str">
            <v>4.155,23</v>
          </cell>
          <cell r="H7" t="str">
            <v>0,00</v>
          </cell>
          <cell r="I7">
            <v>4155.2299999999996</v>
          </cell>
          <cell r="J7">
            <v>-4155.2299999999996</v>
          </cell>
        </row>
        <row r="8">
          <cell r="A8" t="str">
            <v>1.1.1.1.01.00001</v>
          </cell>
          <cell r="B8" t="str">
            <v>CAIXA FUNDO FIXO</v>
          </cell>
          <cell r="C8" t="str">
            <v>331.446,55</v>
          </cell>
          <cell r="D8" t="str">
            <v>326.739,43</v>
          </cell>
          <cell r="E8" t="str">
            <v>0,00</v>
          </cell>
          <cell r="F8" t="str">
            <v>540,00</v>
          </cell>
          <cell r="G8" t="str">
            <v>4.167,12</v>
          </cell>
          <cell r="H8" t="str">
            <v>0,00</v>
          </cell>
          <cell r="I8">
            <v>4167.12</v>
          </cell>
          <cell r="J8">
            <v>-4167.12</v>
          </cell>
        </row>
        <row r="9">
          <cell r="A9" t="str">
            <v>1.1.1.1.01.999999</v>
          </cell>
          <cell r="B9" t="str">
            <v>TRANSITORIA LIQUIDACAO</v>
          </cell>
          <cell r="C9" t="str">
            <v>590.907,54</v>
          </cell>
          <cell r="D9" t="str">
            <v>590.919,43</v>
          </cell>
          <cell r="E9" t="str">
            <v>32.628,69</v>
          </cell>
          <cell r="F9" t="str">
            <v>32.628,69</v>
          </cell>
          <cell r="G9" t="str">
            <v>0,00</v>
          </cell>
          <cell r="H9" t="str">
            <v>11,89</v>
          </cell>
          <cell r="I9">
            <v>-11.89</v>
          </cell>
          <cell r="J9">
            <v>23.78</v>
          </cell>
        </row>
        <row r="10">
          <cell r="A10" t="str">
            <v>1.1.1.1.02</v>
          </cell>
          <cell r="B10" t="str">
            <v>BANCOS CONTA MOVIMENTO</v>
          </cell>
          <cell r="C10" t="str">
            <v>0,00</v>
          </cell>
          <cell r="D10" t="str">
            <v>0,00</v>
          </cell>
          <cell r="E10" t="str">
            <v>18.599.110,13</v>
          </cell>
          <cell r="F10" t="str">
            <v>19.349.953,06</v>
          </cell>
          <cell r="G10" t="str">
            <v>716.723,29</v>
          </cell>
          <cell r="H10" t="str">
            <v>0,00</v>
          </cell>
          <cell r="I10">
            <v>716723.29</v>
          </cell>
          <cell r="J10">
            <v>-716723.29</v>
          </cell>
        </row>
        <row r="11">
          <cell r="A11" t="str">
            <v>1.1.1.1.02.00001</v>
          </cell>
          <cell r="B11" t="str">
            <v>BANCO SANTANDER C/C13.004753-4</v>
          </cell>
          <cell r="C11" t="str">
            <v>140.955.564,79</v>
          </cell>
          <cell r="D11" t="str">
            <v>140.261.002,63</v>
          </cell>
          <cell r="E11" t="str">
            <v>3.951.155,44</v>
          </cell>
          <cell r="F11" t="str">
            <v>4.323.586,96</v>
          </cell>
          <cell r="G11" t="str">
            <v>322.130,64</v>
          </cell>
          <cell r="H11" t="str">
            <v>0,00</v>
          </cell>
          <cell r="I11">
            <v>322130.64</v>
          </cell>
          <cell r="J11">
            <v>-322130.64</v>
          </cell>
        </row>
        <row r="12">
          <cell r="A12" t="str">
            <v>1.1.1.1.02.00002</v>
          </cell>
          <cell r="B12" t="str">
            <v>BANCO ITAU - 1619 - C/C 34963-0</v>
          </cell>
          <cell r="C12" t="str">
            <v>874.860.966,68</v>
          </cell>
          <cell r="D12" t="str">
            <v>874.355.623,94</v>
          </cell>
          <cell r="E12" t="str">
            <v>14.016.362,84</v>
          </cell>
          <cell r="F12" t="str">
            <v>14.247.249,71</v>
          </cell>
          <cell r="G12" t="str">
            <v>274.455,87</v>
          </cell>
          <cell r="H12" t="str">
            <v>0,00</v>
          </cell>
          <cell r="I12">
            <v>274455.87</v>
          </cell>
          <cell r="J12">
            <v>-274455.87</v>
          </cell>
        </row>
        <row r="13">
          <cell r="A13" t="str">
            <v>1.1.1.1.02.00004</v>
          </cell>
          <cell r="B13" t="str">
            <v>BANCO SAFRA - 1000 - C/C 585457-3</v>
          </cell>
          <cell r="C13" t="str">
            <v>34.193.666,97</v>
          </cell>
          <cell r="D13" t="str">
            <v>34.090.784,63</v>
          </cell>
          <cell r="E13" t="str">
            <v>166.404,59</v>
          </cell>
          <cell r="F13" t="str">
            <v>250.072,80</v>
          </cell>
          <cell r="G13" t="str">
            <v>19.214,13</v>
          </cell>
          <cell r="H13" t="str">
            <v>0,00</v>
          </cell>
          <cell r="I13">
            <v>19214.13</v>
          </cell>
          <cell r="J13">
            <v>-19214.13</v>
          </cell>
        </row>
        <row r="14">
          <cell r="A14" t="str">
            <v>1.1.1.1.02.00005</v>
          </cell>
          <cell r="B14" t="str">
            <v>XP INVESTIMENTOS - 0001 C/C 3004450</v>
          </cell>
          <cell r="C14" t="str">
            <v>21.147.241,85</v>
          </cell>
          <cell r="D14" t="str">
            <v>21.081.387,02</v>
          </cell>
          <cell r="E14" t="str">
            <v>465.000,16</v>
          </cell>
          <cell r="F14" t="str">
            <v>527.357,97</v>
          </cell>
          <cell r="G14" t="str">
            <v>3.497,02</v>
          </cell>
          <cell r="H14" t="str">
            <v>0,00</v>
          </cell>
          <cell r="I14">
            <v>3497.02</v>
          </cell>
          <cell r="J14">
            <v>-3497.02</v>
          </cell>
        </row>
        <row r="15">
          <cell r="A15" t="str">
            <v>1.1.1.1.02.00008</v>
          </cell>
          <cell r="B15" t="str">
            <v>BANCO DO BRASIL</v>
          </cell>
          <cell r="C15" t="str">
            <v>831.600,26</v>
          </cell>
          <cell r="D15" t="str">
            <v>732.676,11</v>
          </cell>
          <cell r="E15" t="str">
            <v>187,10</v>
          </cell>
          <cell r="F15" t="str">
            <v>1.685,62</v>
          </cell>
          <cell r="G15" t="str">
            <v>97.425,63</v>
          </cell>
          <cell r="H15" t="str">
            <v>0,00</v>
          </cell>
          <cell r="I15">
            <v>97425.63</v>
          </cell>
          <cell r="J15">
            <v>-97425.63</v>
          </cell>
        </row>
        <row r="16">
          <cell r="A16" t="str">
            <v>1.1.1.2</v>
          </cell>
          <cell r="B16" t="str">
            <v>APLICACOES FINANCEIRAS</v>
          </cell>
          <cell r="C16" t="str">
            <v>0,00</v>
          </cell>
          <cell r="D16" t="str">
            <v>0,00</v>
          </cell>
          <cell r="E16" t="str">
            <v>160.017,87</v>
          </cell>
          <cell r="F16" t="str">
            <v>25.439,79</v>
          </cell>
          <cell r="G16" t="str">
            <v>12.053.768,66</v>
          </cell>
          <cell r="H16" t="str">
            <v>0,00</v>
          </cell>
          <cell r="I16">
            <v>12053768.66</v>
          </cell>
          <cell r="J16">
            <v>-12053768.66</v>
          </cell>
        </row>
        <row r="17">
          <cell r="A17" t="str">
            <v>1.1.1.2.01</v>
          </cell>
          <cell r="B17" t="str">
            <v>APLICACOES FINANCEIRAS</v>
          </cell>
          <cell r="C17" t="str">
            <v>0,00</v>
          </cell>
          <cell r="D17" t="str">
            <v>0,00</v>
          </cell>
          <cell r="E17" t="str">
            <v>64.047,64</v>
          </cell>
          <cell r="F17" t="str">
            <v>13.096,96</v>
          </cell>
          <cell r="G17" t="str">
            <v>5.764.220,81</v>
          </cell>
          <cell r="H17" t="str">
            <v>0,00</v>
          </cell>
          <cell r="I17">
            <v>5764220.8099999996</v>
          </cell>
          <cell r="J17">
            <v>-5764220.8099999996</v>
          </cell>
        </row>
        <row r="18">
          <cell r="A18" t="str">
            <v>1.1.1.2.01.00016</v>
          </cell>
          <cell r="B18" t="str">
            <v>BANCO SANTANDER CONTAMAX</v>
          </cell>
          <cell r="C18" t="str">
            <v>14.442.220,83</v>
          </cell>
          <cell r="D18" t="str">
            <v>14.386.479,06</v>
          </cell>
          <cell r="E18" t="str">
            <v>0,00</v>
          </cell>
          <cell r="F18" t="str">
            <v>0,00</v>
          </cell>
          <cell r="G18" t="str">
            <v>55.741,77</v>
          </cell>
          <cell r="H18" t="str">
            <v>0,00</v>
          </cell>
          <cell r="I18">
            <v>55741.77</v>
          </cell>
          <cell r="J18">
            <v>-55741.77</v>
          </cell>
        </row>
        <row r="19">
          <cell r="A19" t="str">
            <v>1.1.1.2.01.00029</v>
          </cell>
          <cell r="B19" t="str">
            <v>SAF AGILITE FI RF CP</v>
          </cell>
          <cell r="C19" t="str">
            <v>2.923.581,38</v>
          </cell>
          <cell r="D19" t="str">
            <v>2.920.124,55</v>
          </cell>
          <cell r="E19" t="str">
            <v>37,78</v>
          </cell>
          <cell r="F19" t="str">
            <v>5,66</v>
          </cell>
          <cell r="G19" t="str">
            <v>3.488,95</v>
          </cell>
          <cell r="H19" t="str">
            <v>0,00</v>
          </cell>
          <cell r="I19">
            <v>3488.95</v>
          </cell>
          <cell r="J19">
            <v>-3488.95</v>
          </cell>
        </row>
        <row r="20">
          <cell r="A20" t="str">
            <v>1.1.1.2.01.00032</v>
          </cell>
          <cell r="B20" t="str">
            <v>CDB DI SANTANDER VENC 31/07/28</v>
          </cell>
          <cell r="C20" t="str">
            <v>9.476.497,18</v>
          </cell>
          <cell r="D20" t="str">
            <v>3.822.425,65</v>
          </cell>
          <cell r="E20" t="str">
            <v>64.009,86</v>
          </cell>
          <cell r="F20" t="str">
            <v>13.091,30</v>
          </cell>
          <cell r="G20" t="str">
            <v>5.704.990,09</v>
          </cell>
          <cell r="H20" t="str">
            <v>0,00</v>
          </cell>
          <cell r="I20">
            <v>5704990.0899999999</v>
          </cell>
          <cell r="J20">
            <v>-5704990.0899999999</v>
          </cell>
        </row>
        <row r="21">
          <cell r="A21" t="str">
            <v>1.1.1.2.98</v>
          </cell>
          <cell r="B21" t="str">
            <v>PROVISAO DE IRRF</v>
          </cell>
          <cell r="C21" t="str">
            <v>0,00</v>
          </cell>
          <cell r="D21" t="str">
            <v>0,00</v>
          </cell>
          <cell r="E21" t="str">
            <v>95.970,23</v>
          </cell>
          <cell r="F21" t="str">
            <v>12.342,83</v>
          </cell>
          <cell r="G21" t="str">
            <v>6.289.547,85</v>
          </cell>
          <cell r="H21" t="str">
            <v>0,00</v>
          </cell>
          <cell r="I21">
            <v>6289547.8499999996</v>
          </cell>
          <cell r="J21">
            <v>-6289547.8499999996</v>
          </cell>
        </row>
        <row r="22">
          <cell r="A22" t="str">
            <v>1.1.1.2.98.00016</v>
          </cell>
          <cell r="B22" t="str">
            <v>IR SANTADER CONTAMAX</v>
          </cell>
          <cell r="C22" t="str">
            <v>3,71</v>
          </cell>
          <cell r="D22" t="str">
            <v>0,00</v>
          </cell>
          <cell r="E22" t="str">
            <v>0,00</v>
          </cell>
          <cell r="F22" t="str">
            <v>0,00</v>
          </cell>
          <cell r="G22" t="str">
            <v>3,71</v>
          </cell>
          <cell r="H22" t="str">
            <v>0,00</v>
          </cell>
          <cell r="I22">
            <v>3.71</v>
          </cell>
          <cell r="J22">
            <v>-3.71</v>
          </cell>
        </row>
        <row r="23">
          <cell r="A23" t="str">
            <v>1.1.1.2.98.00029</v>
          </cell>
          <cell r="B23" t="str">
            <v>SAF AGILITE FI RF CP</v>
          </cell>
          <cell r="C23" t="str">
            <v>131.710,05</v>
          </cell>
          <cell r="D23" t="str">
            <v>131.710,05</v>
          </cell>
          <cell r="E23" t="str">
            <v>5,66</v>
          </cell>
          <cell r="F23" t="str">
            <v>0,00</v>
          </cell>
          <cell r="G23" t="str">
            <v>5,66</v>
          </cell>
          <cell r="H23" t="str">
            <v>0,00</v>
          </cell>
          <cell r="I23">
            <v>5.66</v>
          </cell>
          <cell r="J23">
            <v>-5.66</v>
          </cell>
        </row>
        <row r="24">
          <cell r="A24" t="str">
            <v>1.1.1.2.98.00031</v>
          </cell>
          <cell r="B24" t="str">
            <v>APLICACAO FUNDO - 080820241 ITAU</v>
          </cell>
          <cell r="C24" t="str">
            <v>6.297.725,15</v>
          </cell>
          <cell r="D24" t="str">
            <v>241.484,65</v>
          </cell>
          <cell r="E24" t="str">
            <v>70.530,44</v>
          </cell>
          <cell r="F24" t="str">
            <v>12.342,83</v>
          </cell>
          <cell r="G24" t="str">
            <v>6.114.428,11</v>
          </cell>
          <cell r="H24" t="str">
            <v>0,00</v>
          </cell>
          <cell r="I24">
            <v>6114428.1100000003</v>
          </cell>
          <cell r="J24">
            <v>-6114428.1100000003</v>
          </cell>
        </row>
        <row r="25">
          <cell r="A25" t="str">
            <v>1.1.1.2.98.00032</v>
          </cell>
          <cell r="B25" t="str">
            <v>PROVISAO IR APLICACAO FUNDO  080820241</v>
          </cell>
          <cell r="C25" t="str">
            <v>241.484,65</v>
          </cell>
          <cell r="D25" t="str">
            <v>208.968,45</v>
          </cell>
          <cell r="E25" t="str">
            <v>12.342,83</v>
          </cell>
          <cell r="F25" t="str">
            <v>0,00</v>
          </cell>
          <cell r="G25" t="str">
            <v>44.859,03</v>
          </cell>
          <cell r="H25" t="str">
            <v>0,00</v>
          </cell>
          <cell r="I25">
            <v>44859.03</v>
          </cell>
          <cell r="J25">
            <v>-44859.03</v>
          </cell>
        </row>
        <row r="26">
          <cell r="A26" t="str">
            <v>1.1.1.2.98.00033</v>
          </cell>
          <cell r="B26" t="str">
            <v>PROVISAO IR CDB DI SANTANDER</v>
          </cell>
          <cell r="C26" t="str">
            <v>188.526,00</v>
          </cell>
          <cell r="D26" t="str">
            <v>71.365,96</v>
          </cell>
          <cell r="E26" t="str">
            <v>13.091,30</v>
          </cell>
          <cell r="F26" t="str">
            <v>0,00</v>
          </cell>
          <cell r="G26" t="str">
            <v>130.251,34</v>
          </cell>
          <cell r="H26" t="str">
            <v>0,00</v>
          </cell>
          <cell r="I26">
            <v>130251.34</v>
          </cell>
          <cell r="J26">
            <v>-130251.34</v>
          </cell>
        </row>
        <row r="27">
          <cell r="A27" t="str">
            <v>1.1.1.3</v>
          </cell>
          <cell r="B27" t="str">
            <v>CLIENTES/DUPLICATAS A RECEBER</v>
          </cell>
          <cell r="C27" t="str">
            <v>0,00</v>
          </cell>
          <cell r="D27" t="str">
            <v>0,00</v>
          </cell>
          <cell r="E27" t="str">
            <v>15.978.158,97</v>
          </cell>
          <cell r="F27" t="str">
            <v>14.827.639,02</v>
          </cell>
          <cell r="G27" t="str">
            <v>71.569.422,19</v>
          </cell>
          <cell r="H27" t="str">
            <v>0,00</v>
          </cell>
          <cell r="I27">
            <v>71569422.189999998</v>
          </cell>
          <cell r="J27">
            <v>-71569422.189999998</v>
          </cell>
        </row>
        <row r="28">
          <cell r="A28" t="str">
            <v>1.1.1.3.01</v>
          </cell>
          <cell r="B28" t="str">
            <v>DUPLICATAS A RECEBER</v>
          </cell>
          <cell r="C28" t="str">
            <v>0,00</v>
          </cell>
          <cell r="D28" t="str">
            <v>0,00</v>
          </cell>
          <cell r="E28" t="str">
            <v>14.474.394,17</v>
          </cell>
          <cell r="F28" t="str">
            <v>13.564.611,93</v>
          </cell>
          <cell r="G28" t="str">
            <v>64.953.953,74</v>
          </cell>
          <cell r="H28" t="str">
            <v>0,00</v>
          </cell>
          <cell r="I28">
            <v>64953953.740000002</v>
          </cell>
          <cell r="J28">
            <v>-64953953.740000002</v>
          </cell>
        </row>
        <row r="29">
          <cell r="A29" t="str">
            <v>1.1.1.3.01.000078</v>
          </cell>
          <cell r="B29" t="str">
            <v>BRASIF S/A EXPORTACAO IMPORTACAO</v>
          </cell>
          <cell r="C29" t="str">
            <v>323.315,47</v>
          </cell>
          <cell r="D29" t="str">
            <v>260.315,47</v>
          </cell>
          <cell r="E29" t="str">
            <v>0,00</v>
          </cell>
          <cell r="F29" t="str">
            <v>42.000,00</v>
          </cell>
          <cell r="G29" t="str">
            <v>21.000,00</v>
          </cell>
          <cell r="H29" t="str">
            <v>0,00</v>
          </cell>
          <cell r="I29">
            <v>21000</v>
          </cell>
          <cell r="J29">
            <v>-21000</v>
          </cell>
        </row>
        <row r="30">
          <cell r="A30" t="str">
            <v>1.1.1.3.01.000081</v>
          </cell>
          <cell r="B30" t="str">
            <v>BRASIL BR TRANSPORTE E LOCACAO LTDA</v>
          </cell>
          <cell r="C30" t="str">
            <v>390.520,64</v>
          </cell>
          <cell r="D30" t="str">
            <v>401.020,64</v>
          </cell>
          <cell r="E30" t="str">
            <v>0,00</v>
          </cell>
          <cell r="F30" t="str">
            <v>0,00</v>
          </cell>
          <cell r="G30" t="str">
            <v>0,00</v>
          </cell>
          <cell r="H30" t="str">
            <v>10.500,00</v>
          </cell>
          <cell r="I30">
            <v>-10500</v>
          </cell>
          <cell r="J30">
            <v>21000</v>
          </cell>
        </row>
        <row r="31">
          <cell r="A31" t="str">
            <v>1.1.1.3.01.000085</v>
          </cell>
          <cell r="B31" t="str">
            <v>BRITAGRAN BRITAS E GRAN MINERAD LTDA</v>
          </cell>
          <cell r="C31" t="str">
            <v>545.267,82</v>
          </cell>
          <cell r="D31" t="str">
            <v>543.195,16</v>
          </cell>
          <cell r="E31" t="str">
            <v>0,00</v>
          </cell>
          <cell r="F31" t="str">
            <v>2.072,66</v>
          </cell>
          <cell r="G31" t="str">
            <v>0,00</v>
          </cell>
          <cell r="H31" t="str">
            <v>0,00</v>
          </cell>
          <cell r="I31">
            <v>0</v>
          </cell>
          <cell r="J31">
            <v>0</v>
          </cell>
        </row>
        <row r="32">
          <cell r="A32" t="str">
            <v>1.1.1.3.01.000108</v>
          </cell>
          <cell r="B32" t="str">
            <v>CCG CONSTRUCOES LTDA</v>
          </cell>
          <cell r="C32" t="str">
            <v>89.877,97</v>
          </cell>
          <cell r="D32" t="str">
            <v>30.627,97</v>
          </cell>
          <cell r="E32" t="str">
            <v>0,00</v>
          </cell>
          <cell r="F32" t="str">
            <v>19.750,00</v>
          </cell>
          <cell r="G32" t="str">
            <v>39.500,00</v>
          </cell>
          <cell r="H32" t="str">
            <v>0,00</v>
          </cell>
          <cell r="I32">
            <v>39500</v>
          </cell>
          <cell r="J32">
            <v>-39500</v>
          </cell>
        </row>
        <row r="33">
          <cell r="A33" t="str">
            <v>1.1.1.3.01.000109</v>
          </cell>
          <cell r="B33" t="str">
            <v>CELIO LOCACOES DE MAQUINAS LTDA</v>
          </cell>
          <cell r="C33" t="str">
            <v>266.950,64</v>
          </cell>
          <cell r="D33" t="str">
            <v>265.045,97</v>
          </cell>
          <cell r="E33" t="str">
            <v>0,00</v>
          </cell>
          <cell r="F33" t="str">
            <v>952,34</v>
          </cell>
          <cell r="G33" t="str">
            <v>952,33</v>
          </cell>
          <cell r="H33" t="str">
            <v>0,00</v>
          </cell>
          <cell r="I33">
            <v>952.33</v>
          </cell>
          <cell r="J33">
            <v>-952.33</v>
          </cell>
        </row>
        <row r="34">
          <cell r="A34" t="str">
            <v>1.1.1.3.01.000113</v>
          </cell>
          <cell r="B34" t="str">
            <v>CEU AZUL TERRAPLANAGEM E PAVIMENT.LTD</v>
          </cell>
          <cell r="C34" t="str">
            <v>308.550,52</v>
          </cell>
          <cell r="D34" t="str">
            <v>286.550,52</v>
          </cell>
          <cell r="E34" t="str">
            <v>0,00</v>
          </cell>
          <cell r="F34" t="str">
            <v>0,00</v>
          </cell>
          <cell r="G34" t="str">
            <v>22.000,00</v>
          </cell>
          <cell r="H34" t="str">
            <v>0,00</v>
          </cell>
          <cell r="I34">
            <v>22000</v>
          </cell>
          <cell r="J34">
            <v>-22000</v>
          </cell>
        </row>
        <row r="35">
          <cell r="A35" t="str">
            <v>1.1.1.3.01.000115</v>
          </cell>
          <cell r="B35" t="str">
            <v>CIVILPORT ENGENHARIA LTDA</v>
          </cell>
          <cell r="C35" t="str">
            <v>12.020,07</v>
          </cell>
          <cell r="D35" t="str">
            <v>9.463,51</v>
          </cell>
          <cell r="E35" t="str">
            <v>0,00</v>
          </cell>
          <cell r="F35" t="str">
            <v>2.556,56</v>
          </cell>
          <cell r="G35" t="str">
            <v>0,00</v>
          </cell>
          <cell r="H35" t="str">
            <v>0,00</v>
          </cell>
          <cell r="I35">
            <v>0</v>
          </cell>
          <cell r="J35">
            <v>0</v>
          </cell>
        </row>
        <row r="36">
          <cell r="A36" t="str">
            <v>1.1.1.3.01.000119</v>
          </cell>
          <cell r="B36" t="str">
            <v>COINPE CONSTRUTORA LTDA</v>
          </cell>
          <cell r="C36" t="str">
            <v>3.281,19</v>
          </cell>
          <cell r="D36" t="str">
            <v>3.038,69</v>
          </cell>
          <cell r="E36" t="str">
            <v>0,00</v>
          </cell>
          <cell r="F36" t="str">
            <v>0,00</v>
          </cell>
          <cell r="G36" t="str">
            <v>242,50</v>
          </cell>
          <cell r="H36" t="str">
            <v>0,00</v>
          </cell>
          <cell r="I36">
            <v>242.5</v>
          </cell>
          <cell r="J36">
            <v>-242.5</v>
          </cell>
        </row>
        <row r="37">
          <cell r="A37" t="str">
            <v>1.1.1.3.01.000130</v>
          </cell>
          <cell r="B37" t="str">
            <v>CONPAV SANTA FE CONST. E PAVIM. LTDA</v>
          </cell>
          <cell r="C37" t="str">
            <v>212.161,87</v>
          </cell>
          <cell r="D37" t="str">
            <v>193.541,87</v>
          </cell>
          <cell r="E37" t="str">
            <v>0,00</v>
          </cell>
          <cell r="F37" t="str">
            <v>2.660,00</v>
          </cell>
          <cell r="G37" t="str">
            <v>15.960,00</v>
          </cell>
          <cell r="H37" t="str">
            <v>0,00</v>
          </cell>
          <cell r="I37">
            <v>15960</v>
          </cell>
          <cell r="J37">
            <v>-15960</v>
          </cell>
        </row>
        <row r="38">
          <cell r="A38" t="str">
            <v>1.1.1.3.01.000140</v>
          </cell>
          <cell r="B38" t="str">
            <v>CONSTRUTORA ETAM LTDA</v>
          </cell>
          <cell r="C38" t="str">
            <v>139.085,15</v>
          </cell>
          <cell r="D38" t="str">
            <v>139.085,15</v>
          </cell>
          <cell r="E38" t="str">
            <v>130.000,00</v>
          </cell>
          <cell r="F38" t="str">
            <v>130.000,00</v>
          </cell>
          <cell r="G38" t="str">
            <v>0,00</v>
          </cell>
          <cell r="H38" t="str">
            <v>0,00</v>
          </cell>
          <cell r="I38">
            <v>0</v>
          </cell>
          <cell r="J38">
            <v>0</v>
          </cell>
        </row>
        <row r="39">
          <cell r="A39" t="str">
            <v>1.1.1.3.01.000146</v>
          </cell>
          <cell r="B39" t="str">
            <v>CONSTRUTORA PREMOCIL LTDA</v>
          </cell>
          <cell r="C39" t="str">
            <v>287.898,49</v>
          </cell>
          <cell r="D39" t="str">
            <v>288.328,47</v>
          </cell>
          <cell r="E39" t="str">
            <v>0,00</v>
          </cell>
          <cell r="F39" t="str">
            <v>0,00</v>
          </cell>
          <cell r="G39" t="str">
            <v>0,00</v>
          </cell>
          <cell r="H39" t="str">
            <v>429,98</v>
          </cell>
          <cell r="I39">
            <v>-429.98</v>
          </cell>
          <cell r="J39">
            <v>859.96</v>
          </cell>
        </row>
        <row r="40">
          <cell r="A40" t="str">
            <v>1.1.1.3.01.000155</v>
          </cell>
          <cell r="B40" t="str">
            <v>DAGOBERTO ANTONIO FAEDO</v>
          </cell>
          <cell r="C40" t="str">
            <v>4.485,54</v>
          </cell>
          <cell r="D40" t="str">
            <v>9.444,85</v>
          </cell>
          <cell r="E40" t="str">
            <v>0,00</v>
          </cell>
          <cell r="F40" t="str">
            <v>0,00</v>
          </cell>
          <cell r="G40" t="str">
            <v>0,00</v>
          </cell>
          <cell r="H40" t="str">
            <v>4.959,31</v>
          </cell>
          <cell r="I40">
            <v>-4959.3100000000004</v>
          </cell>
          <cell r="J40">
            <v>9918.6200000000008</v>
          </cell>
        </row>
        <row r="41">
          <cell r="A41" t="str">
            <v>1.1.1.3.01.000173</v>
          </cell>
          <cell r="B41" t="str">
            <v>DMS LOCACAO DE MAQ E EQUIP EIRELI ME</v>
          </cell>
          <cell r="C41" t="str">
            <v>1.061,15</v>
          </cell>
          <cell r="D41" t="str">
            <v>0,00</v>
          </cell>
          <cell r="E41" t="str">
            <v>0,00</v>
          </cell>
          <cell r="F41" t="str">
            <v>1.061,15</v>
          </cell>
          <cell r="G41" t="str">
            <v>0,00</v>
          </cell>
          <cell r="H41" t="str">
            <v>0,00</v>
          </cell>
          <cell r="I41">
            <v>0</v>
          </cell>
          <cell r="J41">
            <v>0</v>
          </cell>
        </row>
        <row r="42">
          <cell r="A42" t="str">
            <v>1.1.1.3.01.000192</v>
          </cell>
          <cell r="B42" t="str">
            <v>EMPRERIO PRESTADORA DE SERV LTDA ME</v>
          </cell>
          <cell r="C42" t="str">
            <v>4.245,51</v>
          </cell>
          <cell r="D42" t="str">
            <v>734,53</v>
          </cell>
          <cell r="E42" t="str">
            <v>0,00</v>
          </cell>
          <cell r="F42" t="str">
            <v>0,00</v>
          </cell>
          <cell r="G42" t="str">
            <v>3.510,98</v>
          </cell>
          <cell r="H42" t="str">
            <v>0,00</v>
          </cell>
          <cell r="I42">
            <v>3510.98</v>
          </cell>
          <cell r="J42">
            <v>-3510.98</v>
          </cell>
        </row>
        <row r="43">
          <cell r="A43" t="str">
            <v>1.1.1.3.01.000198</v>
          </cell>
          <cell r="B43" t="str">
            <v>EPENGE MINERADORA LTDA</v>
          </cell>
          <cell r="C43" t="str">
            <v>442.811,51</v>
          </cell>
          <cell r="D43" t="str">
            <v>430.086,87</v>
          </cell>
          <cell r="E43" t="str">
            <v>0,00</v>
          </cell>
          <cell r="F43" t="str">
            <v>8.737,97</v>
          </cell>
          <cell r="G43" t="str">
            <v>3.986,67</v>
          </cell>
          <cell r="H43" t="str">
            <v>0,00</v>
          </cell>
          <cell r="I43">
            <v>3986.67</v>
          </cell>
          <cell r="J43">
            <v>-3986.67</v>
          </cell>
        </row>
        <row r="44">
          <cell r="A44" t="str">
            <v>1.1.1.3.01.000202</v>
          </cell>
          <cell r="B44" t="str">
            <v>ESCAD RENTAL-LOC EQUIP P/TERRAPL LTDA</v>
          </cell>
          <cell r="C44" t="str">
            <v>444.206,36</v>
          </cell>
          <cell r="D44" t="str">
            <v>443.806,16</v>
          </cell>
          <cell r="E44" t="str">
            <v>0,00</v>
          </cell>
          <cell r="F44" t="str">
            <v>0,00</v>
          </cell>
          <cell r="G44" t="str">
            <v>400,20</v>
          </cell>
          <cell r="H44" t="str">
            <v>0,00</v>
          </cell>
          <cell r="I44">
            <v>400.2</v>
          </cell>
          <cell r="J44">
            <v>-400.2</v>
          </cell>
        </row>
        <row r="45">
          <cell r="A45" t="str">
            <v>1.1.1.3.01.000242</v>
          </cell>
          <cell r="B45" t="str">
            <v>GILSON MUELLER BERNECK</v>
          </cell>
          <cell r="C45" t="str">
            <v>105.676,17</v>
          </cell>
          <cell r="D45" t="str">
            <v>111.352,34</v>
          </cell>
          <cell r="E45" t="str">
            <v>3.719,84</v>
          </cell>
          <cell r="F45" t="str">
            <v>3.719,84</v>
          </cell>
          <cell r="G45" t="str">
            <v>0,00</v>
          </cell>
          <cell r="H45" t="str">
            <v>5.676,17</v>
          </cell>
          <cell r="I45">
            <v>-5676.17</v>
          </cell>
          <cell r="J45">
            <v>11352.34</v>
          </cell>
        </row>
        <row r="46">
          <cell r="A46" t="str">
            <v>1.1.1.3.01.000252</v>
          </cell>
          <cell r="B46" t="str">
            <v>GRAMAZINI GRANITOS E M THOMAZINI LTDA</v>
          </cell>
          <cell r="C46" t="str">
            <v>876.969,19</v>
          </cell>
          <cell r="D46" t="str">
            <v>698.153,32</v>
          </cell>
          <cell r="E46" t="str">
            <v>0,00</v>
          </cell>
          <cell r="F46" t="str">
            <v>23.407,94</v>
          </cell>
          <cell r="G46" t="str">
            <v>155.407,93</v>
          </cell>
          <cell r="H46" t="str">
            <v>0,00</v>
          </cell>
          <cell r="I46">
            <v>155407.93</v>
          </cell>
          <cell r="J46">
            <v>-155407.93</v>
          </cell>
        </row>
        <row r="47">
          <cell r="A47" t="str">
            <v>1.1.1.3.01.000270</v>
          </cell>
          <cell r="B47" t="str">
            <v>HIDRAULICA PRADO LTDA ME</v>
          </cell>
          <cell r="C47" t="str">
            <v>62.642,07</v>
          </cell>
          <cell r="D47" t="str">
            <v>41.342,07</v>
          </cell>
          <cell r="E47" t="str">
            <v>0,00</v>
          </cell>
          <cell r="F47" t="str">
            <v>0,00</v>
          </cell>
          <cell r="G47" t="str">
            <v>21.300,00</v>
          </cell>
          <cell r="H47" t="str">
            <v>0,00</v>
          </cell>
          <cell r="I47">
            <v>21300</v>
          </cell>
          <cell r="J47">
            <v>-21300</v>
          </cell>
        </row>
        <row r="48">
          <cell r="A48" t="str">
            <v>1.1.1.3.01.000318</v>
          </cell>
          <cell r="B48" t="str">
            <v>JSL S/A</v>
          </cell>
          <cell r="C48" t="str">
            <v>1.284.855,31</v>
          </cell>
          <cell r="D48" t="str">
            <v>1.244.241,29</v>
          </cell>
          <cell r="E48" t="str">
            <v>0,00</v>
          </cell>
          <cell r="F48" t="str">
            <v>0,00</v>
          </cell>
          <cell r="G48" t="str">
            <v>40.614,02</v>
          </cell>
          <cell r="H48" t="str">
            <v>0,00</v>
          </cell>
          <cell r="I48">
            <v>40614.019999999997</v>
          </cell>
          <cell r="J48">
            <v>-40614.019999999997</v>
          </cell>
        </row>
        <row r="49">
          <cell r="A49" t="str">
            <v>1.1.1.3.01.000327</v>
          </cell>
          <cell r="B49" t="str">
            <v>LCS LOGISTICA EM TRANSPORTES LTDA</v>
          </cell>
          <cell r="C49" t="str">
            <v>683.237,30</v>
          </cell>
          <cell r="D49" t="str">
            <v>682.469,37</v>
          </cell>
          <cell r="E49" t="str">
            <v>0,00</v>
          </cell>
          <cell r="F49" t="str">
            <v>0,00</v>
          </cell>
          <cell r="G49" t="str">
            <v>767,93</v>
          </cell>
          <cell r="H49" t="str">
            <v>0,00</v>
          </cell>
          <cell r="I49">
            <v>767.93</v>
          </cell>
          <cell r="J49">
            <v>-767.93</v>
          </cell>
        </row>
        <row r="50">
          <cell r="A50" t="str">
            <v>1.1.1.3.01.000370</v>
          </cell>
          <cell r="B50" t="str">
            <v>MENEGAS TERRAPL., DEM. E INFRAESTRUTURA</v>
          </cell>
          <cell r="C50" t="str">
            <v>1.240.746,98</v>
          </cell>
          <cell r="D50" t="str">
            <v>1.231.257,44</v>
          </cell>
          <cell r="E50" t="str">
            <v>0,00</v>
          </cell>
          <cell r="F50" t="str">
            <v>2.372,39</v>
          </cell>
          <cell r="G50" t="str">
            <v>7.117,15</v>
          </cell>
          <cell r="H50" t="str">
            <v>0,00</v>
          </cell>
          <cell r="I50">
            <v>7117.15</v>
          </cell>
          <cell r="J50">
            <v>-7117.15</v>
          </cell>
        </row>
        <row r="51">
          <cell r="A51" t="str">
            <v>1.1.1.3.01.000376</v>
          </cell>
          <cell r="B51" t="str">
            <v>MINERACAO CARBO LTDA EPP</v>
          </cell>
          <cell r="C51" t="str">
            <v>283.771,62</v>
          </cell>
          <cell r="D51" t="str">
            <v>282.734,53</v>
          </cell>
          <cell r="E51" t="str">
            <v>4.726,50</v>
          </cell>
          <cell r="F51" t="str">
            <v>1.037,09</v>
          </cell>
          <cell r="G51" t="str">
            <v>4.726,50</v>
          </cell>
          <cell r="H51" t="str">
            <v>0,00</v>
          </cell>
          <cell r="I51">
            <v>4726.5</v>
          </cell>
          <cell r="J51">
            <v>-4726.5</v>
          </cell>
        </row>
        <row r="52">
          <cell r="A52" t="str">
            <v>1.1.1.3.01.000378</v>
          </cell>
          <cell r="B52" t="str">
            <v>MINERACAO HORICAL LTDA</v>
          </cell>
          <cell r="C52" t="str">
            <v>314.540,12</v>
          </cell>
          <cell r="D52" t="str">
            <v>310.998,53</v>
          </cell>
          <cell r="E52" t="str">
            <v>0,00</v>
          </cell>
          <cell r="F52" t="str">
            <v>3.541,59</v>
          </cell>
          <cell r="G52" t="str">
            <v>0,00</v>
          </cell>
          <cell r="H52" t="str">
            <v>0,00</v>
          </cell>
          <cell r="I52">
            <v>0</v>
          </cell>
          <cell r="J52">
            <v>0</v>
          </cell>
        </row>
        <row r="53">
          <cell r="A53" t="str">
            <v>1.1.1.3.01.000408</v>
          </cell>
          <cell r="B53" t="str">
            <v>NHS TERRAPLENAGEM E DEMOLICOES LTDA</v>
          </cell>
          <cell r="C53" t="str">
            <v>1.429.453,89</v>
          </cell>
          <cell r="D53" t="str">
            <v>1.417.537,60</v>
          </cell>
          <cell r="E53" t="str">
            <v>0,00</v>
          </cell>
          <cell r="F53" t="str">
            <v>6.126,29</v>
          </cell>
          <cell r="G53" t="str">
            <v>5.790,00</v>
          </cell>
          <cell r="H53" t="str">
            <v>0,00</v>
          </cell>
          <cell r="I53">
            <v>5790</v>
          </cell>
          <cell r="J53">
            <v>-5790</v>
          </cell>
        </row>
        <row r="54">
          <cell r="A54" t="str">
            <v>1.1.1.3.01.000449</v>
          </cell>
          <cell r="B54" t="str">
            <v>PEDREIRA SAO FRANCISCO LTDA</v>
          </cell>
          <cell r="C54" t="str">
            <v>57.923,28</v>
          </cell>
          <cell r="D54" t="str">
            <v>49.609,84</v>
          </cell>
          <cell r="E54" t="str">
            <v>0,00</v>
          </cell>
          <cell r="F54" t="str">
            <v>0,00</v>
          </cell>
          <cell r="G54" t="str">
            <v>8.313,44</v>
          </cell>
          <cell r="H54" t="str">
            <v>0,00</v>
          </cell>
          <cell r="I54">
            <v>8313.44</v>
          </cell>
          <cell r="J54">
            <v>-8313.44</v>
          </cell>
        </row>
        <row r="55">
          <cell r="A55" t="str">
            <v>1.1.1.3.01.000456</v>
          </cell>
          <cell r="B55" t="str">
            <v>PIO TERRAPLENAGEM E LOC. MAQUINAS LTDA</v>
          </cell>
          <cell r="C55" t="str">
            <v>476.412,10</v>
          </cell>
          <cell r="D55" t="str">
            <v>334.670,51</v>
          </cell>
          <cell r="E55" t="str">
            <v>10.000,00</v>
          </cell>
          <cell r="F55" t="str">
            <v>25.789,39</v>
          </cell>
          <cell r="G55" t="str">
            <v>125.952,20</v>
          </cell>
          <cell r="H55" t="str">
            <v>0,00</v>
          </cell>
          <cell r="I55">
            <v>125952.2</v>
          </cell>
          <cell r="J55">
            <v>-125952.2</v>
          </cell>
        </row>
        <row r="56">
          <cell r="A56" t="str">
            <v>1.1.1.3.01.000470</v>
          </cell>
          <cell r="B56" t="str">
            <v>R A LOCACOES DE MAQ E TERRAP. LTDA ME</v>
          </cell>
          <cell r="C56" t="str">
            <v>45.916,60</v>
          </cell>
          <cell r="D56" t="str">
            <v>43.466,60</v>
          </cell>
          <cell r="E56" t="str">
            <v>0,00</v>
          </cell>
          <cell r="F56" t="str">
            <v>2.450,00</v>
          </cell>
          <cell r="G56" t="str">
            <v>0,00</v>
          </cell>
          <cell r="H56" t="str">
            <v>0,00</v>
          </cell>
          <cell r="I56">
            <v>0</v>
          </cell>
          <cell r="J56">
            <v>0</v>
          </cell>
        </row>
        <row r="57">
          <cell r="A57" t="str">
            <v>1.1.1.3.01.000471</v>
          </cell>
          <cell r="B57" t="str">
            <v>R B ENGENHARIA E CONSTRUCOES LTDA</v>
          </cell>
          <cell r="C57" t="str">
            <v>163.157,98</v>
          </cell>
          <cell r="D57" t="str">
            <v>158.954,30</v>
          </cell>
          <cell r="E57" t="str">
            <v>0,00</v>
          </cell>
          <cell r="F57" t="str">
            <v>0,00</v>
          </cell>
          <cell r="G57" t="str">
            <v>4.203,68</v>
          </cell>
          <cell r="H57" t="str">
            <v>0,00</v>
          </cell>
          <cell r="I57">
            <v>4203.68</v>
          </cell>
          <cell r="J57">
            <v>-4203.68</v>
          </cell>
        </row>
        <row r="58">
          <cell r="A58" t="str">
            <v>1.1.1.3.01.000478</v>
          </cell>
          <cell r="B58" t="str">
            <v>RAZUK TRANSPORTES LTDA - EPP</v>
          </cell>
          <cell r="C58" t="str">
            <v>130.540,02</v>
          </cell>
          <cell r="D58" t="str">
            <v>124.540,02</v>
          </cell>
          <cell r="E58" t="str">
            <v>0,00</v>
          </cell>
          <cell r="F58" t="str">
            <v>0,00</v>
          </cell>
          <cell r="G58" t="str">
            <v>6.000,00</v>
          </cell>
          <cell r="H58" t="str">
            <v>0,00</v>
          </cell>
          <cell r="I58">
            <v>6000</v>
          </cell>
          <cell r="J58">
            <v>-6000</v>
          </cell>
        </row>
        <row r="59">
          <cell r="A59" t="str">
            <v>1.1.1.3.01.000488</v>
          </cell>
          <cell r="B59" t="str">
            <v>PEDREIRA ITAIPU INDUSTRIA E COMERCIO DE</v>
          </cell>
          <cell r="C59" t="str">
            <v>162.916,80</v>
          </cell>
          <cell r="D59" t="str">
            <v>158.936,80</v>
          </cell>
          <cell r="E59" t="str">
            <v>0,00</v>
          </cell>
          <cell r="F59" t="str">
            <v>1.990,00</v>
          </cell>
          <cell r="G59" t="str">
            <v>1.990,00</v>
          </cell>
          <cell r="H59" t="str">
            <v>0,00</v>
          </cell>
          <cell r="I59">
            <v>1990</v>
          </cell>
          <cell r="J59">
            <v>-1990</v>
          </cell>
        </row>
        <row r="60">
          <cell r="A60" t="str">
            <v>1.1.1.3.01.000519</v>
          </cell>
          <cell r="B60" t="str">
            <v>SARANDI TRATORES LTDA</v>
          </cell>
          <cell r="C60" t="str">
            <v>38.445,00</v>
          </cell>
          <cell r="D60" t="str">
            <v>31.695,00</v>
          </cell>
          <cell r="E60" t="str">
            <v>0,00</v>
          </cell>
          <cell r="F60" t="str">
            <v>0,00</v>
          </cell>
          <cell r="G60" t="str">
            <v>6.750,00</v>
          </cell>
          <cell r="H60" t="str">
            <v>0,00</v>
          </cell>
          <cell r="I60">
            <v>6750</v>
          </cell>
          <cell r="J60">
            <v>-6750</v>
          </cell>
        </row>
        <row r="61">
          <cell r="A61" t="str">
            <v>1.1.1.3.01.000532</v>
          </cell>
          <cell r="B61" t="str">
            <v>SHARK MAQUINAS PARA CONSTRUCAO LTDA</v>
          </cell>
          <cell r="C61" t="str">
            <v>161.263,49</v>
          </cell>
          <cell r="D61" t="str">
            <v>161.276,38</v>
          </cell>
          <cell r="E61" t="str">
            <v>0,00</v>
          </cell>
          <cell r="F61" t="str">
            <v>0,00</v>
          </cell>
          <cell r="G61" t="str">
            <v>0,00</v>
          </cell>
          <cell r="H61" t="str">
            <v>12,89</v>
          </cell>
          <cell r="I61">
            <v>-12.89</v>
          </cell>
          <cell r="J61">
            <v>25.78</v>
          </cell>
        </row>
        <row r="62">
          <cell r="A62" t="str">
            <v>1.1.1.3.01.000555</v>
          </cell>
          <cell r="B62" t="str">
            <v>SOLUM DEMOLICOES E TERRAPLENAGEM LTDA</v>
          </cell>
          <cell r="C62" t="str">
            <v>2.345.795,67</v>
          </cell>
          <cell r="D62" t="str">
            <v>2.345.795,67</v>
          </cell>
          <cell r="E62" t="str">
            <v>47.999,70</v>
          </cell>
          <cell r="F62" t="str">
            <v>47.999,70</v>
          </cell>
          <cell r="G62" t="str">
            <v>0,00</v>
          </cell>
          <cell r="H62" t="str">
            <v>0,00</v>
          </cell>
          <cell r="I62">
            <v>0</v>
          </cell>
          <cell r="J62">
            <v>0</v>
          </cell>
        </row>
        <row r="63">
          <cell r="A63" t="str">
            <v>1.1.1.3.01.000557</v>
          </cell>
          <cell r="B63" t="str">
            <v>SOTREQ S/A</v>
          </cell>
          <cell r="C63" t="str">
            <v>539.409,67</v>
          </cell>
          <cell r="D63" t="str">
            <v>513.550,12</v>
          </cell>
          <cell r="E63" t="str">
            <v>26.700,00</v>
          </cell>
          <cell r="F63" t="str">
            <v>25.859,55</v>
          </cell>
          <cell r="G63" t="str">
            <v>26.700,00</v>
          </cell>
          <cell r="H63" t="str">
            <v>0,00</v>
          </cell>
          <cell r="I63">
            <v>26700</v>
          </cell>
          <cell r="J63">
            <v>-26700</v>
          </cell>
        </row>
        <row r="64">
          <cell r="A64" t="str">
            <v>1.1.1.3.01.000587</v>
          </cell>
          <cell r="B64" t="str">
            <v>TERNIUM BRASIL LTDA</v>
          </cell>
          <cell r="C64" t="str">
            <v>19.746.036,15</v>
          </cell>
          <cell r="D64" t="str">
            <v>19.732.994,68</v>
          </cell>
          <cell r="E64" t="str">
            <v>0,00</v>
          </cell>
          <cell r="F64" t="str">
            <v>0,00</v>
          </cell>
          <cell r="G64" t="str">
            <v>13.041,47</v>
          </cell>
          <cell r="H64" t="str">
            <v>0,00</v>
          </cell>
          <cell r="I64">
            <v>13041.47</v>
          </cell>
          <cell r="J64">
            <v>-13041.47</v>
          </cell>
        </row>
        <row r="65">
          <cell r="A65" t="str">
            <v>1.1.1.3.01.000608</v>
          </cell>
          <cell r="B65" t="str">
            <v>V.R PERES E CAMARGO</v>
          </cell>
          <cell r="C65" t="str">
            <v>201.611,17</v>
          </cell>
          <cell r="D65" t="str">
            <v>195.481,44</v>
          </cell>
          <cell r="E65" t="str">
            <v>0,00</v>
          </cell>
          <cell r="F65" t="str">
            <v>3.064,87</v>
          </cell>
          <cell r="G65" t="str">
            <v>3.064,86</v>
          </cell>
          <cell r="H65" t="str">
            <v>0,00</v>
          </cell>
          <cell r="I65">
            <v>3064.86</v>
          </cell>
          <cell r="J65">
            <v>-3064.86</v>
          </cell>
        </row>
        <row r="66">
          <cell r="A66" t="str">
            <v>1.1.1.3.01.000647</v>
          </cell>
          <cell r="B66" t="str">
            <v>INDUSTRIA E COMERCIO DE CAL SEREIA LTDA</v>
          </cell>
          <cell r="C66" t="str">
            <v>836.382,31</v>
          </cell>
          <cell r="D66" t="str">
            <v>798.071,68</v>
          </cell>
          <cell r="E66" t="str">
            <v>4.162,70</v>
          </cell>
          <cell r="F66" t="str">
            <v>21.746,85</v>
          </cell>
          <cell r="G66" t="str">
            <v>20.726,48</v>
          </cell>
          <cell r="H66" t="str">
            <v>0,00</v>
          </cell>
          <cell r="I66">
            <v>20726.48</v>
          </cell>
          <cell r="J66">
            <v>-20726.48</v>
          </cell>
        </row>
        <row r="67">
          <cell r="A67" t="str">
            <v>1.1.1.3.01.000648</v>
          </cell>
          <cell r="B67" t="str">
            <v>BAMAQ SA BANDEIRANTES MAQ. E EQUIP.</v>
          </cell>
          <cell r="C67" t="str">
            <v>329.302,20</v>
          </cell>
          <cell r="D67" t="str">
            <v>284.968,86</v>
          </cell>
          <cell r="E67" t="str">
            <v>0,00</v>
          </cell>
          <cell r="F67" t="str">
            <v>22.166,67</v>
          </cell>
          <cell r="G67" t="str">
            <v>22.166,67</v>
          </cell>
          <cell r="H67" t="str">
            <v>0,00</v>
          </cell>
          <cell r="I67">
            <v>22166.67</v>
          </cell>
          <cell r="J67">
            <v>-22166.67</v>
          </cell>
        </row>
        <row r="68">
          <cell r="A68" t="str">
            <v>1.1.1.3.01.000652</v>
          </cell>
          <cell r="B68" t="str">
            <v>BLASTER COM. E SERV. EM EXPLOSIVOS LTDA</v>
          </cell>
          <cell r="C68" t="str">
            <v>1.482.881,85</v>
          </cell>
          <cell r="D68" t="str">
            <v>1.419.881,85</v>
          </cell>
          <cell r="E68" t="str">
            <v>0,00</v>
          </cell>
          <cell r="F68" t="str">
            <v>9.000,00</v>
          </cell>
          <cell r="G68" t="str">
            <v>54.000,00</v>
          </cell>
          <cell r="H68" t="str">
            <v>0,00</v>
          </cell>
          <cell r="I68">
            <v>54000</v>
          </cell>
          <cell r="J68">
            <v>-54000</v>
          </cell>
        </row>
        <row r="69">
          <cell r="A69" t="str">
            <v>1.1.1.3.01.000654</v>
          </cell>
          <cell r="B69" t="str">
            <v>VARGAS HIDRAULICA LTDA-ME</v>
          </cell>
          <cell r="C69" t="str">
            <v>22.454,62</v>
          </cell>
          <cell r="D69" t="str">
            <v>22.454,62</v>
          </cell>
          <cell r="E69" t="str">
            <v>1.412,00</v>
          </cell>
          <cell r="F69" t="str">
            <v>1.412,00</v>
          </cell>
          <cell r="G69" t="str">
            <v>0,00</v>
          </cell>
          <cell r="H69" t="str">
            <v>0,00</v>
          </cell>
          <cell r="I69">
            <v>0</v>
          </cell>
          <cell r="J69">
            <v>0</v>
          </cell>
        </row>
        <row r="70">
          <cell r="A70" t="str">
            <v>1.1.1.3.01.000671</v>
          </cell>
          <cell r="B70" t="str">
            <v>MECBRUN-INDUSTRIA E COMERCIO LTDA</v>
          </cell>
          <cell r="C70" t="str">
            <v>9.497.340,58</v>
          </cell>
          <cell r="D70" t="str">
            <v>9.311.499,71</v>
          </cell>
          <cell r="E70" t="str">
            <v>91.290,63</v>
          </cell>
          <cell r="F70" t="str">
            <v>109.618,47</v>
          </cell>
          <cell r="G70" t="str">
            <v>167.513,03</v>
          </cell>
          <cell r="H70" t="str">
            <v>0,00</v>
          </cell>
          <cell r="I70">
            <v>167513.03</v>
          </cell>
          <cell r="J70">
            <v>-167513.03</v>
          </cell>
        </row>
        <row r="71">
          <cell r="A71" t="str">
            <v>1.1.1.3.01.000678</v>
          </cell>
          <cell r="B71" t="str">
            <v>SANTO ANTONIO GRANITOS LTDA</v>
          </cell>
          <cell r="C71" t="str">
            <v>741.819,58</v>
          </cell>
          <cell r="D71" t="str">
            <v>741.665,92</v>
          </cell>
          <cell r="E71" t="str">
            <v>0,00</v>
          </cell>
          <cell r="F71" t="str">
            <v>0,00</v>
          </cell>
          <cell r="G71" t="str">
            <v>153,66</v>
          </cell>
          <cell r="H71" t="str">
            <v>0,00</v>
          </cell>
          <cell r="I71">
            <v>153.66</v>
          </cell>
          <cell r="J71">
            <v>-153.66</v>
          </cell>
        </row>
        <row r="72">
          <cell r="A72" t="str">
            <v>1.1.1.3.01.000683</v>
          </cell>
          <cell r="B72" t="str">
            <v>DECOLORES MARMORES E GRANITOS DO BRASIL</v>
          </cell>
          <cell r="C72" t="str">
            <v>663.413,22</v>
          </cell>
          <cell r="D72" t="str">
            <v>627.857,68</v>
          </cell>
          <cell r="E72" t="str">
            <v>0,00</v>
          </cell>
          <cell r="F72" t="str">
            <v>0,00</v>
          </cell>
          <cell r="G72" t="str">
            <v>35.555,54</v>
          </cell>
          <cell r="H72" t="str">
            <v>0,00</v>
          </cell>
          <cell r="I72">
            <v>35555.54</v>
          </cell>
          <cell r="J72">
            <v>-35555.54</v>
          </cell>
        </row>
        <row r="73">
          <cell r="A73" t="str">
            <v>1.1.1.3.01.000689</v>
          </cell>
          <cell r="B73" t="str">
            <v>BOLATER - TRANSPORTE E LOC MAQUINAS LTDA</v>
          </cell>
          <cell r="C73" t="str">
            <v>355.567,98</v>
          </cell>
          <cell r="D73" t="str">
            <v>343.752,79</v>
          </cell>
          <cell r="E73" t="str">
            <v>0,00</v>
          </cell>
          <cell r="F73" t="str">
            <v>1.605,07</v>
          </cell>
          <cell r="G73" t="str">
            <v>10.210,12</v>
          </cell>
          <cell r="H73" t="str">
            <v>0,00</v>
          </cell>
          <cell r="I73">
            <v>10210.120000000001</v>
          </cell>
          <cell r="J73">
            <v>-10210.120000000001</v>
          </cell>
        </row>
        <row r="74">
          <cell r="A74" t="str">
            <v>1.1.1.3.01.000695</v>
          </cell>
          <cell r="B74" t="str">
            <v>S.O.S DEMOLIDORA E TERRAPLENAGEM LTDA</v>
          </cell>
          <cell r="C74" t="str">
            <v>413.059,47</v>
          </cell>
          <cell r="D74" t="str">
            <v>324.059,47</v>
          </cell>
          <cell r="E74" t="str">
            <v>0,00</v>
          </cell>
          <cell r="F74" t="str">
            <v>0,00</v>
          </cell>
          <cell r="G74" t="str">
            <v>89.000,00</v>
          </cell>
          <cell r="H74" t="str">
            <v>0,00</v>
          </cell>
          <cell r="I74">
            <v>89000</v>
          </cell>
          <cell r="J74">
            <v>-89000</v>
          </cell>
        </row>
        <row r="75">
          <cell r="A75" t="str">
            <v>1.1.1.3.01.000696</v>
          </cell>
          <cell r="B75" t="str">
            <v>O M O SERVICOS DE TERRAPLENAGEM LTDA - M</v>
          </cell>
          <cell r="C75" t="str">
            <v>11.689,50</v>
          </cell>
          <cell r="D75" t="str">
            <v>10.871,04</v>
          </cell>
          <cell r="E75" t="str">
            <v>0,00</v>
          </cell>
          <cell r="F75" t="str">
            <v>0,00</v>
          </cell>
          <cell r="G75" t="str">
            <v>818,46</v>
          </cell>
          <cell r="H75" t="str">
            <v>0,00</v>
          </cell>
          <cell r="I75">
            <v>818.46</v>
          </cell>
          <cell r="J75">
            <v>-818.46</v>
          </cell>
        </row>
        <row r="76">
          <cell r="A76" t="str">
            <v>1.1.1.3.01.000713</v>
          </cell>
          <cell r="B76" t="str">
            <v>CAJUGRAM - GRANITOS E MARMORES DO BRASIL</v>
          </cell>
          <cell r="C76" t="str">
            <v>3.609.433,84</v>
          </cell>
          <cell r="D76" t="str">
            <v>3.560.922,40</v>
          </cell>
          <cell r="E76" t="str">
            <v>91.264,58</v>
          </cell>
          <cell r="F76" t="str">
            <v>14.612,21</v>
          </cell>
          <cell r="G76" t="str">
            <v>125.163,81</v>
          </cell>
          <cell r="H76" t="str">
            <v>0,00</v>
          </cell>
          <cell r="I76">
            <v>125163.81</v>
          </cell>
          <cell r="J76">
            <v>-125163.81</v>
          </cell>
        </row>
        <row r="77">
          <cell r="A77" t="str">
            <v>1.1.1.3.01.000715</v>
          </cell>
          <cell r="B77" t="str">
            <v>SHOPING DO GRANITO LTDA</v>
          </cell>
          <cell r="C77" t="str">
            <v>2.022.119,01</v>
          </cell>
          <cell r="D77" t="str">
            <v>2.021.538,61</v>
          </cell>
          <cell r="E77" t="str">
            <v>26.632,65</v>
          </cell>
          <cell r="F77" t="str">
            <v>0,00</v>
          </cell>
          <cell r="G77" t="str">
            <v>27.213,05</v>
          </cell>
          <cell r="H77" t="str">
            <v>0,00</v>
          </cell>
          <cell r="I77">
            <v>27213.05</v>
          </cell>
          <cell r="J77">
            <v>-27213.05</v>
          </cell>
        </row>
        <row r="78">
          <cell r="A78" t="str">
            <v>1.1.1.3.01.000730</v>
          </cell>
          <cell r="B78" t="str">
            <v>MAGNITOS MAGNAGO GRANITOS LTDA</v>
          </cell>
          <cell r="C78" t="str">
            <v>5.389.841,19</v>
          </cell>
          <cell r="D78" t="str">
            <v>5.389.841,19</v>
          </cell>
          <cell r="E78" t="str">
            <v>62.500,00</v>
          </cell>
          <cell r="F78" t="str">
            <v>62.500,00</v>
          </cell>
          <cell r="G78" t="str">
            <v>0,00</v>
          </cell>
          <cell r="H78" t="str">
            <v>0,00</v>
          </cell>
          <cell r="I78">
            <v>0</v>
          </cell>
          <cell r="J78">
            <v>0</v>
          </cell>
        </row>
        <row r="79">
          <cell r="A79" t="str">
            <v>1.1.1.3.01.000734</v>
          </cell>
          <cell r="B79" t="str">
            <v>VERMONT MIN. EXP E IMP. LTDA</v>
          </cell>
          <cell r="C79" t="str">
            <v>3.681.134,47</v>
          </cell>
          <cell r="D79" t="str">
            <v>3.499.754,72</v>
          </cell>
          <cell r="E79" t="str">
            <v>351.516,04</v>
          </cell>
          <cell r="F79" t="str">
            <v>111.379,75</v>
          </cell>
          <cell r="G79" t="str">
            <v>421.516,04</v>
          </cell>
          <cell r="H79" t="str">
            <v>0,00</v>
          </cell>
          <cell r="I79">
            <v>421516.04</v>
          </cell>
          <cell r="J79">
            <v>-421516.04</v>
          </cell>
        </row>
        <row r="80">
          <cell r="A80" t="str">
            <v>1.1.1.3.01.000735</v>
          </cell>
          <cell r="B80" t="str">
            <v>CALTINS CALCARIO TOCANTINS LTDA</v>
          </cell>
          <cell r="C80" t="str">
            <v>1.330.910,17</v>
          </cell>
          <cell r="D80" t="str">
            <v>1.282.418,80</v>
          </cell>
          <cell r="E80" t="str">
            <v>0,00</v>
          </cell>
          <cell r="F80" t="str">
            <v>22.800,00</v>
          </cell>
          <cell r="G80" t="str">
            <v>25.691,37</v>
          </cell>
          <cell r="H80" t="str">
            <v>0,00</v>
          </cell>
          <cell r="I80">
            <v>25691.37</v>
          </cell>
          <cell r="J80">
            <v>-25691.37</v>
          </cell>
        </row>
        <row r="81">
          <cell r="A81" t="str">
            <v>1.1.1.3.01.000740</v>
          </cell>
          <cell r="B81" t="str">
            <v>BRASIF S/A EXPORTACAO IMPORTACAO</v>
          </cell>
          <cell r="C81" t="str">
            <v>398.198,91</v>
          </cell>
          <cell r="D81" t="str">
            <v>370.032,25</v>
          </cell>
          <cell r="E81" t="str">
            <v>0,00</v>
          </cell>
          <cell r="F81" t="str">
            <v>28.166,66</v>
          </cell>
          <cell r="G81" t="str">
            <v>0,00</v>
          </cell>
          <cell r="H81" t="str">
            <v>0,00</v>
          </cell>
          <cell r="I81">
            <v>0</v>
          </cell>
          <cell r="J81">
            <v>0</v>
          </cell>
        </row>
        <row r="82">
          <cell r="A82" t="str">
            <v>1.1.1.3.01.000746</v>
          </cell>
          <cell r="B82" t="str">
            <v>CSN CIMENTOS BRASIL S.A.</v>
          </cell>
          <cell r="C82" t="str">
            <v>571.121,18</v>
          </cell>
          <cell r="D82" t="str">
            <v>568.231,28</v>
          </cell>
          <cell r="E82" t="str">
            <v>0,00</v>
          </cell>
          <cell r="F82" t="str">
            <v>0,00</v>
          </cell>
          <cell r="G82" t="str">
            <v>2.889,90</v>
          </cell>
          <cell r="H82" t="str">
            <v>0,00</v>
          </cell>
          <cell r="I82">
            <v>2889.9</v>
          </cell>
          <cell r="J82">
            <v>-2889.9</v>
          </cell>
        </row>
        <row r="83">
          <cell r="A83" t="str">
            <v>1.1.1.3.01.000749</v>
          </cell>
          <cell r="B83" t="str">
            <v>MINERIOS DE BOM JARDIM S.A</v>
          </cell>
          <cell r="C83" t="str">
            <v>251.293,87</v>
          </cell>
          <cell r="D83" t="str">
            <v>248.544,95</v>
          </cell>
          <cell r="E83" t="str">
            <v>0,00</v>
          </cell>
          <cell r="F83" t="str">
            <v>2.748,92</v>
          </cell>
          <cell r="G83" t="str">
            <v>0,00</v>
          </cell>
          <cell r="H83" t="str">
            <v>0,00</v>
          </cell>
          <cell r="I83">
            <v>0</v>
          </cell>
          <cell r="J83">
            <v>0</v>
          </cell>
        </row>
        <row r="84">
          <cell r="A84" t="str">
            <v>1.1.1.3.01.000753</v>
          </cell>
          <cell r="B84" t="str">
            <v>MINERACAO MAROTO LTDA</v>
          </cell>
          <cell r="C84" t="str">
            <v>2.933.378,32</v>
          </cell>
          <cell r="D84" t="str">
            <v>2.933.378,46</v>
          </cell>
          <cell r="E84" t="str">
            <v>0,00</v>
          </cell>
          <cell r="F84" t="str">
            <v>0,00</v>
          </cell>
          <cell r="G84" t="str">
            <v>0,00</v>
          </cell>
          <cell r="H84" t="str">
            <v>0,14</v>
          </cell>
          <cell r="I84">
            <v>-0.14000000000000001</v>
          </cell>
          <cell r="J84">
            <v>0.28000000000000003</v>
          </cell>
        </row>
        <row r="85">
          <cell r="A85" t="str">
            <v>1.1.1.3.01.000762</v>
          </cell>
          <cell r="B85" t="str">
            <v>BLASTER COM. E SERV. EM EXPLOSIVOS LTDA</v>
          </cell>
          <cell r="C85" t="str">
            <v>1.790.882,72</v>
          </cell>
          <cell r="D85" t="str">
            <v>1.781.283,52</v>
          </cell>
          <cell r="E85" t="str">
            <v>9.575,94</v>
          </cell>
          <cell r="F85" t="str">
            <v>9.599,19</v>
          </cell>
          <cell r="G85" t="str">
            <v>9.575,95</v>
          </cell>
          <cell r="H85" t="str">
            <v>0,00</v>
          </cell>
          <cell r="I85">
            <v>9575.9500000000007</v>
          </cell>
          <cell r="J85">
            <v>-9575.9500000000007</v>
          </cell>
        </row>
        <row r="86">
          <cell r="A86" t="str">
            <v>1.1.1.3.01.000766</v>
          </cell>
          <cell r="B86" t="str">
            <v>GIALO MINERACAO LTDA</v>
          </cell>
          <cell r="C86" t="str">
            <v>2.787.391,05</v>
          </cell>
          <cell r="D86" t="str">
            <v>2.618.339,19</v>
          </cell>
          <cell r="E86" t="str">
            <v>0,00</v>
          </cell>
          <cell r="F86" t="str">
            <v>0,00</v>
          </cell>
          <cell r="G86" t="str">
            <v>169.051,86</v>
          </cell>
          <cell r="H86" t="str">
            <v>0,00</v>
          </cell>
          <cell r="I86">
            <v>169051.86</v>
          </cell>
          <cell r="J86">
            <v>-169051.86</v>
          </cell>
        </row>
        <row r="87">
          <cell r="A87" t="str">
            <v>1.1.1.3.01.000774</v>
          </cell>
          <cell r="B87" t="str">
            <v>GRANSAL GRANITOS ARACRUZ LTDA</v>
          </cell>
          <cell r="C87" t="str">
            <v>766.324,64</v>
          </cell>
          <cell r="D87" t="str">
            <v>754.352,34</v>
          </cell>
          <cell r="E87" t="str">
            <v>0,00</v>
          </cell>
          <cell r="F87" t="str">
            <v>6.501,85</v>
          </cell>
          <cell r="G87" t="str">
            <v>5.470,45</v>
          </cell>
          <cell r="H87" t="str">
            <v>0,00</v>
          </cell>
          <cell r="I87">
            <v>5470.45</v>
          </cell>
          <cell r="J87">
            <v>-5470.45</v>
          </cell>
        </row>
        <row r="88">
          <cell r="A88" t="str">
            <v>1.1.1.3.01.000775</v>
          </cell>
          <cell r="B88" t="str">
            <v>R &amp; R TRANSPORTES E SERVICOS LTDA</v>
          </cell>
          <cell r="C88" t="str">
            <v>165.276,30</v>
          </cell>
          <cell r="D88" t="str">
            <v>161.952,83</v>
          </cell>
          <cell r="E88" t="str">
            <v>0,00</v>
          </cell>
          <cell r="F88" t="str">
            <v>1.661,74</v>
          </cell>
          <cell r="G88" t="str">
            <v>1.661,73</v>
          </cell>
          <cell r="H88" t="str">
            <v>0,00</v>
          </cell>
          <cell r="I88">
            <v>1661.73</v>
          </cell>
          <cell r="J88">
            <v>-1661.73</v>
          </cell>
        </row>
        <row r="89">
          <cell r="A89" t="str">
            <v>1.1.1.3.01.000777</v>
          </cell>
          <cell r="B89" t="str">
            <v>ALTERNATIVA SINALIZACAO VIARIA LTDA</v>
          </cell>
          <cell r="C89" t="str">
            <v>49.345,20</v>
          </cell>
          <cell r="D89" t="str">
            <v>48.801,60</v>
          </cell>
          <cell r="E89" t="str">
            <v>0,00</v>
          </cell>
          <cell r="F89" t="str">
            <v>0,00</v>
          </cell>
          <cell r="G89" t="str">
            <v>543,60</v>
          </cell>
          <cell r="H89" t="str">
            <v>0,00</v>
          </cell>
          <cell r="I89">
            <v>543.6</v>
          </cell>
          <cell r="J89">
            <v>-543.6</v>
          </cell>
        </row>
        <row r="90">
          <cell r="A90" t="str">
            <v>1.1.1.3.01.000786</v>
          </cell>
          <cell r="B90" t="str">
            <v>EMTTL TERRAPLENAGEM E TRASNPORTES DE MAQ</v>
          </cell>
          <cell r="C90" t="str">
            <v>111.655,05</v>
          </cell>
          <cell r="D90" t="str">
            <v>110.219,11</v>
          </cell>
          <cell r="E90" t="str">
            <v>0,00</v>
          </cell>
          <cell r="F90" t="str">
            <v>0,00</v>
          </cell>
          <cell r="G90" t="str">
            <v>1.435,94</v>
          </cell>
          <cell r="H90" t="str">
            <v>0,00</v>
          </cell>
          <cell r="I90">
            <v>1435.94</v>
          </cell>
          <cell r="J90">
            <v>-1435.94</v>
          </cell>
        </row>
        <row r="91">
          <cell r="A91" t="str">
            <v>1.1.1.3.01.000789</v>
          </cell>
          <cell r="B91" t="str">
            <v>INDUSTRIA DE MARMORE ITALVA LTDA</v>
          </cell>
          <cell r="C91" t="str">
            <v>948.556,29</v>
          </cell>
          <cell r="D91" t="str">
            <v>929.182,64</v>
          </cell>
          <cell r="E91" t="str">
            <v>1.546,51</v>
          </cell>
          <cell r="F91" t="str">
            <v>9.013,28</v>
          </cell>
          <cell r="G91" t="str">
            <v>11.906,88</v>
          </cell>
          <cell r="H91" t="str">
            <v>0,00</v>
          </cell>
          <cell r="I91">
            <v>11906.88</v>
          </cell>
          <cell r="J91">
            <v>-11906.88</v>
          </cell>
        </row>
        <row r="92">
          <cell r="A92" t="str">
            <v>1.1.1.3.01.000792</v>
          </cell>
          <cell r="B92" t="str">
            <v>GRANICAP GRANITOS CAPIXABA LTDA</v>
          </cell>
          <cell r="C92" t="str">
            <v>1.947.774,69</v>
          </cell>
          <cell r="D92" t="str">
            <v>1.894.998,13</v>
          </cell>
          <cell r="E92" t="str">
            <v>5.827,91</v>
          </cell>
          <cell r="F92" t="str">
            <v>14.579,74</v>
          </cell>
          <cell r="G92" t="str">
            <v>44.024,73</v>
          </cell>
          <cell r="H92" t="str">
            <v>0,00</v>
          </cell>
          <cell r="I92">
            <v>44024.73</v>
          </cell>
          <cell r="J92">
            <v>-44024.73</v>
          </cell>
        </row>
        <row r="93">
          <cell r="A93" t="str">
            <v>1.1.1.3.01.000793</v>
          </cell>
          <cell r="B93" t="str">
            <v>MINAPI MINERACAO DE BRITA LTDA</v>
          </cell>
          <cell r="C93" t="str">
            <v>455.691,64</v>
          </cell>
          <cell r="D93" t="str">
            <v>436.227,81</v>
          </cell>
          <cell r="E93" t="str">
            <v>0,00</v>
          </cell>
          <cell r="F93" t="str">
            <v>963,83</v>
          </cell>
          <cell r="G93" t="str">
            <v>18.500,00</v>
          </cell>
          <cell r="H93" t="str">
            <v>0,00</v>
          </cell>
          <cell r="I93">
            <v>18500</v>
          </cell>
          <cell r="J93">
            <v>-18500</v>
          </cell>
        </row>
        <row r="94">
          <cell r="A94" t="str">
            <v>1.1.1.3.01.000837</v>
          </cell>
          <cell r="B94" t="str">
            <v>MINERACAO CAFE LTDA</v>
          </cell>
          <cell r="C94" t="str">
            <v>975.860,17</v>
          </cell>
          <cell r="D94" t="str">
            <v>966.171,27</v>
          </cell>
          <cell r="E94" t="str">
            <v>2.188,02</v>
          </cell>
          <cell r="F94" t="str">
            <v>4.844,45</v>
          </cell>
          <cell r="G94" t="str">
            <v>7.032,47</v>
          </cell>
          <cell r="H94" t="str">
            <v>0,00</v>
          </cell>
          <cell r="I94">
            <v>7032.47</v>
          </cell>
          <cell r="J94">
            <v>-7032.47</v>
          </cell>
        </row>
        <row r="95">
          <cell r="A95" t="str">
            <v>1.1.1.3.01.000847</v>
          </cell>
          <cell r="B95" t="str">
            <v>PARANA GRANITOS LTDA</v>
          </cell>
          <cell r="C95" t="str">
            <v>1.442.437,31</v>
          </cell>
          <cell r="D95" t="str">
            <v>1.213.252,40</v>
          </cell>
          <cell r="E95" t="str">
            <v>0,00</v>
          </cell>
          <cell r="F95" t="str">
            <v>22.716,15</v>
          </cell>
          <cell r="G95" t="str">
            <v>206.468,76</v>
          </cell>
          <cell r="H95" t="str">
            <v>0,00</v>
          </cell>
          <cell r="I95">
            <v>206468.76</v>
          </cell>
          <cell r="J95">
            <v>-206468.76</v>
          </cell>
        </row>
        <row r="96">
          <cell r="A96" t="str">
            <v>1.1.1.3.01.000848</v>
          </cell>
          <cell r="B96" t="str">
            <v>MIN. MONTEIRO COUTINHO COM IMP E EXP LTD</v>
          </cell>
          <cell r="C96" t="str">
            <v>534.985,71</v>
          </cell>
          <cell r="D96" t="str">
            <v>487.985,71</v>
          </cell>
          <cell r="E96" t="str">
            <v>0,00</v>
          </cell>
          <cell r="F96" t="str">
            <v>0,00</v>
          </cell>
          <cell r="G96" t="str">
            <v>47.000,00</v>
          </cell>
          <cell r="H96" t="str">
            <v>0,00</v>
          </cell>
          <cell r="I96">
            <v>47000</v>
          </cell>
          <cell r="J96">
            <v>-47000</v>
          </cell>
        </row>
        <row r="97">
          <cell r="A97" t="str">
            <v>1.1.1.3.01.000849</v>
          </cell>
          <cell r="B97" t="str">
            <v>BRITA MIX EXT. E BENEF. DE PEDRAS LTDA</v>
          </cell>
          <cell r="C97" t="str">
            <v>678.849,76</v>
          </cell>
          <cell r="D97" t="str">
            <v>561.849,76</v>
          </cell>
          <cell r="E97" t="str">
            <v>0,00</v>
          </cell>
          <cell r="F97" t="str">
            <v>19.500,00</v>
          </cell>
          <cell r="G97" t="str">
            <v>97.500,00</v>
          </cell>
          <cell r="H97" t="str">
            <v>0,00</v>
          </cell>
          <cell r="I97">
            <v>97500</v>
          </cell>
          <cell r="J97">
            <v>-97500</v>
          </cell>
        </row>
        <row r="98">
          <cell r="A98" t="str">
            <v>1.1.1.3.01.000856</v>
          </cell>
          <cell r="B98" t="str">
            <v>TERRAFACIL SERVICOS DE TERRAPLENAGEM LTD</v>
          </cell>
          <cell r="C98" t="str">
            <v>905.245,88</v>
          </cell>
          <cell r="D98" t="str">
            <v>863.789,71</v>
          </cell>
          <cell r="E98" t="str">
            <v>0,00</v>
          </cell>
          <cell r="F98" t="str">
            <v>12.176,17</v>
          </cell>
          <cell r="G98" t="str">
            <v>29.280,00</v>
          </cell>
          <cell r="H98" t="str">
            <v>0,00</v>
          </cell>
          <cell r="I98">
            <v>29280</v>
          </cell>
          <cell r="J98">
            <v>-29280</v>
          </cell>
        </row>
        <row r="99">
          <cell r="A99" t="str">
            <v>1.1.1.3.01.000859</v>
          </cell>
          <cell r="B99" t="str">
            <v>MINERACAO SAO SEBASTIAO LTDA</v>
          </cell>
          <cell r="C99" t="str">
            <v>816.619,00</v>
          </cell>
          <cell r="D99" t="str">
            <v>817.622,20</v>
          </cell>
          <cell r="E99" t="str">
            <v>0,00</v>
          </cell>
          <cell r="F99" t="str">
            <v>0,00</v>
          </cell>
          <cell r="G99" t="str">
            <v>0,00</v>
          </cell>
          <cell r="H99" t="str">
            <v>1.003,20</v>
          </cell>
          <cell r="I99">
            <v>-1003.2</v>
          </cell>
          <cell r="J99">
            <v>2006.4</v>
          </cell>
        </row>
        <row r="100">
          <cell r="A100" t="str">
            <v>1.1.1.3.01.000860</v>
          </cell>
          <cell r="B100" t="str">
            <v>PEDREIRAS DO BRASIL S.A</v>
          </cell>
          <cell r="C100" t="str">
            <v>110.699,62</v>
          </cell>
          <cell r="D100" t="str">
            <v>101.923,31</v>
          </cell>
          <cell r="E100" t="str">
            <v>8.142,92</v>
          </cell>
          <cell r="F100" t="str">
            <v>2.870,31</v>
          </cell>
          <cell r="G100" t="str">
            <v>14.048,92</v>
          </cell>
          <cell r="H100" t="str">
            <v>0,00</v>
          </cell>
          <cell r="I100">
            <v>14048.92</v>
          </cell>
          <cell r="J100">
            <v>-14048.92</v>
          </cell>
        </row>
        <row r="101">
          <cell r="A101" t="str">
            <v>1.1.1.3.01.000886</v>
          </cell>
          <cell r="B101" t="str">
            <v>GRANITOS ZAMBALDI EIRELI</v>
          </cell>
          <cell r="C101" t="str">
            <v>270.591,22</v>
          </cell>
          <cell r="D101" t="str">
            <v>118.591,22</v>
          </cell>
          <cell r="E101" t="str">
            <v>0,00</v>
          </cell>
          <cell r="F101" t="str">
            <v>19.000,00</v>
          </cell>
          <cell r="G101" t="str">
            <v>133.000,00</v>
          </cell>
          <cell r="H101" t="str">
            <v>0,00</v>
          </cell>
          <cell r="I101">
            <v>133000</v>
          </cell>
          <cell r="J101">
            <v>-133000</v>
          </cell>
        </row>
        <row r="102">
          <cell r="A102" t="str">
            <v>1.1.1.3.01.000908</v>
          </cell>
          <cell r="B102" t="str">
            <v>VERTGESSO MINERACAO LTDA</v>
          </cell>
          <cell r="C102" t="str">
            <v>79.873,77</v>
          </cell>
          <cell r="D102" t="str">
            <v>58.297,86</v>
          </cell>
          <cell r="E102" t="str">
            <v>0,00</v>
          </cell>
          <cell r="F102" t="str">
            <v>11.518,20</v>
          </cell>
          <cell r="G102" t="str">
            <v>10.057,71</v>
          </cell>
          <cell r="H102" t="str">
            <v>0,00</v>
          </cell>
          <cell r="I102">
            <v>10057.709999999999</v>
          </cell>
          <cell r="J102">
            <v>-10057.709999999999</v>
          </cell>
        </row>
        <row r="103">
          <cell r="A103" t="str">
            <v>1.1.1.3.01.000920</v>
          </cell>
          <cell r="B103" t="str">
            <v>MINERACAO CERRO NEGRO LTDA</v>
          </cell>
          <cell r="C103" t="str">
            <v>97.840,70</v>
          </cell>
          <cell r="D103" t="str">
            <v>97.307,17</v>
          </cell>
          <cell r="E103" t="str">
            <v>6.000,00</v>
          </cell>
          <cell r="F103" t="str">
            <v>533,53</v>
          </cell>
          <cell r="G103" t="str">
            <v>6.000,00</v>
          </cell>
          <cell r="H103" t="str">
            <v>0,00</v>
          </cell>
          <cell r="I103">
            <v>6000</v>
          </cell>
          <cell r="J103">
            <v>-6000</v>
          </cell>
        </row>
        <row r="104">
          <cell r="A104" t="str">
            <v>1.1.1.3.01.000923</v>
          </cell>
          <cell r="B104" t="str">
            <v>FURACON SISTEMAS DE CORTES E PERFURACOES</v>
          </cell>
          <cell r="C104" t="str">
            <v>65.525,88</v>
          </cell>
          <cell r="D104" t="str">
            <v>60.541,81</v>
          </cell>
          <cell r="E104" t="str">
            <v>0,00</v>
          </cell>
          <cell r="F104" t="str">
            <v>2.492,04</v>
          </cell>
          <cell r="G104" t="str">
            <v>2.492,03</v>
          </cell>
          <cell r="H104" t="str">
            <v>0,00</v>
          </cell>
          <cell r="I104">
            <v>2492.0300000000002</v>
          </cell>
          <cell r="J104">
            <v>-2492.0300000000002</v>
          </cell>
        </row>
        <row r="105">
          <cell r="A105" t="str">
            <v>1.1.1.3.01.000934</v>
          </cell>
          <cell r="B105" t="str">
            <v>BRITENG BRITAGEM E CONSTRUCOES LTDA</v>
          </cell>
          <cell r="C105" t="str">
            <v>287.274,16</v>
          </cell>
          <cell r="D105" t="str">
            <v>287.274,16</v>
          </cell>
          <cell r="E105" t="str">
            <v>84.223,87</v>
          </cell>
          <cell r="F105" t="str">
            <v>20.112,50</v>
          </cell>
          <cell r="G105" t="str">
            <v>64.111,37</v>
          </cell>
          <cell r="H105" t="str">
            <v>0,00</v>
          </cell>
          <cell r="I105">
            <v>64111.37</v>
          </cell>
          <cell r="J105">
            <v>-64111.37</v>
          </cell>
        </row>
        <row r="106">
          <cell r="A106" t="str">
            <v>1.1.1.3.01.000945</v>
          </cell>
          <cell r="B106" t="str">
            <v>VULCANO EXPORT MIN EXPORT. E IMPORT LTDA</v>
          </cell>
          <cell r="C106" t="str">
            <v>540.877,18</v>
          </cell>
          <cell r="D106" t="str">
            <v>540.877,18</v>
          </cell>
          <cell r="E106" t="str">
            <v>670.000,00</v>
          </cell>
          <cell r="F106" t="str">
            <v>0,00</v>
          </cell>
          <cell r="G106" t="str">
            <v>670.000,00</v>
          </cell>
          <cell r="H106" t="str">
            <v>0,00</v>
          </cell>
          <cell r="I106">
            <v>670000</v>
          </cell>
          <cell r="J106">
            <v>-670000</v>
          </cell>
        </row>
        <row r="107">
          <cell r="A107" t="str">
            <v>1.1.1.3.01.000969</v>
          </cell>
          <cell r="B107" t="str">
            <v>THOR GRANITOS E MARMORES LTDA</v>
          </cell>
          <cell r="C107" t="str">
            <v>8.743.497,11</v>
          </cell>
          <cell r="D107" t="str">
            <v>5.141.161,10</v>
          </cell>
          <cell r="E107" t="str">
            <v>728,70</v>
          </cell>
          <cell r="F107" t="str">
            <v>229.932,31</v>
          </cell>
          <cell r="G107" t="str">
            <v>3.373.132,40</v>
          </cell>
          <cell r="H107" t="str">
            <v>0,00</v>
          </cell>
          <cell r="I107">
            <v>3373132.4</v>
          </cell>
          <cell r="J107">
            <v>-3373132.4</v>
          </cell>
        </row>
        <row r="108">
          <cell r="A108" t="str">
            <v>1.1.1.3.01.000975</v>
          </cell>
          <cell r="B108" t="str">
            <v>OLECRAM BRITAGEM LTDA</v>
          </cell>
          <cell r="C108" t="str">
            <v>372.023,01</v>
          </cell>
          <cell r="D108" t="str">
            <v>369.637,41</v>
          </cell>
          <cell r="E108" t="str">
            <v>1.340,40</v>
          </cell>
          <cell r="F108" t="str">
            <v>0,00</v>
          </cell>
          <cell r="G108" t="str">
            <v>3.726,00</v>
          </cell>
          <cell r="H108" t="str">
            <v>0,00</v>
          </cell>
          <cell r="I108">
            <v>3726</v>
          </cell>
          <cell r="J108">
            <v>-3726</v>
          </cell>
        </row>
        <row r="109">
          <cell r="A109" t="str">
            <v>1.1.1.3.01.000980</v>
          </cell>
          <cell r="B109" t="str">
            <v>CONSTRUTORA GETEL LTDA</v>
          </cell>
          <cell r="C109" t="str">
            <v>85.000,00</v>
          </cell>
          <cell r="D109" t="str">
            <v>84.552,17</v>
          </cell>
          <cell r="E109" t="str">
            <v>0,00</v>
          </cell>
          <cell r="F109" t="str">
            <v>0,00</v>
          </cell>
          <cell r="G109" t="str">
            <v>447,83</v>
          </cell>
          <cell r="H109" t="str">
            <v>0,00</v>
          </cell>
          <cell r="I109">
            <v>447.83</v>
          </cell>
          <cell r="J109">
            <v>-447.83</v>
          </cell>
        </row>
        <row r="110">
          <cell r="A110" t="str">
            <v>1.1.1.3.01.000981</v>
          </cell>
          <cell r="B110" t="str">
            <v>CONSTRUTORA GETEL LTDA</v>
          </cell>
          <cell r="C110" t="str">
            <v>85.759,09</v>
          </cell>
          <cell r="D110" t="str">
            <v>85.311,26</v>
          </cell>
          <cell r="E110" t="str">
            <v>0,00</v>
          </cell>
          <cell r="F110" t="str">
            <v>0,00</v>
          </cell>
          <cell r="G110" t="str">
            <v>447,83</v>
          </cell>
          <cell r="H110" t="str">
            <v>0,00</v>
          </cell>
          <cell r="I110">
            <v>447.83</v>
          </cell>
          <cell r="J110">
            <v>-447.83</v>
          </cell>
        </row>
        <row r="111">
          <cell r="A111" t="str">
            <v>1.1.1.3.01.000988</v>
          </cell>
          <cell r="B111" t="str">
            <v>ITAQUAREIA-IND EXTRATIVA DE MINERIOS LT</v>
          </cell>
          <cell r="C111" t="str">
            <v>187.374,70</v>
          </cell>
          <cell r="D111" t="str">
            <v>187.374,69</v>
          </cell>
          <cell r="E111" t="str">
            <v>0,00</v>
          </cell>
          <cell r="F111" t="str">
            <v>0,00</v>
          </cell>
          <cell r="G111" t="str">
            <v>0,01</v>
          </cell>
          <cell r="H111" t="str">
            <v>0,00</v>
          </cell>
          <cell r="I111">
            <v>0.01</v>
          </cell>
          <cell r="J111">
            <v>-0.01</v>
          </cell>
        </row>
        <row r="112">
          <cell r="A112" t="str">
            <v>1.1.1.3.01.000989</v>
          </cell>
          <cell r="B112" t="str">
            <v>IRMAOS CIOCCARI E CIA LTDA</v>
          </cell>
          <cell r="C112" t="str">
            <v>243.169,78</v>
          </cell>
          <cell r="D112" t="str">
            <v>220.410,12</v>
          </cell>
          <cell r="E112" t="str">
            <v>0,00</v>
          </cell>
          <cell r="F112" t="str">
            <v>7.586,55</v>
          </cell>
          <cell r="G112" t="str">
            <v>15.173,11</v>
          </cell>
          <cell r="H112" t="str">
            <v>0,00</v>
          </cell>
          <cell r="I112">
            <v>15173.11</v>
          </cell>
          <cell r="J112">
            <v>-15173.11</v>
          </cell>
        </row>
        <row r="113">
          <cell r="A113" t="str">
            <v>1.1.1.3.01.001013</v>
          </cell>
          <cell r="B113" t="str">
            <v>INTERNACIONAL MINERACAO LTDA</v>
          </cell>
          <cell r="C113" t="str">
            <v>39.810,00</v>
          </cell>
          <cell r="D113" t="str">
            <v>39.810,00</v>
          </cell>
          <cell r="E113" t="str">
            <v>2.463,33</v>
          </cell>
          <cell r="F113" t="str">
            <v>2.463,33</v>
          </cell>
          <cell r="G113" t="str">
            <v>0,00</v>
          </cell>
          <cell r="H113" t="str">
            <v>0,00</v>
          </cell>
          <cell r="I113">
            <v>0</v>
          </cell>
          <cell r="J113">
            <v>0</v>
          </cell>
        </row>
        <row r="114">
          <cell r="A114" t="str">
            <v>1.1.1.3.01.001017</v>
          </cell>
          <cell r="B114" t="str">
            <v>CAMEL EMPREENDIMENTOS E CONSTRUCOES LTDA</v>
          </cell>
          <cell r="C114" t="str">
            <v>260.866,87</v>
          </cell>
          <cell r="D114" t="str">
            <v>256.850,15</v>
          </cell>
          <cell r="E114" t="str">
            <v>0,00</v>
          </cell>
          <cell r="F114" t="str">
            <v>0,00</v>
          </cell>
          <cell r="G114" t="str">
            <v>4.016,72</v>
          </cell>
          <cell r="H114" t="str">
            <v>0,00</v>
          </cell>
          <cell r="I114">
            <v>4016.72</v>
          </cell>
          <cell r="J114">
            <v>-4016.72</v>
          </cell>
        </row>
        <row r="115">
          <cell r="A115" t="str">
            <v>1.1.1.3.01.001035</v>
          </cell>
          <cell r="B115" t="str">
            <v>CONSTRUTORA SANCHES TRIPOLONI LTDA</v>
          </cell>
          <cell r="C115" t="str">
            <v>2.183,82</v>
          </cell>
          <cell r="D115" t="str">
            <v>3.415,91</v>
          </cell>
          <cell r="E115" t="str">
            <v>0,00</v>
          </cell>
          <cell r="F115" t="str">
            <v>0,00</v>
          </cell>
          <cell r="G115" t="str">
            <v>0,00</v>
          </cell>
          <cell r="H115" t="str">
            <v>1.232,09</v>
          </cell>
          <cell r="I115">
            <v>-1232.0899999999999</v>
          </cell>
          <cell r="J115">
            <v>2464.1799999999998</v>
          </cell>
        </row>
        <row r="116">
          <cell r="A116" t="str">
            <v>1.1.1.3.01.001049</v>
          </cell>
          <cell r="B116" t="str">
            <v>VIX LOGISTICA S/A</v>
          </cell>
          <cell r="C116" t="str">
            <v>1.650.136,52</v>
          </cell>
          <cell r="D116" t="str">
            <v>1.627.990,38</v>
          </cell>
          <cell r="E116" t="str">
            <v>0,00</v>
          </cell>
          <cell r="F116" t="str">
            <v>0,00</v>
          </cell>
          <cell r="G116" t="str">
            <v>22.146,14</v>
          </cell>
          <cell r="H116" t="str">
            <v>0,00</v>
          </cell>
          <cell r="I116">
            <v>22146.14</v>
          </cell>
          <cell r="J116">
            <v>-22146.14</v>
          </cell>
        </row>
        <row r="117">
          <cell r="A117" t="str">
            <v>1.1.1.3.01.001052</v>
          </cell>
          <cell r="B117" t="str">
            <v>TRANSGP TRANSPORTES E TERRAPLENAGENS LTD</v>
          </cell>
          <cell r="C117" t="str">
            <v>42.942,53</v>
          </cell>
          <cell r="D117" t="str">
            <v>28.010,16</v>
          </cell>
          <cell r="E117" t="str">
            <v>0,00</v>
          </cell>
          <cell r="F117" t="str">
            <v>3.733,10</v>
          </cell>
          <cell r="G117" t="str">
            <v>11.199,27</v>
          </cell>
          <cell r="H117" t="str">
            <v>0,00</v>
          </cell>
          <cell r="I117">
            <v>11199.27</v>
          </cell>
          <cell r="J117">
            <v>-11199.27</v>
          </cell>
        </row>
        <row r="118">
          <cell r="A118" t="str">
            <v>1.1.1.3.01.001058</v>
          </cell>
          <cell r="B118" t="str">
            <v>MARBRASA S.A. NORTE MINERADORA LTDA</v>
          </cell>
          <cell r="C118" t="str">
            <v>1.451.693,68</v>
          </cell>
          <cell r="D118" t="str">
            <v>1.448.340,42</v>
          </cell>
          <cell r="E118" t="str">
            <v>15.087,89</v>
          </cell>
          <cell r="F118" t="str">
            <v>3.353,26</v>
          </cell>
          <cell r="G118" t="str">
            <v>15.087,89</v>
          </cell>
          <cell r="H118" t="str">
            <v>0,00</v>
          </cell>
          <cell r="I118">
            <v>15087.89</v>
          </cell>
          <cell r="J118">
            <v>-15087.89</v>
          </cell>
        </row>
        <row r="119">
          <cell r="A119" t="str">
            <v>1.1.1.3.01.001062</v>
          </cell>
          <cell r="B119" t="str">
            <v>M PEDROSO COM DE MAQUINAS LTDA</v>
          </cell>
          <cell r="C119" t="str">
            <v>379.943,54</v>
          </cell>
          <cell r="D119" t="str">
            <v>375.188,43</v>
          </cell>
          <cell r="E119" t="str">
            <v>0,00</v>
          </cell>
          <cell r="F119" t="str">
            <v>2.377,56</v>
          </cell>
          <cell r="G119" t="str">
            <v>2.377,55</v>
          </cell>
          <cell r="H119" t="str">
            <v>0,00</v>
          </cell>
          <cell r="I119">
            <v>2377.5500000000002</v>
          </cell>
          <cell r="J119">
            <v>-2377.5500000000002</v>
          </cell>
        </row>
        <row r="120">
          <cell r="A120" t="str">
            <v>1.1.1.3.01.001067</v>
          </cell>
          <cell r="B120" t="str">
            <v>GENIVALDO ALVES DE SOUZA - ME</v>
          </cell>
          <cell r="C120" t="str">
            <v>143.866,50</v>
          </cell>
          <cell r="D120" t="str">
            <v>138.866,50</v>
          </cell>
          <cell r="E120" t="str">
            <v>0,00</v>
          </cell>
          <cell r="F120" t="str">
            <v>0,00</v>
          </cell>
          <cell r="G120" t="str">
            <v>5.000,00</v>
          </cell>
          <cell r="H120" t="str">
            <v>0,00</v>
          </cell>
          <cell r="I120">
            <v>5000</v>
          </cell>
          <cell r="J120">
            <v>-5000</v>
          </cell>
        </row>
        <row r="121">
          <cell r="A121" t="str">
            <v>1.1.1.3.01.001068</v>
          </cell>
          <cell r="B121" t="str">
            <v>TUPIM MINERACAO LTDA - ME</v>
          </cell>
          <cell r="C121" t="str">
            <v>554.622,05</v>
          </cell>
          <cell r="D121" t="str">
            <v>554.546,44</v>
          </cell>
          <cell r="E121" t="str">
            <v>0,00</v>
          </cell>
          <cell r="F121" t="str">
            <v>0,00</v>
          </cell>
          <cell r="G121" t="str">
            <v>75,61</v>
          </cell>
          <cell r="H121" t="str">
            <v>0,00</v>
          </cell>
          <cell r="I121">
            <v>75.61</v>
          </cell>
          <cell r="J121">
            <v>-75.61</v>
          </cell>
        </row>
        <row r="122">
          <cell r="A122" t="str">
            <v>1.1.1.3.01.001076</v>
          </cell>
          <cell r="B122" t="str">
            <v>MECANICA JVF LTDA</v>
          </cell>
          <cell r="C122" t="str">
            <v>35.423,44</v>
          </cell>
          <cell r="D122" t="str">
            <v>34.056,35</v>
          </cell>
          <cell r="E122" t="str">
            <v>0,00</v>
          </cell>
          <cell r="F122" t="str">
            <v>0,00</v>
          </cell>
          <cell r="G122" t="str">
            <v>1.367,09</v>
          </cell>
          <cell r="H122" t="str">
            <v>0,00</v>
          </cell>
          <cell r="I122">
            <v>1367.09</v>
          </cell>
          <cell r="J122">
            <v>-1367.09</v>
          </cell>
        </row>
        <row r="123">
          <cell r="A123" t="str">
            <v>1.1.1.3.01.001093</v>
          </cell>
          <cell r="B123" t="str">
            <v>MRT GRANITOS LTDA</v>
          </cell>
          <cell r="C123" t="str">
            <v>2.184.425,60</v>
          </cell>
          <cell r="D123" t="str">
            <v>2.179.897,92</v>
          </cell>
          <cell r="E123" t="str">
            <v>5.870,35</v>
          </cell>
          <cell r="F123" t="str">
            <v>3.677,36</v>
          </cell>
          <cell r="G123" t="str">
            <v>6.720,67</v>
          </cell>
          <cell r="H123" t="str">
            <v>0,00</v>
          </cell>
          <cell r="I123">
            <v>6720.67</v>
          </cell>
          <cell r="J123">
            <v>-6720.67</v>
          </cell>
        </row>
        <row r="124">
          <cell r="A124" t="str">
            <v>1.1.1.3.01.001106</v>
          </cell>
          <cell r="B124" t="str">
            <v>PEDREIRA ORATORIOS LTDA EPP</v>
          </cell>
          <cell r="C124" t="str">
            <v>199.159,71</v>
          </cell>
          <cell r="D124" t="str">
            <v>194.159,71</v>
          </cell>
          <cell r="E124" t="str">
            <v>0,00</v>
          </cell>
          <cell r="F124" t="str">
            <v>0,00</v>
          </cell>
          <cell r="G124" t="str">
            <v>5.000,00</v>
          </cell>
          <cell r="H124" t="str">
            <v>0,00</v>
          </cell>
          <cell r="I124">
            <v>5000</v>
          </cell>
          <cell r="J124">
            <v>-5000</v>
          </cell>
        </row>
        <row r="125">
          <cell r="A125" t="str">
            <v>1.1.1.3.01.001111</v>
          </cell>
          <cell r="B125" t="str">
            <v>ELI AMERICO DE PAULA TERRAPLENAGEM - ME</v>
          </cell>
          <cell r="C125" t="str">
            <v>65.000,00</v>
          </cell>
          <cell r="D125" t="str">
            <v>42.250,00</v>
          </cell>
          <cell r="E125" t="str">
            <v>0,00</v>
          </cell>
          <cell r="F125" t="str">
            <v>4.550,00</v>
          </cell>
          <cell r="G125" t="str">
            <v>18.200,00</v>
          </cell>
          <cell r="H125" t="str">
            <v>0,00</v>
          </cell>
          <cell r="I125">
            <v>18200</v>
          </cell>
          <cell r="J125">
            <v>-18200</v>
          </cell>
        </row>
        <row r="126">
          <cell r="A126" t="str">
            <v>1.1.1.3.01.001116</v>
          </cell>
          <cell r="B126" t="str">
            <v>GRAMIC GRANITOS E MARMORES LTDA</v>
          </cell>
          <cell r="C126" t="str">
            <v>110.000,00</v>
          </cell>
          <cell r="D126" t="str">
            <v>108.000,00</v>
          </cell>
          <cell r="E126" t="str">
            <v>0,00</v>
          </cell>
          <cell r="F126" t="str">
            <v>0,00</v>
          </cell>
          <cell r="G126" t="str">
            <v>2.000,00</v>
          </cell>
          <cell r="H126" t="str">
            <v>0,00</v>
          </cell>
          <cell r="I126">
            <v>2000</v>
          </cell>
          <cell r="J126">
            <v>-2000</v>
          </cell>
        </row>
        <row r="127">
          <cell r="A127" t="str">
            <v>1.1.1.3.01.001118</v>
          </cell>
          <cell r="B127" t="str">
            <v>IMETAME MONTE SERRAT MINERACAO LTDA</v>
          </cell>
          <cell r="C127" t="str">
            <v>2.544.141,94</v>
          </cell>
          <cell r="D127" t="str">
            <v>2.540.075,31</v>
          </cell>
          <cell r="E127" t="str">
            <v>0,00</v>
          </cell>
          <cell r="F127" t="str">
            <v>4.066,63</v>
          </cell>
          <cell r="G127" t="str">
            <v>0,00</v>
          </cell>
          <cell r="H127" t="str">
            <v>0,00</v>
          </cell>
          <cell r="I127">
            <v>0</v>
          </cell>
          <cell r="J127">
            <v>0</v>
          </cell>
        </row>
        <row r="128">
          <cell r="A128" t="str">
            <v>1.1.1.3.01.001119</v>
          </cell>
          <cell r="B128" t="str">
            <v>FM MINERACAO LTDA ME</v>
          </cell>
          <cell r="C128" t="str">
            <v>265.294,73</v>
          </cell>
          <cell r="D128" t="str">
            <v>185.294,73</v>
          </cell>
          <cell r="E128" t="str">
            <v>0,00</v>
          </cell>
          <cell r="F128" t="str">
            <v>10.000,00</v>
          </cell>
          <cell r="G128" t="str">
            <v>70.000,00</v>
          </cell>
          <cell r="H128" t="str">
            <v>0,00</v>
          </cell>
          <cell r="I128">
            <v>70000</v>
          </cell>
          <cell r="J128">
            <v>-70000</v>
          </cell>
        </row>
        <row r="129">
          <cell r="A129" t="str">
            <v>1.1.1.3.01.001121</v>
          </cell>
          <cell r="B129" t="str">
            <v>ALANO TERRAPLENAGEM E LOC DE MAQ LTDA</v>
          </cell>
          <cell r="C129" t="str">
            <v>278.532,08</v>
          </cell>
          <cell r="D129" t="str">
            <v>277.724,84</v>
          </cell>
          <cell r="E129" t="str">
            <v>0,00</v>
          </cell>
          <cell r="F129" t="str">
            <v>0,00</v>
          </cell>
          <cell r="G129" t="str">
            <v>807,24</v>
          </cell>
          <cell r="H129" t="str">
            <v>0,00</v>
          </cell>
          <cell r="I129">
            <v>807.24</v>
          </cell>
          <cell r="J129">
            <v>-807.24</v>
          </cell>
        </row>
        <row r="130">
          <cell r="A130" t="str">
            <v>1.1.1.3.01.001124</v>
          </cell>
          <cell r="B130" t="str">
            <v>R.E.A MINERACAO LTDA</v>
          </cell>
          <cell r="C130" t="str">
            <v>165.884,51</v>
          </cell>
          <cell r="D130" t="str">
            <v>162.762,53</v>
          </cell>
          <cell r="E130" t="str">
            <v>0,00</v>
          </cell>
          <cell r="F130" t="str">
            <v>1.560,99</v>
          </cell>
          <cell r="G130" t="str">
            <v>1.560,99</v>
          </cell>
          <cell r="H130" t="str">
            <v>0,00</v>
          </cell>
          <cell r="I130">
            <v>1560.99</v>
          </cell>
          <cell r="J130">
            <v>-1560.99</v>
          </cell>
        </row>
        <row r="131">
          <cell r="A131" t="str">
            <v>1.1.1.3.01.001135</v>
          </cell>
          <cell r="B131" t="str">
            <v>CIA DE FERRO LIGAS DA BAHIA FERBASA</v>
          </cell>
          <cell r="C131" t="str">
            <v>1.685.717,68</v>
          </cell>
          <cell r="D131" t="str">
            <v>1.673.264,43</v>
          </cell>
          <cell r="E131" t="str">
            <v>0,00</v>
          </cell>
          <cell r="F131" t="str">
            <v>0,00</v>
          </cell>
          <cell r="G131" t="str">
            <v>12.453,25</v>
          </cell>
          <cell r="H131" t="str">
            <v>0,00</v>
          </cell>
          <cell r="I131">
            <v>12453.25</v>
          </cell>
          <cell r="J131">
            <v>-12453.25</v>
          </cell>
        </row>
        <row r="132">
          <cell r="A132" t="str">
            <v>1.1.1.3.01.001142</v>
          </cell>
          <cell r="B132" t="str">
            <v>USINAGEM N. J. LTDA</v>
          </cell>
          <cell r="C132" t="str">
            <v>72.916,00</v>
          </cell>
          <cell r="D132" t="str">
            <v>70.916,00</v>
          </cell>
          <cell r="E132" t="str">
            <v>0,00</v>
          </cell>
          <cell r="F132" t="str">
            <v>0,00</v>
          </cell>
          <cell r="G132" t="str">
            <v>2.000,00</v>
          </cell>
          <cell r="H132" t="str">
            <v>0,00</v>
          </cell>
          <cell r="I132">
            <v>2000</v>
          </cell>
          <cell r="J132">
            <v>-2000</v>
          </cell>
        </row>
        <row r="133">
          <cell r="A133" t="str">
            <v>1.1.1.3.01.001145</v>
          </cell>
          <cell r="B133" t="str">
            <v>C FERNANDO R DA PAZ &amp; CIA LTDA</v>
          </cell>
          <cell r="C133" t="str">
            <v>530.024,23</v>
          </cell>
          <cell r="D133" t="str">
            <v>464.024,23</v>
          </cell>
          <cell r="E133" t="str">
            <v>0,00</v>
          </cell>
          <cell r="F133" t="str">
            <v>11.000,00</v>
          </cell>
          <cell r="G133" t="str">
            <v>55.000,00</v>
          </cell>
          <cell r="H133" t="str">
            <v>0,00</v>
          </cell>
          <cell r="I133">
            <v>55000</v>
          </cell>
          <cell r="J133">
            <v>-55000</v>
          </cell>
        </row>
        <row r="134">
          <cell r="A134" t="str">
            <v>1.1.1.3.01.001171</v>
          </cell>
          <cell r="B134" t="str">
            <v>ELLENCO CONTRUCOES LTDA</v>
          </cell>
          <cell r="C134" t="str">
            <v>83.904,53</v>
          </cell>
          <cell r="D134" t="str">
            <v>67.904,52</v>
          </cell>
          <cell r="E134" t="str">
            <v>0,00</v>
          </cell>
          <cell r="F134" t="str">
            <v>16.000,01</v>
          </cell>
          <cell r="G134" t="str">
            <v>0,00</v>
          </cell>
          <cell r="H134" t="str">
            <v>0,00</v>
          </cell>
          <cell r="I134">
            <v>0</v>
          </cell>
          <cell r="J134">
            <v>0</v>
          </cell>
        </row>
        <row r="135">
          <cell r="A135" t="str">
            <v>1.1.1.3.01.001174</v>
          </cell>
          <cell r="B135" t="str">
            <v>SPLENDOUR MINERACAO E TRANSPORTE LTDA -</v>
          </cell>
          <cell r="C135" t="str">
            <v>1.576.063,71</v>
          </cell>
          <cell r="D135" t="str">
            <v>1.538.063,71</v>
          </cell>
          <cell r="E135" t="str">
            <v>3.776,48</v>
          </cell>
          <cell r="F135" t="str">
            <v>38.000,00</v>
          </cell>
          <cell r="G135" t="str">
            <v>3.776,48</v>
          </cell>
          <cell r="H135" t="str">
            <v>0,00</v>
          </cell>
          <cell r="I135">
            <v>3776.48</v>
          </cell>
          <cell r="J135">
            <v>-3776.48</v>
          </cell>
        </row>
        <row r="136">
          <cell r="A136" t="str">
            <v>1.1.1.3.01.001184</v>
          </cell>
          <cell r="B136" t="str">
            <v>MINERACAO AGRESTE LTDA</v>
          </cell>
          <cell r="C136" t="str">
            <v>1.142.475,53</v>
          </cell>
          <cell r="D136" t="str">
            <v>1.118.627,51</v>
          </cell>
          <cell r="E136" t="str">
            <v>0,00</v>
          </cell>
          <cell r="F136" t="str">
            <v>5.500,00</v>
          </cell>
          <cell r="G136" t="str">
            <v>18.348,02</v>
          </cell>
          <cell r="H136" t="str">
            <v>0,00</v>
          </cell>
          <cell r="I136">
            <v>18348.02</v>
          </cell>
          <cell r="J136">
            <v>-18348.02</v>
          </cell>
        </row>
        <row r="137">
          <cell r="A137" t="str">
            <v>1.1.1.3.01.001185</v>
          </cell>
          <cell r="B137" t="str">
            <v>CORAGEM LOC DE MAQ E TERRAPLANAGEM LTDA</v>
          </cell>
          <cell r="C137" t="str">
            <v>58.121,34</v>
          </cell>
          <cell r="D137" t="str">
            <v>58.121,34</v>
          </cell>
          <cell r="E137" t="str">
            <v>696,82</v>
          </cell>
          <cell r="F137" t="str">
            <v>0,00</v>
          </cell>
          <cell r="G137" t="str">
            <v>696,82</v>
          </cell>
          <cell r="H137" t="str">
            <v>0,00</v>
          </cell>
          <cell r="I137">
            <v>696.82</v>
          </cell>
          <cell r="J137">
            <v>-696.82</v>
          </cell>
        </row>
        <row r="138">
          <cell r="A138" t="str">
            <v>1.1.1.3.01.001197</v>
          </cell>
          <cell r="B138" t="str">
            <v>MINERACAO CAFE LTDA</v>
          </cell>
          <cell r="C138" t="str">
            <v>323.874,66</v>
          </cell>
          <cell r="D138" t="str">
            <v>323.874,66</v>
          </cell>
          <cell r="E138" t="str">
            <v>3.651,72</v>
          </cell>
          <cell r="F138" t="str">
            <v>0,00</v>
          </cell>
          <cell r="G138" t="str">
            <v>3.651,72</v>
          </cell>
          <cell r="H138" t="str">
            <v>0,00</v>
          </cell>
          <cell r="I138">
            <v>3651.72</v>
          </cell>
          <cell r="J138">
            <v>-3651.72</v>
          </cell>
        </row>
        <row r="139">
          <cell r="A139" t="str">
            <v>1.1.1.3.01.001202</v>
          </cell>
          <cell r="B139" t="str">
            <v>COMIL COTAXE MINERACAO LTDA RPP</v>
          </cell>
          <cell r="C139" t="str">
            <v>360.679,39</v>
          </cell>
          <cell r="D139" t="str">
            <v>358.334,83</v>
          </cell>
          <cell r="E139" t="str">
            <v>0,00</v>
          </cell>
          <cell r="F139" t="str">
            <v>2.344,56</v>
          </cell>
          <cell r="G139" t="str">
            <v>0,00</v>
          </cell>
          <cell r="H139" t="str">
            <v>0,00</v>
          </cell>
          <cell r="I139">
            <v>0</v>
          </cell>
          <cell r="J139">
            <v>0</v>
          </cell>
        </row>
        <row r="140">
          <cell r="A140" t="str">
            <v>1.1.1.3.01.001204</v>
          </cell>
          <cell r="B140" t="str">
            <v>LARA TERRAPLENAGEM E PAVIMENTACAO EIRELI</v>
          </cell>
          <cell r="C140" t="str">
            <v>102.200,00</v>
          </cell>
          <cell r="D140" t="str">
            <v>83.803,27</v>
          </cell>
          <cell r="E140" t="str">
            <v>0,00</v>
          </cell>
          <cell r="F140" t="str">
            <v>3.956,66</v>
          </cell>
          <cell r="G140" t="str">
            <v>14.440,07</v>
          </cell>
          <cell r="H140" t="str">
            <v>0,00</v>
          </cell>
          <cell r="I140">
            <v>14440.07</v>
          </cell>
          <cell r="J140">
            <v>-14440.07</v>
          </cell>
        </row>
        <row r="141">
          <cell r="A141" t="str">
            <v>1.1.1.3.01.001214</v>
          </cell>
          <cell r="B141" t="str">
            <v>ALAIN STEPHANE RIVIERE MINERACAO</v>
          </cell>
          <cell r="C141" t="str">
            <v>1.093.499,47</v>
          </cell>
          <cell r="D141" t="str">
            <v>1.084.756,61</v>
          </cell>
          <cell r="E141" t="str">
            <v>0,00</v>
          </cell>
          <cell r="F141" t="str">
            <v>8.742,86</v>
          </cell>
          <cell r="G141" t="str">
            <v>0,00</v>
          </cell>
          <cell r="H141" t="str">
            <v>0,00</v>
          </cell>
          <cell r="I141">
            <v>0</v>
          </cell>
          <cell r="J141">
            <v>0</v>
          </cell>
        </row>
        <row r="142">
          <cell r="A142" t="str">
            <v>1.1.1.3.01.001226</v>
          </cell>
          <cell r="B142" t="str">
            <v>P J DE CARVALHO POLI &amp; CIA LTDA</v>
          </cell>
          <cell r="C142" t="str">
            <v>981.858,36</v>
          </cell>
          <cell r="D142" t="str">
            <v>960.021,46</v>
          </cell>
          <cell r="E142" t="str">
            <v>0,00</v>
          </cell>
          <cell r="F142" t="str">
            <v>1.836,90</v>
          </cell>
          <cell r="G142" t="str">
            <v>20.000,00</v>
          </cell>
          <cell r="H142" t="str">
            <v>0,00</v>
          </cell>
          <cell r="I142">
            <v>20000</v>
          </cell>
          <cell r="J142">
            <v>-20000</v>
          </cell>
        </row>
        <row r="143">
          <cell r="A143" t="str">
            <v>1.1.1.3.01.001237</v>
          </cell>
          <cell r="B143" t="str">
            <v>MINERADORA ESPERANCA LTDA</v>
          </cell>
          <cell r="C143" t="str">
            <v>72.335,42</v>
          </cell>
          <cell r="D143" t="str">
            <v>72.000,00</v>
          </cell>
          <cell r="E143" t="str">
            <v>0,00</v>
          </cell>
          <cell r="F143" t="str">
            <v>0,00</v>
          </cell>
          <cell r="G143" t="str">
            <v>335,42</v>
          </cell>
          <cell r="H143" t="str">
            <v>0,00</v>
          </cell>
          <cell r="I143">
            <v>335.42</v>
          </cell>
          <cell r="J143">
            <v>-335.42</v>
          </cell>
        </row>
        <row r="144">
          <cell r="A144" t="str">
            <v>1.1.1.3.01.001239</v>
          </cell>
          <cell r="B144" t="str">
            <v>MINERACAO VULCANO LTDA</v>
          </cell>
          <cell r="C144" t="str">
            <v>605.122,81</v>
          </cell>
          <cell r="D144" t="str">
            <v>605.122,81</v>
          </cell>
          <cell r="E144" t="str">
            <v>0,00</v>
          </cell>
          <cell r="F144" t="str">
            <v>570.000,00</v>
          </cell>
          <cell r="G144" t="str">
            <v>0,00</v>
          </cell>
          <cell r="H144" t="str">
            <v>570.000,00</v>
          </cell>
          <cell r="I144">
            <v>-570000</v>
          </cell>
          <cell r="J144">
            <v>1140000</v>
          </cell>
        </row>
        <row r="145">
          <cell r="A145" t="str">
            <v>1.1.1.3.01.001240</v>
          </cell>
          <cell r="B145" t="str">
            <v>JHP SOLUCOES EM EQUIPAMENTOS EIRELI - ME</v>
          </cell>
          <cell r="C145" t="str">
            <v>139.443,79</v>
          </cell>
          <cell r="D145" t="str">
            <v>136.018,24</v>
          </cell>
          <cell r="E145" t="str">
            <v>0,00</v>
          </cell>
          <cell r="F145" t="str">
            <v>1.712,78</v>
          </cell>
          <cell r="G145" t="str">
            <v>1.712,77</v>
          </cell>
          <cell r="H145" t="str">
            <v>0,00</v>
          </cell>
          <cell r="I145">
            <v>1712.77</v>
          </cell>
          <cell r="J145">
            <v>-1712.77</v>
          </cell>
        </row>
        <row r="146">
          <cell r="A146" t="str">
            <v>1.1.1.3.01.001245</v>
          </cell>
          <cell r="B146" t="str">
            <v>ROCHEDO MARMORES E GRANITOS LTDA</v>
          </cell>
          <cell r="C146" t="str">
            <v>476.927,68</v>
          </cell>
          <cell r="D146" t="str">
            <v>476.327,68</v>
          </cell>
          <cell r="E146" t="str">
            <v>0,00</v>
          </cell>
          <cell r="F146" t="str">
            <v>0,00</v>
          </cell>
          <cell r="G146" t="str">
            <v>600,00</v>
          </cell>
          <cell r="H146" t="str">
            <v>0,00</v>
          </cell>
          <cell r="I146">
            <v>600</v>
          </cell>
          <cell r="J146">
            <v>-600</v>
          </cell>
        </row>
        <row r="147">
          <cell r="A147" t="str">
            <v>1.1.1.3.01.001252</v>
          </cell>
          <cell r="B147" t="str">
            <v>MINERACAO TREMENDAL LTDA - EPP</v>
          </cell>
          <cell r="C147" t="str">
            <v>1.513.950,67</v>
          </cell>
          <cell r="D147" t="str">
            <v>1.448.250,67</v>
          </cell>
          <cell r="E147" t="str">
            <v>0,00</v>
          </cell>
          <cell r="F147" t="str">
            <v>0,00</v>
          </cell>
          <cell r="G147" t="str">
            <v>65.700,00</v>
          </cell>
          <cell r="H147" t="str">
            <v>0,00</v>
          </cell>
          <cell r="I147">
            <v>65700</v>
          </cell>
          <cell r="J147">
            <v>-65700</v>
          </cell>
        </row>
        <row r="148">
          <cell r="A148" t="str">
            <v>1.1.1.3.01.001253</v>
          </cell>
          <cell r="B148" t="str">
            <v>PEDRAS DO BRASIL COM. IMP. E EXP. LTDA</v>
          </cell>
          <cell r="C148" t="str">
            <v>2.204.430,72</v>
          </cell>
          <cell r="D148" t="str">
            <v>2.099.092,12</v>
          </cell>
          <cell r="E148" t="str">
            <v>0,00</v>
          </cell>
          <cell r="F148" t="str">
            <v>22.669,31</v>
          </cell>
          <cell r="G148" t="str">
            <v>82.669,29</v>
          </cell>
          <cell r="H148" t="str">
            <v>0,00</v>
          </cell>
          <cell r="I148">
            <v>82669.289999999994</v>
          </cell>
          <cell r="J148">
            <v>-82669.289999999994</v>
          </cell>
        </row>
        <row r="149">
          <cell r="A149" t="str">
            <v>1.1.1.3.01.001254</v>
          </cell>
          <cell r="B149" t="str">
            <v>MINERADORA BARROS LTDA</v>
          </cell>
          <cell r="C149" t="str">
            <v>1.184.074,63</v>
          </cell>
          <cell r="D149" t="str">
            <v>1.177.544,65</v>
          </cell>
          <cell r="E149" t="str">
            <v>0,00</v>
          </cell>
          <cell r="F149" t="str">
            <v>4.514,24</v>
          </cell>
          <cell r="G149" t="str">
            <v>2.015,74</v>
          </cell>
          <cell r="H149" t="str">
            <v>0,00</v>
          </cell>
          <cell r="I149">
            <v>2015.74</v>
          </cell>
          <cell r="J149">
            <v>-2015.74</v>
          </cell>
        </row>
        <row r="150">
          <cell r="A150" t="str">
            <v>1.1.1.3.01.001258</v>
          </cell>
          <cell r="B150" t="str">
            <v>SM INDUSTRIA DE MINERIOS DO BRASIL LTDA</v>
          </cell>
          <cell r="C150" t="str">
            <v>797.096,31</v>
          </cell>
          <cell r="D150" t="str">
            <v>735.365,56</v>
          </cell>
          <cell r="E150" t="str">
            <v>4.448,36</v>
          </cell>
          <cell r="F150" t="str">
            <v>56.268,12</v>
          </cell>
          <cell r="G150" t="str">
            <v>9.910,99</v>
          </cell>
          <cell r="H150" t="str">
            <v>0,00</v>
          </cell>
          <cell r="I150">
            <v>9910.99</v>
          </cell>
          <cell r="J150">
            <v>-9910.99</v>
          </cell>
        </row>
        <row r="151">
          <cell r="A151" t="str">
            <v>1.1.1.3.01.001264</v>
          </cell>
          <cell r="B151" t="str">
            <v>ENGEPAR ENGENHARIA E PARTICIPACOES LTDA</v>
          </cell>
          <cell r="C151" t="str">
            <v>100.000,00</v>
          </cell>
          <cell r="D151" t="str">
            <v>45.000,00</v>
          </cell>
          <cell r="E151" t="str">
            <v>0,00</v>
          </cell>
          <cell r="F151" t="str">
            <v>6.650,00</v>
          </cell>
          <cell r="G151" t="str">
            <v>48.350,00</v>
          </cell>
          <cell r="H151" t="str">
            <v>0,00</v>
          </cell>
          <cell r="I151">
            <v>48350</v>
          </cell>
          <cell r="J151">
            <v>-48350</v>
          </cell>
        </row>
        <row r="152">
          <cell r="A152" t="str">
            <v>1.1.1.3.01.001267</v>
          </cell>
          <cell r="B152" t="str">
            <v>MINERACAO CAFE LTDA</v>
          </cell>
          <cell r="C152" t="str">
            <v>1.097.152,59</v>
          </cell>
          <cell r="D152" t="str">
            <v>1.089.262,15</v>
          </cell>
          <cell r="E152" t="str">
            <v>6.080,37</v>
          </cell>
          <cell r="F152" t="str">
            <v>6.326,18</v>
          </cell>
          <cell r="G152" t="str">
            <v>7.644,63</v>
          </cell>
          <cell r="H152" t="str">
            <v>0,00</v>
          </cell>
          <cell r="I152">
            <v>7644.63</v>
          </cell>
          <cell r="J152">
            <v>-7644.63</v>
          </cell>
        </row>
        <row r="153">
          <cell r="A153" t="str">
            <v>1.1.1.3.01.001269</v>
          </cell>
          <cell r="B153" t="str">
            <v>MGA MARMORES E GRANITOS ALTOE LTDA</v>
          </cell>
          <cell r="C153" t="str">
            <v>9.507.330,98</v>
          </cell>
          <cell r="D153" t="str">
            <v>9.183.244,61</v>
          </cell>
          <cell r="E153" t="str">
            <v>4.302,62</v>
          </cell>
          <cell r="F153" t="str">
            <v>74.536,37</v>
          </cell>
          <cell r="G153" t="str">
            <v>253.852,62</v>
          </cell>
          <cell r="H153" t="str">
            <v>0,00</v>
          </cell>
          <cell r="I153">
            <v>253852.62</v>
          </cell>
          <cell r="J153">
            <v>-253852.62</v>
          </cell>
        </row>
        <row r="154">
          <cell r="A154" t="str">
            <v>1.1.1.3.01.001286</v>
          </cell>
          <cell r="B154" t="str">
            <v>HECA CONSTRUTORA LTDA</v>
          </cell>
          <cell r="C154" t="str">
            <v>191.746,94</v>
          </cell>
          <cell r="D154" t="str">
            <v>190.133,28</v>
          </cell>
          <cell r="E154" t="str">
            <v>0,00</v>
          </cell>
          <cell r="F154" t="str">
            <v>1.613,66</v>
          </cell>
          <cell r="G154" t="str">
            <v>0,00</v>
          </cell>
          <cell r="H154" t="str">
            <v>0,00</v>
          </cell>
          <cell r="I154">
            <v>0</v>
          </cell>
          <cell r="J154">
            <v>0</v>
          </cell>
        </row>
        <row r="155">
          <cell r="A155" t="str">
            <v>1.1.1.3.01.001287</v>
          </cell>
          <cell r="B155" t="str">
            <v>MINERADORA SAO JORGE SA</v>
          </cell>
          <cell r="C155" t="str">
            <v>70.508,64</v>
          </cell>
          <cell r="D155" t="str">
            <v>67.723,57</v>
          </cell>
          <cell r="E155" t="str">
            <v>0,00</v>
          </cell>
          <cell r="F155" t="str">
            <v>1.684,45</v>
          </cell>
          <cell r="G155" t="str">
            <v>1.100,62</v>
          </cell>
          <cell r="H155" t="str">
            <v>0,00</v>
          </cell>
          <cell r="I155">
            <v>1100.6199999999999</v>
          </cell>
          <cell r="J155">
            <v>-1100.6199999999999</v>
          </cell>
        </row>
        <row r="156">
          <cell r="A156" t="str">
            <v>1.1.1.3.01.001292</v>
          </cell>
          <cell r="B156" t="str">
            <v>REVESTE BEGE - REVESTIMENTOS EM BEGE BAH</v>
          </cell>
          <cell r="C156" t="str">
            <v>149.069,18</v>
          </cell>
          <cell r="D156" t="str">
            <v>146.227,47</v>
          </cell>
          <cell r="E156" t="str">
            <v>0,00</v>
          </cell>
          <cell r="F156" t="str">
            <v>0,00</v>
          </cell>
          <cell r="G156" t="str">
            <v>2.841,71</v>
          </cell>
          <cell r="H156" t="str">
            <v>0,00</v>
          </cell>
          <cell r="I156">
            <v>2841.71</v>
          </cell>
          <cell r="J156">
            <v>-2841.71</v>
          </cell>
        </row>
        <row r="157">
          <cell r="A157" t="str">
            <v>1.1.1.3.01.001301</v>
          </cell>
          <cell r="B157" t="str">
            <v>PETTRUS MINERACAO E COMERCIO LTDA - ME</v>
          </cell>
          <cell r="C157" t="str">
            <v>359.299,87</v>
          </cell>
          <cell r="D157" t="str">
            <v>356.079,64</v>
          </cell>
          <cell r="E157" t="str">
            <v>0,00</v>
          </cell>
          <cell r="F157" t="str">
            <v>3.220,23</v>
          </cell>
          <cell r="G157" t="str">
            <v>0,00</v>
          </cell>
          <cell r="H157" t="str">
            <v>0,00</v>
          </cell>
          <cell r="I157">
            <v>0</v>
          </cell>
          <cell r="J157">
            <v>0</v>
          </cell>
        </row>
        <row r="158">
          <cell r="A158" t="str">
            <v>1.1.1.3.01.001308</v>
          </cell>
          <cell r="B158" t="str">
            <v>STONEQUARRIES DO BRASIL LTDA</v>
          </cell>
          <cell r="C158" t="str">
            <v>42.100,00</v>
          </cell>
          <cell r="D158" t="str">
            <v>40.100,00</v>
          </cell>
          <cell r="E158" t="str">
            <v>0,00</v>
          </cell>
          <cell r="F158" t="str">
            <v>0,00</v>
          </cell>
          <cell r="G158" t="str">
            <v>2.000,00</v>
          </cell>
          <cell r="H158" t="str">
            <v>0,00</v>
          </cell>
          <cell r="I158">
            <v>2000</v>
          </cell>
          <cell r="J158">
            <v>-2000</v>
          </cell>
        </row>
        <row r="159">
          <cell r="A159" t="str">
            <v>1.1.1.3.01.001336</v>
          </cell>
          <cell r="B159" t="str">
            <v>ANTOLINI, EXPORTACAO, IMPORTACAO E MINER</v>
          </cell>
          <cell r="C159" t="str">
            <v>721.111,40</v>
          </cell>
          <cell r="D159" t="str">
            <v>665.111,40</v>
          </cell>
          <cell r="E159" t="str">
            <v>0,00</v>
          </cell>
          <cell r="F159" t="str">
            <v>7.000,00</v>
          </cell>
          <cell r="G159" t="str">
            <v>49.000,00</v>
          </cell>
          <cell r="H159" t="str">
            <v>0,00</v>
          </cell>
          <cell r="I159">
            <v>49000</v>
          </cell>
          <cell r="J159">
            <v>-49000</v>
          </cell>
        </row>
        <row r="160">
          <cell r="A160" t="str">
            <v>1.1.1.3.01.001339</v>
          </cell>
          <cell r="B160" t="str">
            <v>MINERACAO IRMAOS CASTELLARI LTDA</v>
          </cell>
          <cell r="C160" t="str">
            <v>545.059,11</v>
          </cell>
          <cell r="D160" t="str">
            <v>534.084,10</v>
          </cell>
          <cell r="E160" t="str">
            <v>0,00</v>
          </cell>
          <cell r="F160" t="str">
            <v>3.658,33</v>
          </cell>
          <cell r="G160" t="str">
            <v>7.316,68</v>
          </cell>
          <cell r="H160" t="str">
            <v>0,00</v>
          </cell>
          <cell r="I160">
            <v>7316.68</v>
          </cell>
          <cell r="J160">
            <v>-7316.68</v>
          </cell>
        </row>
        <row r="161">
          <cell r="A161" t="str">
            <v>1.1.1.3.01.001345</v>
          </cell>
          <cell r="B161" t="str">
            <v>SAO SEBASTIAO MATERIAIS PARA CONSTRUCAO</v>
          </cell>
          <cell r="C161" t="str">
            <v>136.393,54</v>
          </cell>
          <cell r="D161" t="str">
            <v>135.972,81</v>
          </cell>
          <cell r="E161" t="str">
            <v>0,00</v>
          </cell>
          <cell r="F161" t="str">
            <v>0,00</v>
          </cell>
          <cell r="G161" t="str">
            <v>420,73</v>
          </cell>
          <cell r="H161" t="str">
            <v>0,00</v>
          </cell>
          <cell r="I161">
            <v>420.73</v>
          </cell>
          <cell r="J161">
            <v>-420.73</v>
          </cell>
        </row>
        <row r="162">
          <cell r="A162" t="str">
            <v>1.1.1.3.01.001346</v>
          </cell>
          <cell r="B162" t="str">
            <v>GRANITOS LARANJEIRA LTDA</v>
          </cell>
          <cell r="C162" t="str">
            <v>329.120,00</v>
          </cell>
          <cell r="D162" t="str">
            <v>182.620,27</v>
          </cell>
          <cell r="E162" t="str">
            <v>8.700,00</v>
          </cell>
          <cell r="F162" t="str">
            <v>46.033,91</v>
          </cell>
          <cell r="G162" t="str">
            <v>109.165,82</v>
          </cell>
          <cell r="H162" t="str">
            <v>0,00</v>
          </cell>
          <cell r="I162">
            <v>109165.82</v>
          </cell>
          <cell r="J162">
            <v>-109165.82</v>
          </cell>
        </row>
        <row r="163">
          <cell r="A163" t="str">
            <v>1.1.1.3.01.001355</v>
          </cell>
          <cell r="B163" t="str">
            <v>NATURALE GRANITOS E MARMORES EIRELI EPP</v>
          </cell>
          <cell r="C163" t="str">
            <v>401.516,94</v>
          </cell>
          <cell r="D163" t="str">
            <v>349.016,94</v>
          </cell>
          <cell r="E163" t="str">
            <v>0,00</v>
          </cell>
          <cell r="F163" t="str">
            <v>26.250,00</v>
          </cell>
          <cell r="G163" t="str">
            <v>26.250,00</v>
          </cell>
          <cell r="H163" t="str">
            <v>0,00</v>
          </cell>
          <cell r="I163">
            <v>26250</v>
          </cell>
          <cell r="J163">
            <v>-26250</v>
          </cell>
        </row>
        <row r="164">
          <cell r="A164" t="str">
            <v>1.1.1.3.01.001360</v>
          </cell>
          <cell r="B164" t="str">
            <v>R3CICLO GESTAO DE RESIDUOS LTDA ME</v>
          </cell>
          <cell r="C164" t="str">
            <v>1.379.438,58</v>
          </cell>
          <cell r="D164" t="str">
            <v>466.746,09</v>
          </cell>
          <cell r="E164" t="str">
            <v>373,62</v>
          </cell>
          <cell r="F164" t="str">
            <v>96.410,01</v>
          </cell>
          <cell r="G164" t="str">
            <v>816.656,10</v>
          </cell>
          <cell r="H164" t="str">
            <v>0,00</v>
          </cell>
          <cell r="I164">
            <v>816656.1</v>
          </cell>
          <cell r="J164">
            <v>-816656.1</v>
          </cell>
        </row>
        <row r="165">
          <cell r="A165" t="str">
            <v>1.1.1.3.01.001366</v>
          </cell>
          <cell r="B165" t="str">
            <v>MILGRAN INDUSTRIA E COMERCIO DE GRANITOS</v>
          </cell>
          <cell r="C165" t="str">
            <v>5.695.964,43</v>
          </cell>
          <cell r="D165" t="str">
            <v>5.524.780,86</v>
          </cell>
          <cell r="E165" t="str">
            <v>0,00</v>
          </cell>
          <cell r="F165" t="str">
            <v>132.133,51</v>
          </cell>
          <cell r="G165" t="str">
            <v>39.050,06</v>
          </cell>
          <cell r="H165" t="str">
            <v>0,00</v>
          </cell>
          <cell r="I165">
            <v>39050.06</v>
          </cell>
          <cell r="J165">
            <v>-39050.06</v>
          </cell>
        </row>
        <row r="166">
          <cell r="A166" t="str">
            <v>1.1.1.3.01.001412</v>
          </cell>
          <cell r="B166" t="str">
            <v>CEJEN ENGENHARIA LTDA</v>
          </cell>
          <cell r="C166" t="str">
            <v>22.727,77</v>
          </cell>
          <cell r="D166" t="str">
            <v>8.204,67</v>
          </cell>
          <cell r="E166" t="str">
            <v>0,00</v>
          </cell>
          <cell r="F166" t="str">
            <v>0,00</v>
          </cell>
          <cell r="G166" t="str">
            <v>14.523,10</v>
          </cell>
          <cell r="H166" t="str">
            <v>0,00</v>
          </cell>
          <cell r="I166">
            <v>14523.1</v>
          </cell>
          <cell r="J166">
            <v>-14523.1</v>
          </cell>
        </row>
        <row r="167">
          <cell r="A167" t="str">
            <v>1.1.1.3.01.001413</v>
          </cell>
          <cell r="B167" t="str">
            <v>MAG BAN MARMORES E GRANITOS AQUIDABAN LT</v>
          </cell>
          <cell r="C167" t="str">
            <v>6.890.172,88</v>
          </cell>
          <cell r="D167" t="str">
            <v>6.168.191,62</v>
          </cell>
          <cell r="E167" t="str">
            <v>0,00</v>
          </cell>
          <cell r="F167" t="str">
            <v>103.627,01</v>
          </cell>
          <cell r="G167" t="str">
            <v>618.354,25</v>
          </cell>
          <cell r="H167" t="str">
            <v>0,00</v>
          </cell>
          <cell r="I167">
            <v>618354.25</v>
          </cell>
          <cell r="J167">
            <v>-618354.25</v>
          </cell>
        </row>
        <row r="168">
          <cell r="A168" t="str">
            <v>1.1.1.3.01.001442</v>
          </cell>
          <cell r="B168" t="str">
            <v>M.G.T. MARMORES E GRANITOS LTDA</v>
          </cell>
          <cell r="C168" t="str">
            <v>176.969,85</v>
          </cell>
          <cell r="D168" t="str">
            <v>180.388,17</v>
          </cell>
          <cell r="E168" t="str">
            <v>0,00</v>
          </cell>
          <cell r="F168" t="str">
            <v>0,00</v>
          </cell>
          <cell r="G168" t="str">
            <v>0,00</v>
          </cell>
          <cell r="H168" t="str">
            <v>3.418,32</v>
          </cell>
          <cell r="I168">
            <v>-3418.32</v>
          </cell>
          <cell r="J168">
            <v>6836.64</v>
          </cell>
        </row>
        <row r="169">
          <cell r="A169" t="str">
            <v>1.1.1.3.01.001449</v>
          </cell>
          <cell r="B169" t="str">
            <v>SHARK MAQUINAS PARA CONSTRUCAO LTDA</v>
          </cell>
          <cell r="C169" t="str">
            <v>1.246.354,41</v>
          </cell>
          <cell r="D169" t="str">
            <v>1.246.354,11</v>
          </cell>
          <cell r="E169" t="str">
            <v>141.000,00</v>
          </cell>
          <cell r="F169" t="str">
            <v>45.000,00</v>
          </cell>
          <cell r="G169" t="str">
            <v>96.000,30</v>
          </cell>
          <cell r="H169" t="str">
            <v>0,00</v>
          </cell>
          <cell r="I169">
            <v>96000.3</v>
          </cell>
          <cell r="J169">
            <v>-96000.3</v>
          </cell>
        </row>
        <row r="170">
          <cell r="A170" t="str">
            <v>1.1.1.3.01.001455</v>
          </cell>
          <cell r="B170" t="str">
            <v>GRANITOS GRAMARCAL LTDA</v>
          </cell>
          <cell r="C170" t="str">
            <v>3.846.302,67</v>
          </cell>
          <cell r="D170" t="str">
            <v>3.506.077,66</v>
          </cell>
          <cell r="E170" t="str">
            <v>855,63</v>
          </cell>
          <cell r="F170" t="str">
            <v>96.575,01</v>
          </cell>
          <cell r="G170" t="str">
            <v>244.505,63</v>
          </cell>
          <cell r="H170" t="str">
            <v>0,00</v>
          </cell>
          <cell r="I170">
            <v>244505.63</v>
          </cell>
          <cell r="J170">
            <v>-244505.63</v>
          </cell>
        </row>
        <row r="171">
          <cell r="A171" t="str">
            <v>1.1.1.3.01.001456</v>
          </cell>
          <cell r="B171" t="str">
            <v>ROLFAYA EXTRACAO E BRITAGEM LTDA</v>
          </cell>
          <cell r="C171" t="str">
            <v>103.857,95</v>
          </cell>
          <cell r="D171" t="str">
            <v>93.357,95</v>
          </cell>
          <cell r="E171" t="str">
            <v>0,00</v>
          </cell>
          <cell r="F171" t="str">
            <v>0,00</v>
          </cell>
          <cell r="G171" t="str">
            <v>10.500,00</v>
          </cell>
          <cell r="H171" t="str">
            <v>0,00</v>
          </cell>
          <cell r="I171">
            <v>10500</v>
          </cell>
          <cell r="J171">
            <v>-10500</v>
          </cell>
        </row>
        <row r="172">
          <cell r="A172" t="str">
            <v>1.1.1.3.01.001461</v>
          </cell>
          <cell r="B172" t="str">
            <v>JARDIM EQUIPAMENTOS E PECAS LTDA-ME</v>
          </cell>
          <cell r="C172" t="str">
            <v>19.775,35</v>
          </cell>
          <cell r="D172" t="str">
            <v>19.618,68</v>
          </cell>
          <cell r="E172" t="str">
            <v>0,00</v>
          </cell>
          <cell r="F172" t="str">
            <v>0,00</v>
          </cell>
          <cell r="G172" t="str">
            <v>156,67</v>
          </cell>
          <cell r="H172" t="str">
            <v>0,00</v>
          </cell>
          <cell r="I172">
            <v>156.66999999999999</v>
          </cell>
          <cell r="J172">
            <v>-156.66999999999999</v>
          </cell>
        </row>
        <row r="173">
          <cell r="A173" t="str">
            <v>1.1.1.3.01.001465</v>
          </cell>
          <cell r="B173" t="str">
            <v>TRANSTERRA MINERACAO E MAT P/ CONST LTDA</v>
          </cell>
          <cell r="C173" t="str">
            <v>702.911,89</v>
          </cell>
          <cell r="D173" t="str">
            <v>701.259,16</v>
          </cell>
          <cell r="E173" t="str">
            <v>6.585,59</v>
          </cell>
          <cell r="F173" t="str">
            <v>1.652,73</v>
          </cell>
          <cell r="G173" t="str">
            <v>6.585,59</v>
          </cell>
          <cell r="H173" t="str">
            <v>0,00</v>
          </cell>
          <cell r="I173">
            <v>6585.59</v>
          </cell>
          <cell r="J173">
            <v>-6585.59</v>
          </cell>
        </row>
        <row r="174">
          <cell r="A174" t="str">
            <v>1.1.1.3.01.001469</v>
          </cell>
          <cell r="B174" t="str">
            <v>IDEAL MINERACAO LTDA - ME</v>
          </cell>
          <cell r="C174" t="str">
            <v>331.780,81</v>
          </cell>
          <cell r="D174" t="str">
            <v>316.480,81</v>
          </cell>
          <cell r="E174" t="str">
            <v>0,00</v>
          </cell>
          <cell r="F174" t="str">
            <v>0,00</v>
          </cell>
          <cell r="G174" t="str">
            <v>15.300,00</v>
          </cell>
          <cell r="H174" t="str">
            <v>0,00</v>
          </cell>
          <cell r="I174">
            <v>15300</v>
          </cell>
          <cell r="J174">
            <v>-15300</v>
          </cell>
        </row>
        <row r="175">
          <cell r="A175" t="str">
            <v>1.1.1.3.01.001477</v>
          </cell>
          <cell r="B175" t="str">
            <v>IRMAOS CIOCCARI E CIA LTDA</v>
          </cell>
          <cell r="C175" t="str">
            <v>315.408,86</v>
          </cell>
          <cell r="D175" t="str">
            <v>304.773,38</v>
          </cell>
          <cell r="E175" t="str">
            <v>0,00</v>
          </cell>
          <cell r="F175" t="str">
            <v>5.932,31</v>
          </cell>
          <cell r="G175" t="str">
            <v>4.703,17</v>
          </cell>
          <cell r="H175" t="str">
            <v>0,00</v>
          </cell>
          <cell r="I175">
            <v>4703.17</v>
          </cell>
          <cell r="J175">
            <v>-4703.17</v>
          </cell>
        </row>
        <row r="176">
          <cell r="A176" t="str">
            <v>1.1.1.3.01.001488</v>
          </cell>
          <cell r="B176" t="str">
            <v>SAO GONCALO EXT. E COM. DE GRANITOS LTDA</v>
          </cell>
          <cell r="C176" t="str">
            <v>503.056,60</v>
          </cell>
          <cell r="D176" t="str">
            <v>502.126,00</v>
          </cell>
          <cell r="E176" t="str">
            <v>4.212,12</v>
          </cell>
          <cell r="F176" t="str">
            <v>930,60</v>
          </cell>
          <cell r="G176" t="str">
            <v>4.212,12</v>
          </cell>
          <cell r="H176" t="str">
            <v>0,00</v>
          </cell>
          <cell r="I176">
            <v>4212.12</v>
          </cell>
          <cell r="J176">
            <v>-4212.12</v>
          </cell>
        </row>
        <row r="177">
          <cell r="A177" t="str">
            <v>1.1.1.3.01.001491</v>
          </cell>
          <cell r="B177" t="str">
            <v>EXTRACAO IPIRANGA LTDA</v>
          </cell>
          <cell r="C177" t="str">
            <v>319.943,88</v>
          </cell>
          <cell r="D177" t="str">
            <v>257.383,91</v>
          </cell>
          <cell r="E177" t="str">
            <v>0,00</v>
          </cell>
          <cell r="F177" t="str">
            <v>20.833,33</v>
          </cell>
          <cell r="G177" t="str">
            <v>41.726,64</v>
          </cell>
          <cell r="H177" t="str">
            <v>0,00</v>
          </cell>
          <cell r="I177">
            <v>41726.639999999999</v>
          </cell>
          <cell r="J177">
            <v>-41726.639999999999</v>
          </cell>
        </row>
        <row r="178">
          <cell r="A178" t="str">
            <v>1.1.1.3.01.001514</v>
          </cell>
          <cell r="B178" t="str">
            <v>SUPERBRITAS LTDA</v>
          </cell>
          <cell r="C178" t="str">
            <v>592.512,47</v>
          </cell>
          <cell r="D178" t="str">
            <v>590.813,55</v>
          </cell>
          <cell r="E178" t="str">
            <v>6.955,84</v>
          </cell>
          <cell r="F178" t="str">
            <v>849,46</v>
          </cell>
          <cell r="G178" t="str">
            <v>7.805,30</v>
          </cell>
          <cell r="H178" t="str">
            <v>0,00</v>
          </cell>
          <cell r="I178">
            <v>7805.3</v>
          </cell>
          <cell r="J178">
            <v>-7805.3</v>
          </cell>
        </row>
        <row r="179">
          <cell r="A179" t="str">
            <v>1.1.1.3.01.001529</v>
          </cell>
          <cell r="B179" t="str">
            <v>PEDREIRA 2000 LTDA</v>
          </cell>
          <cell r="C179" t="str">
            <v>42.926,68</v>
          </cell>
          <cell r="D179" t="str">
            <v>38.895,72</v>
          </cell>
          <cell r="E179" t="str">
            <v>0,00</v>
          </cell>
          <cell r="F179" t="str">
            <v>2.323,53</v>
          </cell>
          <cell r="G179" t="str">
            <v>1.707,43</v>
          </cell>
          <cell r="H179" t="str">
            <v>0,00</v>
          </cell>
          <cell r="I179">
            <v>1707.43</v>
          </cell>
          <cell r="J179">
            <v>-1707.43</v>
          </cell>
        </row>
        <row r="180">
          <cell r="A180" t="str">
            <v>1.1.1.3.01.001546</v>
          </cell>
          <cell r="B180" t="str">
            <v>MINERACAO CARAIBA S/A</v>
          </cell>
          <cell r="C180" t="str">
            <v>65.143,97</v>
          </cell>
          <cell r="D180" t="str">
            <v>56.201,97</v>
          </cell>
          <cell r="E180" t="str">
            <v>0,00</v>
          </cell>
          <cell r="F180" t="str">
            <v>0,00</v>
          </cell>
          <cell r="G180" t="str">
            <v>8.942,00</v>
          </cell>
          <cell r="H180" t="str">
            <v>0,00</v>
          </cell>
          <cell r="I180">
            <v>8942</v>
          </cell>
          <cell r="J180">
            <v>-8942</v>
          </cell>
        </row>
        <row r="181">
          <cell r="A181" t="str">
            <v>1.1.1.3.01.001555</v>
          </cell>
          <cell r="B181" t="str">
            <v>TERRAPLENAGEM SILVEIRA LTDA</v>
          </cell>
          <cell r="C181" t="str">
            <v>262.580,65</v>
          </cell>
          <cell r="D181" t="str">
            <v>262.580,65</v>
          </cell>
          <cell r="E181" t="str">
            <v>4.874,86</v>
          </cell>
          <cell r="F181" t="str">
            <v>0,00</v>
          </cell>
          <cell r="G181" t="str">
            <v>4.874,86</v>
          </cell>
          <cell r="H181" t="str">
            <v>0,00</v>
          </cell>
          <cell r="I181">
            <v>4874.8599999999997</v>
          </cell>
          <cell r="J181">
            <v>-4874.8599999999997</v>
          </cell>
        </row>
        <row r="182">
          <cell r="A182" t="str">
            <v>1.1.1.3.01.001572</v>
          </cell>
          <cell r="B182" t="str">
            <v>TOPBRASIL COM. DE PECAS E EQUIP. LTDA</v>
          </cell>
          <cell r="C182" t="str">
            <v>33.115,84</v>
          </cell>
          <cell r="D182" t="str">
            <v>28.685,55</v>
          </cell>
          <cell r="E182" t="str">
            <v>208,41</v>
          </cell>
          <cell r="F182" t="str">
            <v>4.638,70</v>
          </cell>
          <cell r="G182" t="str">
            <v>0,00</v>
          </cell>
          <cell r="H182" t="str">
            <v>0,00</v>
          </cell>
          <cell r="I182">
            <v>0</v>
          </cell>
          <cell r="J182">
            <v>0</v>
          </cell>
        </row>
        <row r="183">
          <cell r="A183" t="str">
            <v>1.1.1.3.01.001579</v>
          </cell>
          <cell r="B183" t="str">
            <v>FHAE GRANITOS DO BRASIL LTDA</v>
          </cell>
          <cell r="C183" t="str">
            <v>2.770.606,15</v>
          </cell>
          <cell r="D183" t="str">
            <v>2.696.607,90</v>
          </cell>
          <cell r="E183" t="str">
            <v>2.285,07</v>
          </cell>
          <cell r="F183" t="str">
            <v>2.224,12</v>
          </cell>
          <cell r="G183" t="str">
            <v>74.059,20</v>
          </cell>
          <cell r="H183" t="str">
            <v>0,00</v>
          </cell>
          <cell r="I183">
            <v>74059.199999999997</v>
          </cell>
          <cell r="J183">
            <v>-74059.199999999997</v>
          </cell>
        </row>
        <row r="184">
          <cell r="A184" t="str">
            <v>1.1.1.3.01.001612</v>
          </cell>
          <cell r="B184" t="str">
            <v>BRITAGEM SAO CRISTOVAO LTDA</v>
          </cell>
          <cell r="C184" t="str">
            <v>155.751,71</v>
          </cell>
          <cell r="D184" t="str">
            <v>154.165,02</v>
          </cell>
          <cell r="E184" t="str">
            <v>12.753,34</v>
          </cell>
          <cell r="F184" t="str">
            <v>1.586,69</v>
          </cell>
          <cell r="G184" t="str">
            <v>12.753,34</v>
          </cell>
          <cell r="H184" t="str">
            <v>0,00</v>
          </cell>
          <cell r="I184">
            <v>12753.34</v>
          </cell>
          <cell r="J184">
            <v>-12753.34</v>
          </cell>
        </row>
        <row r="185">
          <cell r="A185" t="str">
            <v>1.1.1.3.01.001621</v>
          </cell>
          <cell r="B185" t="str">
            <v>MILANEZI GRANITOS S.A</v>
          </cell>
          <cell r="C185" t="str">
            <v>1.024.957,14</v>
          </cell>
          <cell r="D185" t="str">
            <v>992.757,14</v>
          </cell>
          <cell r="E185" t="str">
            <v>0,00</v>
          </cell>
          <cell r="F185" t="str">
            <v>8.050,00</v>
          </cell>
          <cell r="G185" t="str">
            <v>24.150,00</v>
          </cell>
          <cell r="H185" t="str">
            <v>0,00</v>
          </cell>
          <cell r="I185">
            <v>24150</v>
          </cell>
          <cell r="J185">
            <v>-24150</v>
          </cell>
        </row>
        <row r="186">
          <cell r="A186" t="str">
            <v>1.1.1.3.01.001624</v>
          </cell>
          <cell r="B186" t="str">
            <v>THOR NORTE GRANITOS LTDA</v>
          </cell>
          <cell r="C186" t="str">
            <v>4.222.461,75</v>
          </cell>
          <cell r="D186" t="str">
            <v>4.222.461,74</v>
          </cell>
          <cell r="E186" t="str">
            <v>0,00</v>
          </cell>
          <cell r="F186" t="str">
            <v>0,00</v>
          </cell>
          <cell r="G186" t="str">
            <v>0,01</v>
          </cell>
          <cell r="H186" t="str">
            <v>0,00</v>
          </cell>
          <cell r="I186">
            <v>0.01</v>
          </cell>
          <cell r="J186">
            <v>-0.01</v>
          </cell>
        </row>
        <row r="187">
          <cell r="A187" t="str">
            <v>1.1.1.3.01.001625</v>
          </cell>
          <cell r="B187" t="str">
            <v>LOCACOES PRUDENTE LTDA</v>
          </cell>
          <cell r="C187" t="str">
            <v>185.691,82</v>
          </cell>
          <cell r="D187" t="str">
            <v>180.070,09</v>
          </cell>
          <cell r="E187" t="str">
            <v>0,00</v>
          </cell>
          <cell r="F187" t="str">
            <v>1.873,91</v>
          </cell>
          <cell r="G187" t="str">
            <v>3.747,82</v>
          </cell>
          <cell r="H187" t="str">
            <v>0,00</v>
          </cell>
          <cell r="I187">
            <v>3747.82</v>
          </cell>
          <cell r="J187">
            <v>-3747.82</v>
          </cell>
        </row>
        <row r="188">
          <cell r="A188" t="str">
            <v>1.1.1.3.01.001632</v>
          </cell>
          <cell r="B188" t="str">
            <v>JOAO NUNES VIEIRA TRANSPORTES E LOCACOES</v>
          </cell>
          <cell r="C188" t="str">
            <v>195.053,74</v>
          </cell>
          <cell r="D188" t="str">
            <v>192.053,68</v>
          </cell>
          <cell r="E188" t="str">
            <v>0,00</v>
          </cell>
          <cell r="F188" t="str">
            <v>3.000,06</v>
          </cell>
          <cell r="G188" t="str">
            <v>0,00</v>
          </cell>
          <cell r="H188" t="str">
            <v>0,00</v>
          </cell>
          <cell r="I188">
            <v>0</v>
          </cell>
          <cell r="J188">
            <v>0</v>
          </cell>
        </row>
        <row r="189">
          <cell r="A189" t="str">
            <v>1.1.1.3.01.001634</v>
          </cell>
          <cell r="B189" t="str">
            <v>IND DE MARMORES E GRANITO PEDRA DO FRADE</v>
          </cell>
          <cell r="C189" t="str">
            <v>2.435.099,94</v>
          </cell>
          <cell r="D189" t="str">
            <v>2.158.443,73</v>
          </cell>
          <cell r="E189" t="str">
            <v>365.947,47</v>
          </cell>
          <cell r="F189" t="str">
            <v>85.079,07</v>
          </cell>
          <cell r="G189" t="str">
            <v>557.524,61</v>
          </cell>
          <cell r="H189" t="str">
            <v>0,00</v>
          </cell>
          <cell r="I189">
            <v>557524.61</v>
          </cell>
          <cell r="J189">
            <v>-557524.61</v>
          </cell>
        </row>
        <row r="190">
          <cell r="A190" t="str">
            <v>1.1.1.3.01.001635</v>
          </cell>
          <cell r="B190" t="str">
            <v>JDK CONSTRUCOES LTDA</v>
          </cell>
          <cell r="C190" t="str">
            <v>49.833,34</v>
          </cell>
          <cell r="D190" t="str">
            <v>49.320,78</v>
          </cell>
          <cell r="E190" t="str">
            <v>0,00</v>
          </cell>
          <cell r="F190" t="str">
            <v>0,00</v>
          </cell>
          <cell r="G190" t="str">
            <v>512,56</v>
          </cell>
          <cell r="H190" t="str">
            <v>0,00</v>
          </cell>
          <cell r="I190">
            <v>512.55999999999995</v>
          </cell>
          <cell r="J190">
            <v>-512.55999999999995</v>
          </cell>
        </row>
        <row r="191">
          <cell r="A191" t="str">
            <v>1.1.1.3.01.001641</v>
          </cell>
          <cell r="B191" t="str">
            <v>FLACAR LOC MAQ E SERV P/ CONSTRUCAO LTDA</v>
          </cell>
          <cell r="C191" t="str">
            <v>506.946,69</v>
          </cell>
          <cell r="D191" t="str">
            <v>482.446,69</v>
          </cell>
          <cell r="E191" t="str">
            <v>0,00</v>
          </cell>
          <cell r="F191" t="str">
            <v>13.250,00</v>
          </cell>
          <cell r="G191" t="str">
            <v>11.250,00</v>
          </cell>
          <cell r="H191" t="str">
            <v>0,00</v>
          </cell>
          <cell r="I191">
            <v>11250</v>
          </cell>
          <cell r="J191">
            <v>-11250</v>
          </cell>
        </row>
        <row r="192">
          <cell r="A192" t="str">
            <v>1.1.1.3.01.001652</v>
          </cell>
          <cell r="B192" t="str">
            <v>VERTICE CORTES DEMOLICOES E LOCACOES LTD</v>
          </cell>
          <cell r="C192" t="str">
            <v>312.661,58</v>
          </cell>
          <cell r="D192" t="str">
            <v>309.471,74</v>
          </cell>
          <cell r="E192" t="str">
            <v>0,00</v>
          </cell>
          <cell r="F192" t="str">
            <v>0,00</v>
          </cell>
          <cell r="G192" t="str">
            <v>3.189,84</v>
          </cell>
          <cell r="H192" t="str">
            <v>0,00</v>
          </cell>
          <cell r="I192">
            <v>3189.84</v>
          </cell>
          <cell r="J192">
            <v>-3189.84</v>
          </cell>
        </row>
        <row r="193">
          <cell r="A193" t="str">
            <v>1.1.1.3.01.001655</v>
          </cell>
          <cell r="B193" t="str">
            <v>SUCATAS ORLANDO DALMOLIN LTDA</v>
          </cell>
          <cell r="C193" t="str">
            <v>1.639.940,85</v>
          </cell>
          <cell r="D193" t="str">
            <v>1.639.940,85</v>
          </cell>
          <cell r="E193" t="str">
            <v>67.282,61</v>
          </cell>
          <cell r="F193" t="str">
            <v>0,00</v>
          </cell>
          <cell r="G193" t="str">
            <v>67.282,61</v>
          </cell>
          <cell r="H193" t="str">
            <v>0,00</v>
          </cell>
          <cell r="I193">
            <v>67282.61</v>
          </cell>
          <cell r="J193">
            <v>-67282.61</v>
          </cell>
        </row>
        <row r="194">
          <cell r="A194" t="str">
            <v>1.1.1.3.01.001658</v>
          </cell>
          <cell r="B194" t="str">
            <v>VERSATIL RENTAL E PECAS LTDA</v>
          </cell>
          <cell r="C194" t="str">
            <v>158.813,17</v>
          </cell>
          <cell r="D194" t="str">
            <v>101.813,17</v>
          </cell>
          <cell r="E194" t="str">
            <v>0,00</v>
          </cell>
          <cell r="F194" t="str">
            <v>11.400,00</v>
          </cell>
          <cell r="G194" t="str">
            <v>45.600,00</v>
          </cell>
          <cell r="H194" t="str">
            <v>0,00</v>
          </cell>
          <cell r="I194">
            <v>45600</v>
          </cell>
          <cell r="J194">
            <v>-45600</v>
          </cell>
        </row>
        <row r="195">
          <cell r="A195" t="str">
            <v>1.1.1.3.01.001667</v>
          </cell>
          <cell r="B195" t="str">
            <v>SET LININGS P/ MONTAGEM INDUSTRIAL LTDA</v>
          </cell>
          <cell r="C195" t="str">
            <v>365.937,33</v>
          </cell>
          <cell r="D195" t="str">
            <v>365.025,37</v>
          </cell>
          <cell r="E195" t="str">
            <v>0,00</v>
          </cell>
          <cell r="F195" t="str">
            <v>0,00</v>
          </cell>
          <cell r="G195" t="str">
            <v>911,96</v>
          </cell>
          <cell r="H195" t="str">
            <v>0,00</v>
          </cell>
          <cell r="I195">
            <v>911.96</v>
          </cell>
          <cell r="J195">
            <v>-911.96</v>
          </cell>
        </row>
        <row r="196">
          <cell r="A196" t="str">
            <v>1.1.1.3.01.001673</v>
          </cell>
          <cell r="B196" t="str">
            <v>J M C MARMOREBEGE LTDA</v>
          </cell>
          <cell r="C196" t="str">
            <v>834.731,08</v>
          </cell>
          <cell r="D196" t="str">
            <v>582.918,26</v>
          </cell>
          <cell r="E196" t="str">
            <v>50.000,00</v>
          </cell>
          <cell r="F196" t="str">
            <v>10.254,91</v>
          </cell>
          <cell r="G196" t="str">
            <v>291.557,91</v>
          </cell>
          <cell r="H196" t="str">
            <v>0,00</v>
          </cell>
          <cell r="I196">
            <v>291557.90999999997</v>
          </cell>
          <cell r="J196">
            <v>-291557.90999999997</v>
          </cell>
        </row>
        <row r="197">
          <cell r="A197" t="str">
            <v>1.1.1.3.01.001677</v>
          </cell>
          <cell r="B197" t="str">
            <v>EMERICK STONES LTDA</v>
          </cell>
          <cell r="C197" t="str">
            <v>5.457.085,53</v>
          </cell>
          <cell r="D197" t="str">
            <v>5.022.729,02</v>
          </cell>
          <cell r="E197" t="str">
            <v>0,00</v>
          </cell>
          <cell r="F197" t="str">
            <v>0,00</v>
          </cell>
          <cell r="G197" t="str">
            <v>434.356,51</v>
          </cell>
          <cell r="H197" t="str">
            <v>0,00</v>
          </cell>
          <cell r="I197">
            <v>434356.51</v>
          </cell>
          <cell r="J197">
            <v>-434356.51</v>
          </cell>
        </row>
        <row r="198">
          <cell r="A198" t="str">
            <v>1.1.1.3.01.001680</v>
          </cell>
          <cell r="B198" t="str">
            <v>BRUMAGRAN PEDRAS ORNAMENTAIS LTDA</v>
          </cell>
          <cell r="C198" t="str">
            <v>3.123.958,73</v>
          </cell>
          <cell r="D198" t="str">
            <v>1.423.958,73</v>
          </cell>
          <cell r="E198" t="str">
            <v>0,00</v>
          </cell>
          <cell r="F198" t="str">
            <v>50.000,00</v>
          </cell>
          <cell r="G198" t="str">
            <v>1.650.000,00</v>
          </cell>
          <cell r="H198" t="str">
            <v>0,00</v>
          </cell>
          <cell r="I198">
            <v>1650000</v>
          </cell>
          <cell r="J198">
            <v>-1650000</v>
          </cell>
        </row>
        <row r="199">
          <cell r="A199" t="str">
            <v>1.1.1.3.01.001682</v>
          </cell>
          <cell r="B199" t="str">
            <v>ODILON LUIZ TUMELERO</v>
          </cell>
          <cell r="C199" t="str">
            <v>40.669,36</v>
          </cell>
          <cell r="D199" t="str">
            <v>42.978,25</v>
          </cell>
          <cell r="E199" t="str">
            <v>0,00</v>
          </cell>
          <cell r="F199" t="str">
            <v>0,00</v>
          </cell>
          <cell r="G199" t="str">
            <v>0,00</v>
          </cell>
          <cell r="H199" t="str">
            <v>2.308,89</v>
          </cell>
          <cell r="I199">
            <v>-2308.89</v>
          </cell>
          <cell r="J199">
            <v>4617.78</v>
          </cell>
        </row>
        <row r="200">
          <cell r="A200" t="str">
            <v>1.1.1.3.01.001684</v>
          </cell>
          <cell r="B200" t="str">
            <v>OZA ROCHAS DO BRASIL LTDA</v>
          </cell>
          <cell r="C200" t="str">
            <v>2.799.983,40</v>
          </cell>
          <cell r="D200" t="str">
            <v>2.229.983,40</v>
          </cell>
          <cell r="E200" t="str">
            <v>1.158,52</v>
          </cell>
          <cell r="F200" t="str">
            <v>50.000,00</v>
          </cell>
          <cell r="G200" t="str">
            <v>521.158,52</v>
          </cell>
          <cell r="H200" t="str">
            <v>0,00</v>
          </cell>
          <cell r="I200">
            <v>521158.52</v>
          </cell>
          <cell r="J200">
            <v>-521158.52</v>
          </cell>
        </row>
        <row r="201">
          <cell r="A201" t="str">
            <v>1.1.1.3.01.001691</v>
          </cell>
          <cell r="B201" t="str">
            <v>SARKIS MINERACAO LTDA</v>
          </cell>
          <cell r="C201" t="str">
            <v>1.065.910,96</v>
          </cell>
          <cell r="D201" t="str">
            <v>1.060.798,30</v>
          </cell>
          <cell r="E201" t="str">
            <v>6.899,37</v>
          </cell>
          <cell r="F201" t="str">
            <v>5.112,66</v>
          </cell>
          <cell r="G201" t="str">
            <v>6.899,37</v>
          </cell>
          <cell r="H201" t="str">
            <v>0,00</v>
          </cell>
          <cell r="I201">
            <v>6899.37</v>
          </cell>
          <cell r="J201">
            <v>-6899.37</v>
          </cell>
        </row>
        <row r="202">
          <cell r="A202" t="str">
            <v>1.1.1.3.01.001702</v>
          </cell>
          <cell r="B202" t="str">
            <v>HIDRAULICA CEARENSE SERVICO E MANUTENCAO</v>
          </cell>
          <cell r="C202" t="str">
            <v>9.637,31</v>
          </cell>
          <cell r="D202" t="str">
            <v>7.750,79</v>
          </cell>
          <cell r="E202" t="str">
            <v>0,00</v>
          </cell>
          <cell r="F202" t="str">
            <v>0,00</v>
          </cell>
          <cell r="G202" t="str">
            <v>1.886,52</v>
          </cell>
          <cell r="H202" t="str">
            <v>0,00</v>
          </cell>
          <cell r="I202">
            <v>1886.52</v>
          </cell>
          <cell r="J202">
            <v>-1886.52</v>
          </cell>
        </row>
        <row r="203">
          <cell r="A203" t="str">
            <v>1.1.1.3.01.001723</v>
          </cell>
          <cell r="B203" t="str">
            <v>TT COM. AREIA E BRITA E SERV. SOLDA LTDA</v>
          </cell>
          <cell r="C203" t="str">
            <v>743.736,61</v>
          </cell>
          <cell r="D203" t="str">
            <v>735.884,79</v>
          </cell>
          <cell r="E203" t="str">
            <v>0,00</v>
          </cell>
          <cell r="F203" t="str">
            <v>1.867,50</v>
          </cell>
          <cell r="G203" t="str">
            <v>5.984,32</v>
          </cell>
          <cell r="H203" t="str">
            <v>0,00</v>
          </cell>
          <cell r="I203">
            <v>5984.32</v>
          </cell>
          <cell r="J203">
            <v>-5984.32</v>
          </cell>
        </row>
        <row r="204">
          <cell r="A204" t="str">
            <v>1.1.1.3.01.001736</v>
          </cell>
          <cell r="B204" t="str">
            <v>GRAMAZINI MINERACAO LTDA</v>
          </cell>
          <cell r="C204" t="str">
            <v>493.397,84</v>
          </cell>
          <cell r="D204" t="str">
            <v>481.900,02</v>
          </cell>
          <cell r="E204" t="str">
            <v>2.302,62</v>
          </cell>
          <cell r="F204" t="str">
            <v>4.658,25</v>
          </cell>
          <cell r="G204" t="str">
            <v>9.142,19</v>
          </cell>
          <cell r="H204" t="str">
            <v>0,00</v>
          </cell>
          <cell r="I204">
            <v>9142.19</v>
          </cell>
          <cell r="J204">
            <v>-9142.19</v>
          </cell>
        </row>
        <row r="205">
          <cell r="A205" t="str">
            <v>1.1.1.3.01.001738</v>
          </cell>
          <cell r="B205" t="str">
            <v>GRAMAZINI GRANITOS E MARMORES THOMAZINI</v>
          </cell>
          <cell r="C205" t="str">
            <v>5.545.734,33</v>
          </cell>
          <cell r="D205" t="str">
            <v>5.072.762,97</v>
          </cell>
          <cell r="E205" t="str">
            <v>74.800,00</v>
          </cell>
          <cell r="F205" t="str">
            <v>92.553,39</v>
          </cell>
          <cell r="G205" t="str">
            <v>455.217,97</v>
          </cell>
          <cell r="H205" t="str">
            <v>0,00</v>
          </cell>
          <cell r="I205">
            <v>455217.97</v>
          </cell>
          <cell r="J205">
            <v>-455217.97</v>
          </cell>
        </row>
        <row r="206">
          <cell r="A206" t="str">
            <v>1.1.1.3.01.001739</v>
          </cell>
          <cell r="B206" t="str">
            <v>DEILTON DANIEL DOS SANTOS DEMOLIDORA</v>
          </cell>
          <cell r="C206" t="str">
            <v>295.454,27</v>
          </cell>
          <cell r="D206" t="str">
            <v>323.454,27</v>
          </cell>
          <cell r="E206" t="str">
            <v>0,00</v>
          </cell>
          <cell r="F206" t="str">
            <v>0,00</v>
          </cell>
          <cell r="G206" t="str">
            <v>0,00</v>
          </cell>
          <cell r="H206" t="str">
            <v>28.000,00</v>
          </cell>
          <cell r="I206">
            <v>-28000</v>
          </cell>
          <cell r="J206">
            <v>56000</v>
          </cell>
        </row>
        <row r="207">
          <cell r="A207" t="str">
            <v>1.1.1.3.01.001753</v>
          </cell>
          <cell r="B207" t="str">
            <v>MINERACAO BONINAL LTDA</v>
          </cell>
          <cell r="C207" t="str">
            <v>1.243.574,20</v>
          </cell>
          <cell r="D207" t="str">
            <v>1.046.574,20</v>
          </cell>
          <cell r="E207" t="str">
            <v>0,00</v>
          </cell>
          <cell r="F207" t="str">
            <v>18.500,00</v>
          </cell>
          <cell r="G207" t="str">
            <v>178.500,00</v>
          </cell>
          <cell r="H207" t="str">
            <v>0,00</v>
          </cell>
          <cell r="I207">
            <v>178500</v>
          </cell>
          <cell r="J207">
            <v>-178500</v>
          </cell>
        </row>
        <row r="208">
          <cell r="A208" t="str">
            <v>1.1.1.3.01.001763</v>
          </cell>
          <cell r="B208" t="str">
            <v>R.E.D. GRANITI MINERACAO LTDA</v>
          </cell>
          <cell r="C208" t="str">
            <v>198.859,53</v>
          </cell>
          <cell r="D208" t="str">
            <v>183.059,53</v>
          </cell>
          <cell r="E208" t="str">
            <v>0,00</v>
          </cell>
          <cell r="F208" t="str">
            <v>0,00</v>
          </cell>
          <cell r="G208" t="str">
            <v>15.800,00</v>
          </cell>
          <cell r="H208" t="str">
            <v>0,00</v>
          </cell>
          <cell r="I208">
            <v>15800</v>
          </cell>
          <cell r="J208">
            <v>-15800</v>
          </cell>
        </row>
        <row r="209">
          <cell r="A209" t="str">
            <v>1.1.1.3.01.001771</v>
          </cell>
          <cell r="B209" t="str">
            <v>MINERACAO SAO JORGE LTDA</v>
          </cell>
          <cell r="C209" t="str">
            <v>423.968,01</v>
          </cell>
          <cell r="D209" t="str">
            <v>402.353,86</v>
          </cell>
          <cell r="E209" t="str">
            <v>0,00</v>
          </cell>
          <cell r="F209" t="str">
            <v>15.145,87</v>
          </cell>
          <cell r="G209" t="str">
            <v>6.468,28</v>
          </cell>
          <cell r="H209" t="str">
            <v>0,00</v>
          </cell>
          <cell r="I209">
            <v>6468.28</v>
          </cell>
          <cell r="J209">
            <v>-6468.28</v>
          </cell>
        </row>
        <row r="210">
          <cell r="A210" t="str">
            <v>1.1.1.3.01.001773</v>
          </cell>
          <cell r="B210" t="str">
            <v>MINERACAO BAHIA DE ROCHAS LTDA</v>
          </cell>
          <cell r="C210" t="str">
            <v>321.101,12</v>
          </cell>
          <cell r="D210" t="str">
            <v>320.579,93</v>
          </cell>
          <cell r="E210" t="str">
            <v>0,00</v>
          </cell>
          <cell r="F210" t="str">
            <v>0,00</v>
          </cell>
          <cell r="G210" t="str">
            <v>521,19</v>
          </cell>
          <cell r="H210" t="str">
            <v>0,00</v>
          </cell>
          <cell r="I210">
            <v>521.19000000000005</v>
          </cell>
          <cell r="J210">
            <v>-521.19000000000005</v>
          </cell>
        </row>
        <row r="211">
          <cell r="A211" t="str">
            <v>1.1.1.3.01.001774</v>
          </cell>
          <cell r="B211" t="str">
            <v>BRITACET BRITA COMERCIO E TRANSPORTE LTD</v>
          </cell>
          <cell r="C211" t="str">
            <v>1.186.062,77</v>
          </cell>
          <cell r="D211" t="str">
            <v>1.181.802,77</v>
          </cell>
          <cell r="E211" t="str">
            <v>0,00</v>
          </cell>
          <cell r="F211" t="str">
            <v>2.130,00</v>
          </cell>
          <cell r="G211" t="str">
            <v>2.130,00</v>
          </cell>
          <cell r="H211" t="str">
            <v>0,00</v>
          </cell>
          <cell r="I211">
            <v>2130</v>
          </cell>
          <cell r="J211">
            <v>-2130</v>
          </cell>
        </row>
        <row r="212">
          <cell r="A212" t="str">
            <v>1.1.1.3.01.001775</v>
          </cell>
          <cell r="B212" t="str">
            <v>CRISTALGRAN MARMORES E GRANITOS LTDA</v>
          </cell>
          <cell r="C212" t="str">
            <v>1.701.223,94</v>
          </cell>
          <cell r="D212" t="str">
            <v>1.699.725,87</v>
          </cell>
          <cell r="E212" t="str">
            <v>0,00</v>
          </cell>
          <cell r="F212" t="str">
            <v>1.242,69</v>
          </cell>
          <cell r="G212" t="str">
            <v>255,38</v>
          </cell>
          <cell r="H212" t="str">
            <v>0,00</v>
          </cell>
          <cell r="I212">
            <v>255.38</v>
          </cell>
          <cell r="J212">
            <v>-255.38</v>
          </cell>
        </row>
        <row r="213">
          <cell r="A213" t="str">
            <v>1.1.1.3.01.001776</v>
          </cell>
          <cell r="B213" t="str">
            <v>TOTAL STONE DO BRASIL LTDA</v>
          </cell>
          <cell r="C213" t="str">
            <v>2.163.550,74</v>
          </cell>
          <cell r="D213" t="str">
            <v>2.097.550,74</v>
          </cell>
          <cell r="E213" t="str">
            <v>0,00</v>
          </cell>
          <cell r="F213" t="str">
            <v>11.000,00</v>
          </cell>
          <cell r="G213" t="str">
            <v>55.000,00</v>
          </cell>
          <cell r="H213" t="str">
            <v>0,00</v>
          </cell>
          <cell r="I213">
            <v>55000</v>
          </cell>
          <cell r="J213">
            <v>-55000</v>
          </cell>
        </row>
        <row r="214">
          <cell r="A214" t="str">
            <v>1.1.1.3.01.001778</v>
          </cell>
          <cell r="B214" t="str">
            <v>FER-ALVAREZ PRODUTOS SIDERURGICOS INDUST</v>
          </cell>
          <cell r="C214" t="str">
            <v>629.415,00</v>
          </cell>
          <cell r="D214" t="str">
            <v>511.941,97</v>
          </cell>
          <cell r="E214" t="str">
            <v>24.833,00</v>
          </cell>
          <cell r="F214" t="str">
            <v>24.204,50</v>
          </cell>
          <cell r="G214" t="str">
            <v>118.101,53</v>
          </cell>
          <cell r="H214" t="str">
            <v>0,00</v>
          </cell>
          <cell r="I214">
            <v>118101.53</v>
          </cell>
          <cell r="J214">
            <v>-118101.53</v>
          </cell>
        </row>
        <row r="215">
          <cell r="A215" t="str">
            <v>1.1.1.3.01.001782</v>
          </cell>
          <cell r="B215" t="str">
            <v>MINERACAO RIO BAUNILHA LTDA</v>
          </cell>
          <cell r="C215" t="str">
            <v>135.418,24</v>
          </cell>
          <cell r="D215" t="str">
            <v>134.175,55</v>
          </cell>
          <cell r="E215" t="str">
            <v>0,00</v>
          </cell>
          <cell r="F215" t="str">
            <v>1.242,69</v>
          </cell>
          <cell r="G215" t="str">
            <v>0,00</v>
          </cell>
          <cell r="H215" t="str">
            <v>0,00</v>
          </cell>
          <cell r="I215">
            <v>0</v>
          </cell>
          <cell r="J215">
            <v>0</v>
          </cell>
        </row>
        <row r="216">
          <cell r="A216" t="str">
            <v>1.1.1.3.01.001806</v>
          </cell>
          <cell r="B216" t="str">
            <v>GRUPO RIBEIRO ENGENHARIA E COMERCIO LTDA</v>
          </cell>
          <cell r="C216" t="str">
            <v>486.795,75</v>
          </cell>
          <cell r="D216" t="str">
            <v>480.195,74</v>
          </cell>
          <cell r="E216" t="str">
            <v>0,00</v>
          </cell>
          <cell r="F216" t="str">
            <v>0,00</v>
          </cell>
          <cell r="G216" t="str">
            <v>6.600,01</v>
          </cell>
          <cell r="H216" t="str">
            <v>0,00</v>
          </cell>
          <cell r="I216">
            <v>6600.01</v>
          </cell>
          <cell r="J216">
            <v>-6600.01</v>
          </cell>
        </row>
        <row r="217">
          <cell r="A217" t="str">
            <v>1.1.1.3.01.001809</v>
          </cell>
          <cell r="B217" t="str">
            <v>CESCONETTO IND E COM DE ALIMENTOS LTDA</v>
          </cell>
          <cell r="C217" t="str">
            <v>22.968,35</v>
          </cell>
          <cell r="D217" t="str">
            <v>20.978,35</v>
          </cell>
          <cell r="E217" t="str">
            <v>0,00</v>
          </cell>
          <cell r="F217" t="str">
            <v>1.990,00</v>
          </cell>
          <cell r="G217" t="str">
            <v>0,00</v>
          </cell>
          <cell r="H217" t="str">
            <v>0,00</v>
          </cell>
          <cell r="I217">
            <v>0</v>
          </cell>
          <cell r="J217">
            <v>0</v>
          </cell>
        </row>
        <row r="218">
          <cell r="A218" t="str">
            <v>1.1.1.3.01.001833</v>
          </cell>
          <cell r="B218" t="str">
            <v>FLEX MINERACAO LTDA</v>
          </cell>
          <cell r="C218" t="str">
            <v>468.627,79</v>
          </cell>
          <cell r="D218" t="str">
            <v>103.627,79</v>
          </cell>
          <cell r="E218" t="str">
            <v>0,00</v>
          </cell>
          <cell r="F218" t="str">
            <v>102.200,00</v>
          </cell>
          <cell r="G218" t="str">
            <v>262.800,00</v>
          </cell>
          <cell r="H218" t="str">
            <v>0,00</v>
          </cell>
          <cell r="I218">
            <v>262800</v>
          </cell>
          <cell r="J218">
            <v>-262800</v>
          </cell>
        </row>
        <row r="219">
          <cell r="A219" t="str">
            <v>1.1.1.3.01.001837</v>
          </cell>
          <cell r="B219" t="str">
            <v>R DE L E SILVA DE OUROLANDIA</v>
          </cell>
          <cell r="C219" t="str">
            <v>5.834.918,55</v>
          </cell>
          <cell r="D219" t="str">
            <v>4.181.453,42</v>
          </cell>
          <cell r="E219" t="str">
            <v>7.384,84</v>
          </cell>
          <cell r="F219" t="str">
            <v>72.652,11</v>
          </cell>
          <cell r="G219" t="str">
            <v>1.588.197,86</v>
          </cell>
          <cell r="H219" t="str">
            <v>0,00</v>
          </cell>
          <cell r="I219">
            <v>1588197.86</v>
          </cell>
          <cell r="J219">
            <v>-1588197.86</v>
          </cell>
        </row>
        <row r="220">
          <cell r="A220" t="str">
            <v>1.1.1.3.01.001838</v>
          </cell>
          <cell r="B220" t="str">
            <v>ABILIO PEDRO INDUSTRIA E COMERCIO LTDA</v>
          </cell>
          <cell r="C220" t="str">
            <v>426.848,30</v>
          </cell>
          <cell r="D220" t="str">
            <v>425.793,42</v>
          </cell>
          <cell r="E220" t="str">
            <v>0,00</v>
          </cell>
          <cell r="F220" t="str">
            <v>1.054,88</v>
          </cell>
          <cell r="G220" t="str">
            <v>0,00</v>
          </cell>
          <cell r="H220" t="str">
            <v>0,00</v>
          </cell>
          <cell r="I220">
            <v>0</v>
          </cell>
          <cell r="J220">
            <v>0</v>
          </cell>
        </row>
        <row r="221">
          <cell r="A221" t="str">
            <v>1.1.1.3.01.001849</v>
          </cell>
          <cell r="B221" t="str">
            <v>ELITE ENGENHARIA LTDA</v>
          </cell>
          <cell r="C221" t="str">
            <v>66.517,74</v>
          </cell>
          <cell r="D221" t="str">
            <v>62.517,74</v>
          </cell>
          <cell r="E221" t="str">
            <v>1.296,88</v>
          </cell>
          <cell r="F221" t="str">
            <v>0,00</v>
          </cell>
          <cell r="G221" t="str">
            <v>5.296,88</v>
          </cell>
          <cell r="H221" t="str">
            <v>0,00</v>
          </cell>
          <cell r="I221">
            <v>5296.88</v>
          </cell>
          <cell r="J221">
            <v>-5296.88</v>
          </cell>
        </row>
        <row r="222">
          <cell r="A222" t="str">
            <v>1.1.1.3.01.001850</v>
          </cell>
          <cell r="B222" t="str">
            <v>MINERACAO TREMENDAL LTDA</v>
          </cell>
          <cell r="C222" t="str">
            <v>106.826,60</v>
          </cell>
          <cell r="D222" t="str">
            <v>26.826,60</v>
          </cell>
          <cell r="E222" t="str">
            <v>0,00</v>
          </cell>
          <cell r="F222" t="str">
            <v>80.000,00</v>
          </cell>
          <cell r="G222" t="str">
            <v>0,00</v>
          </cell>
          <cell r="H222" t="str">
            <v>0,00</v>
          </cell>
          <cell r="I222">
            <v>0</v>
          </cell>
          <cell r="J222">
            <v>0</v>
          </cell>
        </row>
        <row r="223">
          <cell r="A223" t="str">
            <v>1.1.1.3.01.001867</v>
          </cell>
          <cell r="B223" t="str">
            <v>ABRA COMERCIO DE PECAS E SERVICOS LTDA M</v>
          </cell>
          <cell r="C223" t="str">
            <v>0,00</v>
          </cell>
          <cell r="D223" t="str">
            <v>0,00</v>
          </cell>
          <cell r="E223" t="str">
            <v>4.999,79</v>
          </cell>
          <cell r="F223" t="str">
            <v>4.999,79</v>
          </cell>
          <cell r="G223" t="str">
            <v>0,00</v>
          </cell>
          <cell r="H223" t="str">
            <v>0,00</v>
          </cell>
          <cell r="I223">
            <v>0</v>
          </cell>
          <cell r="J223">
            <v>0</v>
          </cell>
        </row>
        <row r="224">
          <cell r="A224" t="str">
            <v>1.1.1.3.01.001896</v>
          </cell>
          <cell r="B224" t="str">
            <v>POLIMIX CONCRETO LTDA</v>
          </cell>
          <cell r="C224" t="str">
            <v>233.659,74</v>
          </cell>
          <cell r="D224" t="str">
            <v>231.034,65</v>
          </cell>
          <cell r="E224" t="str">
            <v>0,00</v>
          </cell>
          <cell r="F224" t="str">
            <v>2.625,09</v>
          </cell>
          <cell r="G224" t="str">
            <v>0,00</v>
          </cell>
          <cell r="H224" t="str">
            <v>0,00</v>
          </cell>
          <cell r="I224">
            <v>0</v>
          </cell>
          <cell r="J224">
            <v>0</v>
          </cell>
        </row>
        <row r="225">
          <cell r="A225" t="str">
            <v>1.1.1.3.01.001897</v>
          </cell>
          <cell r="B225" t="str">
            <v>M.S.A INDUSTRIA DE PEDRAS EIRELI - ME</v>
          </cell>
          <cell r="C225" t="str">
            <v>19.208,90</v>
          </cell>
          <cell r="D225" t="str">
            <v>18.302,58</v>
          </cell>
          <cell r="E225" t="str">
            <v>0,00</v>
          </cell>
          <cell r="F225" t="str">
            <v>0,00</v>
          </cell>
          <cell r="G225" t="str">
            <v>906,32</v>
          </cell>
          <cell r="H225" t="str">
            <v>0,00</v>
          </cell>
          <cell r="I225">
            <v>906.32</v>
          </cell>
          <cell r="J225">
            <v>-906.32</v>
          </cell>
        </row>
        <row r="226">
          <cell r="A226" t="str">
            <v>1.1.1.3.01.001915</v>
          </cell>
          <cell r="B226" t="str">
            <v>BRIX MINERACAO DO BRASIL LTDA</v>
          </cell>
          <cell r="C226" t="str">
            <v>3.385.968,15</v>
          </cell>
          <cell r="D226" t="str">
            <v>3.408.928,15</v>
          </cell>
          <cell r="E226" t="str">
            <v>0,00</v>
          </cell>
          <cell r="F226" t="str">
            <v>0,00</v>
          </cell>
          <cell r="G226" t="str">
            <v>0,00</v>
          </cell>
          <cell r="H226" t="str">
            <v>22.960,00</v>
          </cell>
          <cell r="I226">
            <v>-22960</v>
          </cell>
          <cell r="J226">
            <v>45920</v>
          </cell>
        </row>
        <row r="227">
          <cell r="A227" t="str">
            <v>1.1.1.3.01.001918</v>
          </cell>
          <cell r="B227" t="str">
            <v>TERRA RICA - IND E COM DE CALCARIOS E FE</v>
          </cell>
          <cell r="C227" t="str">
            <v>483.281,72</v>
          </cell>
          <cell r="D227" t="str">
            <v>481.246,88</v>
          </cell>
          <cell r="E227" t="str">
            <v>0,00</v>
          </cell>
          <cell r="F227" t="str">
            <v>2.034,84</v>
          </cell>
          <cell r="G227" t="str">
            <v>0,00</v>
          </cell>
          <cell r="H227" t="str">
            <v>0,00</v>
          </cell>
          <cell r="I227">
            <v>0</v>
          </cell>
          <cell r="J227">
            <v>0</v>
          </cell>
        </row>
        <row r="228">
          <cell r="A228" t="str">
            <v>1.1.1.3.01.001924</v>
          </cell>
          <cell r="B228" t="str">
            <v>CIA DE FERRO LIGAS BA - FAZ. IPUEIRA</v>
          </cell>
          <cell r="C228" t="str">
            <v>109.059,30</v>
          </cell>
          <cell r="D228" t="str">
            <v>41.796,10</v>
          </cell>
          <cell r="E228" t="str">
            <v>14.906,91</v>
          </cell>
          <cell r="F228" t="str">
            <v>28.000,00</v>
          </cell>
          <cell r="G228" t="str">
            <v>54.170,11</v>
          </cell>
          <cell r="H228" t="str">
            <v>0,00</v>
          </cell>
          <cell r="I228">
            <v>54170.11</v>
          </cell>
          <cell r="J228">
            <v>-54170.11</v>
          </cell>
        </row>
        <row r="229">
          <cell r="A229" t="str">
            <v>1.1.1.3.01.001938</v>
          </cell>
          <cell r="B229" t="str">
            <v>RUBEMAR LOC. DE MAQUINAS E SERVICOS LTDA</v>
          </cell>
          <cell r="C229" t="str">
            <v>92.746,81</v>
          </cell>
          <cell r="D229" t="str">
            <v>101.746,81</v>
          </cell>
          <cell r="E229" t="str">
            <v>0,00</v>
          </cell>
          <cell r="F229" t="str">
            <v>0,00</v>
          </cell>
          <cell r="G229" t="str">
            <v>0,00</v>
          </cell>
          <cell r="H229" t="str">
            <v>9.000,00</v>
          </cell>
          <cell r="I229">
            <v>-9000</v>
          </cell>
          <cell r="J229">
            <v>18000</v>
          </cell>
        </row>
        <row r="230">
          <cell r="A230" t="str">
            <v>1.1.1.3.01.001939</v>
          </cell>
          <cell r="B230" t="str">
            <v>C S PRESTACAO DE SERVICOS DE TERRAPLENAG</v>
          </cell>
          <cell r="C230" t="str">
            <v>139.400,00</v>
          </cell>
          <cell r="D230" t="str">
            <v>139.400,00</v>
          </cell>
          <cell r="E230" t="str">
            <v>3.370,64</v>
          </cell>
          <cell r="F230" t="str">
            <v>0,00</v>
          </cell>
          <cell r="G230" t="str">
            <v>3.370,64</v>
          </cell>
          <cell r="H230" t="str">
            <v>0,00</v>
          </cell>
          <cell r="I230">
            <v>3370.64</v>
          </cell>
          <cell r="J230">
            <v>-3370.64</v>
          </cell>
        </row>
        <row r="231">
          <cell r="A231" t="str">
            <v>1.1.1.3.01.001958</v>
          </cell>
          <cell r="B231" t="str">
            <v>J. SIQUEIRA AGUIAR</v>
          </cell>
          <cell r="C231" t="str">
            <v>296.207,99</v>
          </cell>
          <cell r="D231" t="str">
            <v>209.208,00</v>
          </cell>
          <cell r="E231" t="str">
            <v>0,00</v>
          </cell>
          <cell r="F231" t="str">
            <v>14.500,00</v>
          </cell>
          <cell r="G231" t="str">
            <v>72.499,99</v>
          </cell>
          <cell r="H231" t="str">
            <v>0,00</v>
          </cell>
          <cell r="I231">
            <v>72499.990000000005</v>
          </cell>
          <cell r="J231">
            <v>-72499.990000000005</v>
          </cell>
        </row>
        <row r="232">
          <cell r="A232" t="str">
            <v>1.1.1.3.01.001960</v>
          </cell>
          <cell r="B232" t="str">
            <v>DEMOLIDORA DIEZ LTDA</v>
          </cell>
          <cell r="C232" t="str">
            <v>604.231,85</v>
          </cell>
          <cell r="D232" t="str">
            <v>592.083,92</v>
          </cell>
          <cell r="E232" t="str">
            <v>0,00</v>
          </cell>
          <cell r="F232" t="str">
            <v>6.504,09</v>
          </cell>
          <cell r="G232" t="str">
            <v>5.643,84</v>
          </cell>
          <cell r="H232" t="str">
            <v>0,00</v>
          </cell>
          <cell r="I232">
            <v>5643.84</v>
          </cell>
          <cell r="J232">
            <v>-5643.84</v>
          </cell>
        </row>
        <row r="233">
          <cell r="A233" t="str">
            <v>1.1.1.3.01.001964</v>
          </cell>
          <cell r="B233" t="str">
            <v>INTERVALES MINERIOS LTDA</v>
          </cell>
          <cell r="C233" t="str">
            <v>821.129,29</v>
          </cell>
          <cell r="D233" t="str">
            <v>819.470,50</v>
          </cell>
          <cell r="E233" t="str">
            <v>0,00</v>
          </cell>
          <cell r="F233" t="str">
            <v>1.658,79</v>
          </cell>
          <cell r="G233" t="str">
            <v>0,00</v>
          </cell>
          <cell r="H233" t="str">
            <v>0,00</v>
          </cell>
          <cell r="I233">
            <v>0</v>
          </cell>
          <cell r="J233">
            <v>0</v>
          </cell>
        </row>
        <row r="234">
          <cell r="A234" t="str">
            <v>1.1.1.3.01.001974</v>
          </cell>
          <cell r="B234" t="str">
            <v>IMIGRAN GRANITOS LTDA</v>
          </cell>
          <cell r="C234" t="str">
            <v>207.987,70</v>
          </cell>
          <cell r="D234" t="str">
            <v>202.987,70</v>
          </cell>
          <cell r="E234" t="str">
            <v>0,00</v>
          </cell>
          <cell r="F234" t="str">
            <v>5.000,00</v>
          </cell>
          <cell r="G234" t="str">
            <v>0,00</v>
          </cell>
          <cell r="H234" t="str">
            <v>0,00</v>
          </cell>
          <cell r="I234">
            <v>0</v>
          </cell>
          <cell r="J234">
            <v>0</v>
          </cell>
        </row>
        <row r="235">
          <cell r="A235" t="str">
            <v>1.1.1.3.01.001987</v>
          </cell>
          <cell r="B235" t="str">
            <v>FAZENDA BRASILEIRO DESENV. MINERAL LTDA</v>
          </cell>
          <cell r="C235" t="str">
            <v>1.643.549,28</v>
          </cell>
          <cell r="D235" t="str">
            <v>1.600.875,81</v>
          </cell>
          <cell r="E235" t="str">
            <v>0,00</v>
          </cell>
          <cell r="F235" t="str">
            <v>0,00</v>
          </cell>
          <cell r="G235" t="str">
            <v>42.673,47</v>
          </cell>
          <cell r="H235" t="str">
            <v>0,00</v>
          </cell>
          <cell r="I235">
            <v>42673.47</v>
          </cell>
          <cell r="J235">
            <v>-42673.47</v>
          </cell>
        </row>
        <row r="236">
          <cell r="A236" t="str">
            <v>1.1.1.3.01.001988</v>
          </cell>
          <cell r="B236" t="str">
            <v>FF EQUIPAMENTOS E SERVICOS LTDA</v>
          </cell>
          <cell r="C236" t="str">
            <v>933.649,04</v>
          </cell>
          <cell r="D236" t="str">
            <v>888.638,79</v>
          </cell>
          <cell r="E236" t="str">
            <v>31.846,43</v>
          </cell>
          <cell r="F236" t="str">
            <v>18.964,36</v>
          </cell>
          <cell r="G236" t="str">
            <v>57.892,32</v>
          </cell>
          <cell r="H236" t="str">
            <v>0,00</v>
          </cell>
          <cell r="I236">
            <v>57892.32</v>
          </cell>
          <cell r="J236">
            <v>-57892.32</v>
          </cell>
        </row>
        <row r="237">
          <cell r="A237" t="str">
            <v>1.1.1.3.01.001989</v>
          </cell>
          <cell r="B237" t="str">
            <v>GRANORTE COMERCIO DE GRANITOS LTDA</v>
          </cell>
          <cell r="C237" t="str">
            <v>840.674,17</v>
          </cell>
          <cell r="D237" t="str">
            <v>841.043,15</v>
          </cell>
          <cell r="E237" t="str">
            <v>0,00</v>
          </cell>
          <cell r="F237" t="str">
            <v>0,00</v>
          </cell>
          <cell r="G237" t="str">
            <v>0,00</v>
          </cell>
          <cell r="H237" t="str">
            <v>368,98</v>
          </cell>
          <cell r="I237">
            <v>-368.98</v>
          </cell>
          <cell r="J237">
            <v>737.96</v>
          </cell>
        </row>
        <row r="238">
          <cell r="A238" t="str">
            <v>1.1.1.3.01.002003</v>
          </cell>
          <cell r="B238" t="str">
            <v>MARBTA MINERIOS ITAOCA LTDA</v>
          </cell>
          <cell r="C238" t="str">
            <v>264.599,00</v>
          </cell>
          <cell r="D238" t="str">
            <v>263.647,77</v>
          </cell>
          <cell r="E238" t="str">
            <v>1.197,32</v>
          </cell>
          <cell r="F238" t="str">
            <v>475,62</v>
          </cell>
          <cell r="G238" t="str">
            <v>1.672,93</v>
          </cell>
          <cell r="H238" t="str">
            <v>0,00</v>
          </cell>
          <cell r="I238">
            <v>1672.93</v>
          </cell>
          <cell r="J238">
            <v>-1672.93</v>
          </cell>
        </row>
        <row r="239">
          <cell r="A239" t="str">
            <v>1.1.1.3.01.002013</v>
          </cell>
          <cell r="B239" t="str">
            <v>TERRA RICA IND. E COM. DE CALC. E FERT.</v>
          </cell>
          <cell r="C239" t="str">
            <v>1.241.772,59</v>
          </cell>
          <cell r="D239" t="str">
            <v>1.202.587,06</v>
          </cell>
          <cell r="E239" t="str">
            <v>9.535,79</v>
          </cell>
          <cell r="F239" t="str">
            <v>11.225,53</v>
          </cell>
          <cell r="G239" t="str">
            <v>37.495,79</v>
          </cell>
          <cell r="H239" t="str">
            <v>0,00</v>
          </cell>
          <cell r="I239">
            <v>37495.79</v>
          </cell>
          <cell r="J239">
            <v>-37495.79</v>
          </cell>
        </row>
        <row r="240">
          <cell r="A240" t="str">
            <v>1.1.1.3.01.002027</v>
          </cell>
          <cell r="B240" t="str">
            <v>MINERACAO ECOLOGICA LTDA</v>
          </cell>
          <cell r="C240" t="str">
            <v>84.281,28</v>
          </cell>
          <cell r="D240" t="str">
            <v>84.281,28</v>
          </cell>
          <cell r="E240" t="str">
            <v>1.367,09</v>
          </cell>
          <cell r="F240" t="str">
            <v>0,00</v>
          </cell>
          <cell r="G240" t="str">
            <v>1.367,09</v>
          </cell>
          <cell r="H240" t="str">
            <v>0,00</v>
          </cell>
          <cell r="I240">
            <v>1367.09</v>
          </cell>
          <cell r="J240">
            <v>-1367.09</v>
          </cell>
        </row>
        <row r="241">
          <cell r="A241" t="str">
            <v>1.1.1.3.01.002047</v>
          </cell>
          <cell r="B241" t="str">
            <v>TRANSBAL TRANSPORTES LOCACAO E CONSULTOR</v>
          </cell>
          <cell r="C241" t="str">
            <v>64.851,28</v>
          </cell>
          <cell r="D241" t="str">
            <v>63.552,97</v>
          </cell>
          <cell r="E241" t="str">
            <v>0,00</v>
          </cell>
          <cell r="F241" t="str">
            <v>0,00</v>
          </cell>
          <cell r="G241" t="str">
            <v>1.298,31</v>
          </cell>
          <cell r="H241" t="str">
            <v>0,00</v>
          </cell>
          <cell r="I241">
            <v>1298.31</v>
          </cell>
          <cell r="J241">
            <v>-1298.31</v>
          </cell>
        </row>
        <row r="242">
          <cell r="A242" t="str">
            <v>1.1.1.3.01.002053</v>
          </cell>
          <cell r="B242" t="str">
            <v>USINA SAO JOAO LTDA</v>
          </cell>
          <cell r="C242" t="str">
            <v>4.468,26</v>
          </cell>
          <cell r="D242" t="str">
            <v>4.468,26</v>
          </cell>
          <cell r="E242" t="str">
            <v>4.261,26</v>
          </cell>
          <cell r="F242" t="str">
            <v>0,00</v>
          </cell>
          <cell r="G242" t="str">
            <v>4.261,26</v>
          </cell>
          <cell r="H242" t="str">
            <v>0,00</v>
          </cell>
          <cell r="I242">
            <v>4261.26</v>
          </cell>
          <cell r="J242">
            <v>-4261.26</v>
          </cell>
        </row>
        <row r="243">
          <cell r="A243" t="str">
            <v>1.1.1.3.01.002054</v>
          </cell>
          <cell r="B243" t="str">
            <v>NOROMIX CONCRETO S/A</v>
          </cell>
          <cell r="C243" t="str">
            <v>183.990,35</v>
          </cell>
          <cell r="D243" t="str">
            <v>186.807,37</v>
          </cell>
          <cell r="E243" t="str">
            <v>0,00</v>
          </cell>
          <cell r="F243" t="str">
            <v>0,00</v>
          </cell>
          <cell r="G243" t="str">
            <v>0,00</v>
          </cell>
          <cell r="H243" t="str">
            <v>2.817,02</v>
          </cell>
          <cell r="I243">
            <v>-2817.02</v>
          </cell>
          <cell r="J243">
            <v>5634.04</v>
          </cell>
        </row>
        <row r="244">
          <cell r="A244" t="str">
            <v>1.1.1.3.01.002055</v>
          </cell>
          <cell r="B244" t="str">
            <v>JW DEMOLIDORA E CONSTRUTORA LTDA</v>
          </cell>
          <cell r="C244" t="str">
            <v>517.705,38</v>
          </cell>
          <cell r="D244" t="str">
            <v>517.705,38</v>
          </cell>
          <cell r="E244" t="str">
            <v>1.191,85</v>
          </cell>
          <cell r="F244" t="str">
            <v>0,00</v>
          </cell>
          <cell r="G244" t="str">
            <v>1.191,85</v>
          </cell>
          <cell r="H244" t="str">
            <v>0,00</v>
          </cell>
          <cell r="I244">
            <v>1191.8499999999999</v>
          </cell>
          <cell r="J244">
            <v>-1191.8499999999999</v>
          </cell>
        </row>
        <row r="245">
          <cell r="A245" t="str">
            <v>1.1.1.3.01.002066</v>
          </cell>
          <cell r="B245" t="str">
            <v>CHAVES S.A MINERACAO E INDUSTRIA</v>
          </cell>
          <cell r="C245" t="str">
            <v>66.773,74</v>
          </cell>
          <cell r="D245" t="str">
            <v>59.994,76</v>
          </cell>
          <cell r="E245" t="str">
            <v>0,00</v>
          </cell>
          <cell r="F245" t="str">
            <v>1.355,80</v>
          </cell>
          <cell r="G245" t="str">
            <v>5.423,18</v>
          </cell>
          <cell r="H245" t="str">
            <v>0,00</v>
          </cell>
          <cell r="I245">
            <v>5423.18</v>
          </cell>
          <cell r="J245">
            <v>-5423.18</v>
          </cell>
        </row>
        <row r="246">
          <cell r="A246" t="str">
            <v>1.1.1.3.01.002069</v>
          </cell>
          <cell r="B246" t="str">
            <v>COMIL COTAXE MINERACAO LTDA</v>
          </cell>
          <cell r="C246" t="str">
            <v>434.500,00</v>
          </cell>
          <cell r="D246" t="str">
            <v>132.499,40</v>
          </cell>
          <cell r="E246" t="str">
            <v>0,00</v>
          </cell>
          <cell r="F246" t="str">
            <v>57.333,88</v>
          </cell>
          <cell r="G246" t="str">
            <v>244.666,72</v>
          </cell>
          <cell r="H246" t="str">
            <v>0,00</v>
          </cell>
          <cell r="I246">
            <v>244666.72</v>
          </cell>
          <cell r="J246">
            <v>-244666.72</v>
          </cell>
        </row>
        <row r="247">
          <cell r="A247" t="str">
            <v>1.1.1.3.01.002071</v>
          </cell>
          <cell r="B247" t="str">
            <v>DEMOLIDORA E MADEIREIRA OTABOL LTDA</v>
          </cell>
          <cell r="C247" t="str">
            <v>3.056.347,81</v>
          </cell>
          <cell r="D247" t="str">
            <v>2.985.847,82</v>
          </cell>
          <cell r="E247" t="str">
            <v>2.259,88</v>
          </cell>
          <cell r="F247" t="str">
            <v>16.499,99</v>
          </cell>
          <cell r="G247" t="str">
            <v>56.259,88</v>
          </cell>
          <cell r="H247" t="str">
            <v>0,00</v>
          </cell>
          <cell r="I247">
            <v>56259.88</v>
          </cell>
          <cell r="J247">
            <v>-56259.88</v>
          </cell>
        </row>
        <row r="248">
          <cell r="A248" t="str">
            <v>1.1.1.3.01.002074</v>
          </cell>
          <cell r="B248" t="str">
            <v>H R LOCACOES E TERRAPLANAGEM LTDA</v>
          </cell>
          <cell r="C248" t="str">
            <v>667.062,41</v>
          </cell>
          <cell r="D248" t="str">
            <v>653.479,00</v>
          </cell>
          <cell r="E248" t="str">
            <v>0,00</v>
          </cell>
          <cell r="F248" t="str">
            <v>7.829,49</v>
          </cell>
          <cell r="G248" t="str">
            <v>5.753,92</v>
          </cell>
          <cell r="H248" t="str">
            <v>0,00</v>
          </cell>
          <cell r="I248">
            <v>5753.92</v>
          </cell>
          <cell r="J248">
            <v>-5753.92</v>
          </cell>
        </row>
        <row r="249">
          <cell r="A249" t="str">
            <v>1.1.1.3.01.002075</v>
          </cell>
          <cell r="B249" t="str">
            <v>SURFACE PEDRAS DO BRASIL EIRELI</v>
          </cell>
          <cell r="C249" t="str">
            <v>2.462.332,00</v>
          </cell>
          <cell r="D249" t="str">
            <v>62.332,00</v>
          </cell>
          <cell r="E249" t="str">
            <v>0,00</v>
          </cell>
          <cell r="F249" t="str">
            <v>63.888,88</v>
          </cell>
          <cell r="G249" t="str">
            <v>2.336.111,12</v>
          </cell>
          <cell r="H249" t="str">
            <v>0,00</v>
          </cell>
          <cell r="I249">
            <v>2336111.12</v>
          </cell>
          <cell r="J249">
            <v>-2336111.12</v>
          </cell>
        </row>
        <row r="250">
          <cell r="A250" t="str">
            <v>1.1.1.3.01.002080</v>
          </cell>
          <cell r="B250" t="str">
            <v>LOG ENGENHARIA LTDA</v>
          </cell>
          <cell r="C250" t="str">
            <v>149.175,65</v>
          </cell>
          <cell r="D250" t="str">
            <v>137.005,37</v>
          </cell>
          <cell r="E250" t="str">
            <v>0,00</v>
          </cell>
          <cell r="F250" t="str">
            <v>2.479,43</v>
          </cell>
          <cell r="G250" t="str">
            <v>9.690,85</v>
          </cell>
          <cell r="H250" t="str">
            <v>0,00</v>
          </cell>
          <cell r="I250">
            <v>9690.85</v>
          </cell>
          <cell r="J250">
            <v>-9690.85</v>
          </cell>
        </row>
        <row r="251">
          <cell r="A251" t="str">
            <v>1.1.1.3.01.002081</v>
          </cell>
          <cell r="B251" t="str">
            <v>A. MOREIRA DA SILVA TERRAPLENAGEM LTDA</v>
          </cell>
          <cell r="C251" t="str">
            <v>154.485,02</v>
          </cell>
          <cell r="D251" t="str">
            <v>151.009,19</v>
          </cell>
          <cell r="E251" t="str">
            <v>3.419,53</v>
          </cell>
          <cell r="F251" t="str">
            <v>0,00</v>
          </cell>
          <cell r="G251" t="str">
            <v>6.895,36</v>
          </cell>
          <cell r="H251" t="str">
            <v>0,00</v>
          </cell>
          <cell r="I251">
            <v>6895.36</v>
          </cell>
          <cell r="J251">
            <v>-6895.36</v>
          </cell>
        </row>
        <row r="252">
          <cell r="A252" t="str">
            <v>1.1.1.3.01.002085</v>
          </cell>
          <cell r="B252" t="str">
            <v>MINERACAO CARAIBA S/A</v>
          </cell>
          <cell r="C252" t="str">
            <v>603.395,13</v>
          </cell>
          <cell r="D252" t="str">
            <v>584.581,90</v>
          </cell>
          <cell r="E252" t="str">
            <v>0,00</v>
          </cell>
          <cell r="F252" t="str">
            <v>0,00</v>
          </cell>
          <cell r="G252" t="str">
            <v>18.813,23</v>
          </cell>
          <cell r="H252" t="str">
            <v>0,00</v>
          </cell>
          <cell r="I252">
            <v>18813.23</v>
          </cell>
          <cell r="J252">
            <v>-18813.23</v>
          </cell>
        </row>
        <row r="253">
          <cell r="A253" t="str">
            <v>1.1.1.3.01.002089</v>
          </cell>
          <cell r="B253" t="str">
            <v>POLIMIX CONCRETO LTDA</v>
          </cell>
          <cell r="C253" t="str">
            <v>287.064,89</v>
          </cell>
          <cell r="D253" t="str">
            <v>282.606,36</v>
          </cell>
          <cell r="E253" t="str">
            <v>0,00</v>
          </cell>
          <cell r="F253" t="str">
            <v>0,00</v>
          </cell>
          <cell r="G253" t="str">
            <v>4.458,53</v>
          </cell>
          <cell r="H253" t="str">
            <v>0,00</v>
          </cell>
          <cell r="I253">
            <v>4458.53</v>
          </cell>
          <cell r="J253">
            <v>-4458.53</v>
          </cell>
        </row>
        <row r="254">
          <cell r="A254" t="str">
            <v>1.1.1.3.01.002092</v>
          </cell>
          <cell r="B254" t="str">
            <v>EMPRESA DE MINERACAO BRANCO MOURA LTDA</v>
          </cell>
          <cell r="C254" t="str">
            <v>384.650,60</v>
          </cell>
          <cell r="D254" t="str">
            <v>384.085,72</v>
          </cell>
          <cell r="E254" t="str">
            <v>0,00</v>
          </cell>
          <cell r="F254" t="str">
            <v>564,88</v>
          </cell>
          <cell r="G254" t="str">
            <v>0,00</v>
          </cell>
          <cell r="H254" t="str">
            <v>0,00</v>
          </cell>
          <cell r="I254">
            <v>0</v>
          </cell>
          <cell r="J254">
            <v>0</v>
          </cell>
        </row>
        <row r="255">
          <cell r="A255" t="str">
            <v>1.1.1.3.01.002096</v>
          </cell>
          <cell r="B255" t="str">
            <v>FUSAO LIGAS COMERCIO E INDUSTRIA LTDA</v>
          </cell>
          <cell r="C255" t="str">
            <v>160.052,93</v>
          </cell>
          <cell r="D255" t="str">
            <v>158.962,16</v>
          </cell>
          <cell r="E255" t="str">
            <v>1.195,50</v>
          </cell>
          <cell r="F255" t="str">
            <v>545,39</v>
          </cell>
          <cell r="G255" t="str">
            <v>1.740,88</v>
          </cell>
          <cell r="H255" t="str">
            <v>0,00</v>
          </cell>
          <cell r="I255">
            <v>1740.88</v>
          </cell>
          <cell r="J255">
            <v>-1740.88</v>
          </cell>
        </row>
        <row r="256">
          <cell r="A256" t="str">
            <v>1.1.1.3.01.003003</v>
          </cell>
          <cell r="B256" t="str">
            <v>INTERNACIONALE GRANITE LTDA</v>
          </cell>
          <cell r="C256" t="str">
            <v>141.895,17</v>
          </cell>
          <cell r="D256" t="str">
            <v>141.895,17</v>
          </cell>
          <cell r="E256" t="str">
            <v>1.951,27</v>
          </cell>
          <cell r="F256" t="str">
            <v>0,00</v>
          </cell>
          <cell r="G256" t="str">
            <v>1.951,27</v>
          </cell>
          <cell r="H256" t="str">
            <v>0,00</v>
          </cell>
          <cell r="I256">
            <v>1951.27</v>
          </cell>
          <cell r="J256">
            <v>-1951.27</v>
          </cell>
        </row>
        <row r="257">
          <cell r="A257" t="str">
            <v>1.1.1.3.01.003010</v>
          </cell>
          <cell r="B257" t="str">
            <v>MOREIRA SILVA MINERACAO LTDA</v>
          </cell>
          <cell r="C257" t="str">
            <v>66.733,34</v>
          </cell>
          <cell r="D257" t="str">
            <v>65.483,34</v>
          </cell>
          <cell r="E257" t="str">
            <v>0,00</v>
          </cell>
          <cell r="F257" t="str">
            <v>0,00</v>
          </cell>
          <cell r="G257" t="str">
            <v>1.250,00</v>
          </cell>
          <cell r="H257" t="str">
            <v>0,00</v>
          </cell>
          <cell r="I257">
            <v>1250</v>
          </cell>
          <cell r="J257">
            <v>-1250</v>
          </cell>
        </row>
        <row r="258">
          <cell r="A258" t="str">
            <v>1.1.1.3.01.003018</v>
          </cell>
          <cell r="B258" t="str">
            <v>NORDESTE MINERACAO LTDA</v>
          </cell>
          <cell r="C258" t="str">
            <v>335.392,59</v>
          </cell>
          <cell r="D258" t="str">
            <v>335.392,59</v>
          </cell>
          <cell r="E258" t="str">
            <v>7.093,99</v>
          </cell>
          <cell r="F258" t="str">
            <v>7.093,99</v>
          </cell>
          <cell r="G258" t="str">
            <v>0,00</v>
          </cell>
          <cell r="H258" t="str">
            <v>0,00</v>
          </cell>
          <cell r="I258">
            <v>0</v>
          </cell>
          <cell r="J258">
            <v>0</v>
          </cell>
        </row>
        <row r="259">
          <cell r="A259" t="str">
            <v>1.1.1.3.01.003019</v>
          </cell>
          <cell r="B259" t="str">
            <v>A. F. MINERACAO - IND. E COMERCIO LTDA</v>
          </cell>
          <cell r="C259" t="str">
            <v>378.779,51</v>
          </cell>
          <cell r="D259" t="str">
            <v>376.943,86</v>
          </cell>
          <cell r="E259" t="str">
            <v>0,00</v>
          </cell>
          <cell r="F259" t="str">
            <v>1.835,65</v>
          </cell>
          <cell r="G259" t="str">
            <v>0,00</v>
          </cell>
          <cell r="H259" t="str">
            <v>0,00</v>
          </cell>
          <cell r="I259">
            <v>0</v>
          </cell>
          <cell r="J259">
            <v>0</v>
          </cell>
        </row>
        <row r="260">
          <cell r="A260" t="str">
            <v>1.1.1.3.01.003032</v>
          </cell>
          <cell r="B260" t="str">
            <v>ER ENGENHARIA E MINERACAO LTDA</v>
          </cell>
          <cell r="C260" t="str">
            <v>220.675,76</v>
          </cell>
          <cell r="D260" t="str">
            <v>223.988,74</v>
          </cell>
          <cell r="E260" t="str">
            <v>0,00</v>
          </cell>
          <cell r="F260" t="str">
            <v>0,00</v>
          </cell>
          <cell r="G260" t="str">
            <v>0,00</v>
          </cell>
          <cell r="H260" t="str">
            <v>3.312,98</v>
          </cell>
          <cell r="I260">
            <v>-3312.98</v>
          </cell>
          <cell r="J260">
            <v>6625.96</v>
          </cell>
        </row>
        <row r="261">
          <cell r="A261" t="str">
            <v>1.1.1.3.01.003035</v>
          </cell>
          <cell r="B261" t="str">
            <v>H T MAGALHAES TRANSPORTE E CONSTRUCAO</v>
          </cell>
          <cell r="C261" t="str">
            <v>103.492,09</v>
          </cell>
          <cell r="D261" t="str">
            <v>98.567,96</v>
          </cell>
          <cell r="E261" t="str">
            <v>0,00</v>
          </cell>
          <cell r="F261" t="str">
            <v>0,00</v>
          </cell>
          <cell r="G261" t="str">
            <v>4.924,13</v>
          </cell>
          <cell r="H261" t="str">
            <v>0,00</v>
          </cell>
          <cell r="I261">
            <v>4924.13</v>
          </cell>
          <cell r="J261">
            <v>-4924.13</v>
          </cell>
        </row>
        <row r="262">
          <cell r="A262" t="str">
            <v>1.1.1.3.01.003037</v>
          </cell>
          <cell r="B262" t="str">
            <v>LED ENGENHARIA E SINALIZACAO LTDA</v>
          </cell>
          <cell r="C262" t="str">
            <v>101.401,16</v>
          </cell>
          <cell r="D262" t="str">
            <v>89.501,17</v>
          </cell>
          <cell r="E262" t="str">
            <v>0,00</v>
          </cell>
          <cell r="F262" t="str">
            <v>3.966,67</v>
          </cell>
          <cell r="G262" t="str">
            <v>7.933,32</v>
          </cell>
          <cell r="H262" t="str">
            <v>0,00</v>
          </cell>
          <cell r="I262">
            <v>7933.32</v>
          </cell>
          <cell r="J262">
            <v>-7933.32</v>
          </cell>
        </row>
        <row r="263">
          <cell r="A263" t="str">
            <v>1.1.1.3.01.003039</v>
          </cell>
          <cell r="B263" t="str">
            <v>STONE QUARTZ LTDA</v>
          </cell>
          <cell r="C263" t="str">
            <v>105.000,00</v>
          </cell>
          <cell r="D263" t="str">
            <v>101.000,00</v>
          </cell>
          <cell r="E263" t="str">
            <v>0,00</v>
          </cell>
          <cell r="F263" t="str">
            <v>0,00</v>
          </cell>
          <cell r="G263" t="str">
            <v>4.000,00</v>
          </cell>
          <cell r="H263" t="str">
            <v>0,00</v>
          </cell>
          <cell r="I263">
            <v>4000</v>
          </cell>
          <cell r="J263">
            <v>-4000</v>
          </cell>
        </row>
        <row r="264">
          <cell r="A264" t="str">
            <v>1.1.1.3.01.003230</v>
          </cell>
          <cell r="B264" t="str">
            <v>DIAMANTINA MINERACAO E CIA LTDA</v>
          </cell>
          <cell r="C264" t="str">
            <v>859.216,94</v>
          </cell>
          <cell r="D264" t="str">
            <v>858.645,50</v>
          </cell>
          <cell r="E264" t="str">
            <v>0,00</v>
          </cell>
          <cell r="F264" t="str">
            <v>0,00</v>
          </cell>
          <cell r="G264" t="str">
            <v>571,44</v>
          </cell>
          <cell r="H264" t="str">
            <v>0,00</v>
          </cell>
          <cell r="I264">
            <v>571.44000000000005</v>
          </cell>
          <cell r="J264">
            <v>-571.44000000000005</v>
          </cell>
        </row>
        <row r="265">
          <cell r="A265" t="str">
            <v>1.1.1.3.01.003237</v>
          </cell>
          <cell r="B265" t="str">
            <v>DEMOLIDORA UNIAO E RENTAL LTDA</v>
          </cell>
          <cell r="C265" t="str">
            <v>1.113.508,28</v>
          </cell>
          <cell r="D265" t="str">
            <v>842.303,30</v>
          </cell>
          <cell r="E265" t="str">
            <v>0,00</v>
          </cell>
          <cell r="F265" t="str">
            <v>11.467,91</v>
          </cell>
          <cell r="G265" t="str">
            <v>259.737,07</v>
          </cell>
          <cell r="H265" t="str">
            <v>0,00</v>
          </cell>
          <cell r="I265">
            <v>259737.07</v>
          </cell>
          <cell r="J265">
            <v>-259737.07</v>
          </cell>
        </row>
        <row r="266">
          <cell r="A266" t="str">
            <v>1.1.1.3.01.003249</v>
          </cell>
          <cell r="B266" t="str">
            <v>CALCARIO MILENIUM LTDA</v>
          </cell>
          <cell r="C266" t="str">
            <v>392.166,52</v>
          </cell>
          <cell r="D266" t="str">
            <v>413.766,52</v>
          </cell>
          <cell r="E266" t="str">
            <v>0,00</v>
          </cell>
          <cell r="F266" t="str">
            <v>0,00</v>
          </cell>
          <cell r="G266" t="str">
            <v>0,00</v>
          </cell>
          <cell r="H266" t="str">
            <v>21.600,00</v>
          </cell>
          <cell r="I266">
            <v>-21600</v>
          </cell>
          <cell r="J266">
            <v>43200</v>
          </cell>
        </row>
        <row r="267">
          <cell r="A267" t="str">
            <v>1.1.1.3.01.003264</v>
          </cell>
          <cell r="B267" t="str">
            <v>SERVMINA - ENG. MINERAL E AMBIENTAL LTDA</v>
          </cell>
          <cell r="C267" t="str">
            <v>186.430,00</v>
          </cell>
          <cell r="D267" t="str">
            <v>183.117,82</v>
          </cell>
          <cell r="E267" t="str">
            <v>0,00</v>
          </cell>
          <cell r="F267" t="str">
            <v>1.656,09</v>
          </cell>
          <cell r="G267" t="str">
            <v>1.656,09</v>
          </cell>
          <cell r="H267" t="str">
            <v>0,00</v>
          </cell>
          <cell r="I267">
            <v>1656.09</v>
          </cell>
          <cell r="J267">
            <v>-1656.09</v>
          </cell>
        </row>
        <row r="268">
          <cell r="A268" t="str">
            <v>1.1.1.3.01.003265</v>
          </cell>
          <cell r="B268" t="str">
            <v>MINERACAO VISTA LINDA LTDA</v>
          </cell>
          <cell r="C268" t="str">
            <v>71.661,25</v>
          </cell>
          <cell r="D268" t="str">
            <v>71.802,62</v>
          </cell>
          <cell r="E268" t="str">
            <v>0,00</v>
          </cell>
          <cell r="F268" t="str">
            <v>0,00</v>
          </cell>
          <cell r="G268" t="str">
            <v>0,00</v>
          </cell>
          <cell r="H268" t="str">
            <v>141,37</v>
          </cell>
          <cell r="I268">
            <v>-141.37</v>
          </cell>
          <cell r="J268">
            <v>282.74</v>
          </cell>
        </row>
        <row r="269">
          <cell r="A269" t="str">
            <v>1.1.1.3.01.003266</v>
          </cell>
          <cell r="B269" t="str">
            <v>SODALITA MINERACAO LTDA</v>
          </cell>
          <cell r="C269" t="str">
            <v>564.642,69</v>
          </cell>
          <cell r="D269" t="str">
            <v>564.242,69</v>
          </cell>
          <cell r="E269" t="str">
            <v>0,00</v>
          </cell>
          <cell r="F269" t="str">
            <v>0,00</v>
          </cell>
          <cell r="G269" t="str">
            <v>400,00</v>
          </cell>
          <cell r="H269" t="str">
            <v>0,00</v>
          </cell>
          <cell r="I269">
            <v>400</v>
          </cell>
          <cell r="J269">
            <v>-400</v>
          </cell>
        </row>
        <row r="270">
          <cell r="A270" t="str">
            <v>1.1.1.3.01.003271</v>
          </cell>
          <cell r="B270" t="str">
            <v>MOTRIZ ENGENHARIA E CONSTRUCOES LTDA</v>
          </cell>
          <cell r="C270" t="str">
            <v>299.013,63</v>
          </cell>
          <cell r="D270" t="str">
            <v>283.346,94</v>
          </cell>
          <cell r="E270" t="str">
            <v>0,00</v>
          </cell>
          <cell r="F270" t="str">
            <v>0,00</v>
          </cell>
          <cell r="G270" t="str">
            <v>15.666,69</v>
          </cell>
          <cell r="H270" t="str">
            <v>0,00</v>
          </cell>
          <cell r="I270">
            <v>15666.69</v>
          </cell>
          <cell r="J270">
            <v>-15666.69</v>
          </cell>
        </row>
        <row r="271">
          <cell r="A271" t="str">
            <v>1.1.1.3.01.003275</v>
          </cell>
          <cell r="B271" t="str">
            <v>POLIMIX CONCRETO LTDA</v>
          </cell>
          <cell r="C271" t="str">
            <v>249.080,07</v>
          </cell>
          <cell r="D271" t="str">
            <v>245.633,17</v>
          </cell>
          <cell r="E271" t="str">
            <v>0,00</v>
          </cell>
          <cell r="F271" t="str">
            <v>3.446,90</v>
          </cell>
          <cell r="G271" t="str">
            <v>0,00</v>
          </cell>
          <cell r="H271" t="str">
            <v>0,00</v>
          </cell>
          <cell r="I271">
            <v>0</v>
          </cell>
          <cell r="J271">
            <v>0</v>
          </cell>
        </row>
        <row r="272">
          <cell r="A272" t="str">
            <v>1.1.1.3.01.003295</v>
          </cell>
          <cell r="B272" t="str">
            <v>EMPRESA BAIANA DE ROCHAS LTDA</v>
          </cell>
          <cell r="C272" t="str">
            <v>50.455,00</v>
          </cell>
          <cell r="D272" t="str">
            <v>49.975,00</v>
          </cell>
          <cell r="E272" t="str">
            <v>0,00</v>
          </cell>
          <cell r="F272" t="str">
            <v>0,00</v>
          </cell>
          <cell r="G272" t="str">
            <v>480,00</v>
          </cell>
          <cell r="H272" t="str">
            <v>0,00</v>
          </cell>
          <cell r="I272">
            <v>480</v>
          </cell>
          <cell r="J272">
            <v>-480</v>
          </cell>
        </row>
        <row r="273">
          <cell r="A273" t="str">
            <v>1.1.1.3.01.003303</v>
          </cell>
          <cell r="B273" t="str">
            <v>ESCAD RENTAL LOCADORA DE EQUIPAMENTOS PA</v>
          </cell>
          <cell r="C273" t="str">
            <v>43.495,39</v>
          </cell>
          <cell r="D273" t="str">
            <v>43.895,59</v>
          </cell>
          <cell r="E273" t="str">
            <v>0,00</v>
          </cell>
          <cell r="F273" t="str">
            <v>0,00</v>
          </cell>
          <cell r="G273" t="str">
            <v>0,00</v>
          </cell>
          <cell r="H273" t="str">
            <v>400,20</v>
          </cell>
          <cell r="I273">
            <v>-400.2</v>
          </cell>
          <cell r="J273">
            <v>800.4</v>
          </cell>
        </row>
        <row r="274">
          <cell r="A274" t="str">
            <v>1.1.1.3.01.003306</v>
          </cell>
          <cell r="B274" t="str">
            <v>POLO SUL MARMORES LTDA</v>
          </cell>
          <cell r="C274" t="str">
            <v>448.253,40</v>
          </cell>
          <cell r="D274" t="str">
            <v>415.253,40</v>
          </cell>
          <cell r="E274" t="str">
            <v>0,00</v>
          </cell>
          <cell r="F274" t="str">
            <v>11.000,00</v>
          </cell>
          <cell r="G274" t="str">
            <v>22.000,00</v>
          </cell>
          <cell r="H274" t="str">
            <v>0,00</v>
          </cell>
          <cell r="I274">
            <v>22000</v>
          </cell>
          <cell r="J274">
            <v>-22000</v>
          </cell>
        </row>
        <row r="275">
          <cell r="A275" t="str">
            <v>1.1.1.3.01.003313</v>
          </cell>
          <cell r="B275" t="str">
            <v>GRAN DEUS ENGENHARIA MINERAL - EIRELI</v>
          </cell>
          <cell r="C275" t="str">
            <v>1.027.204,88</v>
          </cell>
          <cell r="D275" t="str">
            <v>842.204,87</v>
          </cell>
          <cell r="E275" t="str">
            <v>0,00</v>
          </cell>
          <cell r="F275" t="str">
            <v>10.000,00</v>
          </cell>
          <cell r="G275" t="str">
            <v>175.000,01</v>
          </cell>
          <cell r="H275" t="str">
            <v>0,00</v>
          </cell>
          <cell r="I275">
            <v>175000.01</v>
          </cell>
          <cell r="J275">
            <v>-175000.01</v>
          </cell>
        </row>
        <row r="276">
          <cell r="A276" t="str">
            <v>1.1.1.3.01.003316</v>
          </cell>
          <cell r="B276" t="str">
            <v>B F J LOC DE MAQ E OBRAS DE URBANIZACAO</v>
          </cell>
          <cell r="C276" t="str">
            <v>177.000,00</v>
          </cell>
          <cell r="D276" t="str">
            <v>96.537,00</v>
          </cell>
          <cell r="E276" t="str">
            <v>0,00</v>
          </cell>
          <cell r="F276" t="str">
            <v>0,00</v>
          </cell>
          <cell r="G276" t="str">
            <v>80.463,00</v>
          </cell>
          <cell r="H276" t="str">
            <v>0,00</v>
          </cell>
          <cell r="I276">
            <v>80463</v>
          </cell>
          <cell r="J276">
            <v>-80463</v>
          </cell>
        </row>
        <row r="277">
          <cell r="A277" t="str">
            <v>1.1.1.3.01.003321</v>
          </cell>
          <cell r="B277" t="str">
            <v>ROCHA &amp; CANGUSSU TERRAP E LOCACAO LTDA</v>
          </cell>
          <cell r="C277" t="str">
            <v>594.402,10</v>
          </cell>
          <cell r="D277" t="str">
            <v>559.546,59</v>
          </cell>
          <cell r="E277" t="str">
            <v>1.901,98</v>
          </cell>
          <cell r="F277" t="str">
            <v>8.719,54</v>
          </cell>
          <cell r="G277" t="str">
            <v>28.037,95</v>
          </cell>
          <cell r="H277" t="str">
            <v>0,00</v>
          </cell>
          <cell r="I277">
            <v>28037.95</v>
          </cell>
          <cell r="J277">
            <v>-28037.95</v>
          </cell>
        </row>
        <row r="278">
          <cell r="A278" t="str">
            <v>1.1.1.3.01.003337</v>
          </cell>
          <cell r="B278" t="str">
            <v>MINERACAO ECO BRASIL GRANITOS LTDA</v>
          </cell>
          <cell r="C278" t="str">
            <v>399.343,98</v>
          </cell>
          <cell r="D278" t="str">
            <v>389.343,98</v>
          </cell>
          <cell r="E278" t="str">
            <v>0,00</v>
          </cell>
          <cell r="F278" t="str">
            <v>0,00</v>
          </cell>
          <cell r="G278" t="str">
            <v>10.000,00</v>
          </cell>
          <cell r="H278" t="str">
            <v>0,00</v>
          </cell>
          <cell r="I278">
            <v>10000</v>
          </cell>
          <cell r="J278">
            <v>-10000</v>
          </cell>
        </row>
        <row r="279">
          <cell r="A279" t="str">
            <v>1.1.1.3.01.003338</v>
          </cell>
          <cell r="B279" t="str">
            <v>JMS CUNHA LOCAÇÃO DE MÁQUINAS E EQUIPA</v>
          </cell>
          <cell r="C279" t="str">
            <v>111.569,29</v>
          </cell>
          <cell r="D279" t="str">
            <v>111.569,29</v>
          </cell>
          <cell r="E279" t="str">
            <v>585,62</v>
          </cell>
          <cell r="F279" t="str">
            <v>0,00</v>
          </cell>
          <cell r="G279" t="str">
            <v>585,62</v>
          </cell>
          <cell r="H279" t="str">
            <v>0,00</v>
          </cell>
          <cell r="I279">
            <v>585.62</v>
          </cell>
          <cell r="J279">
            <v>-585.62</v>
          </cell>
        </row>
        <row r="280">
          <cell r="A280" t="str">
            <v>1.1.1.3.01.003355</v>
          </cell>
          <cell r="B280" t="str">
            <v>TERRAPLANAGEM PAULICEIA EIRELI</v>
          </cell>
          <cell r="C280" t="str">
            <v>121.427,53</v>
          </cell>
          <cell r="D280" t="str">
            <v>117.027,53</v>
          </cell>
          <cell r="E280" t="str">
            <v>0,00</v>
          </cell>
          <cell r="F280" t="str">
            <v>2.200,00</v>
          </cell>
          <cell r="G280" t="str">
            <v>2.200,00</v>
          </cell>
          <cell r="H280" t="str">
            <v>0,00</v>
          </cell>
          <cell r="I280">
            <v>2200</v>
          </cell>
          <cell r="J280">
            <v>-2200</v>
          </cell>
        </row>
        <row r="281">
          <cell r="A281" t="str">
            <v>1.1.1.3.01.003358</v>
          </cell>
          <cell r="B281" t="str">
            <v>GRANISTONE AMAZON MINERACAO LTDA</v>
          </cell>
          <cell r="C281" t="str">
            <v>1.317.110,45</v>
          </cell>
          <cell r="D281" t="str">
            <v>1.315.991,23</v>
          </cell>
          <cell r="E281" t="str">
            <v>0,00</v>
          </cell>
          <cell r="F281" t="str">
            <v>1.119,22</v>
          </cell>
          <cell r="G281" t="str">
            <v>0,00</v>
          </cell>
          <cell r="H281" t="str">
            <v>0,00</v>
          </cell>
          <cell r="I281">
            <v>0</v>
          </cell>
          <cell r="J281">
            <v>0</v>
          </cell>
        </row>
        <row r="282">
          <cell r="A282" t="str">
            <v>1.1.1.3.01.003363</v>
          </cell>
          <cell r="B282" t="str">
            <v>DUCA TERRAPLENAGEM E LOCACAO LTDA</v>
          </cell>
          <cell r="C282" t="str">
            <v>138.602,00</v>
          </cell>
          <cell r="D282" t="str">
            <v>131.602,00</v>
          </cell>
          <cell r="E282" t="str">
            <v>0,00</v>
          </cell>
          <cell r="F282" t="str">
            <v>0,00</v>
          </cell>
          <cell r="G282" t="str">
            <v>7.000,00</v>
          </cell>
          <cell r="H282" t="str">
            <v>0,00</v>
          </cell>
          <cell r="I282">
            <v>7000</v>
          </cell>
          <cell r="J282">
            <v>-7000</v>
          </cell>
        </row>
        <row r="283">
          <cell r="A283" t="str">
            <v>1.1.1.3.01.003364</v>
          </cell>
          <cell r="B283" t="str">
            <v>MINERACAO JAGUARARI LTDA</v>
          </cell>
          <cell r="C283" t="str">
            <v>1.038.490,04</v>
          </cell>
          <cell r="D283" t="str">
            <v>1.038.490,04</v>
          </cell>
          <cell r="E283" t="str">
            <v>10.000,00</v>
          </cell>
          <cell r="F283" t="str">
            <v>0,00</v>
          </cell>
          <cell r="G283" t="str">
            <v>10.000,00</v>
          </cell>
          <cell r="H283" t="str">
            <v>0,00</v>
          </cell>
          <cell r="I283">
            <v>10000</v>
          </cell>
          <cell r="J283">
            <v>-10000</v>
          </cell>
        </row>
        <row r="284">
          <cell r="A284" t="str">
            <v>1.1.1.3.01.003372</v>
          </cell>
          <cell r="B284" t="str">
            <v>A MADEIRA INDUSTRIA E COMERCIO LTDA</v>
          </cell>
          <cell r="C284" t="str">
            <v>374.324,26</v>
          </cell>
          <cell r="D284" t="str">
            <v>374.324,26</v>
          </cell>
          <cell r="E284" t="str">
            <v>12.138,18</v>
          </cell>
          <cell r="F284" t="str">
            <v>0,00</v>
          </cell>
          <cell r="G284" t="str">
            <v>12.138,18</v>
          </cell>
          <cell r="H284" t="str">
            <v>0,00</v>
          </cell>
          <cell r="I284">
            <v>12138.18</v>
          </cell>
          <cell r="J284">
            <v>-12138.18</v>
          </cell>
        </row>
        <row r="285">
          <cell r="A285" t="str">
            <v>1.1.1.3.01.003377</v>
          </cell>
          <cell r="B285" t="str">
            <v>JF PRODUTOS PARA MINERACAO LTDA</v>
          </cell>
          <cell r="C285" t="str">
            <v>57.762,28</v>
          </cell>
          <cell r="D285" t="str">
            <v>37.762,28</v>
          </cell>
          <cell r="E285" t="str">
            <v>0,00</v>
          </cell>
          <cell r="F285" t="str">
            <v>5.000,00</v>
          </cell>
          <cell r="G285" t="str">
            <v>15.000,00</v>
          </cell>
          <cell r="H285" t="str">
            <v>0,00</v>
          </cell>
          <cell r="I285">
            <v>15000</v>
          </cell>
          <cell r="J285">
            <v>-15000</v>
          </cell>
        </row>
        <row r="286">
          <cell r="A286" t="str">
            <v>1.1.1.3.01.003379</v>
          </cell>
          <cell r="B286" t="str">
            <v>PONCIANO SERV E LOCACAO DE MAQUINAS LTDA</v>
          </cell>
          <cell r="C286" t="str">
            <v>65.644,94</v>
          </cell>
          <cell r="D286" t="str">
            <v>65.644,94</v>
          </cell>
          <cell r="E286" t="str">
            <v>4.643,81</v>
          </cell>
          <cell r="F286" t="str">
            <v>1.772,62</v>
          </cell>
          <cell r="G286" t="str">
            <v>2.871,19</v>
          </cell>
          <cell r="H286" t="str">
            <v>0,00</v>
          </cell>
          <cell r="I286">
            <v>2871.19</v>
          </cell>
          <cell r="J286">
            <v>-2871.19</v>
          </cell>
        </row>
        <row r="287">
          <cell r="A287" t="str">
            <v>1.1.1.3.01.003383</v>
          </cell>
          <cell r="B287" t="str">
            <v>VITORIA MINING MINERACAO IMPORTACAO EXPO</v>
          </cell>
          <cell r="C287" t="str">
            <v>252.874,45</v>
          </cell>
          <cell r="D287" t="str">
            <v>250.504,42</v>
          </cell>
          <cell r="E287" t="str">
            <v>0,00</v>
          </cell>
          <cell r="F287" t="str">
            <v>2.370,03</v>
          </cell>
          <cell r="G287" t="str">
            <v>0,00</v>
          </cell>
          <cell r="H287" t="str">
            <v>0,00</v>
          </cell>
          <cell r="I287">
            <v>0</v>
          </cell>
          <cell r="J287">
            <v>0</v>
          </cell>
        </row>
        <row r="288">
          <cell r="A288" t="str">
            <v>1.1.1.3.01.003388</v>
          </cell>
          <cell r="B288" t="str">
            <v>RICARDO ARAUJO CARREIRO</v>
          </cell>
          <cell r="C288" t="str">
            <v>39.637,18</v>
          </cell>
          <cell r="D288" t="str">
            <v>39.637,18</v>
          </cell>
          <cell r="E288" t="str">
            <v>2.109,42</v>
          </cell>
          <cell r="F288" t="str">
            <v>0,00</v>
          </cell>
          <cell r="G288" t="str">
            <v>2.109,42</v>
          </cell>
          <cell r="H288" t="str">
            <v>0,00</v>
          </cell>
          <cell r="I288">
            <v>2109.42</v>
          </cell>
          <cell r="J288">
            <v>-2109.42</v>
          </cell>
        </row>
        <row r="289">
          <cell r="A289" t="str">
            <v>1.1.1.3.01.003400</v>
          </cell>
          <cell r="B289" t="str">
            <v>REISCON CONSTRUTORA E TERRAPLANAGEM LTDA</v>
          </cell>
          <cell r="C289" t="str">
            <v>129.486,79</v>
          </cell>
          <cell r="D289" t="str">
            <v>121.686,79</v>
          </cell>
          <cell r="E289" t="str">
            <v>0,00</v>
          </cell>
          <cell r="F289" t="str">
            <v>1.950,00</v>
          </cell>
          <cell r="G289" t="str">
            <v>5.850,00</v>
          </cell>
          <cell r="H289" t="str">
            <v>0,00</v>
          </cell>
          <cell r="I289">
            <v>5850</v>
          </cell>
          <cell r="J289">
            <v>-5850</v>
          </cell>
        </row>
        <row r="290">
          <cell r="A290" t="str">
            <v>1.1.1.3.01.003408</v>
          </cell>
          <cell r="B290" t="str">
            <v>SERRARIA DE MARMORE E GRANITO MIMOSO LTD</v>
          </cell>
          <cell r="C290" t="str">
            <v>160.019,36</v>
          </cell>
          <cell r="D290" t="str">
            <v>159.926,71</v>
          </cell>
          <cell r="E290" t="str">
            <v>0,00</v>
          </cell>
          <cell r="F290" t="str">
            <v>0,00</v>
          </cell>
          <cell r="G290" t="str">
            <v>92,65</v>
          </cell>
          <cell r="H290" t="str">
            <v>0,00</v>
          </cell>
          <cell r="I290">
            <v>92.65</v>
          </cell>
          <cell r="J290">
            <v>-92.65</v>
          </cell>
        </row>
        <row r="291">
          <cell r="A291" t="str">
            <v>1.1.1.3.01.003409</v>
          </cell>
          <cell r="B291" t="str">
            <v>PEDRA POLIDA MARMORE LTDA</v>
          </cell>
          <cell r="C291" t="str">
            <v>2.781.285,55</v>
          </cell>
          <cell r="D291" t="str">
            <v>357.285,55</v>
          </cell>
          <cell r="E291" t="str">
            <v>41.220,00</v>
          </cell>
          <cell r="F291" t="str">
            <v>165.440,00</v>
          </cell>
          <cell r="G291" t="str">
            <v>2.299.780,00</v>
          </cell>
          <cell r="H291" t="str">
            <v>0,00</v>
          </cell>
          <cell r="I291">
            <v>2299780</v>
          </cell>
          <cell r="J291">
            <v>-2299780</v>
          </cell>
        </row>
        <row r="292">
          <cell r="A292" t="str">
            <v>1.1.1.3.01.003410</v>
          </cell>
          <cell r="B292" t="str">
            <v>TERRAPLENAGEM EMA LTDA</v>
          </cell>
          <cell r="C292" t="str">
            <v>32.180,34</v>
          </cell>
          <cell r="D292" t="str">
            <v>32.180,34</v>
          </cell>
          <cell r="E292" t="str">
            <v>1.054,88</v>
          </cell>
          <cell r="F292" t="str">
            <v>0,00</v>
          </cell>
          <cell r="G292" t="str">
            <v>1.054,88</v>
          </cell>
          <cell r="H292" t="str">
            <v>0,00</v>
          </cell>
          <cell r="I292">
            <v>1054.8800000000001</v>
          </cell>
          <cell r="J292">
            <v>-1054.8800000000001</v>
          </cell>
        </row>
        <row r="293">
          <cell r="A293" t="str">
            <v>1.1.1.3.01.003420</v>
          </cell>
          <cell r="B293" t="str">
            <v>MINERACAO MARMO BIANCO LTDA</v>
          </cell>
          <cell r="C293" t="str">
            <v>183.203,94</v>
          </cell>
          <cell r="D293" t="str">
            <v>183.203,94</v>
          </cell>
          <cell r="E293" t="str">
            <v>5.497,84</v>
          </cell>
          <cell r="F293" t="str">
            <v>0,00</v>
          </cell>
          <cell r="G293" t="str">
            <v>5.497,84</v>
          </cell>
          <cell r="H293" t="str">
            <v>0,00</v>
          </cell>
          <cell r="I293">
            <v>5497.84</v>
          </cell>
          <cell r="J293">
            <v>-5497.84</v>
          </cell>
        </row>
        <row r="294">
          <cell r="A294" t="str">
            <v>1.1.1.3.01.003421</v>
          </cell>
          <cell r="B294" t="str">
            <v>SB PEDREIRA LTDA</v>
          </cell>
          <cell r="C294" t="str">
            <v>237.290,09</v>
          </cell>
          <cell r="D294" t="str">
            <v>234.829,39</v>
          </cell>
          <cell r="E294" t="str">
            <v>0,00</v>
          </cell>
          <cell r="F294" t="str">
            <v>1.530,35</v>
          </cell>
          <cell r="G294" t="str">
            <v>930,35</v>
          </cell>
          <cell r="H294" t="str">
            <v>0,00</v>
          </cell>
          <cell r="I294">
            <v>930.35</v>
          </cell>
          <cell r="J294">
            <v>-930.35</v>
          </cell>
        </row>
        <row r="295">
          <cell r="A295" t="str">
            <v>1.1.1.3.01.003422</v>
          </cell>
          <cell r="B295" t="str">
            <v>R G L TERRAPLENAGEM LOC. E TRANSP. LTDA</v>
          </cell>
          <cell r="C295" t="str">
            <v>484.388,23</v>
          </cell>
          <cell r="D295" t="str">
            <v>484.388,23</v>
          </cell>
          <cell r="E295" t="str">
            <v>5.335,84</v>
          </cell>
          <cell r="F295" t="str">
            <v>0,00</v>
          </cell>
          <cell r="G295" t="str">
            <v>5.335,84</v>
          </cell>
          <cell r="H295" t="str">
            <v>0,00</v>
          </cell>
          <cell r="I295">
            <v>5335.84</v>
          </cell>
          <cell r="J295">
            <v>-5335.84</v>
          </cell>
        </row>
        <row r="296">
          <cell r="A296" t="str">
            <v>1.1.1.3.01.003425</v>
          </cell>
          <cell r="B296" t="str">
            <v>ATENAS MINERACAO LTDA</v>
          </cell>
          <cell r="C296" t="str">
            <v>763.105,28</v>
          </cell>
          <cell r="D296" t="str">
            <v>763.045,28</v>
          </cell>
          <cell r="E296" t="str">
            <v>0,00</v>
          </cell>
          <cell r="F296" t="str">
            <v>0,00</v>
          </cell>
          <cell r="G296" t="str">
            <v>60,00</v>
          </cell>
          <cell r="H296" t="str">
            <v>0,00</v>
          </cell>
          <cell r="I296">
            <v>60</v>
          </cell>
          <cell r="J296">
            <v>-60</v>
          </cell>
        </row>
        <row r="297">
          <cell r="A297" t="str">
            <v>1.1.1.3.01.003429</v>
          </cell>
          <cell r="B297" t="str">
            <v>CALMAP INDUSTRIA DE CALCARIO LTDA</v>
          </cell>
          <cell r="C297" t="str">
            <v>341.282,49</v>
          </cell>
          <cell r="D297" t="str">
            <v>341.282,49</v>
          </cell>
          <cell r="E297" t="str">
            <v>10.213,89</v>
          </cell>
          <cell r="F297" t="str">
            <v>0,00</v>
          </cell>
          <cell r="G297" t="str">
            <v>10.213,89</v>
          </cell>
          <cell r="H297" t="str">
            <v>0,00</v>
          </cell>
          <cell r="I297">
            <v>10213.89</v>
          </cell>
          <cell r="J297">
            <v>-10213.89</v>
          </cell>
        </row>
        <row r="298">
          <cell r="A298" t="str">
            <v>1.1.1.3.01.003435</v>
          </cell>
          <cell r="B298" t="str">
            <v>BAYERL MARMORES E GRANITOS LTDA ME</v>
          </cell>
          <cell r="C298" t="str">
            <v>15.100,00</v>
          </cell>
          <cell r="D298" t="str">
            <v>22.900,00</v>
          </cell>
          <cell r="E298" t="str">
            <v>0,00</v>
          </cell>
          <cell r="F298" t="str">
            <v>0,00</v>
          </cell>
          <cell r="G298" t="str">
            <v>0,00</v>
          </cell>
          <cell r="H298" t="str">
            <v>7.800,00</v>
          </cell>
          <cell r="I298">
            <v>-7800</v>
          </cell>
          <cell r="J298">
            <v>15600</v>
          </cell>
        </row>
        <row r="299">
          <cell r="A299" t="str">
            <v>1.1.1.3.01.003439</v>
          </cell>
          <cell r="B299" t="str">
            <v>GRANFORT GRANITOS FORTALEZA LTDA</v>
          </cell>
          <cell r="C299" t="str">
            <v>704.462,03</v>
          </cell>
          <cell r="D299" t="str">
            <v>646.940,33</v>
          </cell>
          <cell r="E299" t="str">
            <v>4.400,80</v>
          </cell>
          <cell r="F299" t="str">
            <v>21.080,04</v>
          </cell>
          <cell r="G299" t="str">
            <v>40.842,46</v>
          </cell>
          <cell r="H299" t="str">
            <v>0,00</v>
          </cell>
          <cell r="I299">
            <v>40842.46</v>
          </cell>
          <cell r="J299">
            <v>-40842.46</v>
          </cell>
        </row>
        <row r="300">
          <cell r="A300" t="str">
            <v>1.1.1.3.01.003446</v>
          </cell>
          <cell r="B300" t="str">
            <v>POLIMIX CONCRETO LTDA</v>
          </cell>
          <cell r="C300" t="str">
            <v>293.534,07</v>
          </cell>
          <cell r="D300" t="str">
            <v>291.161,81</v>
          </cell>
          <cell r="E300" t="str">
            <v>0,00</v>
          </cell>
          <cell r="F300" t="str">
            <v>0,00</v>
          </cell>
          <cell r="G300" t="str">
            <v>2.372,26</v>
          </cell>
          <cell r="H300" t="str">
            <v>0,00</v>
          </cell>
          <cell r="I300">
            <v>2372.2600000000002</v>
          </cell>
          <cell r="J300">
            <v>-2372.2600000000002</v>
          </cell>
        </row>
        <row r="301">
          <cell r="A301" t="str">
            <v>1.1.1.3.01.003462</v>
          </cell>
          <cell r="B301" t="str">
            <v>YELLOW STONE MARMORES E GRANITOS DE EXP.</v>
          </cell>
          <cell r="C301" t="str">
            <v>480.000,00</v>
          </cell>
          <cell r="D301" t="str">
            <v>466.300,00</v>
          </cell>
          <cell r="E301" t="str">
            <v>0,00</v>
          </cell>
          <cell r="F301" t="str">
            <v>13.700,00</v>
          </cell>
          <cell r="G301" t="str">
            <v>0,00</v>
          </cell>
          <cell r="H301" t="str">
            <v>0,00</v>
          </cell>
          <cell r="I301">
            <v>0</v>
          </cell>
          <cell r="J301">
            <v>0</v>
          </cell>
        </row>
        <row r="302">
          <cell r="A302" t="str">
            <v>1.1.1.3.01.003467</v>
          </cell>
          <cell r="B302" t="str">
            <v>NORTEK CONSTRUCOES LTDA</v>
          </cell>
          <cell r="C302" t="str">
            <v>167.488,38</v>
          </cell>
          <cell r="D302" t="str">
            <v>136.387,80</v>
          </cell>
          <cell r="E302" t="str">
            <v>0,00</v>
          </cell>
          <cell r="F302" t="str">
            <v>5.183,43</v>
          </cell>
          <cell r="G302" t="str">
            <v>25.917,15</v>
          </cell>
          <cell r="H302" t="str">
            <v>0,00</v>
          </cell>
          <cell r="I302">
            <v>25917.15</v>
          </cell>
          <cell r="J302">
            <v>-25917.15</v>
          </cell>
        </row>
        <row r="303">
          <cell r="A303" t="str">
            <v>1.1.1.3.01.003478</v>
          </cell>
          <cell r="B303" t="str">
            <v>CONSTRUTORA MEGA COLINA LTDA</v>
          </cell>
          <cell r="C303" t="str">
            <v>43.000,00</v>
          </cell>
          <cell r="D303" t="str">
            <v>42.587,89</v>
          </cell>
          <cell r="E303" t="str">
            <v>0,00</v>
          </cell>
          <cell r="F303" t="str">
            <v>0,00</v>
          </cell>
          <cell r="G303" t="str">
            <v>412,11</v>
          </cell>
          <cell r="H303" t="str">
            <v>0,00</v>
          </cell>
          <cell r="I303">
            <v>412.11</v>
          </cell>
          <cell r="J303">
            <v>-412.11</v>
          </cell>
        </row>
        <row r="304">
          <cell r="A304" t="str">
            <v>1.1.1.3.01.003490</v>
          </cell>
          <cell r="B304" t="str">
            <v>CONSTRUTORA MOURA FERNANDES LTDA</v>
          </cell>
          <cell r="C304" t="str">
            <v>23.000,00</v>
          </cell>
          <cell r="D304" t="str">
            <v>22.500,00</v>
          </cell>
          <cell r="E304" t="str">
            <v>0,00</v>
          </cell>
          <cell r="F304" t="str">
            <v>0,00</v>
          </cell>
          <cell r="G304" t="str">
            <v>500,00</v>
          </cell>
          <cell r="H304" t="str">
            <v>0,00</v>
          </cell>
          <cell r="I304">
            <v>500</v>
          </cell>
          <cell r="J304">
            <v>-500</v>
          </cell>
        </row>
        <row r="305">
          <cell r="A305" t="str">
            <v>1.1.1.3.01.003491</v>
          </cell>
          <cell r="B305" t="str">
            <v>RUSTONN MINERACAO EIRELI</v>
          </cell>
          <cell r="C305" t="str">
            <v>589.824,98</v>
          </cell>
          <cell r="D305" t="str">
            <v>587.524,98</v>
          </cell>
          <cell r="E305" t="str">
            <v>0,00</v>
          </cell>
          <cell r="F305" t="str">
            <v>0,00</v>
          </cell>
          <cell r="G305" t="str">
            <v>2.300,00</v>
          </cell>
          <cell r="H305" t="str">
            <v>0,00</v>
          </cell>
          <cell r="I305">
            <v>2300</v>
          </cell>
          <cell r="J305">
            <v>-2300</v>
          </cell>
        </row>
        <row r="306">
          <cell r="A306" t="str">
            <v>1.1.1.3.01.003495</v>
          </cell>
          <cell r="B306" t="str">
            <v>COMERCIAL DIESEL TRANSP E TERRAPLANAGEM</v>
          </cell>
          <cell r="C306" t="str">
            <v>401.558,60</v>
          </cell>
          <cell r="D306" t="str">
            <v>400.944,57</v>
          </cell>
          <cell r="E306" t="str">
            <v>0,00</v>
          </cell>
          <cell r="F306" t="str">
            <v>0,00</v>
          </cell>
          <cell r="G306" t="str">
            <v>614,03</v>
          </cell>
          <cell r="H306" t="str">
            <v>0,00</v>
          </cell>
          <cell r="I306">
            <v>614.03</v>
          </cell>
          <cell r="J306">
            <v>-614.03</v>
          </cell>
        </row>
        <row r="307">
          <cell r="A307" t="str">
            <v>1.1.1.3.01.003501</v>
          </cell>
          <cell r="B307" t="str">
            <v>POLIMIX CONCRETO LTDA</v>
          </cell>
          <cell r="C307" t="str">
            <v>340.820,45</v>
          </cell>
          <cell r="D307" t="str">
            <v>344.587,60</v>
          </cell>
          <cell r="E307" t="str">
            <v>9.369,65</v>
          </cell>
          <cell r="F307" t="str">
            <v>0,00</v>
          </cell>
          <cell r="G307" t="str">
            <v>5.602,50</v>
          </cell>
          <cell r="H307" t="str">
            <v>0,00</v>
          </cell>
          <cell r="I307">
            <v>5602.5</v>
          </cell>
          <cell r="J307">
            <v>-5602.5</v>
          </cell>
        </row>
        <row r="308">
          <cell r="A308" t="str">
            <v>1.1.1.3.01.003503</v>
          </cell>
          <cell r="B308" t="str">
            <v>MINERACAO MARIANELLI LTDA</v>
          </cell>
          <cell r="C308" t="str">
            <v>224.000,00</v>
          </cell>
          <cell r="D308" t="str">
            <v>224.322,82</v>
          </cell>
          <cell r="E308" t="str">
            <v>0,00</v>
          </cell>
          <cell r="F308" t="str">
            <v>0,00</v>
          </cell>
          <cell r="G308" t="str">
            <v>0,00</v>
          </cell>
          <cell r="H308" t="str">
            <v>322,82</v>
          </cell>
          <cell r="I308">
            <v>-322.82</v>
          </cell>
          <cell r="J308">
            <v>645.64</v>
          </cell>
        </row>
        <row r="309">
          <cell r="A309" t="str">
            <v>1.1.1.3.01.003508</v>
          </cell>
          <cell r="B309" t="str">
            <v>EDCARLOS MINERACAO LTDA</v>
          </cell>
          <cell r="C309" t="str">
            <v>401.831,59</v>
          </cell>
          <cell r="D309" t="str">
            <v>396.164,91</v>
          </cell>
          <cell r="E309" t="str">
            <v>0,00</v>
          </cell>
          <cell r="F309" t="str">
            <v>2.833,33</v>
          </cell>
          <cell r="G309" t="str">
            <v>2.833,35</v>
          </cell>
          <cell r="H309" t="str">
            <v>0,00</v>
          </cell>
          <cell r="I309">
            <v>2833.35</v>
          </cell>
          <cell r="J309">
            <v>-2833.35</v>
          </cell>
        </row>
        <row r="310">
          <cell r="A310" t="str">
            <v>1.1.1.3.01.003516</v>
          </cell>
          <cell r="B310" t="str">
            <v>6M TRIAGEM E TRANSBORDO LTDA</v>
          </cell>
          <cell r="C310" t="str">
            <v>258.975,01</v>
          </cell>
          <cell r="D310" t="str">
            <v>256.163,78</v>
          </cell>
          <cell r="E310" t="str">
            <v>0,00</v>
          </cell>
          <cell r="F310" t="str">
            <v>2.811,24</v>
          </cell>
          <cell r="G310" t="str">
            <v>0,00</v>
          </cell>
          <cell r="H310" t="str">
            <v>0,01</v>
          </cell>
          <cell r="I310">
            <v>-0.01</v>
          </cell>
          <cell r="J310">
            <v>0.02</v>
          </cell>
        </row>
        <row r="311">
          <cell r="A311" t="str">
            <v>1.1.1.3.01.003518</v>
          </cell>
          <cell r="B311" t="str">
            <v>SAFIRA MINIMG E STONE LTDA</v>
          </cell>
          <cell r="C311" t="str">
            <v>880.471,89</v>
          </cell>
          <cell r="D311" t="str">
            <v>879.142,30</v>
          </cell>
          <cell r="E311" t="str">
            <v>0,00</v>
          </cell>
          <cell r="F311" t="str">
            <v>1.329,59</v>
          </cell>
          <cell r="G311" t="str">
            <v>0,00</v>
          </cell>
          <cell r="H311" t="str">
            <v>0,00</v>
          </cell>
          <cell r="I311">
            <v>0</v>
          </cell>
          <cell r="J311">
            <v>0</v>
          </cell>
        </row>
        <row r="312">
          <cell r="A312" t="str">
            <v>1.1.1.3.01.003519</v>
          </cell>
          <cell r="B312" t="str">
            <v>GRANLUNZ MINERACAO LTDA</v>
          </cell>
          <cell r="C312" t="str">
            <v>847.117,73</v>
          </cell>
          <cell r="D312" t="str">
            <v>669.750,00</v>
          </cell>
          <cell r="E312" t="str">
            <v>0,00</v>
          </cell>
          <cell r="F312" t="str">
            <v>0,00</v>
          </cell>
          <cell r="G312" t="str">
            <v>177.367,73</v>
          </cell>
          <cell r="H312" t="str">
            <v>0,00</v>
          </cell>
          <cell r="I312">
            <v>177367.73</v>
          </cell>
          <cell r="J312">
            <v>-177367.73</v>
          </cell>
        </row>
        <row r="313">
          <cell r="A313" t="str">
            <v>1.1.1.3.01.003520</v>
          </cell>
          <cell r="B313" t="str">
            <v>FLACAR LOCACAO DE MAQ E SERV PARA CONST</v>
          </cell>
          <cell r="C313" t="str">
            <v>113.136,25</v>
          </cell>
          <cell r="D313" t="str">
            <v>108.521,25</v>
          </cell>
          <cell r="E313" t="str">
            <v>0,00</v>
          </cell>
          <cell r="F313" t="str">
            <v>1.500,00</v>
          </cell>
          <cell r="G313" t="str">
            <v>3.115,00</v>
          </cell>
          <cell r="H313" t="str">
            <v>0,00</v>
          </cell>
          <cell r="I313">
            <v>3115</v>
          </cell>
          <cell r="J313">
            <v>-3115</v>
          </cell>
        </row>
        <row r="314">
          <cell r="A314" t="str">
            <v>1.1.1.3.01.003521</v>
          </cell>
          <cell r="B314" t="str">
            <v>CONSTRUTORA NOBREGA PIMENTA LTDA</v>
          </cell>
          <cell r="C314" t="str">
            <v>647.104,07</v>
          </cell>
          <cell r="D314" t="str">
            <v>610.037,20</v>
          </cell>
          <cell r="E314" t="str">
            <v>0,00</v>
          </cell>
          <cell r="F314" t="str">
            <v>19.550,19</v>
          </cell>
          <cell r="G314" t="str">
            <v>17.516,68</v>
          </cell>
          <cell r="H314" t="str">
            <v>0,00</v>
          </cell>
          <cell r="I314">
            <v>17516.68</v>
          </cell>
          <cell r="J314">
            <v>-17516.68</v>
          </cell>
        </row>
        <row r="315">
          <cell r="A315" t="str">
            <v>1.1.1.3.01.003526</v>
          </cell>
          <cell r="B315" t="str">
            <v>EVANDRO DE SOUZA</v>
          </cell>
          <cell r="C315" t="str">
            <v>989.077,70</v>
          </cell>
          <cell r="D315" t="str">
            <v>985.264,20</v>
          </cell>
          <cell r="E315" t="str">
            <v>0,00</v>
          </cell>
          <cell r="F315" t="str">
            <v>3.813,50</v>
          </cell>
          <cell r="G315" t="str">
            <v>0,00</v>
          </cell>
          <cell r="H315" t="str">
            <v>0,00</v>
          </cell>
          <cell r="I315">
            <v>0</v>
          </cell>
          <cell r="J315">
            <v>0</v>
          </cell>
        </row>
        <row r="316">
          <cell r="A316" t="str">
            <v>1.1.1.3.01.003534</v>
          </cell>
          <cell r="B316" t="str">
            <v>M DOS SANTOS FERREIRA JUNIOR</v>
          </cell>
          <cell r="C316" t="str">
            <v>151.965,19</v>
          </cell>
          <cell r="D316" t="str">
            <v>151.862,09</v>
          </cell>
          <cell r="E316" t="str">
            <v>0,00</v>
          </cell>
          <cell r="F316" t="str">
            <v>0,00</v>
          </cell>
          <cell r="G316" t="str">
            <v>103,10</v>
          </cell>
          <cell r="H316" t="str">
            <v>0,00</v>
          </cell>
          <cell r="I316">
            <v>103.1</v>
          </cell>
          <cell r="J316">
            <v>-103.1</v>
          </cell>
        </row>
        <row r="317">
          <cell r="A317" t="str">
            <v>1.1.1.3.01.003538</v>
          </cell>
          <cell r="B317" t="str">
            <v>TRANSMATOS E SERVICOS LTDA</v>
          </cell>
          <cell r="C317" t="str">
            <v>75.982,07</v>
          </cell>
          <cell r="D317" t="str">
            <v>75.841,04</v>
          </cell>
          <cell r="E317" t="str">
            <v>0,00</v>
          </cell>
          <cell r="F317" t="str">
            <v>0,00</v>
          </cell>
          <cell r="G317" t="str">
            <v>141,03</v>
          </cell>
          <cell r="H317" t="str">
            <v>0,00</v>
          </cell>
          <cell r="I317">
            <v>141.03</v>
          </cell>
          <cell r="J317">
            <v>-141.03</v>
          </cell>
        </row>
        <row r="318">
          <cell r="A318" t="str">
            <v>1.1.1.3.01.003542</v>
          </cell>
          <cell r="B318" t="str">
            <v>GRAZAN GRANITOS E MARMORES LTDA</v>
          </cell>
          <cell r="C318" t="str">
            <v>424.610,32</v>
          </cell>
          <cell r="D318" t="str">
            <v>424.610,32</v>
          </cell>
          <cell r="E318" t="str">
            <v>2.074,18</v>
          </cell>
          <cell r="F318" t="str">
            <v>0,00</v>
          </cell>
          <cell r="G318" t="str">
            <v>2.074,18</v>
          </cell>
          <cell r="H318" t="str">
            <v>0,00</v>
          </cell>
          <cell r="I318">
            <v>2074.1799999999998</v>
          </cell>
          <cell r="J318">
            <v>-2074.1799999999998</v>
          </cell>
        </row>
        <row r="319">
          <cell r="A319" t="str">
            <v>1.1.1.3.01.003549</v>
          </cell>
          <cell r="B319" t="str">
            <v>ALTO DA BOA VISTA MINERACAO LTDA</v>
          </cell>
          <cell r="C319" t="str">
            <v>72.636,50</v>
          </cell>
          <cell r="D319" t="str">
            <v>69.499,69</v>
          </cell>
          <cell r="E319" t="str">
            <v>0,00</v>
          </cell>
          <cell r="F319" t="str">
            <v>2.521,01</v>
          </cell>
          <cell r="G319" t="str">
            <v>615,80</v>
          </cell>
          <cell r="H319" t="str">
            <v>0,00</v>
          </cell>
          <cell r="I319">
            <v>615.79999999999995</v>
          </cell>
          <cell r="J319">
            <v>-615.79999999999995</v>
          </cell>
        </row>
        <row r="320">
          <cell r="A320" t="str">
            <v>1.1.1.3.01.003556</v>
          </cell>
          <cell r="B320" t="str">
            <v>PEDREIRA BORBOREMA LTDA</v>
          </cell>
          <cell r="C320" t="str">
            <v>206.164,99</v>
          </cell>
          <cell r="D320" t="str">
            <v>248.164,99</v>
          </cell>
          <cell r="E320" t="str">
            <v>210.000,00</v>
          </cell>
          <cell r="F320" t="str">
            <v>42.000,00</v>
          </cell>
          <cell r="G320" t="str">
            <v>126.000,00</v>
          </cell>
          <cell r="H320" t="str">
            <v>0,00</v>
          </cell>
          <cell r="I320">
            <v>126000</v>
          </cell>
          <cell r="J320">
            <v>-126000</v>
          </cell>
        </row>
        <row r="321">
          <cell r="A321" t="str">
            <v>1.1.1.3.01.003570</v>
          </cell>
          <cell r="B321" t="str">
            <v>MJX STONES EXPORT LTDA</v>
          </cell>
          <cell r="C321" t="str">
            <v>135.817,18</v>
          </cell>
          <cell r="D321" t="str">
            <v>134.479,30</v>
          </cell>
          <cell r="E321" t="str">
            <v>0,00</v>
          </cell>
          <cell r="F321" t="str">
            <v>0,00</v>
          </cell>
          <cell r="G321" t="str">
            <v>1.337,88</v>
          </cell>
          <cell r="H321" t="str">
            <v>0,00</v>
          </cell>
          <cell r="I321">
            <v>1337.88</v>
          </cell>
          <cell r="J321">
            <v>-1337.88</v>
          </cell>
        </row>
        <row r="322">
          <cell r="A322" t="str">
            <v>1.1.1.3.01.003573</v>
          </cell>
          <cell r="B322" t="str">
            <v>ARGUS CONSULTORIA E LOCACOES LTDA</v>
          </cell>
          <cell r="C322" t="str">
            <v>144.142,65</v>
          </cell>
          <cell r="D322" t="str">
            <v>147.162,65</v>
          </cell>
          <cell r="E322" t="str">
            <v>0,00</v>
          </cell>
          <cell r="F322" t="str">
            <v>1.326,67</v>
          </cell>
          <cell r="G322" t="str">
            <v>0,00</v>
          </cell>
          <cell r="H322" t="str">
            <v>4.346,67</v>
          </cell>
          <cell r="I322">
            <v>-4346.67</v>
          </cell>
          <cell r="J322">
            <v>8693.34</v>
          </cell>
        </row>
        <row r="323">
          <cell r="A323" t="str">
            <v>1.1.1.3.01.003582</v>
          </cell>
          <cell r="B323" t="str">
            <v>SUCALOG COM. E RECICLAGEM DE METAIS LTDA</v>
          </cell>
          <cell r="C323" t="str">
            <v>944.441,01</v>
          </cell>
          <cell r="D323" t="str">
            <v>876.009,83</v>
          </cell>
          <cell r="E323" t="str">
            <v>0,00</v>
          </cell>
          <cell r="F323" t="str">
            <v>32.130,34</v>
          </cell>
          <cell r="G323" t="str">
            <v>36.300,84</v>
          </cell>
          <cell r="H323" t="str">
            <v>0,00</v>
          </cell>
          <cell r="I323">
            <v>36300.839999999997</v>
          </cell>
          <cell r="J323">
            <v>-36300.839999999997</v>
          </cell>
        </row>
        <row r="324">
          <cell r="A324" t="str">
            <v>1.1.1.3.01.003593</v>
          </cell>
          <cell r="B324" t="str">
            <v>TUKA RENTAL - LOC DE EQUIPAMENTOS LTDA</v>
          </cell>
          <cell r="C324" t="str">
            <v>1.340.929,02</v>
          </cell>
          <cell r="D324" t="str">
            <v>1.326.928,68</v>
          </cell>
          <cell r="E324" t="str">
            <v>3.253,96</v>
          </cell>
          <cell r="F324" t="str">
            <v>3.000,12</v>
          </cell>
          <cell r="G324" t="str">
            <v>14.254,18</v>
          </cell>
          <cell r="H324" t="str">
            <v>0,00</v>
          </cell>
          <cell r="I324">
            <v>14254.18</v>
          </cell>
          <cell r="J324">
            <v>-14254.18</v>
          </cell>
        </row>
        <row r="325">
          <cell r="A325" t="str">
            <v>1.1.1.3.01.003599</v>
          </cell>
          <cell r="B325" t="str">
            <v>AGFMAC IMPORTACAO EXPORTACAO COMERCIALIZ</v>
          </cell>
          <cell r="C325" t="str">
            <v>291.383,30</v>
          </cell>
          <cell r="D325" t="str">
            <v>291.383,30</v>
          </cell>
          <cell r="E325" t="str">
            <v>10.532,00</v>
          </cell>
          <cell r="F325" t="str">
            <v>10.532,00</v>
          </cell>
          <cell r="G325" t="str">
            <v>0,00</v>
          </cell>
          <cell r="H325" t="str">
            <v>0,00</v>
          </cell>
          <cell r="I325">
            <v>0</v>
          </cell>
          <cell r="J325">
            <v>0</v>
          </cell>
        </row>
        <row r="326">
          <cell r="A326" t="str">
            <v>1.1.1.3.01.003603</v>
          </cell>
          <cell r="B326" t="str">
            <v>ZULG CONST E COMER DE MATERIAIS DE CONST</v>
          </cell>
          <cell r="C326" t="str">
            <v>365.184,45</v>
          </cell>
          <cell r="D326" t="str">
            <v>362.762,40</v>
          </cell>
          <cell r="E326" t="str">
            <v>0,00</v>
          </cell>
          <cell r="F326" t="str">
            <v>2.422,05</v>
          </cell>
          <cell r="G326" t="str">
            <v>0,00</v>
          </cell>
          <cell r="H326" t="str">
            <v>0,00</v>
          </cell>
          <cell r="I326">
            <v>0</v>
          </cell>
          <cell r="J326">
            <v>0</v>
          </cell>
        </row>
        <row r="327">
          <cell r="A327" t="str">
            <v>1.1.1.3.01.003607</v>
          </cell>
          <cell r="B327" t="str">
            <v>GRANISTONE AMAZON MINERACAO LTDA</v>
          </cell>
          <cell r="C327" t="str">
            <v>460.464,80</v>
          </cell>
          <cell r="D327" t="str">
            <v>458.965,59</v>
          </cell>
          <cell r="E327" t="str">
            <v>0,00</v>
          </cell>
          <cell r="F327" t="str">
            <v>1.499,21</v>
          </cell>
          <cell r="G327" t="str">
            <v>0,00</v>
          </cell>
          <cell r="H327" t="str">
            <v>0,00</v>
          </cell>
          <cell r="I327">
            <v>0</v>
          </cell>
          <cell r="J327">
            <v>0</v>
          </cell>
        </row>
        <row r="328">
          <cell r="A328" t="str">
            <v>1.1.1.3.01.003610</v>
          </cell>
          <cell r="B328" t="str">
            <v>MINERACAO PANCIERI MINAS LTDA</v>
          </cell>
          <cell r="C328" t="str">
            <v>563.827,86</v>
          </cell>
          <cell r="D328" t="str">
            <v>663.827,86</v>
          </cell>
          <cell r="E328" t="str">
            <v>0,00</v>
          </cell>
          <cell r="F328" t="str">
            <v>0,00</v>
          </cell>
          <cell r="G328" t="str">
            <v>0,00</v>
          </cell>
          <cell r="H328" t="str">
            <v>100.000,00</v>
          </cell>
          <cell r="I328">
            <v>-100000</v>
          </cell>
          <cell r="J328">
            <v>200000</v>
          </cell>
        </row>
        <row r="329">
          <cell r="A329" t="str">
            <v>1.1.1.3.01.003618</v>
          </cell>
          <cell r="B329" t="str">
            <v>ADEMIR ADROALDO BOHM</v>
          </cell>
          <cell r="C329" t="str">
            <v>444.251,29</v>
          </cell>
          <cell r="D329" t="str">
            <v>434.251,28</v>
          </cell>
          <cell r="E329" t="str">
            <v>0,00</v>
          </cell>
          <cell r="F329" t="str">
            <v>2.500,00</v>
          </cell>
          <cell r="G329" t="str">
            <v>7.500,01</v>
          </cell>
          <cell r="H329" t="str">
            <v>0,00</v>
          </cell>
          <cell r="I329">
            <v>7500.01</v>
          </cell>
          <cell r="J329">
            <v>-7500.01</v>
          </cell>
        </row>
        <row r="330">
          <cell r="A330" t="str">
            <v>1.1.1.3.01.003620</v>
          </cell>
          <cell r="B330" t="str">
            <v>ARAUJO SANTOS COMERCIO E SERVICOS LTDA</v>
          </cell>
          <cell r="C330" t="str">
            <v>94.186,30</v>
          </cell>
          <cell r="D330" t="str">
            <v>78.695,43</v>
          </cell>
          <cell r="E330" t="str">
            <v>0,00</v>
          </cell>
          <cell r="F330" t="str">
            <v>0,00</v>
          </cell>
          <cell r="G330" t="str">
            <v>15.490,87</v>
          </cell>
          <cell r="H330" t="str">
            <v>0,00</v>
          </cell>
          <cell r="I330">
            <v>15490.87</v>
          </cell>
          <cell r="J330">
            <v>-15490.87</v>
          </cell>
        </row>
        <row r="331">
          <cell r="A331" t="str">
            <v>1.1.1.3.01.003630</v>
          </cell>
          <cell r="B331" t="str">
            <v>NRG MARMIFERA MINERACAO LTDA</v>
          </cell>
          <cell r="C331" t="str">
            <v>636.017,90</v>
          </cell>
          <cell r="D331" t="str">
            <v>631.166,60</v>
          </cell>
          <cell r="E331" t="str">
            <v>0,00</v>
          </cell>
          <cell r="F331" t="str">
            <v>4.851,30</v>
          </cell>
          <cell r="G331" t="str">
            <v>0,00</v>
          </cell>
          <cell r="H331" t="str">
            <v>0,00</v>
          </cell>
          <cell r="I331">
            <v>0</v>
          </cell>
          <cell r="J331">
            <v>0</v>
          </cell>
        </row>
        <row r="332">
          <cell r="A332" t="str">
            <v>1.1.1.3.01.003639</v>
          </cell>
          <cell r="B332" t="str">
            <v>JULY QUARTZO TRANSPORTES E SERVICOS LTDA</v>
          </cell>
          <cell r="C332" t="str">
            <v>998.144,73</v>
          </cell>
          <cell r="D332" t="str">
            <v>954.326,49</v>
          </cell>
          <cell r="E332" t="str">
            <v>11.151,64</v>
          </cell>
          <cell r="F332" t="str">
            <v>31.040,67</v>
          </cell>
          <cell r="G332" t="str">
            <v>23.929,21</v>
          </cell>
          <cell r="H332" t="str">
            <v>0,00</v>
          </cell>
          <cell r="I332">
            <v>23929.21</v>
          </cell>
          <cell r="J332">
            <v>-23929.21</v>
          </cell>
        </row>
        <row r="333">
          <cell r="A333" t="str">
            <v>1.1.1.3.01.003643</v>
          </cell>
          <cell r="B333" t="str">
            <v>QUARTZBLUE MINERACAO LTDA</v>
          </cell>
          <cell r="C333" t="str">
            <v>1.373.919,41</v>
          </cell>
          <cell r="D333" t="str">
            <v>1.412.819,41</v>
          </cell>
          <cell r="E333" t="str">
            <v>0,00</v>
          </cell>
          <cell r="F333" t="str">
            <v>0,00</v>
          </cell>
          <cell r="G333" t="str">
            <v>0,00</v>
          </cell>
          <cell r="H333" t="str">
            <v>38.900,00</v>
          </cell>
          <cell r="I333">
            <v>-38900</v>
          </cell>
          <cell r="J333">
            <v>77800</v>
          </cell>
        </row>
        <row r="334">
          <cell r="A334" t="str">
            <v>1.1.1.3.01.003681</v>
          </cell>
          <cell r="B334" t="str">
            <v>LUIZ G L L VIEIRA LOCACAO E TRANSPORTES</v>
          </cell>
          <cell r="C334" t="str">
            <v>42.036,22</v>
          </cell>
          <cell r="D334" t="str">
            <v>41.753,57</v>
          </cell>
          <cell r="E334" t="str">
            <v>0,00</v>
          </cell>
          <cell r="F334" t="str">
            <v>0,00</v>
          </cell>
          <cell r="G334" t="str">
            <v>282,65</v>
          </cell>
          <cell r="H334" t="str">
            <v>0,00</v>
          </cell>
          <cell r="I334">
            <v>282.64999999999998</v>
          </cell>
          <cell r="J334">
            <v>-282.64999999999998</v>
          </cell>
        </row>
        <row r="335">
          <cell r="A335" t="str">
            <v>1.1.1.3.01.003687</v>
          </cell>
          <cell r="B335" t="str">
            <v>ACC TRANSP., TERRAPLENAGEM E LOCACAO LTD</v>
          </cell>
          <cell r="C335" t="str">
            <v>603.569,61</v>
          </cell>
          <cell r="D335" t="str">
            <v>601.609,15</v>
          </cell>
          <cell r="E335" t="str">
            <v>12.442,40</v>
          </cell>
          <cell r="F335" t="str">
            <v>1.960,46</v>
          </cell>
          <cell r="G335" t="str">
            <v>12.442,40</v>
          </cell>
          <cell r="H335" t="str">
            <v>0,00</v>
          </cell>
          <cell r="I335">
            <v>12442.4</v>
          </cell>
          <cell r="J335">
            <v>-12442.4</v>
          </cell>
        </row>
        <row r="336">
          <cell r="A336" t="str">
            <v>1.1.1.3.01.003696</v>
          </cell>
          <cell r="B336" t="str">
            <v>CONTRACTOR ENGENHARIA LTDA</v>
          </cell>
          <cell r="C336" t="str">
            <v>420.444,65</v>
          </cell>
          <cell r="D336" t="str">
            <v>417.495,65</v>
          </cell>
          <cell r="E336" t="str">
            <v>7.379,18</v>
          </cell>
          <cell r="F336" t="str">
            <v>2.949,00</v>
          </cell>
          <cell r="G336" t="str">
            <v>7.379,18</v>
          </cell>
          <cell r="H336" t="str">
            <v>0,00</v>
          </cell>
          <cell r="I336">
            <v>7379.18</v>
          </cell>
          <cell r="J336">
            <v>-7379.18</v>
          </cell>
        </row>
        <row r="337">
          <cell r="A337" t="str">
            <v>1.1.1.3.01.003699</v>
          </cell>
          <cell r="B337" t="str">
            <v>M. FERNANDES BRAGANCA MACHADO</v>
          </cell>
          <cell r="C337" t="str">
            <v>270.600,00</v>
          </cell>
          <cell r="D337" t="str">
            <v>270.169,47</v>
          </cell>
          <cell r="E337" t="str">
            <v>0,00</v>
          </cell>
          <cell r="F337" t="str">
            <v>0,00</v>
          </cell>
          <cell r="G337" t="str">
            <v>430,53</v>
          </cell>
          <cell r="H337" t="str">
            <v>0,00</v>
          </cell>
          <cell r="I337">
            <v>430.53</v>
          </cell>
          <cell r="J337">
            <v>-430.53</v>
          </cell>
        </row>
        <row r="338">
          <cell r="A338" t="str">
            <v>1.1.1.3.01.003700</v>
          </cell>
          <cell r="B338" t="str">
            <v>NORTE SUL IMPORT AND EXPORT STONES EIREL</v>
          </cell>
          <cell r="C338" t="str">
            <v>809.057,45</v>
          </cell>
          <cell r="D338" t="str">
            <v>808.493,45</v>
          </cell>
          <cell r="E338" t="str">
            <v>0,00</v>
          </cell>
          <cell r="F338" t="str">
            <v>564,00</v>
          </cell>
          <cell r="G338" t="str">
            <v>0,00</v>
          </cell>
          <cell r="H338" t="str">
            <v>0,00</v>
          </cell>
          <cell r="I338">
            <v>0</v>
          </cell>
          <cell r="J338">
            <v>0</v>
          </cell>
        </row>
        <row r="339">
          <cell r="A339" t="str">
            <v>1.1.1.3.01.003701</v>
          </cell>
          <cell r="B339" t="str">
            <v>GEO TRACTOR LOC DE MAQUINAS E TERRAP LTD</v>
          </cell>
          <cell r="C339" t="str">
            <v>181.110,90</v>
          </cell>
          <cell r="D339" t="str">
            <v>177.419,76</v>
          </cell>
          <cell r="E339" t="str">
            <v>0,00</v>
          </cell>
          <cell r="F339" t="str">
            <v>1.845,57</v>
          </cell>
          <cell r="G339" t="str">
            <v>1.845,57</v>
          </cell>
          <cell r="H339" t="str">
            <v>0,00</v>
          </cell>
          <cell r="I339">
            <v>1845.57</v>
          </cell>
          <cell r="J339">
            <v>-1845.57</v>
          </cell>
        </row>
        <row r="340">
          <cell r="A340" t="str">
            <v>1.1.1.3.01.003703</v>
          </cell>
          <cell r="B340" t="str">
            <v>CASA GRANDE MINERACAO LTDA</v>
          </cell>
          <cell r="C340" t="str">
            <v>1.862.818,26</v>
          </cell>
          <cell r="D340" t="str">
            <v>1.811.771,22</v>
          </cell>
          <cell r="E340" t="str">
            <v>1.835,89</v>
          </cell>
          <cell r="F340" t="str">
            <v>14.790,77</v>
          </cell>
          <cell r="G340" t="str">
            <v>38.092,16</v>
          </cell>
          <cell r="H340" t="str">
            <v>0,00</v>
          </cell>
          <cell r="I340">
            <v>38092.160000000003</v>
          </cell>
          <cell r="J340">
            <v>-38092.160000000003</v>
          </cell>
        </row>
        <row r="341">
          <cell r="A341" t="str">
            <v>1.1.1.3.01.003709</v>
          </cell>
          <cell r="B341" t="str">
            <v>FORMACAL - FORMOSO MINERACAO DE CALCARIO</v>
          </cell>
          <cell r="C341" t="str">
            <v>311.752,32</v>
          </cell>
          <cell r="D341" t="str">
            <v>308.561,86</v>
          </cell>
          <cell r="E341" t="str">
            <v>0,00</v>
          </cell>
          <cell r="F341" t="str">
            <v>0,00</v>
          </cell>
          <cell r="G341" t="str">
            <v>3.190,46</v>
          </cell>
          <cell r="H341" t="str">
            <v>0,00</v>
          </cell>
          <cell r="I341">
            <v>3190.46</v>
          </cell>
          <cell r="J341">
            <v>-3190.46</v>
          </cell>
        </row>
        <row r="342">
          <cell r="A342" t="str">
            <v>1.1.1.3.01.003710</v>
          </cell>
          <cell r="B342" t="str">
            <v>DIEGO MENEZES E CIA LTDA</v>
          </cell>
          <cell r="C342" t="str">
            <v>85.760,17</v>
          </cell>
          <cell r="D342" t="str">
            <v>53.569,55</v>
          </cell>
          <cell r="E342" t="str">
            <v>0,00</v>
          </cell>
          <cell r="F342" t="str">
            <v>0,00</v>
          </cell>
          <cell r="G342" t="str">
            <v>32.190,62</v>
          </cell>
          <cell r="H342" t="str">
            <v>0,00</v>
          </cell>
          <cell r="I342">
            <v>32190.62</v>
          </cell>
          <cell r="J342">
            <v>-32190.62</v>
          </cell>
        </row>
        <row r="343">
          <cell r="A343" t="str">
            <v>1.1.1.3.01.003728</v>
          </cell>
          <cell r="B343" t="str">
            <v>CLIM ENGENHARIA LTDA</v>
          </cell>
          <cell r="C343" t="str">
            <v>101.954,66</v>
          </cell>
          <cell r="D343" t="str">
            <v>101.158,12</v>
          </cell>
          <cell r="E343" t="str">
            <v>0,00</v>
          </cell>
          <cell r="F343" t="str">
            <v>0,00</v>
          </cell>
          <cell r="G343" t="str">
            <v>796,54</v>
          </cell>
          <cell r="H343" t="str">
            <v>0,00</v>
          </cell>
          <cell r="I343">
            <v>796.54</v>
          </cell>
          <cell r="J343">
            <v>-796.54</v>
          </cell>
        </row>
        <row r="344">
          <cell r="A344" t="str">
            <v>1.1.1.3.01.003733</v>
          </cell>
          <cell r="B344" t="str">
            <v>JOYCE MARION ZORGDRAGER GUARUJA</v>
          </cell>
          <cell r="C344" t="str">
            <v>617.798,28</v>
          </cell>
          <cell r="D344" t="str">
            <v>608.798,28</v>
          </cell>
          <cell r="E344" t="str">
            <v>0,00</v>
          </cell>
          <cell r="F344" t="str">
            <v>0,00</v>
          </cell>
          <cell r="G344" t="str">
            <v>9.000,00</v>
          </cell>
          <cell r="H344" t="str">
            <v>0,00</v>
          </cell>
          <cell r="I344">
            <v>9000</v>
          </cell>
          <cell r="J344">
            <v>-9000</v>
          </cell>
        </row>
        <row r="345">
          <cell r="A345" t="str">
            <v>1.1.1.3.01.003736</v>
          </cell>
          <cell r="B345" t="str">
            <v>IES SERV APOIO A ATIVIDADE MINERAL LTDA</v>
          </cell>
          <cell r="C345" t="str">
            <v>497.481,71</v>
          </cell>
          <cell r="D345" t="str">
            <v>493.071,71</v>
          </cell>
          <cell r="E345" t="str">
            <v>0,00</v>
          </cell>
          <cell r="F345" t="str">
            <v>0,00</v>
          </cell>
          <cell r="G345" t="str">
            <v>4.410,00</v>
          </cell>
          <cell r="H345" t="str">
            <v>0,00</v>
          </cell>
          <cell r="I345">
            <v>4410</v>
          </cell>
          <cell r="J345">
            <v>-4410</v>
          </cell>
        </row>
        <row r="346">
          <cell r="A346" t="str">
            <v>1.1.1.3.01.003745</v>
          </cell>
          <cell r="B346" t="str">
            <v>FH GRANITOS LTDA</v>
          </cell>
          <cell r="C346" t="str">
            <v>272.363,68</v>
          </cell>
          <cell r="D346" t="str">
            <v>271.193,69</v>
          </cell>
          <cell r="E346" t="str">
            <v>0,00</v>
          </cell>
          <cell r="F346" t="str">
            <v>0,00</v>
          </cell>
          <cell r="G346" t="str">
            <v>1.169,99</v>
          </cell>
          <cell r="H346" t="str">
            <v>0,00</v>
          </cell>
          <cell r="I346">
            <v>1169.99</v>
          </cell>
          <cell r="J346">
            <v>-1169.99</v>
          </cell>
        </row>
        <row r="347">
          <cell r="A347" t="str">
            <v>1.1.1.3.01.003750</v>
          </cell>
          <cell r="B347" t="str">
            <v>MINERACAO BOA VISTA LTDA</v>
          </cell>
          <cell r="C347" t="str">
            <v>980.659,50</v>
          </cell>
          <cell r="D347" t="str">
            <v>740.659,50</v>
          </cell>
          <cell r="E347" t="str">
            <v>0,00</v>
          </cell>
          <cell r="F347" t="str">
            <v>48.000,00</v>
          </cell>
          <cell r="G347" t="str">
            <v>192.000,00</v>
          </cell>
          <cell r="H347" t="str">
            <v>0,00</v>
          </cell>
          <cell r="I347">
            <v>192000</v>
          </cell>
          <cell r="J347">
            <v>-192000</v>
          </cell>
        </row>
        <row r="348">
          <cell r="A348" t="str">
            <v>1.1.1.3.01.003753</v>
          </cell>
          <cell r="B348" t="str">
            <v>MAGNIFICAT-EXTRACAO COM DE AREIA E PEDRA</v>
          </cell>
          <cell r="C348" t="str">
            <v>156.970,87</v>
          </cell>
          <cell r="D348" t="str">
            <v>150.250,88</v>
          </cell>
          <cell r="E348" t="str">
            <v>0,00</v>
          </cell>
          <cell r="F348" t="str">
            <v>0,00</v>
          </cell>
          <cell r="G348" t="str">
            <v>6.719,99</v>
          </cell>
          <cell r="H348" t="str">
            <v>0,00</v>
          </cell>
          <cell r="I348">
            <v>6719.99</v>
          </cell>
          <cell r="J348">
            <v>-6719.99</v>
          </cell>
        </row>
        <row r="349">
          <cell r="A349" t="str">
            <v>1.1.1.3.01.003758</v>
          </cell>
          <cell r="B349" t="str">
            <v>DMM LOC. DE MAQUINAS E TRANSPORTES LTDA</v>
          </cell>
          <cell r="C349" t="str">
            <v>693.337,31</v>
          </cell>
          <cell r="D349" t="str">
            <v>679.429,57</v>
          </cell>
          <cell r="E349" t="str">
            <v>0,00</v>
          </cell>
          <cell r="F349" t="str">
            <v>11.699,50</v>
          </cell>
          <cell r="G349" t="str">
            <v>2.208,24</v>
          </cell>
          <cell r="H349" t="str">
            <v>0,00</v>
          </cell>
          <cell r="I349">
            <v>2208.2399999999998</v>
          </cell>
          <cell r="J349">
            <v>-2208.2399999999998</v>
          </cell>
        </row>
        <row r="350">
          <cell r="A350" t="str">
            <v>1.1.1.3.01.003763</v>
          </cell>
          <cell r="B350" t="str">
            <v>POLIMIX CONCRETO LTDA</v>
          </cell>
          <cell r="C350" t="str">
            <v>996.443,20</v>
          </cell>
          <cell r="D350" t="str">
            <v>918.443,20</v>
          </cell>
          <cell r="E350" t="str">
            <v>0,00</v>
          </cell>
          <cell r="F350" t="str">
            <v>0,00</v>
          </cell>
          <cell r="G350" t="str">
            <v>78.000,00</v>
          </cell>
          <cell r="H350" t="str">
            <v>0,00</v>
          </cell>
          <cell r="I350">
            <v>78000</v>
          </cell>
          <cell r="J350">
            <v>-78000</v>
          </cell>
        </row>
        <row r="351">
          <cell r="A351" t="str">
            <v>1.1.1.3.01.003775</v>
          </cell>
          <cell r="B351" t="str">
            <v>CONTINENTAL STONES DO BRASIL LTDA</v>
          </cell>
          <cell r="C351" t="str">
            <v>146.234,75</v>
          </cell>
          <cell r="D351" t="str">
            <v>120.248,75</v>
          </cell>
          <cell r="E351" t="str">
            <v>0,00</v>
          </cell>
          <cell r="F351" t="str">
            <v>0,00</v>
          </cell>
          <cell r="G351" t="str">
            <v>25.986,00</v>
          </cell>
          <cell r="H351" t="str">
            <v>0,00</v>
          </cell>
          <cell r="I351">
            <v>25986</v>
          </cell>
          <cell r="J351">
            <v>-25986</v>
          </cell>
        </row>
        <row r="352">
          <cell r="A352" t="str">
            <v>1.1.1.3.01.003784</v>
          </cell>
          <cell r="B352" t="str">
            <v>IRMAOS FRAUCHES CONSTRUCOES LTDA</v>
          </cell>
          <cell r="C352" t="str">
            <v>269.782,82</v>
          </cell>
          <cell r="D352" t="str">
            <v>247.782,82</v>
          </cell>
          <cell r="E352" t="str">
            <v>0,00</v>
          </cell>
          <cell r="F352" t="str">
            <v>5.500,00</v>
          </cell>
          <cell r="G352" t="str">
            <v>16.500,00</v>
          </cell>
          <cell r="H352" t="str">
            <v>0,00</v>
          </cell>
          <cell r="I352">
            <v>16500</v>
          </cell>
          <cell r="J352">
            <v>-16500</v>
          </cell>
        </row>
        <row r="353">
          <cell r="A353" t="str">
            <v>1.1.1.3.01.003798</v>
          </cell>
          <cell r="B353" t="str">
            <v>LETICIA BALDISSERA 08503437988</v>
          </cell>
          <cell r="C353" t="str">
            <v>23.845,95</v>
          </cell>
          <cell r="D353" t="str">
            <v>24.809,39</v>
          </cell>
          <cell r="E353" t="str">
            <v>0,00</v>
          </cell>
          <cell r="F353" t="str">
            <v>0,00</v>
          </cell>
          <cell r="G353" t="str">
            <v>0,00</v>
          </cell>
          <cell r="H353" t="str">
            <v>963,44</v>
          </cell>
          <cell r="I353">
            <v>-963.44</v>
          </cell>
          <cell r="J353">
            <v>1926.88</v>
          </cell>
        </row>
        <row r="354">
          <cell r="A354" t="str">
            <v>1.1.1.3.01.003812</v>
          </cell>
          <cell r="B354" t="str">
            <v>JULY QUARTZO TRANSPORTES E SERVICOS LTDA</v>
          </cell>
          <cell r="C354" t="str">
            <v>352.704,43</v>
          </cell>
          <cell r="D354" t="str">
            <v>345.492,15</v>
          </cell>
          <cell r="E354" t="str">
            <v>9.897,22</v>
          </cell>
          <cell r="F354" t="str">
            <v>7.212,28</v>
          </cell>
          <cell r="G354" t="str">
            <v>9.897,22</v>
          </cell>
          <cell r="H354" t="str">
            <v>0,00</v>
          </cell>
          <cell r="I354">
            <v>9897.2199999999993</v>
          </cell>
          <cell r="J354">
            <v>-9897.2199999999993</v>
          </cell>
        </row>
        <row r="355">
          <cell r="A355" t="str">
            <v>1.1.1.3.01.003816</v>
          </cell>
          <cell r="B355" t="str">
            <v>GRAY MONTAINS MINERACAO LTDA</v>
          </cell>
          <cell r="C355" t="str">
            <v>277.762,56</v>
          </cell>
          <cell r="D355" t="str">
            <v>177.112,56</v>
          </cell>
          <cell r="E355" t="str">
            <v>0,00</v>
          </cell>
          <cell r="F355" t="str">
            <v>10.833,33</v>
          </cell>
          <cell r="G355" t="str">
            <v>89.816,67</v>
          </cell>
          <cell r="H355" t="str">
            <v>0,00</v>
          </cell>
          <cell r="I355">
            <v>89816.67</v>
          </cell>
          <cell r="J355">
            <v>-89816.67</v>
          </cell>
        </row>
        <row r="356">
          <cell r="A356" t="str">
            <v>1.1.1.3.01.003830</v>
          </cell>
          <cell r="B356" t="str">
            <v>MG3 GRANITOS LTDA</v>
          </cell>
          <cell r="C356" t="str">
            <v>76.927,14</v>
          </cell>
          <cell r="D356" t="str">
            <v>76.316,04</v>
          </cell>
          <cell r="E356" t="str">
            <v>0,00</v>
          </cell>
          <cell r="F356" t="str">
            <v>0,00</v>
          </cell>
          <cell r="G356" t="str">
            <v>611,10</v>
          </cell>
          <cell r="H356" t="str">
            <v>0,00</v>
          </cell>
          <cell r="I356">
            <v>611.1</v>
          </cell>
          <cell r="J356">
            <v>-611.1</v>
          </cell>
        </row>
        <row r="357">
          <cell r="A357" t="str">
            <v>1.1.1.3.01.003832</v>
          </cell>
          <cell r="B357" t="str">
            <v>DEMOLITRAK DEMOLICOES E TERRAPLENAGEM</v>
          </cell>
          <cell r="C357" t="str">
            <v>3.019.005,94</v>
          </cell>
          <cell r="D357" t="str">
            <v>2.795.934,16</v>
          </cell>
          <cell r="E357" t="str">
            <v>0,00</v>
          </cell>
          <cell r="F357" t="str">
            <v>70.000,00</v>
          </cell>
          <cell r="G357" t="str">
            <v>153.071,78</v>
          </cell>
          <cell r="H357" t="str">
            <v>0,00</v>
          </cell>
          <cell r="I357">
            <v>153071.78</v>
          </cell>
          <cell r="J357">
            <v>-153071.78</v>
          </cell>
        </row>
        <row r="358">
          <cell r="A358" t="str">
            <v>1.1.1.3.01.003837</v>
          </cell>
          <cell r="B358" t="str">
            <v>A V DE SOUZA LTDA</v>
          </cell>
          <cell r="C358" t="str">
            <v>40.952,76</v>
          </cell>
          <cell r="D358" t="str">
            <v>17.724,33</v>
          </cell>
          <cell r="E358" t="str">
            <v>0,00</v>
          </cell>
          <cell r="F358" t="str">
            <v>4.645,69</v>
          </cell>
          <cell r="G358" t="str">
            <v>18.582,74</v>
          </cell>
          <cell r="H358" t="str">
            <v>0,00</v>
          </cell>
          <cell r="I358">
            <v>18582.740000000002</v>
          </cell>
          <cell r="J358">
            <v>-18582.740000000002</v>
          </cell>
        </row>
        <row r="359">
          <cell r="A359" t="str">
            <v>1.1.1.3.01.003838</v>
          </cell>
          <cell r="B359" t="str">
            <v>TR CONSTRUTORA E LOCADORA DE MAQUINAS E</v>
          </cell>
          <cell r="C359" t="str">
            <v>756.930,27</v>
          </cell>
          <cell r="D359" t="str">
            <v>636.367,78</v>
          </cell>
          <cell r="E359" t="str">
            <v>0,00</v>
          </cell>
          <cell r="F359" t="str">
            <v>5.526,87</v>
          </cell>
          <cell r="G359" t="str">
            <v>115.035,62</v>
          </cell>
          <cell r="H359" t="str">
            <v>0,00</v>
          </cell>
          <cell r="I359">
            <v>115035.62</v>
          </cell>
          <cell r="J359">
            <v>-115035.62</v>
          </cell>
        </row>
        <row r="360">
          <cell r="A360" t="str">
            <v>1.1.1.3.01.003848</v>
          </cell>
          <cell r="B360" t="str">
            <v>EMPRENGE CONSTRUTORA LTDA</v>
          </cell>
          <cell r="C360" t="str">
            <v>465.719,87</v>
          </cell>
          <cell r="D360" t="str">
            <v>458.972,81</v>
          </cell>
          <cell r="E360" t="str">
            <v>10.135,19</v>
          </cell>
          <cell r="F360" t="str">
            <v>5.504,17</v>
          </cell>
          <cell r="G360" t="str">
            <v>11.378,08</v>
          </cell>
          <cell r="H360" t="str">
            <v>0,00</v>
          </cell>
          <cell r="I360">
            <v>11378.08</v>
          </cell>
          <cell r="J360">
            <v>-11378.08</v>
          </cell>
        </row>
        <row r="361">
          <cell r="A361" t="str">
            <v>1.1.1.3.01.003867</v>
          </cell>
          <cell r="B361" t="str">
            <v>ALMEIDA MENDES TERRAPLANAGEM LTDA</v>
          </cell>
          <cell r="C361" t="str">
            <v>200.704,12</v>
          </cell>
          <cell r="D361" t="str">
            <v>208.031,90</v>
          </cell>
          <cell r="E361" t="str">
            <v>0,00</v>
          </cell>
          <cell r="F361" t="str">
            <v>0,00</v>
          </cell>
          <cell r="G361" t="str">
            <v>0,00</v>
          </cell>
          <cell r="H361" t="str">
            <v>7.327,78</v>
          </cell>
          <cell r="I361">
            <v>-7327.78</v>
          </cell>
          <cell r="J361">
            <v>14655.56</v>
          </cell>
        </row>
        <row r="362">
          <cell r="A362" t="str">
            <v>1.1.1.3.01.003874</v>
          </cell>
          <cell r="B362" t="str">
            <v>JAIRO GUSTAVO AMARAL</v>
          </cell>
          <cell r="C362" t="str">
            <v>64.779,60</v>
          </cell>
          <cell r="D362" t="str">
            <v>64.554,40</v>
          </cell>
          <cell r="E362" t="str">
            <v>0,00</v>
          </cell>
          <cell r="F362" t="str">
            <v>0,00</v>
          </cell>
          <cell r="G362" t="str">
            <v>225,20</v>
          </cell>
          <cell r="H362" t="str">
            <v>0,00</v>
          </cell>
          <cell r="I362">
            <v>225.2</v>
          </cell>
          <cell r="J362">
            <v>-225.2</v>
          </cell>
        </row>
        <row r="363">
          <cell r="A363" t="str">
            <v>1.1.1.3.01.003876</v>
          </cell>
          <cell r="B363" t="str">
            <v>POLIMIX CONCRETO LTDA</v>
          </cell>
          <cell r="C363" t="str">
            <v>433.418,87</v>
          </cell>
          <cell r="D363" t="str">
            <v>429.152,90</v>
          </cell>
          <cell r="E363" t="str">
            <v>0,00</v>
          </cell>
          <cell r="F363" t="str">
            <v>4.265,97</v>
          </cell>
          <cell r="G363" t="str">
            <v>0,00</v>
          </cell>
          <cell r="H363" t="str">
            <v>0,00</v>
          </cell>
          <cell r="I363">
            <v>0</v>
          </cell>
          <cell r="J363">
            <v>0</v>
          </cell>
        </row>
        <row r="364">
          <cell r="A364" t="str">
            <v>1.1.1.3.01.003897</v>
          </cell>
          <cell r="B364" t="str">
            <v>MAQ-STONE - PEDRAS E MAQUINAS LTDA</v>
          </cell>
          <cell r="C364" t="str">
            <v>251.904,68</v>
          </cell>
          <cell r="D364" t="str">
            <v>250.345,09</v>
          </cell>
          <cell r="E364" t="str">
            <v>3.119,18</v>
          </cell>
          <cell r="F364" t="str">
            <v>1.559,59</v>
          </cell>
          <cell r="G364" t="str">
            <v>3.119,18</v>
          </cell>
          <cell r="H364" t="str">
            <v>0,00</v>
          </cell>
          <cell r="I364">
            <v>3119.18</v>
          </cell>
          <cell r="J364">
            <v>-3119.18</v>
          </cell>
        </row>
        <row r="365">
          <cell r="A365" t="str">
            <v>1.1.1.3.01.003919</v>
          </cell>
          <cell r="B365" t="str">
            <v>USELAJE LOCACOES DE MAQUINAS E SERVICOS</v>
          </cell>
          <cell r="C365" t="str">
            <v>288.504,93</v>
          </cell>
          <cell r="D365" t="str">
            <v>258.504,93</v>
          </cell>
          <cell r="E365" t="str">
            <v>0,00</v>
          </cell>
          <cell r="F365" t="str">
            <v>0,00</v>
          </cell>
          <cell r="G365" t="str">
            <v>30.000,00</v>
          </cell>
          <cell r="H365" t="str">
            <v>0,00</v>
          </cell>
          <cell r="I365">
            <v>30000</v>
          </cell>
          <cell r="J365">
            <v>-30000</v>
          </cell>
        </row>
        <row r="366">
          <cell r="A366" t="str">
            <v>1.1.1.3.01.003920</v>
          </cell>
          <cell r="B366" t="str">
            <v>PARANA GRANITOS LTDA</v>
          </cell>
          <cell r="C366" t="str">
            <v>474.075,63</v>
          </cell>
          <cell r="D366" t="str">
            <v>485.074,19</v>
          </cell>
          <cell r="E366" t="str">
            <v>0,00</v>
          </cell>
          <cell r="F366" t="str">
            <v>3.555,99</v>
          </cell>
          <cell r="G366" t="str">
            <v>0,00</v>
          </cell>
          <cell r="H366" t="str">
            <v>14.554,55</v>
          </cell>
          <cell r="I366">
            <v>-14554.55</v>
          </cell>
          <cell r="J366">
            <v>29109.1</v>
          </cell>
        </row>
        <row r="367">
          <cell r="A367" t="str">
            <v>1.1.1.3.01.003926</v>
          </cell>
          <cell r="B367" t="str">
            <v>EDEM EMPRESA DE DESENVOLVIMENTO EM MINER</v>
          </cell>
          <cell r="C367" t="str">
            <v>300.842,45</v>
          </cell>
          <cell r="D367" t="str">
            <v>300.842,47</v>
          </cell>
          <cell r="E367" t="str">
            <v>0,00</v>
          </cell>
          <cell r="F367" t="str">
            <v>0,00</v>
          </cell>
          <cell r="G367" t="str">
            <v>0,00</v>
          </cell>
          <cell r="H367" t="str">
            <v>0,02</v>
          </cell>
          <cell r="I367">
            <v>-0.02</v>
          </cell>
          <cell r="J367">
            <v>0.04</v>
          </cell>
        </row>
        <row r="368">
          <cell r="A368" t="str">
            <v>1.1.1.3.01.003930</v>
          </cell>
          <cell r="B368" t="str">
            <v>PIPEQUIPMENT CONSTRUCAO &amp; SERVICOS LTDA</v>
          </cell>
          <cell r="C368" t="str">
            <v>1.761.078,74</v>
          </cell>
          <cell r="D368" t="str">
            <v>1.750.964,95</v>
          </cell>
          <cell r="E368" t="str">
            <v>0,00</v>
          </cell>
          <cell r="F368" t="str">
            <v>23.380,38</v>
          </cell>
          <cell r="G368" t="str">
            <v>0,00</v>
          </cell>
          <cell r="H368" t="str">
            <v>13.266,59</v>
          </cell>
          <cell r="I368">
            <v>-13266.59</v>
          </cell>
          <cell r="J368">
            <v>26533.18</v>
          </cell>
        </row>
        <row r="369">
          <cell r="A369" t="str">
            <v>1.1.1.3.01.003939</v>
          </cell>
          <cell r="B369" t="str">
            <v>RISLEV DO NASCIMENTO SENA</v>
          </cell>
          <cell r="C369" t="str">
            <v>78.223,48</v>
          </cell>
          <cell r="D369" t="str">
            <v>75.000,00</v>
          </cell>
          <cell r="E369" t="str">
            <v>0,00</v>
          </cell>
          <cell r="F369" t="str">
            <v>1.611,74</v>
          </cell>
          <cell r="G369" t="str">
            <v>1.611,74</v>
          </cell>
          <cell r="H369" t="str">
            <v>0,00</v>
          </cell>
          <cell r="I369">
            <v>1611.74</v>
          </cell>
          <cell r="J369">
            <v>-1611.74</v>
          </cell>
        </row>
        <row r="370">
          <cell r="A370" t="str">
            <v>1.1.1.3.01.003950</v>
          </cell>
          <cell r="B370" t="str">
            <v>MINERACAO PANCIERI MINAS LTDA</v>
          </cell>
          <cell r="C370" t="str">
            <v>1.050.511,76</v>
          </cell>
          <cell r="D370" t="str">
            <v>849.011,76</v>
          </cell>
          <cell r="E370" t="str">
            <v>0,00</v>
          </cell>
          <cell r="F370" t="str">
            <v>14.500,00</v>
          </cell>
          <cell r="G370" t="str">
            <v>187.000,00</v>
          </cell>
          <cell r="H370" t="str">
            <v>0,00</v>
          </cell>
          <cell r="I370">
            <v>187000</v>
          </cell>
          <cell r="J370">
            <v>-187000</v>
          </cell>
        </row>
        <row r="371">
          <cell r="A371" t="str">
            <v>1.1.1.3.01.003962</v>
          </cell>
          <cell r="B371" t="str">
            <v>H.A. COMERCIO E SERVICOS DE TERRAP</v>
          </cell>
          <cell r="C371" t="str">
            <v>399.000,00</v>
          </cell>
          <cell r="D371" t="str">
            <v>348.900,00</v>
          </cell>
          <cell r="E371" t="str">
            <v>0,00</v>
          </cell>
          <cell r="F371" t="str">
            <v>0,00</v>
          </cell>
          <cell r="G371" t="str">
            <v>50.100,00</v>
          </cell>
          <cell r="H371" t="str">
            <v>0,00</v>
          </cell>
          <cell r="I371">
            <v>50100</v>
          </cell>
          <cell r="J371">
            <v>-50100</v>
          </cell>
        </row>
        <row r="372">
          <cell r="A372" t="str">
            <v>1.1.1.3.01.003967</v>
          </cell>
          <cell r="B372" t="str">
            <v>ARCELORMITTAL BRASIL S.A.</v>
          </cell>
          <cell r="C372" t="str">
            <v>1.058.158,09</v>
          </cell>
          <cell r="D372" t="str">
            <v>1.041.463,09</v>
          </cell>
          <cell r="E372" t="str">
            <v>0,00</v>
          </cell>
          <cell r="F372" t="str">
            <v>0,00</v>
          </cell>
          <cell r="G372" t="str">
            <v>16.695,00</v>
          </cell>
          <cell r="H372" t="str">
            <v>0,00</v>
          </cell>
          <cell r="I372">
            <v>16695</v>
          </cell>
          <cell r="J372">
            <v>-16695</v>
          </cell>
        </row>
        <row r="373">
          <cell r="A373" t="str">
            <v>1.1.1.3.01.003970</v>
          </cell>
          <cell r="B373" t="str">
            <v>INDUSTRIA E COMERCIO DE PEDRAS JUNDIA LT</v>
          </cell>
          <cell r="C373" t="str">
            <v>274.169,72</v>
          </cell>
          <cell r="D373" t="str">
            <v>274.169,72</v>
          </cell>
          <cell r="E373" t="str">
            <v>1.218,04</v>
          </cell>
          <cell r="F373" t="str">
            <v>0,00</v>
          </cell>
          <cell r="G373" t="str">
            <v>1.218,04</v>
          </cell>
          <cell r="H373" t="str">
            <v>0,00</v>
          </cell>
          <cell r="I373">
            <v>1218.04</v>
          </cell>
          <cell r="J373">
            <v>-1218.04</v>
          </cell>
        </row>
        <row r="374">
          <cell r="A374" t="str">
            <v>1.1.1.3.01.003997</v>
          </cell>
          <cell r="B374" t="str">
            <v>GESSO HERMON LTDA</v>
          </cell>
          <cell r="C374" t="str">
            <v>75.574,93</v>
          </cell>
          <cell r="D374" t="str">
            <v>70.800,12</v>
          </cell>
          <cell r="E374" t="str">
            <v>0,00</v>
          </cell>
          <cell r="F374" t="str">
            <v>3.183,20</v>
          </cell>
          <cell r="G374" t="str">
            <v>1.591,61</v>
          </cell>
          <cell r="H374" t="str">
            <v>0,00</v>
          </cell>
          <cell r="I374">
            <v>1591.61</v>
          </cell>
          <cell r="J374">
            <v>-1591.61</v>
          </cell>
        </row>
        <row r="375">
          <cell r="A375" t="str">
            <v>1.1.1.3.01.004007</v>
          </cell>
          <cell r="B375" t="str">
            <v>PETERRA ALUGUEL DE EQUIPAMENTOS LTDA</v>
          </cell>
          <cell r="C375" t="str">
            <v>352.975,61</v>
          </cell>
          <cell r="D375" t="str">
            <v>337.975,61</v>
          </cell>
          <cell r="E375" t="str">
            <v>15.500,00</v>
          </cell>
          <cell r="F375" t="str">
            <v>3.000,00</v>
          </cell>
          <cell r="G375" t="str">
            <v>27.500,00</v>
          </cell>
          <cell r="H375" t="str">
            <v>0,00</v>
          </cell>
          <cell r="I375">
            <v>27500</v>
          </cell>
          <cell r="J375">
            <v>-27500</v>
          </cell>
        </row>
        <row r="376">
          <cell r="A376" t="str">
            <v>1.1.1.3.01.004011</v>
          </cell>
          <cell r="B376" t="str">
            <v>ESGO-JET AMBIENTAL LTDA</v>
          </cell>
          <cell r="C376" t="str">
            <v>317.301,36</v>
          </cell>
          <cell r="D376" t="str">
            <v>350.701,36</v>
          </cell>
          <cell r="E376" t="str">
            <v>0,00</v>
          </cell>
          <cell r="F376" t="str">
            <v>0,00</v>
          </cell>
          <cell r="G376" t="str">
            <v>0,00</v>
          </cell>
          <cell r="H376" t="str">
            <v>33.400,00</v>
          </cell>
          <cell r="I376">
            <v>-33400</v>
          </cell>
          <cell r="J376">
            <v>66800</v>
          </cell>
        </row>
        <row r="377">
          <cell r="A377" t="str">
            <v>1.1.1.3.01.004015</v>
          </cell>
          <cell r="B377" t="str">
            <v>VR DEMOLIDORA LTDA</v>
          </cell>
          <cell r="C377" t="str">
            <v>833.018,05</v>
          </cell>
          <cell r="D377" t="str">
            <v>817.305,54</v>
          </cell>
          <cell r="E377" t="str">
            <v>0,00</v>
          </cell>
          <cell r="F377" t="str">
            <v>4.338,31</v>
          </cell>
          <cell r="G377" t="str">
            <v>11.374,20</v>
          </cell>
          <cell r="H377" t="str">
            <v>0,00</v>
          </cell>
          <cell r="I377">
            <v>11374.2</v>
          </cell>
          <cell r="J377">
            <v>-11374.2</v>
          </cell>
        </row>
        <row r="378">
          <cell r="A378" t="str">
            <v>1.1.1.3.01.004017</v>
          </cell>
          <cell r="B378" t="str">
            <v>DELTA MINERACAO LTDA</v>
          </cell>
          <cell r="C378" t="str">
            <v>382.412,19</v>
          </cell>
          <cell r="D378" t="str">
            <v>304.412,19</v>
          </cell>
          <cell r="E378" t="str">
            <v>120.000,00</v>
          </cell>
          <cell r="F378" t="str">
            <v>45.000,00</v>
          </cell>
          <cell r="G378" t="str">
            <v>153.000,00</v>
          </cell>
          <cell r="H378" t="str">
            <v>0,00</v>
          </cell>
          <cell r="I378">
            <v>153000</v>
          </cell>
          <cell r="J378">
            <v>-153000</v>
          </cell>
        </row>
        <row r="379">
          <cell r="A379" t="str">
            <v>1.1.1.3.01.004018</v>
          </cell>
          <cell r="B379" t="str">
            <v>SOLUGUEL EQUIPAMENTOS P/ CONSTRUCAO LTDA</v>
          </cell>
          <cell r="C379" t="str">
            <v>71.158,54</v>
          </cell>
          <cell r="D379" t="str">
            <v>67.959,84</v>
          </cell>
          <cell r="E379" t="str">
            <v>0,00</v>
          </cell>
          <cell r="F379" t="str">
            <v>0,00</v>
          </cell>
          <cell r="G379" t="str">
            <v>3.198,70</v>
          </cell>
          <cell r="H379" t="str">
            <v>0,00</v>
          </cell>
          <cell r="I379">
            <v>3198.7</v>
          </cell>
          <cell r="J379">
            <v>-3198.7</v>
          </cell>
        </row>
        <row r="380">
          <cell r="A380" t="str">
            <v>1.1.1.3.01.004022</v>
          </cell>
          <cell r="B380" t="str">
            <v>P &amp; A LOCACOES DE MAQUINAS, EQUIPAMENTOS</v>
          </cell>
          <cell r="C380" t="str">
            <v>96.538,96</v>
          </cell>
          <cell r="D380" t="str">
            <v>85.338,96</v>
          </cell>
          <cell r="E380" t="str">
            <v>1.469,04</v>
          </cell>
          <cell r="F380" t="str">
            <v>0,00</v>
          </cell>
          <cell r="G380" t="str">
            <v>12.669,04</v>
          </cell>
          <cell r="H380" t="str">
            <v>0,00</v>
          </cell>
          <cell r="I380">
            <v>12669.04</v>
          </cell>
          <cell r="J380">
            <v>-12669.04</v>
          </cell>
        </row>
        <row r="381">
          <cell r="A381" t="str">
            <v>1.1.1.3.01.004024</v>
          </cell>
          <cell r="B381" t="str">
            <v>NEXA RECURSOS MINERAIS S.A.</v>
          </cell>
          <cell r="C381" t="str">
            <v>746.033,94</v>
          </cell>
          <cell r="D381" t="str">
            <v>676.033,94</v>
          </cell>
          <cell r="E381" t="str">
            <v>0,00</v>
          </cell>
          <cell r="F381" t="str">
            <v>70.000,00</v>
          </cell>
          <cell r="G381" t="str">
            <v>0,00</v>
          </cell>
          <cell r="H381" t="str">
            <v>0,00</v>
          </cell>
          <cell r="I381">
            <v>0</v>
          </cell>
          <cell r="J381">
            <v>0</v>
          </cell>
        </row>
        <row r="382">
          <cell r="A382" t="str">
            <v>1.1.1.3.01.004027</v>
          </cell>
          <cell r="B382" t="str">
            <v>R2 LOCACAO E TRANSPORTES LTDA</v>
          </cell>
          <cell r="C382" t="str">
            <v>126.629,09</v>
          </cell>
          <cell r="D382" t="str">
            <v>117.629,09</v>
          </cell>
          <cell r="E382" t="str">
            <v>0,00</v>
          </cell>
          <cell r="F382" t="str">
            <v>0,00</v>
          </cell>
          <cell r="G382" t="str">
            <v>9.000,00</v>
          </cell>
          <cell r="H382" t="str">
            <v>0,00</v>
          </cell>
          <cell r="I382">
            <v>9000</v>
          </cell>
          <cell r="J382">
            <v>-9000</v>
          </cell>
        </row>
        <row r="383">
          <cell r="A383" t="str">
            <v>1.1.1.3.01.004028</v>
          </cell>
          <cell r="B383" t="str">
            <v>MASTER TOUR SHOWS E TRANSPORTES LTDA</v>
          </cell>
          <cell r="C383" t="str">
            <v>460.000,00</v>
          </cell>
          <cell r="D383" t="str">
            <v>459.328,58</v>
          </cell>
          <cell r="E383" t="str">
            <v>0,00</v>
          </cell>
          <cell r="F383" t="str">
            <v>0,00</v>
          </cell>
          <cell r="G383" t="str">
            <v>671,42</v>
          </cell>
          <cell r="H383" t="str">
            <v>0,00</v>
          </cell>
          <cell r="I383">
            <v>671.42</v>
          </cell>
          <cell r="J383">
            <v>-671.42</v>
          </cell>
        </row>
        <row r="384">
          <cell r="A384" t="str">
            <v>1.1.1.3.01.004046</v>
          </cell>
          <cell r="B384" t="str">
            <v>ACAYACA STONES QUARTIZITES LTDA</v>
          </cell>
          <cell r="C384" t="str">
            <v>137.110,11</v>
          </cell>
          <cell r="D384" t="str">
            <v>111.910,12</v>
          </cell>
          <cell r="E384" t="str">
            <v>0,00</v>
          </cell>
          <cell r="F384" t="str">
            <v>0,00</v>
          </cell>
          <cell r="G384" t="str">
            <v>25.199,99</v>
          </cell>
          <cell r="H384" t="str">
            <v>0,00</v>
          </cell>
          <cell r="I384">
            <v>25199.99</v>
          </cell>
          <cell r="J384">
            <v>-25199.99</v>
          </cell>
        </row>
        <row r="385">
          <cell r="A385" t="str">
            <v>1.1.1.3.01.004047</v>
          </cell>
          <cell r="B385" t="str">
            <v>MARMORARIA CANAA LTDA</v>
          </cell>
          <cell r="C385" t="str">
            <v>5.100.775,06</v>
          </cell>
          <cell r="D385" t="str">
            <v>2.730.666,81</v>
          </cell>
          <cell r="E385" t="str">
            <v>0,00</v>
          </cell>
          <cell r="F385" t="str">
            <v>52.027,45</v>
          </cell>
          <cell r="G385" t="str">
            <v>2.318.080,80</v>
          </cell>
          <cell r="H385" t="str">
            <v>0,00</v>
          </cell>
          <cell r="I385">
            <v>2318080.7999999998</v>
          </cell>
          <cell r="J385">
            <v>-2318080.7999999998</v>
          </cell>
        </row>
        <row r="386">
          <cell r="A386" t="str">
            <v>1.1.1.3.01.004048</v>
          </cell>
          <cell r="B386" t="str">
            <v>MC GOUVÊA DEMOLIÇÃO EIRELE</v>
          </cell>
          <cell r="C386" t="str">
            <v>361.358,20</v>
          </cell>
          <cell r="D386" t="str">
            <v>225.358,20</v>
          </cell>
          <cell r="E386" t="str">
            <v>0,00</v>
          </cell>
          <cell r="F386" t="str">
            <v>13.600,00</v>
          </cell>
          <cell r="G386" t="str">
            <v>122.400,00</v>
          </cell>
          <cell r="H386" t="str">
            <v>0,00</v>
          </cell>
          <cell r="I386">
            <v>122400</v>
          </cell>
          <cell r="J386">
            <v>-122400</v>
          </cell>
        </row>
        <row r="387">
          <cell r="A387" t="str">
            <v>1.1.1.3.01.004052</v>
          </cell>
          <cell r="B387" t="str">
            <v>MARACAJU ENGENHARIA E EMPREENDIMENTOS LT</v>
          </cell>
          <cell r="C387" t="str">
            <v>112.678,42</v>
          </cell>
          <cell r="D387" t="str">
            <v>82.678,42</v>
          </cell>
          <cell r="E387" t="str">
            <v>0,00</v>
          </cell>
          <cell r="F387" t="str">
            <v>0,00</v>
          </cell>
          <cell r="G387" t="str">
            <v>30.000,00</v>
          </cell>
          <cell r="H387" t="str">
            <v>0,00</v>
          </cell>
          <cell r="I387">
            <v>30000</v>
          </cell>
          <cell r="J387">
            <v>-30000</v>
          </cell>
        </row>
        <row r="388">
          <cell r="A388" t="str">
            <v>1.1.1.3.01.004065</v>
          </cell>
          <cell r="B388" t="str">
            <v>GEL LOCACOES DE MAQUINAS LTDA</v>
          </cell>
          <cell r="C388" t="str">
            <v>213.770,55</v>
          </cell>
          <cell r="D388" t="str">
            <v>213.770,55</v>
          </cell>
          <cell r="E388" t="str">
            <v>1.804,45</v>
          </cell>
          <cell r="F388" t="str">
            <v>0,00</v>
          </cell>
          <cell r="G388" t="str">
            <v>1.804,45</v>
          </cell>
          <cell r="H388" t="str">
            <v>0,00</v>
          </cell>
          <cell r="I388">
            <v>1804.45</v>
          </cell>
          <cell r="J388">
            <v>-1804.45</v>
          </cell>
        </row>
        <row r="389">
          <cell r="A389" t="str">
            <v>1.1.1.3.01.004090</v>
          </cell>
          <cell r="B389" t="str">
            <v>MGM ENGENHARIA E OPERACOES INDUSTRIAIS L</v>
          </cell>
          <cell r="C389" t="str">
            <v>5.027,76</v>
          </cell>
          <cell r="D389" t="str">
            <v>4.077,76</v>
          </cell>
          <cell r="E389" t="str">
            <v>0,00</v>
          </cell>
          <cell r="F389" t="str">
            <v>0,00</v>
          </cell>
          <cell r="G389" t="str">
            <v>950,00</v>
          </cell>
          <cell r="H389" t="str">
            <v>0,00</v>
          </cell>
          <cell r="I389">
            <v>950</v>
          </cell>
          <cell r="J389">
            <v>-950</v>
          </cell>
        </row>
        <row r="390">
          <cell r="A390" t="str">
            <v>1.1.1.3.01.004092</v>
          </cell>
          <cell r="B390" t="str">
            <v>ICL AMÉRICA DO SUL S.A.</v>
          </cell>
          <cell r="C390" t="str">
            <v>39.772,24</v>
          </cell>
          <cell r="D390" t="str">
            <v>37.610,50</v>
          </cell>
          <cell r="E390" t="str">
            <v>0,00</v>
          </cell>
          <cell r="F390" t="str">
            <v>2.161,74</v>
          </cell>
          <cell r="G390" t="str">
            <v>0,00</v>
          </cell>
          <cell r="H390" t="str">
            <v>0,00</v>
          </cell>
          <cell r="I390">
            <v>0</v>
          </cell>
          <cell r="J390">
            <v>0</v>
          </cell>
        </row>
        <row r="391">
          <cell r="A391" t="str">
            <v>1.1.1.3.01.004096</v>
          </cell>
          <cell r="B391" t="str">
            <v>LARA COMERCIO &amp; SERVIÇOS LTDA ME</v>
          </cell>
          <cell r="C391" t="str">
            <v>83.705,53</v>
          </cell>
          <cell r="D391" t="str">
            <v>83.705,53</v>
          </cell>
          <cell r="E391" t="str">
            <v>4.197,21</v>
          </cell>
          <cell r="F391" t="str">
            <v>0,00</v>
          </cell>
          <cell r="G391" t="str">
            <v>4.197,21</v>
          </cell>
          <cell r="H391" t="str">
            <v>0,00</v>
          </cell>
          <cell r="I391">
            <v>4197.21</v>
          </cell>
          <cell r="J391">
            <v>-4197.21</v>
          </cell>
        </row>
        <row r="392">
          <cell r="A392" t="str">
            <v>1.1.1.3.01.004102</v>
          </cell>
          <cell r="B392" t="str">
            <v>CONSTANTINO SERVICOS E LOCACAO LTDA</v>
          </cell>
          <cell r="C392" t="str">
            <v>30.298,56</v>
          </cell>
          <cell r="D392" t="str">
            <v>29.495,24</v>
          </cell>
          <cell r="E392" t="str">
            <v>0,00</v>
          </cell>
          <cell r="F392" t="str">
            <v>803,32</v>
          </cell>
          <cell r="G392" t="str">
            <v>0,00</v>
          </cell>
          <cell r="H392" t="str">
            <v>0,00</v>
          </cell>
          <cell r="I392">
            <v>0</v>
          </cell>
          <cell r="J392">
            <v>0</v>
          </cell>
        </row>
        <row r="393">
          <cell r="A393" t="str">
            <v>1.1.1.3.01.004104</v>
          </cell>
          <cell r="B393" t="str">
            <v>PLANERRCOMERCIODEFERRAMENTASEMANUTENCAOE</v>
          </cell>
          <cell r="C393" t="str">
            <v>33.778,25</v>
          </cell>
          <cell r="D393" t="str">
            <v>26.875,62</v>
          </cell>
          <cell r="E393" t="str">
            <v>0,00</v>
          </cell>
          <cell r="F393" t="str">
            <v>6.902,63</v>
          </cell>
          <cell r="G393" t="str">
            <v>0,00</v>
          </cell>
          <cell r="H393" t="str">
            <v>0,00</v>
          </cell>
          <cell r="I393">
            <v>0</v>
          </cell>
          <cell r="J393">
            <v>0</v>
          </cell>
        </row>
        <row r="394">
          <cell r="A394" t="str">
            <v>1.1.1.3.01.004115</v>
          </cell>
          <cell r="B394" t="str">
            <v>BESIX-ECB SPE LTDA</v>
          </cell>
          <cell r="C394" t="str">
            <v>3.273.498,96</v>
          </cell>
          <cell r="D394" t="str">
            <v>3.273.498,99</v>
          </cell>
          <cell r="E394" t="str">
            <v>27.635,84</v>
          </cell>
          <cell r="F394" t="str">
            <v>0,00</v>
          </cell>
          <cell r="G394" t="str">
            <v>27.635,81</v>
          </cell>
          <cell r="H394" t="str">
            <v>0,00</v>
          </cell>
          <cell r="I394">
            <v>27635.81</v>
          </cell>
          <cell r="J394">
            <v>-27635.81</v>
          </cell>
        </row>
        <row r="395">
          <cell r="A395" t="str">
            <v>1.1.1.3.01.004118</v>
          </cell>
          <cell r="B395" t="str">
            <v>OKUBO COMERCIO DE PEDRAS LTDA</v>
          </cell>
          <cell r="C395" t="str">
            <v>48.635,42</v>
          </cell>
          <cell r="D395" t="str">
            <v>53.280,72</v>
          </cell>
          <cell r="E395" t="str">
            <v>0,00</v>
          </cell>
          <cell r="F395" t="str">
            <v>0,00</v>
          </cell>
          <cell r="G395" t="str">
            <v>0,00</v>
          </cell>
          <cell r="H395" t="str">
            <v>4.645,30</v>
          </cell>
          <cell r="I395">
            <v>-4645.3</v>
          </cell>
          <cell r="J395">
            <v>9290.6</v>
          </cell>
        </row>
        <row r="396">
          <cell r="A396" t="str">
            <v>1.1.1.3.01.004141</v>
          </cell>
          <cell r="B396" t="str">
            <v>UBIRACY REIS BARBOSA JUNIOR</v>
          </cell>
          <cell r="C396" t="str">
            <v>3.541,03</v>
          </cell>
          <cell r="D396" t="str">
            <v>3.460,46</v>
          </cell>
          <cell r="E396" t="str">
            <v>0,00</v>
          </cell>
          <cell r="F396" t="str">
            <v>0,00</v>
          </cell>
          <cell r="G396" t="str">
            <v>80,57</v>
          </cell>
          <cell r="H396" t="str">
            <v>0,00</v>
          </cell>
          <cell r="I396">
            <v>80.569999999999993</v>
          </cell>
          <cell r="J396">
            <v>-80.569999999999993</v>
          </cell>
        </row>
        <row r="397">
          <cell r="A397" t="str">
            <v>1.1.1.3.01.004142</v>
          </cell>
          <cell r="B397" t="str">
            <v>ARMAC LOCACAO, LOGISTICA E SERVICOS S.A</v>
          </cell>
          <cell r="C397" t="str">
            <v>2.585.416,94</v>
          </cell>
          <cell r="D397" t="str">
            <v>2.400.387,59</v>
          </cell>
          <cell r="E397" t="str">
            <v>125.881,83</v>
          </cell>
          <cell r="F397" t="str">
            <v>75.169,76</v>
          </cell>
          <cell r="G397" t="str">
            <v>235.741,42</v>
          </cell>
          <cell r="H397" t="str">
            <v>0,00</v>
          </cell>
          <cell r="I397">
            <v>235741.42</v>
          </cell>
          <cell r="J397">
            <v>-235741.42</v>
          </cell>
        </row>
        <row r="398">
          <cell r="A398" t="str">
            <v>1.1.1.3.01.004143</v>
          </cell>
          <cell r="B398" t="str">
            <v>CONCREBASE SERVIÇOS DE CONCRETAGEM LTDA</v>
          </cell>
          <cell r="C398" t="str">
            <v>475.038,96</v>
          </cell>
          <cell r="D398" t="str">
            <v>465.250,32</v>
          </cell>
          <cell r="E398" t="str">
            <v>0,00</v>
          </cell>
          <cell r="F398" t="str">
            <v>9.788,64</v>
          </cell>
          <cell r="G398" t="str">
            <v>0,00</v>
          </cell>
          <cell r="H398" t="str">
            <v>0,00</v>
          </cell>
          <cell r="I398">
            <v>0</v>
          </cell>
          <cell r="J398">
            <v>0</v>
          </cell>
        </row>
        <row r="399">
          <cell r="A399" t="str">
            <v>1.1.1.3.01.004146</v>
          </cell>
          <cell r="B399" t="str">
            <v>B. F. DE OLIVEIRA CONSTRUÇÕES ME</v>
          </cell>
          <cell r="C399" t="str">
            <v>21.896,34</v>
          </cell>
          <cell r="D399" t="str">
            <v>21.478,13</v>
          </cell>
          <cell r="E399" t="str">
            <v>0,00</v>
          </cell>
          <cell r="F399" t="str">
            <v>0,00</v>
          </cell>
          <cell r="G399" t="str">
            <v>418,21</v>
          </cell>
          <cell r="H399" t="str">
            <v>0,00</v>
          </cell>
          <cell r="I399">
            <v>418.21</v>
          </cell>
          <cell r="J399">
            <v>-418.21</v>
          </cell>
        </row>
        <row r="400">
          <cell r="A400" t="str">
            <v>1.1.1.3.01.004155</v>
          </cell>
          <cell r="B400" t="str">
            <v>BRITAGEM PRIMAVERA</v>
          </cell>
          <cell r="C400" t="str">
            <v>49.421,54</v>
          </cell>
          <cell r="D400" t="str">
            <v>42.002,70</v>
          </cell>
          <cell r="E400" t="str">
            <v>0,00</v>
          </cell>
          <cell r="F400" t="str">
            <v>3.709,42</v>
          </cell>
          <cell r="G400" t="str">
            <v>3.709,42</v>
          </cell>
          <cell r="H400" t="str">
            <v>0,00</v>
          </cell>
          <cell r="I400">
            <v>3709.42</v>
          </cell>
          <cell r="J400">
            <v>-3709.42</v>
          </cell>
        </row>
        <row r="401">
          <cell r="A401" t="str">
            <v>1.1.1.3.01.004161</v>
          </cell>
          <cell r="B401" t="str">
            <v>GABRIEL DE CARVALHO OKUBO</v>
          </cell>
          <cell r="C401" t="str">
            <v>39.953,71</v>
          </cell>
          <cell r="D401" t="str">
            <v>47.331,25</v>
          </cell>
          <cell r="E401" t="str">
            <v>0,00</v>
          </cell>
          <cell r="F401" t="str">
            <v>0,00</v>
          </cell>
          <cell r="G401" t="str">
            <v>0,00</v>
          </cell>
          <cell r="H401" t="str">
            <v>7.377,54</v>
          </cell>
          <cell r="I401">
            <v>-7377.54</v>
          </cell>
          <cell r="J401">
            <v>14755.08</v>
          </cell>
        </row>
        <row r="402">
          <cell r="A402" t="str">
            <v>1.1.1.3.01.004179</v>
          </cell>
          <cell r="B402" t="str">
            <v>DEMOLIDORA FORTALEZA EIRELI</v>
          </cell>
          <cell r="C402" t="str">
            <v>48.452,27</v>
          </cell>
          <cell r="D402" t="str">
            <v>45.025,62</v>
          </cell>
          <cell r="E402" t="str">
            <v>0,00</v>
          </cell>
          <cell r="F402" t="str">
            <v>1.714,54</v>
          </cell>
          <cell r="G402" t="str">
            <v>1.712,11</v>
          </cell>
          <cell r="H402" t="str">
            <v>0,00</v>
          </cell>
          <cell r="I402">
            <v>1712.11</v>
          </cell>
          <cell r="J402">
            <v>-1712.11</v>
          </cell>
        </row>
        <row r="403">
          <cell r="A403" t="str">
            <v>1.1.1.3.01.004182</v>
          </cell>
          <cell r="B403" t="str">
            <v>CENTRAL PARTES E PEÇAS LTDA</v>
          </cell>
          <cell r="C403" t="str">
            <v>3.889,88</v>
          </cell>
          <cell r="D403" t="str">
            <v>3.491,29</v>
          </cell>
          <cell r="E403" t="str">
            <v>0,00</v>
          </cell>
          <cell r="F403" t="str">
            <v>0,00</v>
          </cell>
          <cell r="G403" t="str">
            <v>398,59</v>
          </cell>
          <cell r="H403" t="str">
            <v>0,00</v>
          </cell>
          <cell r="I403">
            <v>398.59</v>
          </cell>
          <cell r="J403">
            <v>-398.59</v>
          </cell>
        </row>
        <row r="404">
          <cell r="A404" t="str">
            <v>1.1.1.3.01.004186</v>
          </cell>
          <cell r="B404" t="str">
            <v>MINERACAO WHITE GRAN LTDA</v>
          </cell>
          <cell r="C404" t="str">
            <v>4.051,57</v>
          </cell>
          <cell r="D404" t="str">
            <v>2.701,55</v>
          </cell>
          <cell r="E404" t="str">
            <v>0,00</v>
          </cell>
          <cell r="F404" t="str">
            <v>0,00</v>
          </cell>
          <cell r="G404" t="str">
            <v>1.350,02</v>
          </cell>
          <cell r="H404" t="str">
            <v>0,00</v>
          </cell>
          <cell r="I404">
            <v>1350.02</v>
          </cell>
          <cell r="J404">
            <v>-1350.02</v>
          </cell>
        </row>
        <row r="405">
          <cell r="A405" t="str">
            <v>1.1.1.3.01.004195</v>
          </cell>
          <cell r="B405" t="str">
            <v>JONAS GIMENEZ RODRIGUES</v>
          </cell>
          <cell r="C405" t="str">
            <v>88.200,78</v>
          </cell>
          <cell r="D405" t="str">
            <v>46.373,92</v>
          </cell>
          <cell r="E405" t="str">
            <v>0,00</v>
          </cell>
          <cell r="F405" t="str">
            <v>4.584,53</v>
          </cell>
          <cell r="G405" t="str">
            <v>37.242,33</v>
          </cell>
          <cell r="H405" t="str">
            <v>0,00</v>
          </cell>
          <cell r="I405">
            <v>37242.33</v>
          </cell>
          <cell r="J405">
            <v>-37242.33</v>
          </cell>
        </row>
        <row r="406">
          <cell r="A406" t="str">
            <v>1.1.1.3.01.004252</v>
          </cell>
          <cell r="B406" t="str">
            <v>POLIMIX CONCRETO LTDA.</v>
          </cell>
          <cell r="C406" t="str">
            <v>318.964,64</v>
          </cell>
          <cell r="D406" t="str">
            <v>311.281,56</v>
          </cell>
          <cell r="E406" t="str">
            <v>0,00</v>
          </cell>
          <cell r="F406" t="str">
            <v>0,00</v>
          </cell>
          <cell r="G406" t="str">
            <v>7.683,08</v>
          </cell>
          <cell r="H406" t="str">
            <v>0,00</v>
          </cell>
          <cell r="I406">
            <v>7683.08</v>
          </cell>
          <cell r="J406">
            <v>-7683.08</v>
          </cell>
        </row>
        <row r="407">
          <cell r="A407" t="str">
            <v>1.1.1.3.01.004262</v>
          </cell>
          <cell r="B407" t="str">
            <v>MINERACAO ITINGA DA SERRA LTDA</v>
          </cell>
          <cell r="C407" t="str">
            <v>11.083,65</v>
          </cell>
          <cell r="D407" t="str">
            <v>8.508,26</v>
          </cell>
          <cell r="E407" t="str">
            <v>0,00</v>
          </cell>
          <cell r="F407" t="str">
            <v>1.287,70</v>
          </cell>
          <cell r="G407" t="str">
            <v>1.287,69</v>
          </cell>
          <cell r="H407" t="str">
            <v>0,00</v>
          </cell>
          <cell r="I407">
            <v>1287.69</v>
          </cell>
          <cell r="J407">
            <v>-1287.69</v>
          </cell>
        </row>
        <row r="408">
          <cell r="A408" t="str">
            <v>1.1.1.3.01.004266</v>
          </cell>
          <cell r="B408" t="str">
            <v>ADILSON RAMOS DA SILVA ADILSON RAMOS DA</v>
          </cell>
          <cell r="C408" t="str">
            <v>171.600,60</v>
          </cell>
          <cell r="D408" t="str">
            <v>171.850,24</v>
          </cell>
          <cell r="E408" t="str">
            <v>0,00</v>
          </cell>
          <cell r="F408" t="str">
            <v>0,00</v>
          </cell>
          <cell r="G408" t="str">
            <v>0,00</v>
          </cell>
          <cell r="H408" t="str">
            <v>249,64</v>
          </cell>
          <cell r="I408">
            <v>-249.64</v>
          </cell>
          <cell r="J408">
            <v>499.28</v>
          </cell>
        </row>
        <row r="409">
          <cell r="A409" t="str">
            <v>1.1.1.3.01.004284</v>
          </cell>
          <cell r="B409" t="str">
            <v>LS MENDONCA DEMOLICAO E LOCACAO LTDA</v>
          </cell>
          <cell r="C409" t="str">
            <v>435.406,18</v>
          </cell>
          <cell r="D409" t="str">
            <v>343.366,19</v>
          </cell>
          <cell r="E409" t="str">
            <v>0,00</v>
          </cell>
          <cell r="F409" t="str">
            <v>17.040,00</v>
          </cell>
          <cell r="G409" t="str">
            <v>74.999,99</v>
          </cell>
          <cell r="H409" t="str">
            <v>0,00</v>
          </cell>
          <cell r="I409">
            <v>74999.990000000005</v>
          </cell>
          <cell r="J409">
            <v>-74999.990000000005</v>
          </cell>
        </row>
        <row r="410">
          <cell r="A410" t="str">
            <v>1.1.1.3.01.004287</v>
          </cell>
          <cell r="B410" t="str">
            <v>VARGAS COMERCIO E LOCACOES LTDA</v>
          </cell>
          <cell r="C410" t="str">
            <v>330.552,27</v>
          </cell>
          <cell r="D410" t="str">
            <v>208.472,27</v>
          </cell>
          <cell r="E410" t="str">
            <v>804,77</v>
          </cell>
          <cell r="F410" t="str">
            <v>12.208,00</v>
          </cell>
          <cell r="G410" t="str">
            <v>110.676,77</v>
          </cell>
          <cell r="H410" t="str">
            <v>0,00</v>
          </cell>
          <cell r="I410">
            <v>110676.77</v>
          </cell>
          <cell r="J410">
            <v>-110676.77</v>
          </cell>
        </row>
        <row r="411">
          <cell r="A411" t="str">
            <v>1.1.1.3.01.004290</v>
          </cell>
          <cell r="B411" t="str">
            <v>MPJ - PRODUTOS, EQUIP. E SERVICOS LTDA</v>
          </cell>
          <cell r="C411" t="str">
            <v>31.780,51</v>
          </cell>
          <cell r="D411" t="str">
            <v>31.780,51</v>
          </cell>
          <cell r="E411" t="str">
            <v>222,12</v>
          </cell>
          <cell r="F411" t="str">
            <v>0,00</v>
          </cell>
          <cell r="G411" t="str">
            <v>222,12</v>
          </cell>
          <cell r="H411" t="str">
            <v>0,00</v>
          </cell>
          <cell r="I411">
            <v>222.12</v>
          </cell>
          <cell r="J411">
            <v>-222.12</v>
          </cell>
        </row>
        <row r="412">
          <cell r="A412" t="str">
            <v>1.1.1.3.01.004303</v>
          </cell>
          <cell r="B412" t="str">
            <v>ADRIELE DE OLIVEIRA GOUVEA</v>
          </cell>
          <cell r="C412" t="str">
            <v>1.111.237,59</v>
          </cell>
          <cell r="D412" t="str">
            <v>961.789,03</v>
          </cell>
          <cell r="E412" t="str">
            <v>0,00</v>
          </cell>
          <cell r="F412" t="str">
            <v>49.308,23</v>
          </cell>
          <cell r="G412" t="str">
            <v>100.140,33</v>
          </cell>
          <cell r="H412" t="str">
            <v>0,00</v>
          </cell>
          <cell r="I412">
            <v>100140.33</v>
          </cell>
          <cell r="J412">
            <v>-100140.33</v>
          </cell>
        </row>
        <row r="413">
          <cell r="A413" t="str">
            <v>1.1.1.3.01.004306</v>
          </cell>
          <cell r="B413" t="str">
            <v>F.T.A. CORTES E ACABAMENTOS LTDA</v>
          </cell>
          <cell r="C413" t="str">
            <v>534.501,13</v>
          </cell>
          <cell r="D413" t="str">
            <v>530.080,35</v>
          </cell>
          <cell r="E413" t="str">
            <v>0,00</v>
          </cell>
          <cell r="F413" t="str">
            <v>1.882,25</v>
          </cell>
          <cell r="G413" t="str">
            <v>2.538,53</v>
          </cell>
          <cell r="H413" t="str">
            <v>0,00</v>
          </cell>
          <cell r="I413">
            <v>2538.5300000000002</v>
          </cell>
          <cell r="J413">
            <v>-2538.5300000000002</v>
          </cell>
        </row>
        <row r="414">
          <cell r="A414" t="str">
            <v>1.1.1.3.01.004308</v>
          </cell>
          <cell r="B414" t="str">
            <v>TRILHOS SERV, LOC E MAN DE EQUIP FERROVI</v>
          </cell>
          <cell r="C414" t="str">
            <v>589.752,41</v>
          </cell>
          <cell r="D414" t="str">
            <v>614.084,93</v>
          </cell>
          <cell r="E414" t="str">
            <v>0,00</v>
          </cell>
          <cell r="F414" t="str">
            <v>0,00</v>
          </cell>
          <cell r="G414" t="str">
            <v>0,00</v>
          </cell>
          <cell r="H414" t="str">
            <v>24.332,52</v>
          </cell>
          <cell r="I414">
            <v>-24332.52</v>
          </cell>
          <cell r="J414">
            <v>48665.04</v>
          </cell>
        </row>
        <row r="415">
          <cell r="A415" t="str">
            <v>1.1.1.3.01.004319</v>
          </cell>
          <cell r="B415" t="str">
            <v>A J EBERLE JUNIOR LTDA</v>
          </cell>
          <cell r="C415" t="str">
            <v>1.346.159,12</v>
          </cell>
          <cell r="D415" t="str">
            <v>1.322.363,00</v>
          </cell>
          <cell r="E415" t="str">
            <v>0,00</v>
          </cell>
          <cell r="F415" t="str">
            <v>11.296,13</v>
          </cell>
          <cell r="G415" t="str">
            <v>12.499,99</v>
          </cell>
          <cell r="H415" t="str">
            <v>0,00</v>
          </cell>
          <cell r="I415">
            <v>12499.99</v>
          </cell>
          <cell r="J415">
            <v>-12499.99</v>
          </cell>
        </row>
        <row r="416">
          <cell r="A416" t="str">
            <v>1.1.1.3.01.004321</v>
          </cell>
          <cell r="B416" t="str">
            <v>AGROBRAZ ENGENHARIA E CONSTRUCAO LTDA</v>
          </cell>
          <cell r="C416" t="str">
            <v>59.632,46</v>
          </cell>
          <cell r="D416" t="str">
            <v>52.582,46</v>
          </cell>
          <cell r="E416" t="str">
            <v>0,00</v>
          </cell>
          <cell r="F416" t="str">
            <v>2.350,00</v>
          </cell>
          <cell r="G416" t="str">
            <v>4.700,00</v>
          </cell>
          <cell r="H416" t="str">
            <v>0,00</v>
          </cell>
          <cell r="I416">
            <v>4700</v>
          </cell>
          <cell r="J416">
            <v>-4700</v>
          </cell>
        </row>
        <row r="417">
          <cell r="A417" t="str">
            <v>1.1.1.3.01.004322</v>
          </cell>
          <cell r="B417" t="str">
            <v>BLUE STONE BRASIL LTDA</v>
          </cell>
          <cell r="C417" t="str">
            <v>94.495,92</v>
          </cell>
          <cell r="D417" t="str">
            <v>89.237,12</v>
          </cell>
          <cell r="E417" t="str">
            <v>0,00</v>
          </cell>
          <cell r="F417" t="str">
            <v>5.258,80</v>
          </cell>
          <cell r="G417" t="str">
            <v>0,00</v>
          </cell>
          <cell r="H417" t="str">
            <v>0,00</v>
          </cell>
          <cell r="I417">
            <v>0</v>
          </cell>
          <cell r="J417">
            <v>0</v>
          </cell>
        </row>
        <row r="418">
          <cell r="A418" t="str">
            <v>1.1.1.3.01.004324</v>
          </cell>
          <cell r="B418" t="str">
            <v>GRAMOBEL COMERCIO EXPORTACAO LTDA</v>
          </cell>
          <cell r="C418" t="str">
            <v>125.000,00</v>
          </cell>
          <cell r="D418" t="str">
            <v>124.255,73</v>
          </cell>
          <cell r="E418" t="str">
            <v>0,00</v>
          </cell>
          <cell r="F418" t="str">
            <v>0,00</v>
          </cell>
          <cell r="G418" t="str">
            <v>744,27</v>
          </cell>
          <cell r="H418" t="str">
            <v>0,00</v>
          </cell>
          <cell r="I418">
            <v>744.27</v>
          </cell>
          <cell r="J418">
            <v>-744.27</v>
          </cell>
        </row>
        <row r="419">
          <cell r="A419" t="str">
            <v>1.1.1.3.01.004334</v>
          </cell>
          <cell r="B419" t="str">
            <v>ELEOZILDO MACIEL DE VASCONCELOS</v>
          </cell>
          <cell r="C419" t="str">
            <v>218.098,61</v>
          </cell>
          <cell r="D419" t="str">
            <v>216.490,43</v>
          </cell>
          <cell r="E419" t="str">
            <v>0,00</v>
          </cell>
          <cell r="F419" t="str">
            <v>0,00</v>
          </cell>
          <cell r="G419" t="str">
            <v>1.608,18</v>
          </cell>
          <cell r="H419" t="str">
            <v>0,00</v>
          </cell>
          <cell r="I419">
            <v>1608.18</v>
          </cell>
          <cell r="J419">
            <v>-1608.18</v>
          </cell>
        </row>
        <row r="420">
          <cell r="A420" t="str">
            <v>1.1.1.3.01.004335</v>
          </cell>
          <cell r="B420" t="str">
            <v>MINERADORA SANTO ANTONIO LTDA</v>
          </cell>
          <cell r="C420" t="str">
            <v>100.000,00</v>
          </cell>
          <cell r="D420" t="str">
            <v>99.500,00</v>
          </cell>
          <cell r="E420" t="str">
            <v>0,00</v>
          </cell>
          <cell r="F420" t="str">
            <v>0,00</v>
          </cell>
          <cell r="G420" t="str">
            <v>500,00</v>
          </cell>
          <cell r="H420" t="str">
            <v>0,00</v>
          </cell>
          <cell r="I420">
            <v>500</v>
          </cell>
          <cell r="J420">
            <v>-500</v>
          </cell>
        </row>
        <row r="421">
          <cell r="A421" t="str">
            <v>1.1.1.3.01.004337</v>
          </cell>
          <cell r="B421" t="str">
            <v>GR8 MINERADORA LTDA</v>
          </cell>
          <cell r="C421" t="str">
            <v>80.000,00</v>
          </cell>
          <cell r="D421" t="str">
            <v>56.928,58</v>
          </cell>
          <cell r="E421" t="str">
            <v>0,00</v>
          </cell>
          <cell r="F421" t="str">
            <v>0,00</v>
          </cell>
          <cell r="G421" t="str">
            <v>23.071,42</v>
          </cell>
          <cell r="H421" t="str">
            <v>0,00</v>
          </cell>
          <cell r="I421">
            <v>23071.42</v>
          </cell>
          <cell r="J421">
            <v>-23071.42</v>
          </cell>
        </row>
        <row r="422">
          <cell r="A422" t="str">
            <v>1.1.1.3.01.004340</v>
          </cell>
          <cell r="B422" t="str">
            <v>DLR DEMOLICOES E CONSTRUCOES LTDA</v>
          </cell>
          <cell r="C422" t="str">
            <v>213.957,47</v>
          </cell>
          <cell r="D422" t="str">
            <v>201.761,47</v>
          </cell>
          <cell r="E422" t="str">
            <v>0,00</v>
          </cell>
          <cell r="F422" t="str">
            <v>0,00</v>
          </cell>
          <cell r="G422" t="str">
            <v>12.196,00</v>
          </cell>
          <cell r="H422" t="str">
            <v>0,00</v>
          </cell>
          <cell r="I422">
            <v>12196</v>
          </cell>
          <cell r="J422">
            <v>-12196</v>
          </cell>
        </row>
        <row r="423">
          <cell r="A423" t="str">
            <v>1.1.1.3.01.004341</v>
          </cell>
          <cell r="B423" t="str">
            <v>TERRA BRASIL LTDA</v>
          </cell>
          <cell r="C423" t="str">
            <v>243.923,10</v>
          </cell>
          <cell r="D423" t="str">
            <v>245.390,00</v>
          </cell>
          <cell r="E423" t="str">
            <v>0,00</v>
          </cell>
          <cell r="F423" t="str">
            <v>0,00</v>
          </cell>
          <cell r="G423" t="str">
            <v>0,00</v>
          </cell>
          <cell r="H423" t="str">
            <v>1.466,90</v>
          </cell>
          <cell r="I423">
            <v>-1466.9</v>
          </cell>
          <cell r="J423">
            <v>2933.8</v>
          </cell>
        </row>
        <row r="424">
          <cell r="A424" t="str">
            <v>1.1.1.3.01.004345</v>
          </cell>
          <cell r="B424" t="str">
            <v>GRANLUNZ MINERACAO LTDA</v>
          </cell>
          <cell r="C424" t="str">
            <v>13.046,43</v>
          </cell>
          <cell r="D424" t="str">
            <v>11.547,68</v>
          </cell>
          <cell r="E424" t="str">
            <v>0,00</v>
          </cell>
          <cell r="F424" t="str">
            <v>0,00</v>
          </cell>
          <cell r="G424" t="str">
            <v>1.498,75</v>
          </cell>
          <cell r="H424" t="str">
            <v>0,00</v>
          </cell>
          <cell r="I424">
            <v>1498.75</v>
          </cell>
          <cell r="J424">
            <v>-1498.75</v>
          </cell>
        </row>
        <row r="425">
          <cell r="A425" t="str">
            <v>1.1.1.3.01.004347</v>
          </cell>
          <cell r="B425" t="str">
            <v>T L B DE MORAIS LTDA</v>
          </cell>
          <cell r="C425" t="str">
            <v>133.378,36</v>
          </cell>
          <cell r="D425" t="str">
            <v>127.050,46</v>
          </cell>
          <cell r="E425" t="str">
            <v>0,00</v>
          </cell>
          <cell r="F425" t="str">
            <v>0,00</v>
          </cell>
          <cell r="G425" t="str">
            <v>6.327,90</v>
          </cell>
          <cell r="H425" t="str">
            <v>0,00</v>
          </cell>
          <cell r="I425">
            <v>6327.9</v>
          </cell>
          <cell r="J425">
            <v>-6327.9</v>
          </cell>
        </row>
        <row r="426">
          <cell r="A426" t="str">
            <v>1.1.1.3.01.004350</v>
          </cell>
          <cell r="B426" t="str">
            <v>HORII AGRO INDUSTRIAL DE MINERIOS LTDA</v>
          </cell>
          <cell r="C426" t="str">
            <v>418.500,22</v>
          </cell>
          <cell r="D426" t="str">
            <v>418.500,22</v>
          </cell>
          <cell r="E426" t="str">
            <v>3.414,28</v>
          </cell>
          <cell r="F426" t="str">
            <v>0,00</v>
          </cell>
          <cell r="G426" t="str">
            <v>3.414,28</v>
          </cell>
          <cell r="H426" t="str">
            <v>0,00</v>
          </cell>
          <cell r="I426">
            <v>3414.28</v>
          </cell>
          <cell r="J426">
            <v>-3414.28</v>
          </cell>
        </row>
        <row r="427">
          <cell r="A427" t="str">
            <v>1.1.1.3.01.004356</v>
          </cell>
          <cell r="B427" t="str">
            <v>COM E EXP MARMORES E GRANITOS ITAPOAMA L</v>
          </cell>
          <cell r="C427" t="str">
            <v>848.651,09</v>
          </cell>
          <cell r="D427" t="str">
            <v>845.917,74</v>
          </cell>
          <cell r="E427" t="str">
            <v>0,00</v>
          </cell>
          <cell r="F427" t="str">
            <v>0,00</v>
          </cell>
          <cell r="G427" t="str">
            <v>2.733,35</v>
          </cell>
          <cell r="H427" t="str">
            <v>0,00</v>
          </cell>
          <cell r="I427">
            <v>2733.35</v>
          </cell>
          <cell r="J427">
            <v>-2733.35</v>
          </cell>
        </row>
        <row r="428">
          <cell r="A428" t="str">
            <v>1.1.1.3.01.004362</v>
          </cell>
          <cell r="B428" t="str">
            <v>WHITE SOLDER METALURGIA E MINERACAO LTDA</v>
          </cell>
          <cell r="C428" t="str">
            <v>50.519,15</v>
          </cell>
          <cell r="D428" t="str">
            <v>50.519,15</v>
          </cell>
          <cell r="E428" t="str">
            <v>1.500,00</v>
          </cell>
          <cell r="F428" t="str">
            <v>0,00</v>
          </cell>
          <cell r="G428" t="str">
            <v>1.500,00</v>
          </cell>
          <cell r="H428" t="str">
            <v>0,00</v>
          </cell>
          <cell r="I428">
            <v>1500</v>
          </cell>
          <cell r="J428">
            <v>-1500</v>
          </cell>
        </row>
        <row r="429">
          <cell r="A429" t="str">
            <v>1.1.1.3.01.004363</v>
          </cell>
          <cell r="B429" t="str">
            <v>WG MINERACAO EXTR. DE ROCHAS ORNAMENTAIS</v>
          </cell>
          <cell r="C429" t="str">
            <v>487.000,00</v>
          </cell>
          <cell r="D429" t="str">
            <v>291.000,00</v>
          </cell>
          <cell r="E429" t="str">
            <v>0,00</v>
          </cell>
          <cell r="F429" t="str">
            <v>0,00</v>
          </cell>
          <cell r="G429" t="str">
            <v>196.000,00</v>
          </cell>
          <cell r="H429" t="str">
            <v>0,00</v>
          </cell>
          <cell r="I429">
            <v>196000</v>
          </cell>
          <cell r="J429">
            <v>-196000</v>
          </cell>
        </row>
        <row r="430">
          <cell r="A430" t="str">
            <v>1.1.1.3.01.004374</v>
          </cell>
          <cell r="B430" t="str">
            <v>ARATU MINERACAO CONSTRUCAO LTDA</v>
          </cell>
          <cell r="C430" t="str">
            <v>185.636,11</v>
          </cell>
          <cell r="D430" t="str">
            <v>184.112,84</v>
          </cell>
          <cell r="E430" t="str">
            <v>0,00</v>
          </cell>
          <cell r="F430" t="str">
            <v>1.523,27</v>
          </cell>
          <cell r="G430" t="str">
            <v>0,00</v>
          </cell>
          <cell r="H430" t="str">
            <v>0,00</v>
          </cell>
          <cell r="I430">
            <v>0</v>
          </cell>
          <cell r="J430">
            <v>0</v>
          </cell>
        </row>
        <row r="431">
          <cell r="A431" t="str">
            <v>1.1.1.3.01.004377</v>
          </cell>
          <cell r="B431" t="str">
            <v>AZARIAS MACHADO NETO</v>
          </cell>
          <cell r="C431" t="str">
            <v>183.000,00</v>
          </cell>
          <cell r="D431" t="str">
            <v>182.024,88</v>
          </cell>
          <cell r="E431" t="str">
            <v>0,00</v>
          </cell>
          <cell r="F431" t="str">
            <v>0,00</v>
          </cell>
          <cell r="G431" t="str">
            <v>975,12</v>
          </cell>
          <cell r="H431" t="str">
            <v>0,00</v>
          </cell>
          <cell r="I431">
            <v>975.12</v>
          </cell>
          <cell r="J431">
            <v>-975.12</v>
          </cell>
        </row>
        <row r="432">
          <cell r="A432" t="str">
            <v>1.1.1.3.01.004386</v>
          </cell>
          <cell r="B432" t="str">
            <v>CAVA BIANCA MARMORE E GRANITOS EXPORT LT</v>
          </cell>
          <cell r="C432" t="str">
            <v>1.122.159,41</v>
          </cell>
          <cell r="D432" t="str">
            <v>762.159,41</v>
          </cell>
          <cell r="E432" t="str">
            <v>0,00</v>
          </cell>
          <cell r="F432" t="str">
            <v>24.000,00</v>
          </cell>
          <cell r="G432" t="str">
            <v>336.000,00</v>
          </cell>
          <cell r="H432" t="str">
            <v>0,00</v>
          </cell>
          <cell r="I432">
            <v>336000</v>
          </cell>
          <cell r="J432">
            <v>-336000</v>
          </cell>
        </row>
        <row r="433">
          <cell r="A433" t="str">
            <v>1.1.1.3.01.004391</v>
          </cell>
          <cell r="B433" t="str">
            <v>LBI CONTAINERS E TRATORES LTDA</v>
          </cell>
          <cell r="C433" t="str">
            <v>183.993,62</v>
          </cell>
          <cell r="D433" t="str">
            <v>151.957,91</v>
          </cell>
          <cell r="E433" t="str">
            <v>0,00</v>
          </cell>
          <cell r="F433" t="str">
            <v>0,00</v>
          </cell>
          <cell r="G433" t="str">
            <v>32.035,71</v>
          </cell>
          <cell r="H433" t="str">
            <v>0,00</v>
          </cell>
          <cell r="I433">
            <v>32035.71</v>
          </cell>
          <cell r="J433">
            <v>-32035.71</v>
          </cell>
        </row>
        <row r="434">
          <cell r="A434" t="str">
            <v>1.1.1.3.01.004394</v>
          </cell>
          <cell r="B434" t="str">
            <v>COMPACTA MAQ LOCACAO E TERRAPLANAGEM LTD</v>
          </cell>
          <cell r="C434" t="str">
            <v>97.590,41</v>
          </cell>
          <cell r="D434" t="str">
            <v>93.090,41</v>
          </cell>
          <cell r="E434" t="str">
            <v>0,00</v>
          </cell>
          <cell r="F434" t="str">
            <v>1.500,00</v>
          </cell>
          <cell r="G434" t="str">
            <v>3.000,00</v>
          </cell>
          <cell r="H434" t="str">
            <v>0,00</v>
          </cell>
          <cell r="I434">
            <v>3000</v>
          </cell>
          <cell r="J434">
            <v>-3000</v>
          </cell>
        </row>
        <row r="435">
          <cell r="A435" t="str">
            <v>1.1.1.3.01.004397</v>
          </cell>
          <cell r="B435" t="str">
            <v>GB LOC. E EQUIP. E TERRAPLENAGEM LTDA</v>
          </cell>
          <cell r="C435" t="str">
            <v>55.998,28</v>
          </cell>
          <cell r="D435" t="str">
            <v>45.998,28</v>
          </cell>
          <cell r="E435" t="str">
            <v>0,00</v>
          </cell>
          <cell r="F435" t="str">
            <v>0,00</v>
          </cell>
          <cell r="G435" t="str">
            <v>10.000,00</v>
          </cell>
          <cell r="H435" t="str">
            <v>0,00</v>
          </cell>
          <cell r="I435">
            <v>10000</v>
          </cell>
          <cell r="J435">
            <v>-10000</v>
          </cell>
        </row>
        <row r="436">
          <cell r="A436" t="str">
            <v>1.1.1.3.01.004398</v>
          </cell>
          <cell r="B436" t="str">
            <v>DEMOLIDORA FORMOSA LTDA</v>
          </cell>
          <cell r="C436" t="str">
            <v>477.379,83</v>
          </cell>
          <cell r="D436" t="str">
            <v>463.066,93</v>
          </cell>
          <cell r="E436" t="str">
            <v>0,00</v>
          </cell>
          <cell r="F436" t="str">
            <v>4.770,96</v>
          </cell>
          <cell r="G436" t="str">
            <v>9.541,94</v>
          </cell>
          <cell r="H436" t="str">
            <v>0,00</v>
          </cell>
          <cell r="I436">
            <v>9541.94</v>
          </cell>
          <cell r="J436">
            <v>-9541.94</v>
          </cell>
        </row>
        <row r="437">
          <cell r="A437" t="str">
            <v>1.1.1.3.01.004401</v>
          </cell>
          <cell r="B437" t="str">
            <v>INAMARMORE IND MARM E CALCARIO DO BRASIL</v>
          </cell>
          <cell r="C437" t="str">
            <v>961.933,00</v>
          </cell>
          <cell r="D437" t="str">
            <v>961.089,67</v>
          </cell>
          <cell r="E437" t="str">
            <v>0,00</v>
          </cell>
          <cell r="F437" t="str">
            <v>0,00</v>
          </cell>
          <cell r="G437" t="str">
            <v>843,33</v>
          </cell>
          <cell r="H437" t="str">
            <v>0,00</v>
          </cell>
          <cell r="I437">
            <v>843.33</v>
          </cell>
          <cell r="J437">
            <v>-843.33</v>
          </cell>
        </row>
        <row r="438">
          <cell r="A438" t="str">
            <v>1.1.1.3.01.004402</v>
          </cell>
          <cell r="B438" t="str">
            <v>RODOCACCIA - LOCACAO DE MAQ E EQUIP LTDA</v>
          </cell>
          <cell r="C438" t="str">
            <v>283.259,48</v>
          </cell>
          <cell r="D438" t="str">
            <v>264.109,47</v>
          </cell>
          <cell r="E438" t="str">
            <v>0,00</v>
          </cell>
          <cell r="F438" t="str">
            <v>3.582,17</v>
          </cell>
          <cell r="G438" t="str">
            <v>15.567,84</v>
          </cell>
          <cell r="H438" t="str">
            <v>0,00</v>
          </cell>
          <cell r="I438">
            <v>15567.84</v>
          </cell>
          <cell r="J438">
            <v>-15567.84</v>
          </cell>
        </row>
        <row r="439">
          <cell r="A439" t="str">
            <v>1.1.1.3.01.004406</v>
          </cell>
          <cell r="B439" t="str">
            <v>CBA LOCACAO DE EQUIPAMENTOS LTDA</v>
          </cell>
          <cell r="C439" t="str">
            <v>667.753,78</v>
          </cell>
          <cell r="D439" t="str">
            <v>592.033,77</v>
          </cell>
          <cell r="E439" t="str">
            <v>0,00</v>
          </cell>
          <cell r="F439" t="str">
            <v>0,00</v>
          </cell>
          <cell r="G439" t="str">
            <v>75.720,01</v>
          </cell>
          <cell r="H439" t="str">
            <v>0,00</v>
          </cell>
          <cell r="I439">
            <v>75720.009999999995</v>
          </cell>
          <cell r="J439">
            <v>-75720.009999999995</v>
          </cell>
        </row>
        <row r="440">
          <cell r="A440" t="str">
            <v>1.1.1.3.01.004416</v>
          </cell>
          <cell r="B440" t="str">
            <v>D R DA SILVA MORAIS LTDA</v>
          </cell>
          <cell r="C440" t="str">
            <v>630,93</v>
          </cell>
          <cell r="D440" t="str">
            <v>4.274,60</v>
          </cell>
          <cell r="E440" t="str">
            <v>0,00</v>
          </cell>
          <cell r="F440" t="str">
            <v>0,00</v>
          </cell>
          <cell r="G440" t="str">
            <v>0,00</v>
          </cell>
          <cell r="H440" t="str">
            <v>3.643,67</v>
          </cell>
          <cell r="I440">
            <v>-3643.67</v>
          </cell>
          <cell r="J440">
            <v>7287.34</v>
          </cell>
        </row>
        <row r="441">
          <cell r="A441" t="str">
            <v>1.1.1.3.01.004417</v>
          </cell>
          <cell r="B441" t="str">
            <v>FORCETEC LOCACOES DE MAQUINAS LTDA</v>
          </cell>
          <cell r="C441" t="str">
            <v>355.212,04</v>
          </cell>
          <cell r="D441" t="str">
            <v>348.212,04</v>
          </cell>
          <cell r="E441" t="str">
            <v>0,00</v>
          </cell>
          <cell r="F441" t="str">
            <v>0,00</v>
          </cell>
          <cell r="G441" t="str">
            <v>7.000,00</v>
          </cell>
          <cell r="H441" t="str">
            <v>0,00</v>
          </cell>
          <cell r="I441">
            <v>7000</v>
          </cell>
          <cell r="J441">
            <v>-7000</v>
          </cell>
        </row>
        <row r="442">
          <cell r="A442" t="str">
            <v>1.1.1.3.01.004421</v>
          </cell>
          <cell r="B442" t="str">
            <v>CONSTRUTORA DOIS IRMAOS LTDA</v>
          </cell>
          <cell r="C442" t="str">
            <v>51.205,17</v>
          </cell>
          <cell r="D442" t="str">
            <v>49.964,14</v>
          </cell>
          <cell r="E442" t="str">
            <v>0,00</v>
          </cell>
          <cell r="F442" t="str">
            <v>1.241,03</v>
          </cell>
          <cell r="G442" t="str">
            <v>0,00</v>
          </cell>
          <cell r="H442" t="str">
            <v>0,00</v>
          </cell>
          <cell r="I442">
            <v>0</v>
          </cell>
          <cell r="J442">
            <v>0</v>
          </cell>
        </row>
        <row r="443">
          <cell r="A443" t="str">
            <v>1.1.1.3.01.004430</v>
          </cell>
          <cell r="B443" t="str">
            <v>CITROPLAST IND E COM PAPEIS E PLASTICOS</v>
          </cell>
          <cell r="C443" t="str">
            <v>28.082,44</v>
          </cell>
          <cell r="D443" t="str">
            <v>28.082,44</v>
          </cell>
          <cell r="E443" t="str">
            <v>3.000,00</v>
          </cell>
          <cell r="F443" t="str">
            <v>0,00</v>
          </cell>
          <cell r="G443" t="str">
            <v>3.000,00</v>
          </cell>
          <cell r="H443" t="str">
            <v>0,00</v>
          </cell>
          <cell r="I443">
            <v>3000</v>
          </cell>
          <cell r="J443">
            <v>-3000</v>
          </cell>
        </row>
        <row r="444">
          <cell r="A444" t="str">
            <v>1.1.1.3.01.004437</v>
          </cell>
          <cell r="B444" t="str">
            <v>GRAN VALE LTDA</v>
          </cell>
          <cell r="C444" t="str">
            <v>8.979,98</v>
          </cell>
          <cell r="D444" t="str">
            <v>5.819,93</v>
          </cell>
          <cell r="E444" t="str">
            <v>0,00</v>
          </cell>
          <cell r="F444" t="str">
            <v>0,00</v>
          </cell>
          <cell r="G444" t="str">
            <v>3.160,05</v>
          </cell>
          <cell r="H444" t="str">
            <v>0,00</v>
          </cell>
          <cell r="I444">
            <v>3160.05</v>
          </cell>
          <cell r="J444">
            <v>-3160.05</v>
          </cell>
        </row>
        <row r="445">
          <cell r="A445" t="str">
            <v>1.1.1.3.01.004438</v>
          </cell>
          <cell r="B445" t="str">
            <v>MINERACAO SAO VICENTE LTDA</v>
          </cell>
          <cell r="C445" t="str">
            <v>123.623,84</v>
          </cell>
          <cell r="D445" t="str">
            <v>108.555,87</v>
          </cell>
          <cell r="E445" t="str">
            <v>4.614,82</v>
          </cell>
          <cell r="F445" t="str">
            <v>1.768,39</v>
          </cell>
          <cell r="G445" t="str">
            <v>17.914,40</v>
          </cell>
          <cell r="H445" t="str">
            <v>0,00</v>
          </cell>
          <cell r="I445">
            <v>17914.400000000001</v>
          </cell>
          <cell r="J445">
            <v>-17914.400000000001</v>
          </cell>
        </row>
        <row r="446">
          <cell r="A446" t="str">
            <v>1.1.1.3.01.004451</v>
          </cell>
          <cell r="B446" t="str">
            <v>POLIMIX CONCRETO LTDA</v>
          </cell>
          <cell r="C446" t="str">
            <v>16.566,80</v>
          </cell>
          <cell r="D446" t="str">
            <v>12.090,49</v>
          </cell>
          <cell r="E446" t="str">
            <v>0,00</v>
          </cell>
          <cell r="F446" t="str">
            <v>0,00</v>
          </cell>
          <cell r="G446" t="str">
            <v>4.476,31</v>
          </cell>
          <cell r="H446" t="str">
            <v>0,00</v>
          </cell>
          <cell r="I446">
            <v>4476.3100000000004</v>
          </cell>
          <cell r="J446">
            <v>-4476.3100000000004</v>
          </cell>
        </row>
        <row r="447">
          <cell r="A447" t="str">
            <v>1.1.1.3.01.004454</v>
          </cell>
          <cell r="B447" t="str">
            <v>SOCIEDADE MARMIFERA BRASILEIRA LTDA</v>
          </cell>
          <cell r="C447" t="str">
            <v>806.226,64</v>
          </cell>
          <cell r="D447" t="str">
            <v>806.226,64</v>
          </cell>
          <cell r="E447" t="str">
            <v>650,98</v>
          </cell>
          <cell r="F447" t="str">
            <v>0,00</v>
          </cell>
          <cell r="G447" t="str">
            <v>650,98</v>
          </cell>
          <cell r="H447" t="str">
            <v>0,00</v>
          </cell>
          <cell r="I447">
            <v>650.98</v>
          </cell>
          <cell r="J447">
            <v>-650.98</v>
          </cell>
        </row>
        <row r="448">
          <cell r="A448" t="str">
            <v>1.1.1.3.01.004463</v>
          </cell>
          <cell r="B448" t="str">
            <v>PEDREIRA AMORIM LTDA</v>
          </cell>
          <cell r="C448" t="str">
            <v>270.660,61</v>
          </cell>
          <cell r="D448" t="str">
            <v>277.678,61</v>
          </cell>
          <cell r="E448" t="str">
            <v>0,00</v>
          </cell>
          <cell r="F448" t="str">
            <v>2.982,00</v>
          </cell>
          <cell r="G448" t="str">
            <v>0,00</v>
          </cell>
          <cell r="H448" t="str">
            <v>10.000,00</v>
          </cell>
          <cell r="I448">
            <v>-10000</v>
          </cell>
          <cell r="J448">
            <v>20000</v>
          </cell>
        </row>
        <row r="449">
          <cell r="A449" t="str">
            <v>1.1.1.3.01.004465</v>
          </cell>
          <cell r="B449" t="str">
            <v>MINERACAO CORDILHEIRA LTDA</v>
          </cell>
          <cell r="C449" t="str">
            <v>5.442,31</v>
          </cell>
          <cell r="D449" t="str">
            <v>22.790,32</v>
          </cell>
          <cell r="E449" t="str">
            <v>0,00</v>
          </cell>
          <cell r="F449" t="str">
            <v>999,21</v>
          </cell>
          <cell r="G449" t="str">
            <v>0,00</v>
          </cell>
          <cell r="H449" t="str">
            <v>18.347,22</v>
          </cell>
          <cell r="I449">
            <v>-18347.22</v>
          </cell>
          <cell r="J449">
            <v>36694.44</v>
          </cell>
        </row>
        <row r="450">
          <cell r="A450" t="str">
            <v>1.1.1.3.01.004470</v>
          </cell>
          <cell r="B450" t="str">
            <v>SAJA AGROPECUARIA LTDA</v>
          </cell>
          <cell r="C450" t="str">
            <v>137.083,45</v>
          </cell>
          <cell r="D450" t="str">
            <v>136.966,56</v>
          </cell>
          <cell r="E450" t="str">
            <v>1.680,72</v>
          </cell>
          <cell r="F450" t="str">
            <v>0,00</v>
          </cell>
          <cell r="G450" t="str">
            <v>1.797,61</v>
          </cell>
          <cell r="H450" t="str">
            <v>0,00</v>
          </cell>
          <cell r="I450">
            <v>1797.61</v>
          </cell>
          <cell r="J450">
            <v>-1797.61</v>
          </cell>
        </row>
        <row r="451">
          <cell r="A451" t="str">
            <v>1.1.1.3.01.004479</v>
          </cell>
          <cell r="B451" t="str">
            <v>FORNECEDORA ENGELOG LOC. E SERVICOS LTDA</v>
          </cell>
          <cell r="C451" t="str">
            <v>798.832,02</v>
          </cell>
          <cell r="D451" t="str">
            <v>747.806,79</v>
          </cell>
          <cell r="E451" t="str">
            <v>6.620,29</v>
          </cell>
          <cell r="F451" t="str">
            <v>38.053,32</v>
          </cell>
          <cell r="G451" t="str">
            <v>19.592,20</v>
          </cell>
          <cell r="H451" t="str">
            <v>0,00</v>
          </cell>
          <cell r="I451">
            <v>19592.2</v>
          </cell>
          <cell r="J451">
            <v>-19592.2</v>
          </cell>
        </row>
        <row r="452">
          <cell r="A452" t="str">
            <v>1.1.1.3.01.004480</v>
          </cell>
          <cell r="B452" t="str">
            <v>MINERACAO STA EDWIGES EXTR E BRIT LTDA</v>
          </cell>
          <cell r="C452" t="str">
            <v>356.387,15</v>
          </cell>
          <cell r="D452" t="str">
            <v>351.600,36</v>
          </cell>
          <cell r="E452" t="str">
            <v>0,00</v>
          </cell>
          <cell r="F452" t="str">
            <v>4.786,79</v>
          </cell>
          <cell r="G452" t="str">
            <v>0,00</v>
          </cell>
          <cell r="H452" t="str">
            <v>0,00</v>
          </cell>
          <cell r="I452">
            <v>0</v>
          </cell>
          <cell r="J452">
            <v>0</v>
          </cell>
        </row>
        <row r="453">
          <cell r="A453" t="str">
            <v>1.1.1.3.01.004495</v>
          </cell>
          <cell r="B453" t="str">
            <v>REPLANT EMPREENDIMENTOS FLORESTAIS LTDA</v>
          </cell>
          <cell r="C453" t="str">
            <v>45.000,00</v>
          </cell>
          <cell r="D453" t="str">
            <v>44.500,00</v>
          </cell>
          <cell r="E453" t="str">
            <v>0,00</v>
          </cell>
          <cell r="F453" t="str">
            <v>0,00</v>
          </cell>
          <cell r="G453" t="str">
            <v>500,00</v>
          </cell>
          <cell r="H453" t="str">
            <v>0,00</v>
          </cell>
          <cell r="I453">
            <v>500</v>
          </cell>
          <cell r="J453">
            <v>-500</v>
          </cell>
        </row>
        <row r="454">
          <cell r="A454" t="str">
            <v>1.1.1.3.01.004505</v>
          </cell>
          <cell r="B454" t="str">
            <v>J P M VEICULOS DIESEL LTDA</v>
          </cell>
          <cell r="C454" t="str">
            <v>1.972.445,94</v>
          </cell>
          <cell r="D454" t="str">
            <v>1.948.605,94</v>
          </cell>
          <cell r="E454" t="str">
            <v>0,00</v>
          </cell>
          <cell r="F454" t="str">
            <v>11.920,00</v>
          </cell>
          <cell r="G454" t="str">
            <v>11.920,00</v>
          </cell>
          <cell r="H454" t="str">
            <v>0,00</v>
          </cell>
          <cell r="I454">
            <v>11920</v>
          </cell>
          <cell r="J454">
            <v>-11920</v>
          </cell>
        </row>
        <row r="455">
          <cell r="A455" t="str">
            <v>1.1.1.3.01.004512</v>
          </cell>
          <cell r="B455" t="str">
            <v>SANTA FELICIDADE LOCACOES DE MAQUINAS LT</v>
          </cell>
          <cell r="C455" t="str">
            <v>83.242,76</v>
          </cell>
          <cell r="D455" t="str">
            <v>58.042,76</v>
          </cell>
          <cell r="E455" t="str">
            <v>0,00</v>
          </cell>
          <cell r="F455" t="str">
            <v>0,00</v>
          </cell>
          <cell r="G455" t="str">
            <v>25.200,00</v>
          </cell>
          <cell r="H455" t="str">
            <v>0,00</v>
          </cell>
          <cell r="I455">
            <v>25200</v>
          </cell>
          <cell r="J455">
            <v>-25200</v>
          </cell>
        </row>
        <row r="456">
          <cell r="A456" t="str">
            <v>1.1.1.3.01.004522</v>
          </cell>
          <cell r="B456" t="str">
            <v>TRANSP, TERRAPL E PARTICIPACOES RUBAO LT</v>
          </cell>
          <cell r="C456" t="str">
            <v>385.000,00</v>
          </cell>
          <cell r="D456" t="str">
            <v>350.000,00</v>
          </cell>
          <cell r="E456" t="str">
            <v>0,00</v>
          </cell>
          <cell r="F456" t="str">
            <v>0,00</v>
          </cell>
          <cell r="G456" t="str">
            <v>35.000,00</v>
          </cell>
          <cell r="H456" t="str">
            <v>0,00</v>
          </cell>
          <cell r="I456">
            <v>35000</v>
          </cell>
          <cell r="J456">
            <v>-35000</v>
          </cell>
        </row>
        <row r="457">
          <cell r="A457" t="str">
            <v>1.1.1.3.01.004524</v>
          </cell>
          <cell r="B457" t="str">
            <v>VRH CONSTRUTORA LTDA</v>
          </cell>
          <cell r="C457" t="str">
            <v>64.000,00</v>
          </cell>
          <cell r="D457" t="str">
            <v>53.200,00</v>
          </cell>
          <cell r="E457" t="str">
            <v>0,00</v>
          </cell>
          <cell r="F457" t="str">
            <v>2.160,00</v>
          </cell>
          <cell r="G457" t="str">
            <v>8.640,00</v>
          </cell>
          <cell r="H457" t="str">
            <v>0,00</v>
          </cell>
          <cell r="I457">
            <v>8640</v>
          </cell>
          <cell r="J457">
            <v>-8640</v>
          </cell>
        </row>
        <row r="458">
          <cell r="A458" t="str">
            <v>1.1.1.3.01.004526</v>
          </cell>
          <cell r="B458" t="str">
            <v>LABELLA MINERACAO LTDA</v>
          </cell>
          <cell r="C458" t="str">
            <v>208.000,00</v>
          </cell>
          <cell r="D458" t="str">
            <v>91.520,00</v>
          </cell>
          <cell r="E458" t="str">
            <v>0,00</v>
          </cell>
          <cell r="F458" t="str">
            <v>0,00</v>
          </cell>
          <cell r="G458" t="str">
            <v>116.480,00</v>
          </cell>
          <cell r="H458" t="str">
            <v>0,00</v>
          </cell>
          <cell r="I458">
            <v>116480</v>
          </cell>
          <cell r="J458">
            <v>-116480</v>
          </cell>
        </row>
        <row r="459">
          <cell r="A459" t="str">
            <v>1.1.1.3.01.004528</v>
          </cell>
          <cell r="B459" t="str">
            <v>M. MOULAO MARMORES E GRANITOS LTDA</v>
          </cell>
          <cell r="C459" t="str">
            <v>3.058.917,99</v>
          </cell>
          <cell r="D459" t="str">
            <v>2.624.550,55</v>
          </cell>
          <cell r="E459" t="str">
            <v>1.051,16</v>
          </cell>
          <cell r="F459" t="str">
            <v>61.601,59</v>
          </cell>
          <cell r="G459" t="str">
            <v>373.817,01</v>
          </cell>
          <cell r="H459" t="str">
            <v>0,00</v>
          </cell>
          <cell r="I459">
            <v>373817.01</v>
          </cell>
          <cell r="J459">
            <v>-373817.01</v>
          </cell>
        </row>
        <row r="460">
          <cell r="A460" t="str">
            <v>1.1.1.3.01.004529</v>
          </cell>
          <cell r="B460" t="str">
            <v>DANILO GOMES FORTES</v>
          </cell>
          <cell r="C460" t="str">
            <v>177.085,61</v>
          </cell>
          <cell r="D460" t="str">
            <v>177.085,60</v>
          </cell>
          <cell r="E460" t="str">
            <v>0,00</v>
          </cell>
          <cell r="F460" t="str">
            <v>0,00</v>
          </cell>
          <cell r="G460" t="str">
            <v>0,01</v>
          </cell>
          <cell r="H460" t="str">
            <v>0,00</v>
          </cell>
          <cell r="I460">
            <v>0.01</v>
          </cell>
          <cell r="J460">
            <v>-0.01</v>
          </cell>
        </row>
        <row r="461">
          <cell r="A461" t="str">
            <v>1.1.1.3.01.004532</v>
          </cell>
          <cell r="B461" t="str">
            <v>DDS DEMOLIDORA SANTOS LTDA</v>
          </cell>
          <cell r="C461" t="str">
            <v>255.000,02</v>
          </cell>
          <cell r="D461" t="str">
            <v>144.366,68</v>
          </cell>
          <cell r="E461" t="str">
            <v>0,00</v>
          </cell>
          <cell r="F461" t="str">
            <v>5.000,00</v>
          </cell>
          <cell r="G461" t="str">
            <v>105.633,34</v>
          </cell>
          <cell r="H461" t="str">
            <v>0,00</v>
          </cell>
          <cell r="I461">
            <v>105633.34</v>
          </cell>
          <cell r="J461">
            <v>-105633.34</v>
          </cell>
        </row>
        <row r="462">
          <cell r="A462" t="str">
            <v>1.1.1.3.01.004547</v>
          </cell>
          <cell r="B462" t="str">
            <v>ANDERSON MAX DE SOUZA FERREIRA</v>
          </cell>
          <cell r="C462" t="str">
            <v>1.430.286,90</v>
          </cell>
          <cell r="D462" t="str">
            <v>1.363.957,93</v>
          </cell>
          <cell r="E462" t="str">
            <v>0,00</v>
          </cell>
          <cell r="F462" t="str">
            <v>0,00</v>
          </cell>
          <cell r="G462" t="str">
            <v>66.328,97</v>
          </cell>
          <cell r="H462" t="str">
            <v>0,00</v>
          </cell>
          <cell r="I462">
            <v>66328.97</v>
          </cell>
          <cell r="J462">
            <v>-66328.97</v>
          </cell>
        </row>
        <row r="463">
          <cell r="A463" t="str">
            <v>1.1.1.3.01.004550</v>
          </cell>
          <cell r="B463" t="str">
            <v>ENOVA TERRAPLANAGEM E EQUIPAMENTOS LTDA</v>
          </cell>
          <cell r="C463" t="str">
            <v>138.594,62</v>
          </cell>
          <cell r="D463" t="str">
            <v>135.000,00</v>
          </cell>
          <cell r="E463" t="str">
            <v>0,00</v>
          </cell>
          <cell r="F463" t="str">
            <v>1.797,31</v>
          </cell>
          <cell r="G463" t="str">
            <v>1.797,31</v>
          </cell>
          <cell r="H463" t="str">
            <v>0,00</v>
          </cell>
          <cell r="I463">
            <v>1797.31</v>
          </cell>
          <cell r="J463">
            <v>-1797.31</v>
          </cell>
        </row>
        <row r="464">
          <cell r="A464" t="str">
            <v>1.1.1.3.01.004553</v>
          </cell>
          <cell r="B464" t="str">
            <v>SETORIAL CONSTRUTORA LTDA.</v>
          </cell>
          <cell r="C464" t="str">
            <v>71.896,61</v>
          </cell>
          <cell r="D464" t="str">
            <v>68.007,47</v>
          </cell>
          <cell r="E464" t="str">
            <v>0,00</v>
          </cell>
          <cell r="F464" t="str">
            <v>0,00</v>
          </cell>
          <cell r="G464" t="str">
            <v>3.889,14</v>
          </cell>
          <cell r="H464" t="str">
            <v>0,00</v>
          </cell>
          <cell r="I464">
            <v>3889.14</v>
          </cell>
          <cell r="J464">
            <v>-3889.14</v>
          </cell>
        </row>
        <row r="465">
          <cell r="A465" t="str">
            <v>1.1.1.3.01.004554</v>
          </cell>
          <cell r="B465" t="str">
            <v>LUXPEDRAS MINERACAO E COMERCIO LTDA</v>
          </cell>
          <cell r="C465" t="str">
            <v>5.665.070,95</v>
          </cell>
          <cell r="D465" t="str">
            <v>4.692.270,55</v>
          </cell>
          <cell r="E465" t="str">
            <v>22.215,00</v>
          </cell>
          <cell r="F465" t="str">
            <v>108.056,43</v>
          </cell>
          <cell r="G465" t="str">
            <v>886.958,97</v>
          </cell>
          <cell r="H465" t="str">
            <v>0,00</v>
          </cell>
          <cell r="I465">
            <v>886958.97</v>
          </cell>
          <cell r="J465">
            <v>-886958.97</v>
          </cell>
        </row>
        <row r="466">
          <cell r="A466" t="str">
            <v>1.1.1.3.01.004563</v>
          </cell>
          <cell r="B466" t="str">
            <v>MGM LOCACOES LTDA</v>
          </cell>
          <cell r="C466" t="str">
            <v>706.552,15</v>
          </cell>
          <cell r="D466" t="str">
            <v>687.495,99</v>
          </cell>
          <cell r="E466" t="str">
            <v>6.329,56</v>
          </cell>
          <cell r="F466" t="str">
            <v>4.700,77</v>
          </cell>
          <cell r="G466" t="str">
            <v>20.684,95</v>
          </cell>
          <cell r="H466" t="str">
            <v>0,00</v>
          </cell>
          <cell r="I466">
            <v>20684.95</v>
          </cell>
          <cell r="J466">
            <v>-20684.95</v>
          </cell>
        </row>
        <row r="467">
          <cell r="A467" t="str">
            <v>1.1.1.3.01.004564</v>
          </cell>
          <cell r="B467" t="str">
            <v>DEMOLIDORA SUPERA LTDA</v>
          </cell>
          <cell r="C467" t="str">
            <v>83.041,26</v>
          </cell>
          <cell r="D467" t="str">
            <v>79.449,45</v>
          </cell>
          <cell r="E467" t="str">
            <v>3.044,12</v>
          </cell>
          <cell r="F467" t="str">
            <v>3.591,81</v>
          </cell>
          <cell r="G467" t="str">
            <v>3.044,12</v>
          </cell>
          <cell r="H467" t="str">
            <v>0,00</v>
          </cell>
          <cell r="I467">
            <v>3044.12</v>
          </cell>
          <cell r="J467">
            <v>-3044.12</v>
          </cell>
        </row>
        <row r="468">
          <cell r="A468" t="str">
            <v>1.1.1.3.01.004567</v>
          </cell>
          <cell r="B468" t="str">
            <v>MINERBRAZ IMPORTACAO E EXPORTACAO LTDA</v>
          </cell>
          <cell r="C468" t="str">
            <v>145.132,13</v>
          </cell>
          <cell r="D468" t="str">
            <v>149.970,00</v>
          </cell>
          <cell r="E468" t="str">
            <v>299,99</v>
          </cell>
          <cell r="F468" t="str">
            <v>1.262,12</v>
          </cell>
          <cell r="G468" t="str">
            <v>0,00</v>
          </cell>
          <cell r="H468" t="str">
            <v>5.800,00</v>
          </cell>
          <cell r="I468">
            <v>-5800</v>
          </cell>
          <cell r="J468">
            <v>11600</v>
          </cell>
        </row>
        <row r="469">
          <cell r="A469" t="str">
            <v>1.1.1.3.01.004569</v>
          </cell>
          <cell r="B469" t="str">
            <v>PH COMERCIO TRANSPORTE E LOCACOES LTDA</v>
          </cell>
          <cell r="C469" t="str">
            <v>162.733,03</v>
          </cell>
          <cell r="D469" t="str">
            <v>155.233,03</v>
          </cell>
          <cell r="E469" t="str">
            <v>0,00</v>
          </cell>
          <cell r="F469" t="str">
            <v>7.500,00</v>
          </cell>
          <cell r="G469" t="str">
            <v>0,00</v>
          </cell>
          <cell r="H469" t="str">
            <v>0,00</v>
          </cell>
          <cell r="I469">
            <v>0</v>
          </cell>
          <cell r="J469">
            <v>0</v>
          </cell>
        </row>
        <row r="470">
          <cell r="A470" t="str">
            <v>1.1.1.3.01.004571</v>
          </cell>
          <cell r="B470" t="str">
            <v>MFB INDUSTRIA DE MINERAIS LTDA</v>
          </cell>
          <cell r="C470" t="str">
            <v>214.582,73</v>
          </cell>
          <cell r="D470" t="str">
            <v>211.123,39</v>
          </cell>
          <cell r="E470" t="str">
            <v>4.204,18</v>
          </cell>
          <cell r="F470" t="str">
            <v>2.394,34</v>
          </cell>
          <cell r="G470" t="str">
            <v>5.269,18</v>
          </cell>
          <cell r="H470" t="str">
            <v>0,00</v>
          </cell>
          <cell r="I470">
            <v>5269.18</v>
          </cell>
          <cell r="J470">
            <v>-5269.18</v>
          </cell>
        </row>
        <row r="471">
          <cell r="A471" t="str">
            <v>1.1.1.3.01.004580</v>
          </cell>
          <cell r="B471" t="str">
            <v>GALAX WHITE GRANITOS LTDA</v>
          </cell>
          <cell r="C471" t="str">
            <v>24.464,27</v>
          </cell>
          <cell r="D471" t="str">
            <v>24.464,27</v>
          </cell>
          <cell r="E471" t="str">
            <v>3.108,99</v>
          </cell>
          <cell r="F471" t="str">
            <v>1.554,50</v>
          </cell>
          <cell r="G471" t="str">
            <v>1.554,49</v>
          </cell>
          <cell r="H471" t="str">
            <v>0,00</v>
          </cell>
          <cell r="I471">
            <v>1554.49</v>
          </cell>
          <cell r="J471">
            <v>-1554.49</v>
          </cell>
        </row>
        <row r="472">
          <cell r="A472" t="str">
            <v>1.1.1.3.01.004589</v>
          </cell>
          <cell r="B472" t="str">
            <v>PAVITRANS MINERACAO LOC. E TRANSP. LTDA</v>
          </cell>
          <cell r="C472" t="str">
            <v>1.914.825,10</v>
          </cell>
          <cell r="D472" t="str">
            <v>1.719.340,39</v>
          </cell>
          <cell r="E472" t="str">
            <v>0,00</v>
          </cell>
          <cell r="F472" t="str">
            <v>62.179,32</v>
          </cell>
          <cell r="G472" t="str">
            <v>133.305,39</v>
          </cell>
          <cell r="H472" t="str">
            <v>0,00</v>
          </cell>
          <cell r="I472">
            <v>133305.39000000001</v>
          </cell>
          <cell r="J472">
            <v>-133305.39000000001</v>
          </cell>
        </row>
        <row r="473">
          <cell r="A473" t="str">
            <v>1.1.1.3.01.004594</v>
          </cell>
          <cell r="B473" t="str">
            <v>LEANDRO LEITE MAGALHAES</v>
          </cell>
          <cell r="C473" t="str">
            <v>200.000,00</v>
          </cell>
          <cell r="D473" t="str">
            <v>185.200,00</v>
          </cell>
          <cell r="E473" t="str">
            <v>0,00</v>
          </cell>
          <cell r="F473" t="str">
            <v>0,00</v>
          </cell>
          <cell r="G473" t="str">
            <v>14.800,00</v>
          </cell>
          <cell r="H473" t="str">
            <v>0,00</v>
          </cell>
          <cell r="I473">
            <v>14800</v>
          </cell>
          <cell r="J473">
            <v>-14800</v>
          </cell>
        </row>
        <row r="474">
          <cell r="A474" t="str">
            <v>1.1.1.3.01.004597</v>
          </cell>
          <cell r="B474" t="str">
            <v>ANTOLINI DO BRASIL PEDRAS NATURAIS LTDA</v>
          </cell>
          <cell r="C474" t="str">
            <v>556.610,00</v>
          </cell>
          <cell r="D474" t="str">
            <v>336.610,00</v>
          </cell>
          <cell r="E474" t="str">
            <v>0,00</v>
          </cell>
          <cell r="F474" t="str">
            <v>30.000,00</v>
          </cell>
          <cell r="G474" t="str">
            <v>190.000,00</v>
          </cell>
          <cell r="H474" t="str">
            <v>0,00</v>
          </cell>
          <cell r="I474">
            <v>190000</v>
          </cell>
          <cell r="J474">
            <v>-190000</v>
          </cell>
        </row>
        <row r="475">
          <cell r="A475" t="str">
            <v>1.1.1.3.01.004603</v>
          </cell>
          <cell r="B475" t="str">
            <v>JANINE PEREIRA DE SOUZA</v>
          </cell>
          <cell r="C475" t="str">
            <v>80.000,00</v>
          </cell>
          <cell r="D475" t="str">
            <v>52.230,00</v>
          </cell>
          <cell r="E475" t="str">
            <v>0,00</v>
          </cell>
          <cell r="F475" t="str">
            <v>0,00</v>
          </cell>
          <cell r="G475" t="str">
            <v>27.770,00</v>
          </cell>
          <cell r="H475" t="str">
            <v>0,00</v>
          </cell>
          <cell r="I475">
            <v>27770</v>
          </cell>
          <cell r="J475">
            <v>-27770</v>
          </cell>
        </row>
        <row r="476">
          <cell r="A476" t="str">
            <v>1.1.1.3.01.004606</v>
          </cell>
          <cell r="B476" t="str">
            <v>NOVA AURORA MARMORES E GRANITOS LTDA</v>
          </cell>
          <cell r="C476" t="str">
            <v>648.137,81</v>
          </cell>
          <cell r="D476" t="str">
            <v>560.827,40</v>
          </cell>
          <cell r="E476" t="str">
            <v>0,00</v>
          </cell>
          <cell r="F476" t="str">
            <v>20.341,44</v>
          </cell>
          <cell r="G476" t="str">
            <v>66.968,97</v>
          </cell>
          <cell r="H476" t="str">
            <v>0,00</v>
          </cell>
          <cell r="I476">
            <v>66968.97</v>
          </cell>
          <cell r="J476">
            <v>-66968.97</v>
          </cell>
        </row>
        <row r="477">
          <cell r="A477" t="str">
            <v>1.1.1.3.01.004611</v>
          </cell>
          <cell r="B477" t="str">
            <v>RVS - CONSTRUCOES E INCORPORACOES LTDA</v>
          </cell>
          <cell r="C477" t="str">
            <v>215.677,06</v>
          </cell>
          <cell r="D477" t="str">
            <v>211.419,85</v>
          </cell>
          <cell r="E477" t="str">
            <v>0,00</v>
          </cell>
          <cell r="F477" t="str">
            <v>0,00</v>
          </cell>
          <cell r="G477" t="str">
            <v>4.257,21</v>
          </cell>
          <cell r="H477" t="str">
            <v>0,00</v>
          </cell>
          <cell r="I477">
            <v>4257.21</v>
          </cell>
          <cell r="J477">
            <v>-4257.21</v>
          </cell>
        </row>
        <row r="478">
          <cell r="A478" t="str">
            <v>1.1.1.3.01.004618</v>
          </cell>
          <cell r="B478" t="str">
            <v>ESPIRITO SANTENSE ALIMENTOS LTDA</v>
          </cell>
          <cell r="C478" t="str">
            <v>665.000,00</v>
          </cell>
          <cell r="D478" t="str">
            <v>381.666,68</v>
          </cell>
          <cell r="E478" t="str">
            <v>0,00</v>
          </cell>
          <cell r="F478" t="str">
            <v>0,00</v>
          </cell>
          <cell r="G478" t="str">
            <v>283.333,32</v>
          </cell>
          <cell r="H478" t="str">
            <v>0,00</v>
          </cell>
          <cell r="I478">
            <v>283333.32</v>
          </cell>
          <cell r="J478">
            <v>-283333.32</v>
          </cell>
        </row>
        <row r="479">
          <cell r="A479" t="str">
            <v>1.1.1.3.01.004626</v>
          </cell>
          <cell r="B479" t="str">
            <v>GCS LOC EQUIP E MAO OBRA ESPECIALIZADA L</v>
          </cell>
          <cell r="C479" t="str">
            <v>34.942,78</v>
          </cell>
          <cell r="D479" t="str">
            <v>31.271,54</v>
          </cell>
          <cell r="E479" t="str">
            <v>0,00</v>
          </cell>
          <cell r="F479" t="str">
            <v>3.333,34</v>
          </cell>
          <cell r="G479" t="str">
            <v>337,90</v>
          </cell>
          <cell r="H479" t="str">
            <v>0,00</v>
          </cell>
          <cell r="I479">
            <v>337.9</v>
          </cell>
          <cell r="J479">
            <v>-337.9</v>
          </cell>
        </row>
        <row r="480">
          <cell r="A480" t="str">
            <v>1.1.1.3.01.004631</v>
          </cell>
          <cell r="B480" t="str">
            <v>MINERACAO VISTA LINDA LTDA</v>
          </cell>
          <cell r="C480" t="str">
            <v>86.249,77</v>
          </cell>
          <cell r="D480" t="str">
            <v>86.249,77</v>
          </cell>
          <cell r="E480" t="str">
            <v>1.455,45</v>
          </cell>
          <cell r="F480" t="str">
            <v>0,00</v>
          </cell>
          <cell r="G480" t="str">
            <v>1.455,45</v>
          </cell>
          <cell r="H480" t="str">
            <v>0,00</v>
          </cell>
          <cell r="I480">
            <v>1455.45</v>
          </cell>
          <cell r="J480">
            <v>-1455.45</v>
          </cell>
        </row>
        <row r="481">
          <cell r="A481" t="str">
            <v>1.1.1.3.01.004639</v>
          </cell>
          <cell r="B481" t="str">
            <v>BRASITALIA  AGREGADOS PARA CONSTRUCAO LT</v>
          </cell>
          <cell r="C481" t="str">
            <v>0,00</v>
          </cell>
          <cell r="D481" t="str">
            <v>25.000,00</v>
          </cell>
          <cell r="E481" t="str">
            <v>0,00</v>
          </cell>
          <cell r="F481" t="str">
            <v>0,00</v>
          </cell>
          <cell r="G481" t="str">
            <v>0,00</v>
          </cell>
          <cell r="H481" t="str">
            <v>25.000,00</v>
          </cell>
          <cell r="I481">
            <v>-25000</v>
          </cell>
          <cell r="J481">
            <v>50000</v>
          </cell>
        </row>
        <row r="482">
          <cell r="A482" t="str">
            <v>1.1.1.3.01.004644</v>
          </cell>
          <cell r="B482" t="str">
            <v>ELETRO HOUSE MAQ E EQUIP P A CONST CIVIL</v>
          </cell>
          <cell r="C482" t="str">
            <v>407.000,00</v>
          </cell>
          <cell r="D482" t="str">
            <v>524.083,33</v>
          </cell>
          <cell r="E482" t="str">
            <v>0,00</v>
          </cell>
          <cell r="F482" t="str">
            <v>0,00</v>
          </cell>
          <cell r="G482" t="str">
            <v>0,00</v>
          </cell>
          <cell r="H482" t="str">
            <v>117.083,33</v>
          </cell>
          <cell r="I482">
            <v>-117083.33</v>
          </cell>
          <cell r="J482">
            <v>234166.66</v>
          </cell>
        </row>
        <row r="483">
          <cell r="A483" t="str">
            <v>1.1.1.3.01.004647</v>
          </cell>
          <cell r="B483" t="str">
            <v>TOOL BRAZIL SERVICES LTDA</v>
          </cell>
          <cell r="C483" t="str">
            <v>214.234,60</v>
          </cell>
          <cell r="D483" t="str">
            <v>178.734,60</v>
          </cell>
          <cell r="E483" t="str">
            <v>0,00</v>
          </cell>
          <cell r="F483" t="str">
            <v>13.500,00</v>
          </cell>
          <cell r="G483" t="str">
            <v>22.000,00</v>
          </cell>
          <cell r="H483" t="str">
            <v>0,00</v>
          </cell>
          <cell r="I483">
            <v>22000</v>
          </cell>
          <cell r="J483">
            <v>-22000</v>
          </cell>
        </row>
        <row r="484">
          <cell r="A484" t="str">
            <v>1.1.1.3.01.004651</v>
          </cell>
          <cell r="B484" t="str">
            <v>SLB SERV TERRAPLENAGEM E TRANSPORTES LTD</v>
          </cell>
          <cell r="C484" t="str">
            <v>203.782,85</v>
          </cell>
          <cell r="D484" t="str">
            <v>171.782,85</v>
          </cell>
          <cell r="E484" t="str">
            <v>0,00</v>
          </cell>
          <cell r="F484" t="str">
            <v>0,00</v>
          </cell>
          <cell r="G484" t="str">
            <v>32.000,00</v>
          </cell>
          <cell r="H484" t="str">
            <v>0,00</v>
          </cell>
          <cell r="I484">
            <v>32000</v>
          </cell>
          <cell r="J484">
            <v>-32000</v>
          </cell>
        </row>
        <row r="485">
          <cell r="A485" t="str">
            <v>1.1.1.3.01.004659</v>
          </cell>
          <cell r="B485" t="str">
            <v>G. P. PORTILHO SERVICOS E LOCACOES LTDA</v>
          </cell>
          <cell r="C485" t="str">
            <v>208.826,06</v>
          </cell>
          <cell r="D485" t="str">
            <v>208.826,06</v>
          </cell>
          <cell r="E485" t="str">
            <v>25.400,00</v>
          </cell>
          <cell r="F485" t="str">
            <v>7.620,00</v>
          </cell>
          <cell r="G485" t="str">
            <v>17.780,00</v>
          </cell>
          <cell r="H485" t="str">
            <v>0,00</v>
          </cell>
          <cell r="I485">
            <v>17780</v>
          </cell>
          <cell r="J485">
            <v>-17780</v>
          </cell>
        </row>
        <row r="486">
          <cell r="A486" t="str">
            <v>1.1.1.3.01.004660</v>
          </cell>
          <cell r="B486" t="str">
            <v>MINERACAO GUIDI LTDA</v>
          </cell>
          <cell r="C486" t="str">
            <v>83.901,79</v>
          </cell>
          <cell r="D486" t="str">
            <v>83.901,79</v>
          </cell>
          <cell r="E486" t="str">
            <v>500,96</v>
          </cell>
          <cell r="F486" t="str">
            <v>0,00</v>
          </cell>
          <cell r="G486" t="str">
            <v>500,96</v>
          </cell>
          <cell r="H486" t="str">
            <v>0,00</v>
          </cell>
          <cell r="I486">
            <v>500.96</v>
          </cell>
          <cell r="J486">
            <v>-500.96</v>
          </cell>
        </row>
        <row r="487">
          <cell r="A487" t="str">
            <v>1.1.1.3.01.004665</v>
          </cell>
          <cell r="B487" t="str">
            <v>CONSTRUTORA CASTRO STG LTDA</v>
          </cell>
          <cell r="C487" t="str">
            <v>33.999,74</v>
          </cell>
          <cell r="D487" t="str">
            <v>28.000,00</v>
          </cell>
          <cell r="E487" t="str">
            <v>0,00</v>
          </cell>
          <cell r="F487" t="str">
            <v>1.999,91</v>
          </cell>
          <cell r="G487" t="str">
            <v>3.999,83</v>
          </cell>
          <cell r="H487" t="str">
            <v>0,00</v>
          </cell>
          <cell r="I487">
            <v>3999.83</v>
          </cell>
          <cell r="J487">
            <v>-3999.83</v>
          </cell>
        </row>
        <row r="488">
          <cell r="A488" t="str">
            <v>1.1.1.3.01.004672</v>
          </cell>
          <cell r="B488" t="str">
            <v>CONCREBASE SERVICOS DE CONCRETAGEM LTDA</v>
          </cell>
          <cell r="C488" t="str">
            <v>34.000,00</v>
          </cell>
          <cell r="D488" t="str">
            <v>37.782,27</v>
          </cell>
          <cell r="E488" t="str">
            <v>0,00</v>
          </cell>
          <cell r="F488" t="str">
            <v>0,00</v>
          </cell>
          <cell r="G488" t="str">
            <v>0,00</v>
          </cell>
          <cell r="H488" t="str">
            <v>3.782,27</v>
          </cell>
          <cell r="I488">
            <v>-3782.27</v>
          </cell>
          <cell r="J488">
            <v>7564.54</v>
          </cell>
        </row>
        <row r="489">
          <cell r="A489" t="str">
            <v>1.1.1.3.01.004677</v>
          </cell>
          <cell r="B489" t="str">
            <v>POLIMIX CONCRETO LTDA</v>
          </cell>
          <cell r="C489" t="str">
            <v>220.910,48</v>
          </cell>
          <cell r="D489" t="str">
            <v>219.175,89</v>
          </cell>
          <cell r="E489" t="str">
            <v>0,00</v>
          </cell>
          <cell r="F489" t="str">
            <v>0,00</v>
          </cell>
          <cell r="G489" t="str">
            <v>1.734,59</v>
          </cell>
          <cell r="H489" t="str">
            <v>0,00</v>
          </cell>
          <cell r="I489">
            <v>1734.59</v>
          </cell>
          <cell r="J489">
            <v>-1734.59</v>
          </cell>
        </row>
        <row r="490">
          <cell r="A490" t="str">
            <v>1.1.1.3.01.004678</v>
          </cell>
          <cell r="B490" t="str">
            <v>POLIMIX CONCRETO LTDA</v>
          </cell>
          <cell r="C490" t="str">
            <v>254.111,99</v>
          </cell>
          <cell r="D490" t="str">
            <v>243.792,20</v>
          </cell>
          <cell r="E490" t="str">
            <v>0,00</v>
          </cell>
          <cell r="F490" t="str">
            <v>6.552,64</v>
          </cell>
          <cell r="G490" t="str">
            <v>3.767,15</v>
          </cell>
          <cell r="H490" t="str">
            <v>0,00</v>
          </cell>
          <cell r="I490">
            <v>3767.15</v>
          </cell>
          <cell r="J490">
            <v>-3767.15</v>
          </cell>
        </row>
        <row r="491">
          <cell r="A491" t="str">
            <v>1.1.1.3.01.004679</v>
          </cell>
          <cell r="B491" t="str">
            <v>TOFANO GRANITOS LTDA</v>
          </cell>
          <cell r="C491" t="str">
            <v>2.213.685,98</v>
          </cell>
          <cell r="D491" t="str">
            <v>2.212.065,79</v>
          </cell>
          <cell r="E491" t="str">
            <v>0,00</v>
          </cell>
          <cell r="F491" t="str">
            <v>2.234,19</v>
          </cell>
          <cell r="G491" t="str">
            <v>0,00</v>
          </cell>
          <cell r="H491" t="str">
            <v>614,00</v>
          </cell>
          <cell r="I491">
            <v>-614</v>
          </cell>
          <cell r="J491">
            <v>1228</v>
          </cell>
        </row>
        <row r="492">
          <cell r="A492" t="str">
            <v>1.1.1.3.01.004684</v>
          </cell>
          <cell r="B492" t="str">
            <v>TMP TRANSPORTES MAQUINAS PESADAS LTDA</v>
          </cell>
          <cell r="C492" t="str">
            <v>99.407,70</v>
          </cell>
          <cell r="D492" t="str">
            <v>99.407,70</v>
          </cell>
          <cell r="E492" t="str">
            <v>2.918,22</v>
          </cell>
          <cell r="F492" t="str">
            <v>2.918,22</v>
          </cell>
          <cell r="G492" t="str">
            <v>0,00</v>
          </cell>
          <cell r="H492" t="str">
            <v>0,00</v>
          </cell>
          <cell r="I492">
            <v>0</v>
          </cell>
          <cell r="J492">
            <v>0</v>
          </cell>
        </row>
        <row r="493">
          <cell r="A493" t="str">
            <v>1.1.1.3.01.004693</v>
          </cell>
          <cell r="B493" t="str">
            <v>CONTENSAO TRANSP. E TERRAPLENAGEM LTDA</v>
          </cell>
          <cell r="C493" t="str">
            <v>23.972,51</v>
          </cell>
          <cell r="D493" t="str">
            <v>23.972,51</v>
          </cell>
          <cell r="E493" t="str">
            <v>869,13</v>
          </cell>
          <cell r="F493" t="str">
            <v>0,00</v>
          </cell>
          <cell r="G493" t="str">
            <v>869,13</v>
          </cell>
          <cell r="H493" t="str">
            <v>0,00</v>
          </cell>
          <cell r="I493">
            <v>869.13</v>
          </cell>
          <cell r="J493">
            <v>-869.13</v>
          </cell>
        </row>
        <row r="494">
          <cell r="A494" t="str">
            <v>1.1.1.3.01.004694</v>
          </cell>
          <cell r="B494" t="str">
            <v>B2R EQUIPAMENTOS LTDA</v>
          </cell>
          <cell r="C494" t="str">
            <v>36.490,00</v>
          </cell>
          <cell r="D494" t="str">
            <v>36.190,75</v>
          </cell>
          <cell r="E494" t="str">
            <v>0,00</v>
          </cell>
          <cell r="F494" t="str">
            <v>0,00</v>
          </cell>
          <cell r="G494" t="str">
            <v>299,25</v>
          </cell>
          <cell r="H494" t="str">
            <v>0,00</v>
          </cell>
          <cell r="I494">
            <v>299.25</v>
          </cell>
          <cell r="J494">
            <v>-299.25</v>
          </cell>
        </row>
        <row r="495">
          <cell r="A495" t="str">
            <v>1.1.1.3.01.004697</v>
          </cell>
          <cell r="B495" t="str">
            <v>DEMOLIDORA SDL LTDA</v>
          </cell>
          <cell r="C495" t="str">
            <v>370.925,80</v>
          </cell>
          <cell r="D495" t="str">
            <v>344.989,38</v>
          </cell>
          <cell r="E495" t="str">
            <v>0,00</v>
          </cell>
          <cell r="F495" t="str">
            <v>2.252,61</v>
          </cell>
          <cell r="G495" t="str">
            <v>23.683,81</v>
          </cell>
          <cell r="H495" t="str">
            <v>0,00</v>
          </cell>
          <cell r="I495">
            <v>23683.81</v>
          </cell>
          <cell r="J495">
            <v>-23683.81</v>
          </cell>
        </row>
        <row r="496">
          <cell r="A496" t="str">
            <v>1.1.1.3.01.004699</v>
          </cell>
          <cell r="B496" t="str">
            <v>DAVID BIZERRA DE LIMA</v>
          </cell>
          <cell r="C496" t="str">
            <v>133.548,23</v>
          </cell>
          <cell r="D496" t="str">
            <v>128.911,16</v>
          </cell>
          <cell r="E496" t="str">
            <v>0,00</v>
          </cell>
          <cell r="F496" t="str">
            <v>0,00</v>
          </cell>
          <cell r="G496" t="str">
            <v>4.637,07</v>
          </cell>
          <cell r="H496" t="str">
            <v>0,00</v>
          </cell>
          <cell r="I496">
            <v>4637.07</v>
          </cell>
          <cell r="J496">
            <v>-4637.07</v>
          </cell>
        </row>
        <row r="497">
          <cell r="A497" t="str">
            <v>1.1.1.3.01.004703</v>
          </cell>
          <cell r="B497" t="str">
            <v>MILGRAN INDUSTRIA E COMERCIO DE GRANITOS</v>
          </cell>
          <cell r="C497" t="str">
            <v>702.586,11</v>
          </cell>
          <cell r="D497" t="str">
            <v>454.899,48</v>
          </cell>
          <cell r="E497" t="str">
            <v>9.916,00</v>
          </cell>
          <cell r="F497" t="str">
            <v>33.419,94</v>
          </cell>
          <cell r="G497" t="str">
            <v>224.182,69</v>
          </cell>
          <cell r="H497" t="str">
            <v>0,00</v>
          </cell>
          <cell r="I497">
            <v>224182.69</v>
          </cell>
          <cell r="J497">
            <v>-224182.69</v>
          </cell>
        </row>
        <row r="498">
          <cell r="A498" t="str">
            <v>1.1.1.3.01.004707</v>
          </cell>
          <cell r="B498" t="str">
            <v>THOR GRANITOS E MARMORES LTDA</v>
          </cell>
          <cell r="C498" t="str">
            <v>427.094,18</v>
          </cell>
          <cell r="D498" t="str">
            <v>417.094,18</v>
          </cell>
          <cell r="E498" t="str">
            <v>5.058,22</v>
          </cell>
          <cell r="F498" t="str">
            <v>0,00</v>
          </cell>
          <cell r="G498" t="str">
            <v>15.058,22</v>
          </cell>
          <cell r="H498" t="str">
            <v>0,00</v>
          </cell>
          <cell r="I498">
            <v>15058.22</v>
          </cell>
          <cell r="J498">
            <v>-15058.22</v>
          </cell>
        </row>
        <row r="499">
          <cell r="A499" t="str">
            <v>1.1.1.3.01.004713</v>
          </cell>
          <cell r="B499" t="str">
            <v>BRAMAGRAN BRASILEIRO MARMORE E GRANITO L</v>
          </cell>
          <cell r="C499" t="str">
            <v>422.647,69</v>
          </cell>
          <cell r="D499" t="str">
            <v>332.647,69</v>
          </cell>
          <cell r="E499" t="str">
            <v>0,00</v>
          </cell>
          <cell r="F499" t="str">
            <v>10.000,00</v>
          </cell>
          <cell r="G499" t="str">
            <v>80.000,00</v>
          </cell>
          <cell r="H499" t="str">
            <v>0,00</v>
          </cell>
          <cell r="I499">
            <v>80000</v>
          </cell>
          <cell r="J499">
            <v>-80000</v>
          </cell>
        </row>
        <row r="500">
          <cell r="A500" t="str">
            <v>1.1.1.3.01.004728</v>
          </cell>
          <cell r="B500" t="str">
            <v>ATENAS MINERACAO LTDA</v>
          </cell>
          <cell r="C500" t="str">
            <v>3.296,19</v>
          </cell>
          <cell r="D500" t="str">
            <v>2.053,50</v>
          </cell>
          <cell r="E500" t="str">
            <v>0,00</v>
          </cell>
          <cell r="F500" t="str">
            <v>1.242,69</v>
          </cell>
          <cell r="G500" t="str">
            <v>0,00</v>
          </cell>
          <cell r="H500" t="str">
            <v>0,00</v>
          </cell>
          <cell r="I500">
            <v>0</v>
          </cell>
          <cell r="J500">
            <v>0</v>
          </cell>
        </row>
        <row r="501">
          <cell r="A501" t="str">
            <v>1.1.1.3.01.004729</v>
          </cell>
          <cell r="B501" t="str">
            <v>GEMMA BRAZIL QUARTIZITOS</v>
          </cell>
          <cell r="C501" t="str">
            <v>79.169,67</v>
          </cell>
          <cell r="D501" t="str">
            <v>36.765,42</v>
          </cell>
          <cell r="E501" t="str">
            <v>0,00</v>
          </cell>
          <cell r="F501" t="str">
            <v>3.721,92</v>
          </cell>
          <cell r="G501" t="str">
            <v>38.682,33</v>
          </cell>
          <cell r="H501" t="str">
            <v>0,00</v>
          </cell>
          <cell r="I501">
            <v>38682.33</v>
          </cell>
          <cell r="J501">
            <v>-38682.33</v>
          </cell>
        </row>
        <row r="502">
          <cell r="A502" t="str">
            <v>1.1.1.3.01.004802</v>
          </cell>
          <cell r="B502" t="str">
            <v>GRAMAZINI MINERACAO LTDA</v>
          </cell>
          <cell r="C502" t="str">
            <v>305.879,25</v>
          </cell>
          <cell r="D502" t="str">
            <v>305.879,25</v>
          </cell>
          <cell r="E502" t="str">
            <v>10.000,00</v>
          </cell>
          <cell r="F502" t="str">
            <v>0,00</v>
          </cell>
          <cell r="G502" t="str">
            <v>10.000,00</v>
          </cell>
          <cell r="H502" t="str">
            <v>0,00</v>
          </cell>
          <cell r="I502">
            <v>10000</v>
          </cell>
          <cell r="J502">
            <v>-10000</v>
          </cell>
        </row>
        <row r="503">
          <cell r="A503" t="str">
            <v>1.1.1.3.01.004805</v>
          </cell>
          <cell r="B503" t="str">
            <v>MINERACAO GESSOTINS DO MARANHAO LTDA</v>
          </cell>
          <cell r="C503" t="str">
            <v>195.780,84</v>
          </cell>
          <cell r="D503" t="str">
            <v>174.520,87</v>
          </cell>
          <cell r="E503" t="str">
            <v>10.418,52</v>
          </cell>
          <cell r="F503" t="str">
            <v>15.839,25</v>
          </cell>
          <cell r="G503" t="str">
            <v>15.839,24</v>
          </cell>
          <cell r="H503" t="str">
            <v>0,00</v>
          </cell>
          <cell r="I503">
            <v>15839.24</v>
          </cell>
          <cell r="J503">
            <v>-15839.24</v>
          </cell>
        </row>
        <row r="504">
          <cell r="A504" t="str">
            <v>1.1.1.3.01.004808</v>
          </cell>
          <cell r="B504" t="str">
            <v>JULY QUARTZO TRANSPORTES E SERVICOS LTDA</v>
          </cell>
          <cell r="C504" t="str">
            <v>13.838,53</v>
          </cell>
          <cell r="D504" t="str">
            <v>7.090,23</v>
          </cell>
          <cell r="E504" t="str">
            <v>0,00</v>
          </cell>
          <cell r="F504" t="str">
            <v>6.748,30</v>
          </cell>
          <cell r="G504" t="str">
            <v>0,00</v>
          </cell>
          <cell r="H504" t="str">
            <v>0,00</v>
          </cell>
          <cell r="I504">
            <v>0</v>
          </cell>
          <cell r="J504">
            <v>0</v>
          </cell>
        </row>
        <row r="505">
          <cell r="A505" t="str">
            <v>1.1.1.3.01.004809</v>
          </cell>
          <cell r="B505" t="str">
            <v>MINERACAO BRASIL LTDA</v>
          </cell>
          <cell r="C505" t="str">
            <v>396.638,42</v>
          </cell>
          <cell r="D505" t="str">
            <v>372.472,42</v>
          </cell>
          <cell r="E505" t="str">
            <v>0,00</v>
          </cell>
          <cell r="F505" t="str">
            <v>0,00</v>
          </cell>
          <cell r="G505" t="str">
            <v>24.166,00</v>
          </cell>
          <cell r="H505" t="str">
            <v>0,00</v>
          </cell>
          <cell r="I505">
            <v>24166</v>
          </cell>
          <cell r="J505">
            <v>-24166</v>
          </cell>
        </row>
        <row r="506">
          <cell r="A506" t="str">
            <v>1.1.1.3.01.004816</v>
          </cell>
          <cell r="B506" t="str">
            <v>M. A. FRANCO LTDA</v>
          </cell>
          <cell r="C506" t="str">
            <v>31.678,15</v>
          </cell>
          <cell r="D506" t="str">
            <v>26.538,15</v>
          </cell>
          <cell r="E506" t="str">
            <v>0,00</v>
          </cell>
          <cell r="F506" t="str">
            <v>0,00</v>
          </cell>
          <cell r="G506" t="str">
            <v>5.140,00</v>
          </cell>
          <cell r="H506" t="str">
            <v>0,00</v>
          </cell>
          <cell r="I506">
            <v>5140</v>
          </cell>
          <cell r="J506">
            <v>-5140</v>
          </cell>
        </row>
        <row r="507">
          <cell r="A507" t="str">
            <v>1.1.1.3.01.004833</v>
          </cell>
          <cell r="B507" t="str">
            <v>PARTECAL PARTEZANI CALCÁRIOS LTDA.</v>
          </cell>
          <cell r="C507" t="str">
            <v>55.159,99</v>
          </cell>
          <cell r="D507" t="str">
            <v>48.592,52</v>
          </cell>
          <cell r="E507" t="str">
            <v>0,00</v>
          </cell>
          <cell r="F507" t="str">
            <v>3.791,40</v>
          </cell>
          <cell r="G507" t="str">
            <v>2.776,07</v>
          </cell>
          <cell r="H507" t="str">
            <v>0,00</v>
          </cell>
          <cell r="I507">
            <v>2776.07</v>
          </cell>
          <cell r="J507">
            <v>-2776.07</v>
          </cell>
        </row>
        <row r="508">
          <cell r="A508" t="str">
            <v>1.1.1.3.01.004858</v>
          </cell>
          <cell r="B508" t="str">
            <v>ELETRICA BARRA LTDA</v>
          </cell>
          <cell r="C508" t="str">
            <v>9.430,82</v>
          </cell>
          <cell r="D508" t="str">
            <v>8.530,82</v>
          </cell>
          <cell r="E508" t="str">
            <v>0,00</v>
          </cell>
          <cell r="F508" t="str">
            <v>0,00</v>
          </cell>
          <cell r="G508" t="str">
            <v>900,00</v>
          </cell>
          <cell r="H508" t="str">
            <v>0,00</v>
          </cell>
          <cell r="I508">
            <v>900</v>
          </cell>
          <cell r="J508">
            <v>-900</v>
          </cell>
        </row>
        <row r="509">
          <cell r="A509" t="str">
            <v>1.1.1.3.01.004864</v>
          </cell>
          <cell r="B509" t="str">
            <v>ZONA DA MATA MINERACAO S.A.</v>
          </cell>
          <cell r="C509" t="str">
            <v>23.869,80</v>
          </cell>
          <cell r="D509" t="str">
            <v>19.095,84</v>
          </cell>
          <cell r="E509" t="str">
            <v>0,00</v>
          </cell>
          <cell r="F509" t="str">
            <v>0,00</v>
          </cell>
          <cell r="G509" t="str">
            <v>4.773,96</v>
          </cell>
          <cell r="H509" t="str">
            <v>0,00</v>
          </cell>
          <cell r="I509">
            <v>4773.96</v>
          </cell>
          <cell r="J509">
            <v>-4773.96</v>
          </cell>
        </row>
        <row r="510">
          <cell r="A510" t="str">
            <v>1.1.1.3.01.004866</v>
          </cell>
          <cell r="B510" t="str">
            <v>SERVIÇO AUTÔNOMO DE ÁGUA E ESGOTO SAAE</v>
          </cell>
          <cell r="C510" t="str">
            <v>11.619,97</v>
          </cell>
          <cell r="D510" t="str">
            <v>11.477,58</v>
          </cell>
          <cell r="E510" t="str">
            <v>0,00</v>
          </cell>
          <cell r="F510" t="str">
            <v>0,00</v>
          </cell>
          <cell r="G510" t="str">
            <v>142,39</v>
          </cell>
          <cell r="H510" t="str">
            <v>0,00</v>
          </cell>
          <cell r="I510">
            <v>142.38999999999999</v>
          </cell>
          <cell r="J510">
            <v>-142.38999999999999</v>
          </cell>
        </row>
        <row r="511">
          <cell r="A511" t="str">
            <v>1.1.1.3.01.004869</v>
          </cell>
          <cell r="B511" t="str">
            <v>DANIEL MARCOVALDI DE SOUZA 79561497549</v>
          </cell>
          <cell r="C511" t="str">
            <v>4.758,89</v>
          </cell>
          <cell r="D511" t="str">
            <v>4.193,99</v>
          </cell>
          <cell r="E511" t="str">
            <v>0,00</v>
          </cell>
          <cell r="F511" t="str">
            <v>0,00</v>
          </cell>
          <cell r="G511" t="str">
            <v>564,90</v>
          </cell>
          <cell r="H511" t="str">
            <v>0,00</v>
          </cell>
          <cell r="I511">
            <v>564.9</v>
          </cell>
          <cell r="J511">
            <v>-564.9</v>
          </cell>
        </row>
        <row r="512">
          <cell r="A512" t="str">
            <v>1.1.1.3.01.004873</v>
          </cell>
          <cell r="B512" t="str">
            <v>CONQUISTA MARMORES E GRANITOS LTDA</v>
          </cell>
          <cell r="C512" t="str">
            <v>320.387,22</v>
          </cell>
          <cell r="D512" t="str">
            <v>340.125,22</v>
          </cell>
          <cell r="E512" t="str">
            <v>0,00</v>
          </cell>
          <cell r="F512" t="str">
            <v>0,00</v>
          </cell>
          <cell r="G512" t="str">
            <v>0,00</v>
          </cell>
          <cell r="H512" t="str">
            <v>19.738,00</v>
          </cell>
          <cell r="I512">
            <v>-19738</v>
          </cell>
          <cell r="J512">
            <v>39476</v>
          </cell>
        </row>
        <row r="513">
          <cell r="A513" t="str">
            <v>1.1.1.3.01.004875</v>
          </cell>
          <cell r="B513" t="str">
            <v>COM. EXP. DE MARM. E GRAN. ITAPOAMA LTDA</v>
          </cell>
          <cell r="C513" t="str">
            <v>10.066,73</v>
          </cell>
          <cell r="D513" t="str">
            <v>6.711,16</v>
          </cell>
          <cell r="E513" t="str">
            <v>0,00</v>
          </cell>
          <cell r="F513" t="str">
            <v>0,00</v>
          </cell>
          <cell r="G513" t="str">
            <v>3.355,57</v>
          </cell>
          <cell r="H513" t="str">
            <v>0,00</v>
          </cell>
          <cell r="I513">
            <v>3355.57</v>
          </cell>
          <cell r="J513">
            <v>-3355.57</v>
          </cell>
        </row>
        <row r="514">
          <cell r="A514" t="str">
            <v>1.1.1.3.01.004882</v>
          </cell>
          <cell r="B514" t="str">
            <v>G3 CONSTRUCAO PESADA LTDA</v>
          </cell>
          <cell r="C514" t="str">
            <v>111.513,93</v>
          </cell>
          <cell r="D514" t="str">
            <v>102.156,39</v>
          </cell>
          <cell r="E514" t="str">
            <v>9.357,54</v>
          </cell>
          <cell r="F514" t="str">
            <v>9.357,54</v>
          </cell>
          <cell r="G514" t="str">
            <v>9.357,54</v>
          </cell>
          <cell r="H514" t="str">
            <v>0,00</v>
          </cell>
          <cell r="I514">
            <v>9357.5400000000009</v>
          </cell>
          <cell r="J514">
            <v>-9357.5400000000009</v>
          </cell>
        </row>
        <row r="515">
          <cell r="A515" t="str">
            <v>1.1.1.3.01.004892</v>
          </cell>
          <cell r="B515" t="str">
            <v>VANGIVALDO LOPES DA SILVA</v>
          </cell>
          <cell r="C515" t="str">
            <v>10.623,70</v>
          </cell>
          <cell r="D515" t="str">
            <v>10.623,70</v>
          </cell>
          <cell r="E515" t="str">
            <v>3.717,93</v>
          </cell>
          <cell r="F515" t="str">
            <v>3.717,93</v>
          </cell>
          <cell r="G515" t="str">
            <v>0,00</v>
          </cell>
          <cell r="H515" t="str">
            <v>0,00</v>
          </cell>
          <cell r="I515">
            <v>0</v>
          </cell>
          <cell r="J515">
            <v>0</v>
          </cell>
        </row>
        <row r="516">
          <cell r="A516" t="str">
            <v>1.1.1.3.01.004902</v>
          </cell>
          <cell r="B516" t="str">
            <v>PAVPRONTO COMERCIO E TECNOLOGIA ASFALTO</v>
          </cell>
          <cell r="C516" t="str">
            <v>92.327,60</v>
          </cell>
          <cell r="D516" t="str">
            <v>90.327,20</v>
          </cell>
          <cell r="E516" t="str">
            <v>0,00</v>
          </cell>
          <cell r="F516" t="str">
            <v>0,00</v>
          </cell>
          <cell r="G516" t="str">
            <v>2.000,40</v>
          </cell>
          <cell r="H516" t="str">
            <v>0,00</v>
          </cell>
          <cell r="I516">
            <v>2000.4</v>
          </cell>
          <cell r="J516">
            <v>-2000.4</v>
          </cell>
        </row>
        <row r="517">
          <cell r="A517" t="str">
            <v>1.1.1.3.01.004903</v>
          </cell>
          <cell r="B517" t="str">
            <v>CONSTRUTORA MOTTASUL LTDA</v>
          </cell>
          <cell r="C517" t="str">
            <v>63.240,96</v>
          </cell>
          <cell r="D517" t="str">
            <v>90.740,96</v>
          </cell>
          <cell r="E517" t="str">
            <v>0,00</v>
          </cell>
          <cell r="F517" t="str">
            <v>0,00</v>
          </cell>
          <cell r="G517" t="str">
            <v>0,00</v>
          </cell>
          <cell r="H517" t="str">
            <v>27.500,00</v>
          </cell>
          <cell r="I517">
            <v>-27500</v>
          </cell>
          <cell r="J517">
            <v>55000</v>
          </cell>
        </row>
        <row r="518">
          <cell r="A518" t="str">
            <v>1.1.1.3.01.004909</v>
          </cell>
          <cell r="B518" t="str">
            <v>SUMMIT MINERACAO, INDUSTRIA E COMERCIO</v>
          </cell>
          <cell r="C518" t="str">
            <v>90.000,00</v>
          </cell>
          <cell r="D518" t="str">
            <v>81.000,00</v>
          </cell>
          <cell r="E518" t="str">
            <v>0,00</v>
          </cell>
          <cell r="F518" t="str">
            <v>0,00</v>
          </cell>
          <cell r="G518" t="str">
            <v>9.000,00</v>
          </cell>
          <cell r="H518" t="str">
            <v>0,00</v>
          </cell>
          <cell r="I518">
            <v>9000</v>
          </cell>
          <cell r="J518">
            <v>-9000</v>
          </cell>
        </row>
        <row r="519">
          <cell r="A519" t="str">
            <v>1.1.1.3.01.004910</v>
          </cell>
          <cell r="B519" t="str">
            <v>HUGO MARCIO QUEIROZ DE ALMEIDA LTDA</v>
          </cell>
          <cell r="C519" t="str">
            <v>185.126,41</v>
          </cell>
          <cell r="D519" t="str">
            <v>177.200,88</v>
          </cell>
          <cell r="E519" t="str">
            <v>0,00</v>
          </cell>
          <cell r="F519" t="str">
            <v>0,00</v>
          </cell>
          <cell r="G519" t="str">
            <v>7.925,53</v>
          </cell>
          <cell r="H519" t="str">
            <v>0,00</v>
          </cell>
          <cell r="I519">
            <v>7925.53</v>
          </cell>
          <cell r="J519">
            <v>-7925.53</v>
          </cell>
        </row>
        <row r="520">
          <cell r="A520" t="str">
            <v>1.1.1.3.01.004911</v>
          </cell>
          <cell r="B520" t="str">
            <v>RC6 GLOBAL STONES BRAZIL SPE LTDA</v>
          </cell>
          <cell r="C520" t="str">
            <v>1.008.691,16</v>
          </cell>
          <cell r="D520" t="str">
            <v>1.019.620,20</v>
          </cell>
          <cell r="E520" t="str">
            <v>0,00</v>
          </cell>
          <cell r="F520" t="str">
            <v>2.570,96</v>
          </cell>
          <cell r="G520" t="str">
            <v>0,00</v>
          </cell>
          <cell r="H520" t="str">
            <v>13.500,00</v>
          </cell>
          <cell r="I520">
            <v>-13500</v>
          </cell>
          <cell r="J520">
            <v>27000</v>
          </cell>
        </row>
        <row r="521">
          <cell r="A521" t="str">
            <v>1.1.1.3.01.004930</v>
          </cell>
          <cell r="B521" t="str">
            <v>GRANISI - GRANITOS SOCIEDADE IMPERIAL</v>
          </cell>
          <cell r="C521" t="str">
            <v>1.484.577,89</v>
          </cell>
          <cell r="D521" t="str">
            <v>1.484.000,00</v>
          </cell>
          <cell r="E521" t="str">
            <v>0,00</v>
          </cell>
          <cell r="F521" t="str">
            <v>577,89</v>
          </cell>
          <cell r="G521" t="str">
            <v>0,00</v>
          </cell>
          <cell r="H521" t="str">
            <v>0,00</v>
          </cell>
          <cell r="I521">
            <v>0</v>
          </cell>
          <cell r="J521">
            <v>0</v>
          </cell>
        </row>
        <row r="522">
          <cell r="A522" t="str">
            <v>1.1.1.3.01.004933</v>
          </cell>
          <cell r="B522" t="str">
            <v>ARS LOCACAO E PREMOLDADOS LTDA</v>
          </cell>
          <cell r="C522" t="str">
            <v>17.316,77</v>
          </cell>
          <cell r="D522" t="str">
            <v>14.895,89</v>
          </cell>
          <cell r="E522" t="str">
            <v>0,00</v>
          </cell>
          <cell r="F522" t="str">
            <v>2.420,88</v>
          </cell>
          <cell r="G522" t="str">
            <v>0,00</v>
          </cell>
          <cell r="H522" t="str">
            <v>0,00</v>
          </cell>
          <cell r="I522">
            <v>0</v>
          </cell>
          <cell r="J522">
            <v>0</v>
          </cell>
        </row>
        <row r="523">
          <cell r="A523" t="str">
            <v>1.1.1.3.01.004935</v>
          </cell>
          <cell r="B523" t="str">
            <v>MADRILAPE ESCAVACOES TERRAP LOC MAQ EQUI</v>
          </cell>
          <cell r="C523" t="str">
            <v>45.000,00</v>
          </cell>
          <cell r="D523" t="str">
            <v>39.000,00</v>
          </cell>
          <cell r="E523" t="str">
            <v>0,00</v>
          </cell>
          <cell r="F523" t="str">
            <v>0,00</v>
          </cell>
          <cell r="G523" t="str">
            <v>6.000,00</v>
          </cell>
          <cell r="H523" t="str">
            <v>0,00</v>
          </cell>
          <cell r="I523">
            <v>6000</v>
          </cell>
          <cell r="J523">
            <v>-6000</v>
          </cell>
        </row>
        <row r="524">
          <cell r="A524" t="str">
            <v>1.1.1.3.01.004941</v>
          </cell>
          <cell r="B524" t="str">
            <v>EXTRAMIX - CONCRETO LTDA</v>
          </cell>
          <cell r="C524" t="str">
            <v>458.900,00</v>
          </cell>
          <cell r="D524" t="str">
            <v>471.499,98</v>
          </cell>
          <cell r="E524" t="str">
            <v>0,00</v>
          </cell>
          <cell r="F524" t="str">
            <v>0,00</v>
          </cell>
          <cell r="G524" t="str">
            <v>0,00</v>
          </cell>
          <cell r="H524" t="str">
            <v>12.599,98</v>
          </cell>
          <cell r="I524">
            <v>-12599.98</v>
          </cell>
          <cell r="J524">
            <v>25199.96</v>
          </cell>
        </row>
        <row r="525">
          <cell r="A525" t="str">
            <v>1.1.1.3.01.004944</v>
          </cell>
          <cell r="B525" t="str">
            <v>BRITASOLO DEMOLICOES LTDA</v>
          </cell>
          <cell r="C525" t="str">
            <v>128.983,04</v>
          </cell>
          <cell r="D525" t="str">
            <v>128.417,41</v>
          </cell>
          <cell r="E525" t="str">
            <v>0,00</v>
          </cell>
          <cell r="F525" t="str">
            <v>565,63</v>
          </cell>
          <cell r="G525" t="str">
            <v>0,00</v>
          </cell>
          <cell r="H525" t="str">
            <v>0,00</v>
          </cell>
          <cell r="I525">
            <v>0</v>
          </cell>
          <cell r="J525">
            <v>0</v>
          </cell>
        </row>
        <row r="526">
          <cell r="A526" t="str">
            <v>1.1.1.3.01.004946</v>
          </cell>
          <cell r="B526" t="str">
            <v>HYPER BASE COMERCIO DE AREIA E PEDRA LTD</v>
          </cell>
          <cell r="C526" t="str">
            <v>22.000,00</v>
          </cell>
          <cell r="D526" t="str">
            <v>21.422,50</v>
          </cell>
          <cell r="E526" t="str">
            <v>0,00</v>
          </cell>
          <cell r="F526" t="str">
            <v>0,00</v>
          </cell>
          <cell r="G526" t="str">
            <v>577,50</v>
          </cell>
          <cell r="H526" t="str">
            <v>0,00</v>
          </cell>
          <cell r="I526">
            <v>577.5</v>
          </cell>
          <cell r="J526">
            <v>-577.5</v>
          </cell>
        </row>
        <row r="527">
          <cell r="A527" t="str">
            <v>1.1.1.3.01.004947</v>
          </cell>
          <cell r="B527" t="str">
            <v>WL COMERCIO DE PECAS AUTOMOTIVAS E LOC</v>
          </cell>
          <cell r="C527" t="str">
            <v>392.864,54</v>
          </cell>
          <cell r="D527" t="str">
            <v>345.292,45</v>
          </cell>
          <cell r="E527" t="str">
            <v>0,00</v>
          </cell>
          <cell r="F527" t="str">
            <v>17.807,37</v>
          </cell>
          <cell r="G527" t="str">
            <v>29.764,72</v>
          </cell>
          <cell r="H527" t="str">
            <v>0,00</v>
          </cell>
          <cell r="I527">
            <v>29764.720000000001</v>
          </cell>
          <cell r="J527">
            <v>-29764.720000000001</v>
          </cell>
        </row>
        <row r="528">
          <cell r="A528" t="str">
            <v>1.1.1.3.01.004950</v>
          </cell>
          <cell r="B528" t="str">
            <v>UNORD ENGENHARIA E COMERCIO LTDA</v>
          </cell>
          <cell r="C528" t="str">
            <v>1.180.478,77</v>
          </cell>
          <cell r="D528" t="str">
            <v>1.021.402,10</v>
          </cell>
          <cell r="E528" t="str">
            <v>0,00</v>
          </cell>
          <cell r="F528" t="str">
            <v>17.250,00</v>
          </cell>
          <cell r="G528" t="str">
            <v>141.826,67</v>
          </cell>
          <cell r="H528" t="str">
            <v>0,00</v>
          </cell>
          <cell r="I528">
            <v>141826.67000000001</v>
          </cell>
          <cell r="J528">
            <v>-141826.67000000001</v>
          </cell>
        </row>
        <row r="529">
          <cell r="A529" t="str">
            <v>1.1.1.3.01.004955</v>
          </cell>
          <cell r="B529" t="str">
            <v>MANUEL RATAO TRATORES LTDA</v>
          </cell>
          <cell r="C529" t="str">
            <v>28.000,00</v>
          </cell>
          <cell r="D529" t="str">
            <v>31.000,00</v>
          </cell>
          <cell r="E529" t="str">
            <v>0,00</v>
          </cell>
          <cell r="F529" t="str">
            <v>0,00</v>
          </cell>
          <cell r="G529" t="str">
            <v>0,00</v>
          </cell>
          <cell r="H529" t="str">
            <v>3.000,00</v>
          </cell>
          <cell r="I529">
            <v>-3000</v>
          </cell>
          <cell r="J529">
            <v>6000</v>
          </cell>
        </row>
        <row r="530">
          <cell r="A530" t="str">
            <v>1.1.1.3.01.004973</v>
          </cell>
          <cell r="B530" t="str">
            <v>ENGECON - ENGENHARIA, CONSTRUCOES E LOCA</v>
          </cell>
          <cell r="C530" t="str">
            <v>45.000,00</v>
          </cell>
          <cell r="D530" t="str">
            <v>47.618,52</v>
          </cell>
          <cell r="E530" t="str">
            <v>0,00</v>
          </cell>
          <cell r="F530" t="str">
            <v>0,00</v>
          </cell>
          <cell r="G530" t="str">
            <v>0,00</v>
          </cell>
          <cell r="H530" t="str">
            <v>2.618,52</v>
          </cell>
          <cell r="I530">
            <v>-2618.52</v>
          </cell>
          <cell r="J530">
            <v>5237.04</v>
          </cell>
        </row>
        <row r="531">
          <cell r="A531" t="str">
            <v>1.1.1.3.01.004975</v>
          </cell>
          <cell r="B531" t="str">
            <v>TRANSMELO TERRAPLANAGEM LTDA</v>
          </cell>
          <cell r="C531" t="str">
            <v>715.412,50</v>
          </cell>
          <cell r="D531" t="str">
            <v>706.062,50</v>
          </cell>
          <cell r="E531" t="str">
            <v>176.647,28</v>
          </cell>
          <cell r="F531" t="str">
            <v>16.655,00</v>
          </cell>
          <cell r="G531" t="str">
            <v>169.342,28</v>
          </cell>
          <cell r="H531" t="str">
            <v>0,00</v>
          </cell>
          <cell r="I531">
            <v>169342.28</v>
          </cell>
          <cell r="J531">
            <v>-169342.28</v>
          </cell>
        </row>
        <row r="532">
          <cell r="A532" t="str">
            <v>1.1.1.3.01.004979</v>
          </cell>
          <cell r="B532" t="str">
            <v>SEMA - SONDAGENS, MINERACAO E MEIO AMBIE</v>
          </cell>
          <cell r="C532" t="str">
            <v>75.000,00</v>
          </cell>
          <cell r="D532" t="str">
            <v>65.000,00</v>
          </cell>
          <cell r="E532" t="str">
            <v>0,00</v>
          </cell>
          <cell r="F532" t="str">
            <v>0,00</v>
          </cell>
          <cell r="G532" t="str">
            <v>10.000,00</v>
          </cell>
          <cell r="H532" t="str">
            <v>0,00</v>
          </cell>
          <cell r="I532">
            <v>10000</v>
          </cell>
          <cell r="J532">
            <v>-10000</v>
          </cell>
        </row>
        <row r="533">
          <cell r="A533" t="str">
            <v>1.1.1.3.01.004980</v>
          </cell>
          <cell r="B533" t="str">
            <v>VITTORIA LOCACOES E TERRAPLANAGEM LTDA</v>
          </cell>
          <cell r="C533" t="str">
            <v>36.165,22</v>
          </cell>
          <cell r="D533" t="str">
            <v>36.165,22</v>
          </cell>
          <cell r="E533" t="str">
            <v>1.683,20</v>
          </cell>
          <cell r="F533" t="str">
            <v>0,00</v>
          </cell>
          <cell r="G533" t="str">
            <v>1.683,20</v>
          </cell>
          <cell r="H533" t="str">
            <v>0,00</v>
          </cell>
          <cell r="I533">
            <v>1683.2</v>
          </cell>
          <cell r="J533">
            <v>-1683.2</v>
          </cell>
        </row>
        <row r="534">
          <cell r="A534" t="str">
            <v>1.1.1.3.01.004983</v>
          </cell>
          <cell r="B534" t="str">
            <v>LOKMAX COMERCIO E LOCACAO DE MAQUINAS LT</v>
          </cell>
          <cell r="C534" t="str">
            <v>647.813,84</v>
          </cell>
          <cell r="D534" t="str">
            <v>625.613,84</v>
          </cell>
          <cell r="E534" t="str">
            <v>0,00</v>
          </cell>
          <cell r="F534" t="str">
            <v>7.400,00</v>
          </cell>
          <cell r="G534" t="str">
            <v>14.800,00</v>
          </cell>
          <cell r="H534" t="str">
            <v>0,00</v>
          </cell>
          <cell r="I534">
            <v>14800</v>
          </cell>
          <cell r="J534">
            <v>-14800</v>
          </cell>
        </row>
        <row r="535">
          <cell r="A535" t="str">
            <v>1.1.1.3.01.004987</v>
          </cell>
          <cell r="B535" t="str">
            <v>D M VANTIL</v>
          </cell>
          <cell r="C535" t="str">
            <v>2.486.978,00</v>
          </cell>
          <cell r="D535" t="str">
            <v>1.776.976,82</v>
          </cell>
          <cell r="E535" t="str">
            <v>0,00</v>
          </cell>
          <cell r="F535" t="str">
            <v>84.000,00</v>
          </cell>
          <cell r="G535" t="str">
            <v>626.001,18</v>
          </cell>
          <cell r="H535" t="str">
            <v>0,00</v>
          </cell>
          <cell r="I535">
            <v>626001.18000000005</v>
          </cell>
          <cell r="J535">
            <v>-626001.18000000005</v>
          </cell>
        </row>
        <row r="536">
          <cell r="A536" t="str">
            <v>1.1.1.3.01.004994</v>
          </cell>
          <cell r="B536" t="str">
            <v>SET MANUTENCOES INDUSTRIAIS LTDA</v>
          </cell>
          <cell r="C536" t="str">
            <v>162.000,00</v>
          </cell>
          <cell r="D536" t="str">
            <v>162.000,00</v>
          </cell>
          <cell r="E536" t="str">
            <v>1.803,63</v>
          </cell>
          <cell r="F536" t="str">
            <v>0,00</v>
          </cell>
          <cell r="G536" t="str">
            <v>1.803,63</v>
          </cell>
          <cell r="H536" t="str">
            <v>0,00</v>
          </cell>
          <cell r="I536">
            <v>1803.63</v>
          </cell>
          <cell r="J536">
            <v>-1803.63</v>
          </cell>
        </row>
        <row r="537">
          <cell r="A537" t="str">
            <v>1.1.1.3.01.004996</v>
          </cell>
          <cell r="B537" t="str">
            <v>PANORAMA MARMORES E GRANITOS LTDA</v>
          </cell>
          <cell r="C537" t="str">
            <v>3.091.677,78</v>
          </cell>
          <cell r="D537" t="str">
            <v>2.011.677,78</v>
          </cell>
          <cell r="E537" t="str">
            <v>1.550.000,00</v>
          </cell>
          <cell r="F537" t="str">
            <v>60.000,00</v>
          </cell>
          <cell r="G537" t="str">
            <v>2.570.000,00</v>
          </cell>
          <cell r="H537" t="str">
            <v>0,00</v>
          </cell>
          <cell r="I537">
            <v>2570000</v>
          </cell>
          <cell r="J537">
            <v>-2570000</v>
          </cell>
        </row>
        <row r="538">
          <cell r="A538" t="str">
            <v>1.1.1.3.01.005000</v>
          </cell>
          <cell r="B538" t="str">
            <v>ROMA MINERACAO LTDA</v>
          </cell>
          <cell r="C538" t="str">
            <v>174.806,86</v>
          </cell>
          <cell r="D538" t="str">
            <v>167.458,36</v>
          </cell>
          <cell r="E538" t="str">
            <v>0,00</v>
          </cell>
          <cell r="F538" t="str">
            <v>0,00</v>
          </cell>
          <cell r="G538" t="str">
            <v>7.348,50</v>
          </cell>
          <cell r="H538" t="str">
            <v>0,00</v>
          </cell>
          <cell r="I538">
            <v>7348.5</v>
          </cell>
          <cell r="J538">
            <v>-7348.5</v>
          </cell>
        </row>
        <row r="539">
          <cell r="A539" t="str">
            <v>1.1.1.3.01.005006</v>
          </cell>
          <cell r="B539" t="str">
            <v>CONSTRUTORA PREMOCIL LTDA</v>
          </cell>
          <cell r="C539" t="str">
            <v>100.568,92</v>
          </cell>
          <cell r="D539" t="str">
            <v>95.782,98</v>
          </cell>
          <cell r="E539" t="str">
            <v>0,00</v>
          </cell>
          <cell r="F539" t="str">
            <v>856,53</v>
          </cell>
          <cell r="G539" t="str">
            <v>3.929,41</v>
          </cell>
          <cell r="H539" t="str">
            <v>0,00</v>
          </cell>
          <cell r="I539">
            <v>3929.41</v>
          </cell>
          <cell r="J539">
            <v>-3929.41</v>
          </cell>
        </row>
        <row r="540">
          <cell r="A540" t="str">
            <v>1.1.1.3.01.005007</v>
          </cell>
          <cell r="B540" t="str">
            <v>LUCAS DE CARVALHO MENDES SANTOS</v>
          </cell>
          <cell r="C540" t="str">
            <v>294.220,80</v>
          </cell>
          <cell r="D540" t="str">
            <v>292.420,80</v>
          </cell>
          <cell r="E540" t="str">
            <v>0,00</v>
          </cell>
          <cell r="F540" t="str">
            <v>0,00</v>
          </cell>
          <cell r="G540" t="str">
            <v>1.800,00</v>
          </cell>
          <cell r="H540" t="str">
            <v>0,00</v>
          </cell>
          <cell r="I540">
            <v>1800</v>
          </cell>
          <cell r="J540">
            <v>-1800</v>
          </cell>
        </row>
        <row r="541">
          <cell r="A541" t="str">
            <v>1.1.1.3.01.005012</v>
          </cell>
          <cell r="B541" t="str">
            <v>BASALTO PEDREIRA E PAVIMENTACAO LTDA</v>
          </cell>
          <cell r="C541" t="str">
            <v>350.000,00</v>
          </cell>
          <cell r="D541" t="str">
            <v>311.783,23</v>
          </cell>
          <cell r="E541" t="str">
            <v>0,00</v>
          </cell>
          <cell r="F541" t="str">
            <v>0,00</v>
          </cell>
          <cell r="G541" t="str">
            <v>38.216,77</v>
          </cell>
          <cell r="H541" t="str">
            <v>0,00</v>
          </cell>
          <cell r="I541">
            <v>38216.769999999997</v>
          </cell>
          <cell r="J541">
            <v>-38216.769999999997</v>
          </cell>
        </row>
        <row r="542">
          <cell r="A542" t="str">
            <v>1.1.1.3.01.005017</v>
          </cell>
          <cell r="B542" t="str">
            <v>RIBEIRO E RIBEIRO SERVICOS DE FUND LTDA</v>
          </cell>
          <cell r="C542" t="str">
            <v>25.724,68</v>
          </cell>
          <cell r="D542" t="str">
            <v>23.000,00</v>
          </cell>
          <cell r="E542" t="str">
            <v>0,00</v>
          </cell>
          <cell r="F542" t="str">
            <v>1.362,34</v>
          </cell>
          <cell r="G542" t="str">
            <v>1.362,34</v>
          </cell>
          <cell r="H542" t="str">
            <v>0,00</v>
          </cell>
          <cell r="I542">
            <v>1362.34</v>
          </cell>
          <cell r="J542">
            <v>-1362.34</v>
          </cell>
        </row>
        <row r="543">
          <cell r="A543" t="str">
            <v>1.1.1.3.01.005020</v>
          </cell>
          <cell r="B543" t="str">
            <v>MINAS STONES MINERACAO LTDA</v>
          </cell>
          <cell r="C543" t="str">
            <v>166.550,32</v>
          </cell>
          <cell r="D543" t="str">
            <v>165.854,13</v>
          </cell>
          <cell r="E543" t="str">
            <v>0,00</v>
          </cell>
          <cell r="F543" t="str">
            <v>696,19</v>
          </cell>
          <cell r="G543" t="str">
            <v>0,00</v>
          </cell>
          <cell r="H543" t="str">
            <v>0,00</v>
          </cell>
          <cell r="I543">
            <v>0</v>
          </cell>
          <cell r="J543">
            <v>0</v>
          </cell>
        </row>
        <row r="544">
          <cell r="A544" t="str">
            <v>1.1.1.3.01.005021</v>
          </cell>
          <cell r="B544" t="str">
            <v>EXTRAMIX - CONCRETO LTDA</v>
          </cell>
          <cell r="C544" t="str">
            <v>104.999,98</v>
          </cell>
          <cell r="D544" t="str">
            <v>92.400,00</v>
          </cell>
          <cell r="E544" t="str">
            <v>0,00</v>
          </cell>
          <cell r="F544" t="str">
            <v>0,00</v>
          </cell>
          <cell r="G544" t="str">
            <v>12.599,98</v>
          </cell>
          <cell r="H544" t="str">
            <v>0,00</v>
          </cell>
          <cell r="I544">
            <v>12599.98</v>
          </cell>
          <cell r="J544">
            <v>-12599.98</v>
          </cell>
        </row>
        <row r="545">
          <cell r="A545" t="str">
            <v>1.1.1.3.01.005027</v>
          </cell>
          <cell r="B545" t="str">
            <v>MINERACAO MINAS GERAIS DO BRASIL LTDA</v>
          </cell>
          <cell r="C545" t="str">
            <v>224.000,00</v>
          </cell>
          <cell r="D545" t="str">
            <v>179.200,00</v>
          </cell>
          <cell r="E545" t="str">
            <v>0,00</v>
          </cell>
          <cell r="F545" t="str">
            <v>0,00</v>
          </cell>
          <cell r="G545" t="str">
            <v>44.800,00</v>
          </cell>
          <cell r="H545" t="str">
            <v>0,00</v>
          </cell>
          <cell r="I545">
            <v>44800</v>
          </cell>
          <cell r="J545">
            <v>-44800</v>
          </cell>
        </row>
        <row r="546">
          <cell r="A546" t="str">
            <v>1.1.1.3.01.005062</v>
          </cell>
          <cell r="B546" t="str">
            <v>S RETROS - PAVIMENTACAO CONSTRUCAO E LOC</v>
          </cell>
          <cell r="C546" t="str">
            <v>18.504,94</v>
          </cell>
          <cell r="D546" t="str">
            <v>18.234,04</v>
          </cell>
          <cell r="E546" t="str">
            <v>0,00</v>
          </cell>
          <cell r="F546" t="str">
            <v>0,00</v>
          </cell>
          <cell r="G546" t="str">
            <v>270,90</v>
          </cell>
          <cell r="H546" t="str">
            <v>0,00</v>
          </cell>
          <cell r="I546">
            <v>270.89999999999998</v>
          </cell>
          <cell r="J546">
            <v>-270.89999999999998</v>
          </cell>
        </row>
        <row r="547">
          <cell r="A547" t="str">
            <v>1.1.1.3.01.005068</v>
          </cell>
          <cell r="B547" t="str">
            <v>MINERACAO GALANTA K.U.K. LTDA</v>
          </cell>
          <cell r="C547" t="str">
            <v>75.840,17</v>
          </cell>
          <cell r="D547" t="str">
            <v>74.039,27</v>
          </cell>
          <cell r="E547" t="str">
            <v>0,00</v>
          </cell>
          <cell r="F547" t="str">
            <v>0,00</v>
          </cell>
          <cell r="G547" t="str">
            <v>1.800,90</v>
          </cell>
          <cell r="H547" t="str">
            <v>0,00</v>
          </cell>
          <cell r="I547">
            <v>1800.9</v>
          </cell>
          <cell r="J547">
            <v>-1800.9</v>
          </cell>
        </row>
        <row r="548">
          <cell r="A548" t="str">
            <v>1.1.1.3.01.005071</v>
          </cell>
          <cell r="B548" t="str">
            <v>VK ENGENHARIA SOCIEDADE UNIPESSOAL LTDA</v>
          </cell>
          <cell r="C548" t="str">
            <v>25.546,84</v>
          </cell>
          <cell r="D548" t="str">
            <v>16.796,85</v>
          </cell>
          <cell r="E548" t="str">
            <v>0,00</v>
          </cell>
          <cell r="F548" t="str">
            <v>0,00</v>
          </cell>
          <cell r="G548" t="str">
            <v>8.749,99</v>
          </cell>
          <cell r="H548" t="str">
            <v>0,00</v>
          </cell>
          <cell r="I548">
            <v>8749.99</v>
          </cell>
          <cell r="J548">
            <v>-8749.99</v>
          </cell>
        </row>
        <row r="549">
          <cell r="A549" t="str">
            <v>1.1.1.3.01.005076</v>
          </cell>
          <cell r="B549" t="str">
            <v>CALSUL EXTRACAO E BENEF DE CALCARIO LTDA</v>
          </cell>
          <cell r="C549" t="str">
            <v>130.000,00</v>
          </cell>
          <cell r="D549" t="str">
            <v>125.449,10</v>
          </cell>
          <cell r="E549" t="str">
            <v>0,00</v>
          </cell>
          <cell r="F549" t="str">
            <v>0,00</v>
          </cell>
          <cell r="G549" t="str">
            <v>4.550,90</v>
          </cell>
          <cell r="H549" t="str">
            <v>0,00</v>
          </cell>
          <cell r="I549">
            <v>4550.8999999999996</v>
          </cell>
          <cell r="J549">
            <v>-4550.8999999999996</v>
          </cell>
        </row>
        <row r="550">
          <cell r="A550" t="str">
            <v>1.1.1.3.01.005079</v>
          </cell>
          <cell r="B550" t="str">
            <v>BRAVVA MATERIAIS DE CONSTRUCAO LTDA</v>
          </cell>
          <cell r="C550" t="str">
            <v>47.840,40</v>
          </cell>
          <cell r="D550" t="str">
            <v>47.086,20</v>
          </cell>
          <cell r="E550" t="str">
            <v>0,00</v>
          </cell>
          <cell r="F550" t="str">
            <v>0,00</v>
          </cell>
          <cell r="G550" t="str">
            <v>754,20</v>
          </cell>
          <cell r="H550" t="str">
            <v>0,00</v>
          </cell>
          <cell r="I550">
            <v>754.2</v>
          </cell>
          <cell r="J550">
            <v>-754.2</v>
          </cell>
        </row>
        <row r="551">
          <cell r="A551" t="str">
            <v>1.1.1.3.01.005081</v>
          </cell>
          <cell r="B551" t="str">
            <v>GAPO TERRAPLANAGEM E SUPRESSAO VEGETAL</v>
          </cell>
          <cell r="C551" t="str">
            <v>152.066,60</v>
          </cell>
          <cell r="D551" t="str">
            <v>142.902,18</v>
          </cell>
          <cell r="E551" t="str">
            <v>0,00</v>
          </cell>
          <cell r="F551" t="str">
            <v>4.582,22</v>
          </cell>
          <cell r="G551" t="str">
            <v>4.582,20</v>
          </cell>
          <cell r="H551" t="str">
            <v>0,00</v>
          </cell>
          <cell r="I551">
            <v>4582.2</v>
          </cell>
          <cell r="J551">
            <v>-4582.2</v>
          </cell>
        </row>
        <row r="552">
          <cell r="A552" t="str">
            <v>1.1.1.3.01.005086</v>
          </cell>
          <cell r="B552" t="str">
            <v>TATU PREMOLDADOS LTDA</v>
          </cell>
          <cell r="C552" t="str">
            <v>233.286,50</v>
          </cell>
          <cell r="D552" t="str">
            <v>208.360,33</v>
          </cell>
          <cell r="E552" t="str">
            <v>0,00</v>
          </cell>
          <cell r="F552" t="str">
            <v>17.926,16</v>
          </cell>
          <cell r="G552" t="str">
            <v>7.000,01</v>
          </cell>
          <cell r="H552" t="str">
            <v>0,00</v>
          </cell>
          <cell r="I552">
            <v>7000.01</v>
          </cell>
          <cell r="J552">
            <v>-7000.01</v>
          </cell>
        </row>
        <row r="553">
          <cell r="A553" t="str">
            <v>1.1.1.3.01.005087</v>
          </cell>
          <cell r="B553" t="str">
            <v>CENTRAL MANGUEIRAS COM MANGUEIRA CONEXOE</v>
          </cell>
          <cell r="C553" t="str">
            <v>98.400,42</v>
          </cell>
          <cell r="D553" t="str">
            <v>45.597,13</v>
          </cell>
          <cell r="E553" t="str">
            <v>0,00</v>
          </cell>
          <cell r="F553" t="str">
            <v>13.828,65</v>
          </cell>
          <cell r="G553" t="str">
            <v>38.974,64</v>
          </cell>
          <cell r="H553" t="str">
            <v>0,00</v>
          </cell>
          <cell r="I553">
            <v>38974.639999999999</v>
          </cell>
          <cell r="J553">
            <v>-38974.639999999999</v>
          </cell>
        </row>
        <row r="554">
          <cell r="A554" t="str">
            <v>1.1.1.3.01.005090</v>
          </cell>
          <cell r="B554" t="str">
            <v>GM GRANITOS MARILANDIA LTDA</v>
          </cell>
          <cell r="C554" t="str">
            <v>154.882,14</v>
          </cell>
          <cell r="D554" t="str">
            <v>154.882,14</v>
          </cell>
          <cell r="E554" t="str">
            <v>4.372,43</v>
          </cell>
          <cell r="F554" t="str">
            <v>0,00</v>
          </cell>
          <cell r="G554" t="str">
            <v>4.372,43</v>
          </cell>
          <cell r="H554" t="str">
            <v>0,00</v>
          </cell>
          <cell r="I554">
            <v>4372.43</v>
          </cell>
          <cell r="J554">
            <v>-4372.43</v>
          </cell>
        </row>
        <row r="555">
          <cell r="A555" t="str">
            <v>1.1.1.3.01.005091</v>
          </cell>
          <cell r="B555" t="str">
            <v>AUTO SOCORRO SOLUCAO LTDA</v>
          </cell>
          <cell r="C555" t="str">
            <v>161.336,96</v>
          </cell>
          <cell r="D555" t="str">
            <v>144.336,96</v>
          </cell>
          <cell r="E555" t="str">
            <v>0,00</v>
          </cell>
          <cell r="F555" t="str">
            <v>0,00</v>
          </cell>
          <cell r="G555" t="str">
            <v>17.000,00</v>
          </cell>
          <cell r="H555" t="str">
            <v>0,00</v>
          </cell>
          <cell r="I555">
            <v>17000</v>
          </cell>
          <cell r="J555">
            <v>-17000</v>
          </cell>
        </row>
        <row r="556">
          <cell r="A556" t="str">
            <v>1.1.1.3.01.005094</v>
          </cell>
          <cell r="B556" t="str">
            <v>DESENTUPIDORA DE FOSSAS PIRES LTDA</v>
          </cell>
          <cell r="C556" t="str">
            <v>25.000,00</v>
          </cell>
          <cell r="D556" t="str">
            <v>24.574,10</v>
          </cell>
          <cell r="E556" t="str">
            <v>0,00</v>
          </cell>
          <cell r="F556" t="str">
            <v>0,00</v>
          </cell>
          <cell r="G556" t="str">
            <v>425,90</v>
          </cell>
          <cell r="H556" t="str">
            <v>0,00</v>
          </cell>
          <cell r="I556">
            <v>425.9</v>
          </cell>
          <cell r="J556">
            <v>-425.9</v>
          </cell>
        </row>
        <row r="557">
          <cell r="A557" t="str">
            <v>1.1.1.3.01.005100</v>
          </cell>
          <cell r="B557" t="str">
            <v>TOP CONSTRUCOES E SERVICOS LTDA</v>
          </cell>
          <cell r="C557" t="str">
            <v>34.850,44</v>
          </cell>
          <cell r="D557" t="str">
            <v>34.850,44</v>
          </cell>
          <cell r="E557" t="str">
            <v>1.262,40</v>
          </cell>
          <cell r="F557" t="str">
            <v>1.262,40</v>
          </cell>
          <cell r="G557" t="str">
            <v>0,00</v>
          </cell>
          <cell r="H557" t="str">
            <v>0,00</v>
          </cell>
          <cell r="I557">
            <v>0</v>
          </cell>
          <cell r="J557">
            <v>0</v>
          </cell>
        </row>
        <row r="558">
          <cell r="A558" t="str">
            <v>1.1.1.3.01.005102</v>
          </cell>
          <cell r="B558" t="str">
            <v>CADDELL CONSTRUCTION CO. (DE), LLC.</v>
          </cell>
          <cell r="C558" t="str">
            <v>29.162,43</v>
          </cell>
          <cell r="D558" t="str">
            <v>27.976,66</v>
          </cell>
          <cell r="E558" t="str">
            <v>0,00</v>
          </cell>
          <cell r="F558" t="str">
            <v>0,00</v>
          </cell>
          <cell r="G558" t="str">
            <v>1.185,77</v>
          </cell>
          <cell r="H558" t="str">
            <v>0,00</v>
          </cell>
          <cell r="I558">
            <v>1185.77</v>
          </cell>
          <cell r="J558">
            <v>-1185.77</v>
          </cell>
        </row>
        <row r="559">
          <cell r="A559" t="str">
            <v>1.1.1.3.01.005106</v>
          </cell>
          <cell r="B559" t="str">
            <v>FAZENDAO INDUSTRIA DA MINERACAO LTDA</v>
          </cell>
          <cell r="C559" t="str">
            <v>162.173,73</v>
          </cell>
          <cell r="D559" t="str">
            <v>152.167,91</v>
          </cell>
          <cell r="E559" t="str">
            <v>0,00</v>
          </cell>
          <cell r="F559" t="str">
            <v>3.335,33</v>
          </cell>
          <cell r="G559" t="str">
            <v>6.670,49</v>
          </cell>
          <cell r="H559" t="str">
            <v>0,00</v>
          </cell>
          <cell r="I559">
            <v>6670.49</v>
          </cell>
          <cell r="J559">
            <v>-6670.49</v>
          </cell>
        </row>
        <row r="560">
          <cell r="A560" t="str">
            <v>1.1.1.3.01.005107</v>
          </cell>
          <cell r="B560" t="str">
            <v>D. W. CONSTRUTORA E TERRAPLENAGEM LTDA</v>
          </cell>
          <cell r="C560" t="str">
            <v>202.000,00</v>
          </cell>
          <cell r="D560" t="str">
            <v>188.000,00</v>
          </cell>
          <cell r="E560" t="str">
            <v>0,00</v>
          </cell>
          <cell r="F560" t="str">
            <v>0,00</v>
          </cell>
          <cell r="G560" t="str">
            <v>14.000,00</v>
          </cell>
          <cell r="H560" t="str">
            <v>0,00</v>
          </cell>
          <cell r="I560">
            <v>14000</v>
          </cell>
          <cell r="J560">
            <v>-14000</v>
          </cell>
        </row>
        <row r="561">
          <cell r="A561" t="str">
            <v>1.1.1.3.01.005116</v>
          </cell>
          <cell r="B561" t="str">
            <v>VECTRA ENGENHARIA LTDA</v>
          </cell>
          <cell r="C561" t="str">
            <v>401.321,57</v>
          </cell>
          <cell r="D561" t="str">
            <v>392.547,72</v>
          </cell>
          <cell r="E561" t="str">
            <v>0,00</v>
          </cell>
          <cell r="F561" t="str">
            <v>8.773,85</v>
          </cell>
          <cell r="G561" t="str">
            <v>0,00</v>
          </cell>
          <cell r="H561" t="str">
            <v>0,00</v>
          </cell>
          <cell r="I561">
            <v>0</v>
          </cell>
          <cell r="J561">
            <v>0</v>
          </cell>
        </row>
        <row r="562">
          <cell r="A562" t="str">
            <v>1.1.1.3.01.005121</v>
          </cell>
          <cell r="B562" t="str">
            <v>DIMOGRAM PISOS DE GRANITO LTDA</v>
          </cell>
          <cell r="C562" t="str">
            <v>900.000,00</v>
          </cell>
          <cell r="D562" t="str">
            <v>116.250,00</v>
          </cell>
          <cell r="E562" t="str">
            <v>0,00</v>
          </cell>
          <cell r="F562" t="str">
            <v>35.625,00</v>
          </cell>
          <cell r="G562" t="str">
            <v>748.125,00</v>
          </cell>
          <cell r="H562" t="str">
            <v>0,00</v>
          </cell>
          <cell r="I562">
            <v>748125</v>
          </cell>
          <cell r="J562">
            <v>-748125</v>
          </cell>
        </row>
        <row r="563">
          <cell r="A563" t="str">
            <v>1.1.1.3.01.005122</v>
          </cell>
          <cell r="B563" t="str">
            <v>WB COMERCIOS LTDA</v>
          </cell>
          <cell r="C563" t="str">
            <v>31.899,99</v>
          </cell>
          <cell r="D563" t="str">
            <v>31.760,00</v>
          </cell>
          <cell r="E563" t="str">
            <v>0,00</v>
          </cell>
          <cell r="F563" t="str">
            <v>0,00</v>
          </cell>
          <cell r="G563" t="str">
            <v>139,99</v>
          </cell>
          <cell r="H563" t="str">
            <v>0,00</v>
          </cell>
          <cell r="I563">
            <v>139.99</v>
          </cell>
          <cell r="J563">
            <v>-139.99</v>
          </cell>
        </row>
        <row r="564">
          <cell r="A564" t="str">
            <v>1.1.1.3.01.005123</v>
          </cell>
          <cell r="B564" t="str">
            <v>LPC GIRARDI - MARMORES &amp; GRANITOS LTDA</v>
          </cell>
          <cell r="C564" t="str">
            <v>298.600,00</v>
          </cell>
          <cell r="D564" t="str">
            <v>250.007,14</v>
          </cell>
          <cell r="E564" t="str">
            <v>2.852,00</v>
          </cell>
          <cell r="F564" t="str">
            <v>26.069,86</v>
          </cell>
          <cell r="G564" t="str">
            <v>25.375,00</v>
          </cell>
          <cell r="H564" t="str">
            <v>0,00</v>
          </cell>
          <cell r="I564">
            <v>25375</v>
          </cell>
          <cell r="J564">
            <v>-25375</v>
          </cell>
        </row>
        <row r="565">
          <cell r="A565" t="str">
            <v>1.1.1.3.01.005127</v>
          </cell>
          <cell r="B565" t="str">
            <v>POLIMIX CONCRETO LTDA</v>
          </cell>
          <cell r="C565" t="str">
            <v>252.156,19</v>
          </cell>
          <cell r="D565" t="str">
            <v>244.051,81</v>
          </cell>
          <cell r="E565" t="str">
            <v>574,40</v>
          </cell>
          <cell r="F565" t="str">
            <v>8.104,38</v>
          </cell>
          <cell r="G565" t="str">
            <v>574,40</v>
          </cell>
          <cell r="H565" t="str">
            <v>0,00</v>
          </cell>
          <cell r="I565">
            <v>574.4</v>
          </cell>
          <cell r="J565">
            <v>-574.4</v>
          </cell>
        </row>
        <row r="566">
          <cell r="A566" t="str">
            <v>1.1.1.3.01.005137</v>
          </cell>
          <cell r="B566" t="str">
            <v>RGC SERVICOS EM CONSTRUCOES LTDA</v>
          </cell>
          <cell r="C566" t="str">
            <v>19.000,00</v>
          </cell>
          <cell r="D566" t="str">
            <v>18.759,88</v>
          </cell>
          <cell r="E566" t="str">
            <v>0,00</v>
          </cell>
          <cell r="F566" t="str">
            <v>0,00</v>
          </cell>
          <cell r="G566" t="str">
            <v>240,12</v>
          </cell>
          <cell r="H566" t="str">
            <v>0,00</v>
          </cell>
          <cell r="I566">
            <v>240.12</v>
          </cell>
          <cell r="J566">
            <v>-240.12</v>
          </cell>
        </row>
        <row r="567">
          <cell r="A567" t="str">
            <v>1.1.1.3.01.005138</v>
          </cell>
          <cell r="B567" t="str">
            <v>SERVIMAQ SERVICOS DE MAQUINAS LTDA</v>
          </cell>
          <cell r="C567" t="str">
            <v>38.261,82</v>
          </cell>
          <cell r="D567" t="str">
            <v>36.124,77</v>
          </cell>
          <cell r="E567" t="str">
            <v>0,00</v>
          </cell>
          <cell r="F567" t="str">
            <v>0,00</v>
          </cell>
          <cell r="G567" t="str">
            <v>2.137,05</v>
          </cell>
          <cell r="H567" t="str">
            <v>0,00</v>
          </cell>
          <cell r="I567">
            <v>2137.0500000000002</v>
          </cell>
          <cell r="J567">
            <v>-2137.0500000000002</v>
          </cell>
        </row>
        <row r="568">
          <cell r="A568" t="str">
            <v>1.1.1.3.01.005139</v>
          </cell>
          <cell r="B568" t="str">
            <v>CARBON SOLUTION INDUSTRIA E COMERCIO LTD</v>
          </cell>
          <cell r="C568" t="str">
            <v>114.876,07</v>
          </cell>
          <cell r="D568" t="str">
            <v>105.755,05</v>
          </cell>
          <cell r="E568" t="str">
            <v>536,69</v>
          </cell>
          <cell r="F568" t="str">
            <v>3.040,34</v>
          </cell>
          <cell r="G568" t="str">
            <v>6.617,37</v>
          </cell>
          <cell r="H568" t="str">
            <v>0,00</v>
          </cell>
          <cell r="I568">
            <v>6617.37</v>
          </cell>
          <cell r="J568">
            <v>-6617.37</v>
          </cell>
        </row>
        <row r="569">
          <cell r="A569" t="str">
            <v>1.1.1.3.01.005144</v>
          </cell>
          <cell r="B569" t="str">
            <v>BACHIEGA IMPLEMENTOS RODOVIARIOS LTDA</v>
          </cell>
          <cell r="C569" t="str">
            <v>214.969,41</v>
          </cell>
          <cell r="D569" t="str">
            <v>211.556,17</v>
          </cell>
          <cell r="E569" t="str">
            <v>0,00</v>
          </cell>
          <cell r="F569" t="str">
            <v>1.706,62</v>
          </cell>
          <cell r="G569" t="str">
            <v>1.706,62</v>
          </cell>
          <cell r="H569" t="str">
            <v>0,00</v>
          </cell>
          <cell r="I569">
            <v>1706.62</v>
          </cell>
          <cell r="J569">
            <v>-1706.62</v>
          </cell>
        </row>
        <row r="570">
          <cell r="A570" t="str">
            <v>1.1.1.3.01.005145</v>
          </cell>
          <cell r="B570" t="str">
            <v>BRANCO FORTE COMERCIO DE MINERIOS LTDA</v>
          </cell>
          <cell r="C570" t="str">
            <v>913.477,46</v>
          </cell>
          <cell r="D570" t="str">
            <v>489.363,63</v>
          </cell>
          <cell r="E570" t="str">
            <v>0,00</v>
          </cell>
          <cell r="F570" t="str">
            <v>40.402,36</v>
          </cell>
          <cell r="G570" t="str">
            <v>383.711,47</v>
          </cell>
          <cell r="H570" t="str">
            <v>0,00</v>
          </cell>
          <cell r="I570">
            <v>383711.47</v>
          </cell>
          <cell r="J570">
            <v>-383711.47</v>
          </cell>
        </row>
        <row r="571">
          <cell r="A571" t="str">
            <v>1.1.1.3.01.005148</v>
          </cell>
          <cell r="B571" t="str">
            <v>MINERACAO PREMIEX LTDA</v>
          </cell>
          <cell r="C571" t="str">
            <v>386.384,23</v>
          </cell>
          <cell r="D571" t="str">
            <v>385.194,23</v>
          </cell>
          <cell r="E571" t="str">
            <v>70.000,00</v>
          </cell>
          <cell r="F571" t="str">
            <v>8.190,00</v>
          </cell>
          <cell r="G571" t="str">
            <v>63.000,00</v>
          </cell>
          <cell r="H571" t="str">
            <v>0,00</v>
          </cell>
          <cell r="I571">
            <v>63000</v>
          </cell>
          <cell r="J571">
            <v>-63000</v>
          </cell>
        </row>
        <row r="572">
          <cell r="A572" t="str">
            <v>1.1.1.3.01.005154</v>
          </cell>
          <cell r="B572" t="str">
            <v>EXOTIC STONES LTDA</v>
          </cell>
          <cell r="C572" t="str">
            <v>871.301,49</v>
          </cell>
          <cell r="D572" t="str">
            <v>805.601,49</v>
          </cell>
          <cell r="E572" t="str">
            <v>0,00</v>
          </cell>
          <cell r="F572" t="str">
            <v>7.300,00</v>
          </cell>
          <cell r="G572" t="str">
            <v>58.400,00</v>
          </cell>
          <cell r="H572" t="str">
            <v>0,00</v>
          </cell>
          <cell r="I572">
            <v>58400</v>
          </cell>
          <cell r="J572">
            <v>-58400</v>
          </cell>
        </row>
        <row r="573">
          <cell r="A573" t="str">
            <v>1.1.1.3.01.005161</v>
          </cell>
          <cell r="B573" t="str">
            <v>SERVTERRA TERRAPLENAGEM LOCACOES LTDA</v>
          </cell>
          <cell r="C573" t="str">
            <v>120.000,00</v>
          </cell>
          <cell r="D573" t="str">
            <v>120.000,00</v>
          </cell>
          <cell r="E573" t="str">
            <v>4.010,96</v>
          </cell>
          <cell r="F573" t="str">
            <v>4.010,96</v>
          </cell>
          <cell r="G573" t="str">
            <v>0,00</v>
          </cell>
          <cell r="H573" t="str">
            <v>0,00</v>
          </cell>
          <cell r="I573">
            <v>0</v>
          </cell>
          <cell r="J573">
            <v>0</v>
          </cell>
        </row>
        <row r="574">
          <cell r="A574" t="str">
            <v>1.1.1.3.01.005164</v>
          </cell>
          <cell r="B574" t="str">
            <v>MINERACAO DO OESTE LTDA</v>
          </cell>
          <cell r="C574" t="str">
            <v>301.171,93</v>
          </cell>
          <cell r="D574" t="str">
            <v>301.171,93</v>
          </cell>
          <cell r="E574" t="str">
            <v>3.767,08</v>
          </cell>
          <cell r="F574" t="str">
            <v>0,00</v>
          </cell>
          <cell r="G574" t="str">
            <v>3.767,08</v>
          </cell>
          <cell r="H574" t="str">
            <v>0,00</v>
          </cell>
          <cell r="I574">
            <v>3767.08</v>
          </cell>
          <cell r="J574">
            <v>-3767.08</v>
          </cell>
        </row>
        <row r="575">
          <cell r="A575" t="str">
            <v>1.1.1.3.01.005180</v>
          </cell>
          <cell r="B575" t="str">
            <v>CONVEM MINERACAO LTDA</v>
          </cell>
          <cell r="C575" t="str">
            <v>988.025,22</v>
          </cell>
          <cell r="D575" t="str">
            <v>950.525,22</v>
          </cell>
          <cell r="E575" t="str">
            <v>0,00</v>
          </cell>
          <cell r="F575" t="str">
            <v>37.500,00</v>
          </cell>
          <cell r="G575" t="str">
            <v>0,00</v>
          </cell>
          <cell r="H575" t="str">
            <v>0,00</v>
          </cell>
          <cell r="I575">
            <v>0</v>
          </cell>
          <cell r="J575">
            <v>0</v>
          </cell>
        </row>
        <row r="576">
          <cell r="A576" t="str">
            <v>1.1.1.3.01.005182</v>
          </cell>
          <cell r="B576" t="str">
            <v>ADRIANO DA SILVA FERREIRA LOC MAQUINAS</v>
          </cell>
          <cell r="C576" t="str">
            <v>32.000,00</v>
          </cell>
          <cell r="D576" t="str">
            <v>31.724,55</v>
          </cell>
          <cell r="E576" t="str">
            <v>0,00</v>
          </cell>
          <cell r="F576" t="str">
            <v>0,00</v>
          </cell>
          <cell r="G576" t="str">
            <v>275,45</v>
          </cell>
          <cell r="H576" t="str">
            <v>0,00</v>
          </cell>
          <cell r="I576">
            <v>275.45</v>
          </cell>
          <cell r="J576">
            <v>-275.45</v>
          </cell>
        </row>
        <row r="577">
          <cell r="A577" t="str">
            <v>1.1.1.3.01.005191</v>
          </cell>
          <cell r="B577" t="str">
            <v>MINERACAO CHP MENDONCA LTDA</v>
          </cell>
          <cell r="C577" t="str">
            <v>425.045,13</v>
          </cell>
          <cell r="D577" t="str">
            <v>402.545,13</v>
          </cell>
          <cell r="E577" t="str">
            <v>290.000,00</v>
          </cell>
          <cell r="F577" t="str">
            <v>0,00</v>
          </cell>
          <cell r="G577" t="str">
            <v>312.500,00</v>
          </cell>
          <cell r="H577" t="str">
            <v>0,00</v>
          </cell>
          <cell r="I577">
            <v>312500</v>
          </cell>
          <cell r="J577">
            <v>-312500</v>
          </cell>
        </row>
        <row r="578">
          <cell r="A578" t="str">
            <v>1.1.1.3.01.005193</v>
          </cell>
          <cell r="B578" t="str">
            <v>CONSORCIO R3 MINERACAO E CONSTRUCAO</v>
          </cell>
          <cell r="C578" t="str">
            <v>1.729.001,85</v>
          </cell>
          <cell r="D578" t="str">
            <v>1.607.471,28</v>
          </cell>
          <cell r="E578" t="str">
            <v>780,01</v>
          </cell>
          <cell r="F578" t="str">
            <v>58.616,39</v>
          </cell>
          <cell r="G578" t="str">
            <v>63.694,19</v>
          </cell>
          <cell r="H578" t="str">
            <v>0,00</v>
          </cell>
          <cell r="I578">
            <v>63694.19</v>
          </cell>
          <cell r="J578">
            <v>-63694.19</v>
          </cell>
        </row>
        <row r="579">
          <cell r="A579" t="str">
            <v>1.1.1.3.01.005203</v>
          </cell>
          <cell r="B579" t="str">
            <v>MAURO FIDENCIO RAMOS DA SILVA LTDA</v>
          </cell>
          <cell r="C579" t="str">
            <v>249,64</v>
          </cell>
          <cell r="D579" t="str">
            <v>0,00</v>
          </cell>
          <cell r="E579" t="str">
            <v>0,00</v>
          </cell>
          <cell r="F579" t="str">
            <v>0,00</v>
          </cell>
          <cell r="G579" t="str">
            <v>249,64</v>
          </cell>
          <cell r="H579" t="str">
            <v>0,00</v>
          </cell>
          <cell r="I579">
            <v>249.64</v>
          </cell>
          <cell r="J579">
            <v>-249.64</v>
          </cell>
        </row>
        <row r="580">
          <cell r="A580" t="str">
            <v>1.1.1.3.01.005204</v>
          </cell>
          <cell r="B580" t="str">
            <v>HOLMES LTDA</v>
          </cell>
          <cell r="C580" t="str">
            <v>18.720,00</v>
          </cell>
          <cell r="D580" t="str">
            <v>16.722,13</v>
          </cell>
          <cell r="E580" t="str">
            <v>0,00</v>
          </cell>
          <cell r="F580" t="str">
            <v>0,00</v>
          </cell>
          <cell r="G580" t="str">
            <v>1.997,87</v>
          </cell>
          <cell r="H580" t="str">
            <v>0,00</v>
          </cell>
          <cell r="I580">
            <v>1997.87</v>
          </cell>
          <cell r="J580">
            <v>-1997.87</v>
          </cell>
        </row>
        <row r="581">
          <cell r="A581" t="str">
            <v>1.1.1.3.01.005589</v>
          </cell>
          <cell r="B581" t="str">
            <v>FBS CONSTRUCAO CIVIL E PAVIMENTACAO S.A</v>
          </cell>
          <cell r="C581" t="str">
            <v>17.681,20</v>
          </cell>
          <cell r="D581" t="str">
            <v>12.203,15</v>
          </cell>
          <cell r="E581" t="str">
            <v>0,00</v>
          </cell>
          <cell r="F581" t="str">
            <v>3.596,58</v>
          </cell>
          <cell r="G581" t="str">
            <v>1.881,47</v>
          </cell>
          <cell r="H581" t="str">
            <v>0,00</v>
          </cell>
          <cell r="I581">
            <v>1881.47</v>
          </cell>
          <cell r="J581">
            <v>-1881.47</v>
          </cell>
        </row>
        <row r="582">
          <cell r="A582" t="str">
            <v>1.1.1.3.01.005590</v>
          </cell>
          <cell r="B582" t="str">
            <v>ALTERNATIVA MAQUINAS E SERVICOS LTDA</v>
          </cell>
          <cell r="C582" t="str">
            <v>53.730,28</v>
          </cell>
          <cell r="D582" t="str">
            <v>25.170,28</v>
          </cell>
          <cell r="E582" t="str">
            <v>0,00</v>
          </cell>
          <cell r="F582" t="str">
            <v>0,00</v>
          </cell>
          <cell r="G582" t="str">
            <v>28.560,00</v>
          </cell>
          <cell r="H582" t="str">
            <v>0,00</v>
          </cell>
          <cell r="I582">
            <v>28560</v>
          </cell>
          <cell r="J582">
            <v>-28560</v>
          </cell>
        </row>
        <row r="583">
          <cell r="A583" t="str">
            <v>1.1.1.3.01.005820</v>
          </cell>
          <cell r="B583" t="str">
            <v>DG COMERCIO DE PEDRAS LTDA</v>
          </cell>
          <cell r="C583" t="str">
            <v>18.323,41</v>
          </cell>
          <cell r="D583" t="str">
            <v>9.115,06</v>
          </cell>
          <cell r="E583" t="str">
            <v>0,00</v>
          </cell>
          <cell r="F583" t="str">
            <v>915,41</v>
          </cell>
          <cell r="G583" t="str">
            <v>8.292,94</v>
          </cell>
          <cell r="H583" t="str">
            <v>0,00</v>
          </cell>
          <cell r="I583">
            <v>8292.94</v>
          </cell>
          <cell r="J583">
            <v>-8292.94</v>
          </cell>
        </row>
        <row r="584">
          <cell r="A584" t="str">
            <v>1.1.1.3.01.005888</v>
          </cell>
          <cell r="B584" t="str">
            <v>DINEX ENGENHARIA MINERAL LTDA</v>
          </cell>
          <cell r="C584" t="str">
            <v>60.102,54</v>
          </cell>
          <cell r="D584" t="str">
            <v>55.368,54</v>
          </cell>
          <cell r="E584" t="str">
            <v>0,00</v>
          </cell>
          <cell r="F584" t="str">
            <v>1.578,00</v>
          </cell>
          <cell r="G584" t="str">
            <v>3.156,00</v>
          </cell>
          <cell r="H584" t="str">
            <v>0,00</v>
          </cell>
          <cell r="I584">
            <v>3156</v>
          </cell>
          <cell r="J584">
            <v>-3156</v>
          </cell>
        </row>
        <row r="585">
          <cell r="A585" t="str">
            <v>1.1.1.3.01.005893</v>
          </cell>
          <cell r="B585" t="str">
            <v>AXIS CONSTRUCOES E TERRAPLANAGEM LTDA</v>
          </cell>
          <cell r="C585" t="str">
            <v>187.897,63</v>
          </cell>
          <cell r="D585" t="str">
            <v>107.929,27</v>
          </cell>
          <cell r="E585" t="str">
            <v>0,00</v>
          </cell>
          <cell r="F585" t="str">
            <v>14.613,33</v>
          </cell>
          <cell r="G585" t="str">
            <v>65.355,03</v>
          </cell>
          <cell r="H585" t="str">
            <v>0,00</v>
          </cell>
          <cell r="I585">
            <v>65355.03</v>
          </cell>
          <cell r="J585">
            <v>-65355.03</v>
          </cell>
        </row>
        <row r="586">
          <cell r="A586" t="str">
            <v>1.1.1.3.01.006001</v>
          </cell>
          <cell r="B586" t="str">
            <v>36.934.728 JOAO FELIPE NASCIMENTO DOS AN</v>
          </cell>
          <cell r="C586" t="str">
            <v>310.000,00</v>
          </cell>
          <cell r="D586" t="str">
            <v>134.500,00</v>
          </cell>
          <cell r="E586" t="str">
            <v>0,00</v>
          </cell>
          <cell r="F586" t="str">
            <v>19.500,00</v>
          </cell>
          <cell r="G586" t="str">
            <v>156.000,00</v>
          </cell>
          <cell r="H586" t="str">
            <v>0,00</v>
          </cell>
          <cell r="I586">
            <v>156000</v>
          </cell>
          <cell r="J586">
            <v>-156000</v>
          </cell>
        </row>
        <row r="587">
          <cell r="A587" t="str">
            <v>1.1.1.3.01.006002</v>
          </cell>
          <cell r="B587" t="str">
            <v>FABIO R DA COSTA LTDA</v>
          </cell>
          <cell r="C587" t="str">
            <v>38.000,00</v>
          </cell>
          <cell r="D587" t="str">
            <v>37.459,10</v>
          </cell>
          <cell r="E587" t="str">
            <v>0,00</v>
          </cell>
          <cell r="F587" t="str">
            <v>0,00</v>
          </cell>
          <cell r="G587" t="str">
            <v>540,90</v>
          </cell>
          <cell r="H587" t="str">
            <v>0,00</v>
          </cell>
          <cell r="I587">
            <v>540.9</v>
          </cell>
          <cell r="J587">
            <v>-540.9</v>
          </cell>
        </row>
        <row r="588">
          <cell r="A588" t="str">
            <v>1.1.1.3.01.006004</v>
          </cell>
          <cell r="B588" t="str">
            <v>CONSTRUBAN SERVICOS E CONSTRUCOES LTDA</v>
          </cell>
          <cell r="C588" t="str">
            <v>65.000,00</v>
          </cell>
          <cell r="D588" t="str">
            <v>20.000,00</v>
          </cell>
          <cell r="E588" t="str">
            <v>0,00</v>
          </cell>
          <cell r="F588" t="str">
            <v>0,00</v>
          </cell>
          <cell r="G588" t="str">
            <v>45.000,00</v>
          </cell>
          <cell r="H588" t="str">
            <v>0,00</v>
          </cell>
          <cell r="I588">
            <v>45000</v>
          </cell>
          <cell r="J588">
            <v>-45000</v>
          </cell>
        </row>
        <row r="589">
          <cell r="A589" t="str">
            <v>1.1.1.3.01.006014</v>
          </cell>
          <cell r="B589" t="str">
            <v>TOP MINERAÇÃO LTDA</v>
          </cell>
          <cell r="C589" t="str">
            <v>25.427,59</v>
          </cell>
          <cell r="D589" t="str">
            <v>25.390,50</v>
          </cell>
          <cell r="E589" t="str">
            <v>3.814,35</v>
          </cell>
          <cell r="F589" t="str">
            <v>0,00</v>
          </cell>
          <cell r="G589" t="str">
            <v>3.851,44</v>
          </cell>
          <cell r="H589" t="str">
            <v>0,00</v>
          </cell>
          <cell r="I589">
            <v>3851.44</v>
          </cell>
          <cell r="J589">
            <v>-3851.44</v>
          </cell>
        </row>
        <row r="590">
          <cell r="A590" t="str">
            <v>1.1.1.3.01.006016</v>
          </cell>
          <cell r="B590" t="str">
            <v>KO-METAL IND E COMERCIO DE METAIS SA</v>
          </cell>
          <cell r="C590" t="str">
            <v>86.000,00</v>
          </cell>
          <cell r="D590" t="str">
            <v>83.984,10</v>
          </cell>
          <cell r="E590" t="str">
            <v>0,00</v>
          </cell>
          <cell r="F590" t="str">
            <v>0,00</v>
          </cell>
          <cell r="G590" t="str">
            <v>2.015,90</v>
          </cell>
          <cell r="H590" t="str">
            <v>0,00</v>
          </cell>
          <cell r="I590">
            <v>2015.9</v>
          </cell>
          <cell r="J590">
            <v>-2015.9</v>
          </cell>
        </row>
        <row r="591">
          <cell r="A591" t="str">
            <v>1.1.1.3.01.006020</v>
          </cell>
          <cell r="B591" t="str">
            <v>M T LOC E SERVICOS DE TERRAPLENAGEM LTDA</v>
          </cell>
          <cell r="C591" t="str">
            <v>444.706,94</v>
          </cell>
          <cell r="D591" t="str">
            <v>377.506,94</v>
          </cell>
          <cell r="E591" t="str">
            <v>23.000,00</v>
          </cell>
          <cell r="F591" t="str">
            <v>27.000,00</v>
          </cell>
          <cell r="G591" t="str">
            <v>63.200,00</v>
          </cell>
          <cell r="H591" t="str">
            <v>0,00</v>
          </cell>
          <cell r="I591">
            <v>63200</v>
          </cell>
          <cell r="J591">
            <v>-63200</v>
          </cell>
        </row>
        <row r="592">
          <cell r="A592" t="str">
            <v>1.1.1.3.01.006021</v>
          </cell>
          <cell r="B592" t="str">
            <v>MINERAÇÃO STELLARIS LTDA</v>
          </cell>
          <cell r="C592" t="str">
            <v>10.365,90</v>
          </cell>
          <cell r="D592" t="str">
            <v>7.048,46</v>
          </cell>
          <cell r="E592" t="str">
            <v>0,00</v>
          </cell>
          <cell r="F592" t="str">
            <v>3.317,44</v>
          </cell>
          <cell r="G592" t="str">
            <v>0,00</v>
          </cell>
          <cell r="H592" t="str">
            <v>0,00</v>
          </cell>
          <cell r="I592">
            <v>0</v>
          </cell>
          <cell r="J592">
            <v>0</v>
          </cell>
        </row>
        <row r="593">
          <cell r="A593" t="str">
            <v>1.1.1.3.01.006023</v>
          </cell>
          <cell r="B593" t="str">
            <v>MINAS RIO MINERADORA LTDA</v>
          </cell>
          <cell r="C593" t="str">
            <v>310.799,01</v>
          </cell>
          <cell r="D593" t="str">
            <v>277.814,50</v>
          </cell>
          <cell r="E593" t="str">
            <v>0,00</v>
          </cell>
          <cell r="F593" t="str">
            <v>17.294,84</v>
          </cell>
          <cell r="G593" t="str">
            <v>15.689,67</v>
          </cell>
          <cell r="H593" t="str">
            <v>0,00</v>
          </cell>
          <cell r="I593">
            <v>15689.67</v>
          </cell>
          <cell r="J593">
            <v>-15689.67</v>
          </cell>
        </row>
        <row r="594">
          <cell r="A594" t="str">
            <v>1.1.1.3.01.006027</v>
          </cell>
          <cell r="B594" t="str">
            <v>H &amp; F SERVICOS LTDA</v>
          </cell>
          <cell r="C594" t="str">
            <v>205.399,67</v>
          </cell>
          <cell r="D594" t="str">
            <v>150.999,67</v>
          </cell>
          <cell r="E594" t="str">
            <v>0,00</v>
          </cell>
          <cell r="F594" t="str">
            <v>0,00</v>
          </cell>
          <cell r="G594" t="str">
            <v>54.400,00</v>
          </cell>
          <cell r="H594" t="str">
            <v>0,00</v>
          </cell>
          <cell r="I594">
            <v>54400</v>
          </cell>
          <cell r="J594">
            <v>-54400</v>
          </cell>
        </row>
        <row r="595">
          <cell r="A595" t="str">
            <v>1.1.1.3.01.006029</v>
          </cell>
          <cell r="B595" t="str">
            <v>SAO ROQUE MARMORES E GRANITOS LTDA</v>
          </cell>
          <cell r="C595" t="str">
            <v>2.139.507,98</v>
          </cell>
          <cell r="D595" t="str">
            <v>1.975.955,92</v>
          </cell>
          <cell r="E595" t="str">
            <v>0,00</v>
          </cell>
          <cell r="F595" t="str">
            <v>41.666,67</v>
          </cell>
          <cell r="G595" t="str">
            <v>121.885,39</v>
          </cell>
          <cell r="H595" t="str">
            <v>0,00</v>
          </cell>
          <cell r="I595">
            <v>121885.39</v>
          </cell>
          <cell r="J595">
            <v>-121885.39</v>
          </cell>
        </row>
        <row r="596">
          <cell r="A596" t="str">
            <v>1.1.1.3.01.006032</v>
          </cell>
          <cell r="B596" t="str">
            <v>SINDICATO IND. EXTRATORES PEDRAS GNAISSE</v>
          </cell>
          <cell r="C596" t="str">
            <v>1.783,92</v>
          </cell>
          <cell r="D596" t="str">
            <v>1.763,40</v>
          </cell>
          <cell r="E596" t="str">
            <v>0,00</v>
          </cell>
          <cell r="F596" t="str">
            <v>0,00</v>
          </cell>
          <cell r="G596" t="str">
            <v>20,52</v>
          </cell>
          <cell r="H596" t="str">
            <v>0,00</v>
          </cell>
          <cell r="I596">
            <v>20.52</v>
          </cell>
          <cell r="J596">
            <v>-20.52</v>
          </cell>
        </row>
        <row r="597">
          <cell r="A597" t="str">
            <v>1.1.1.3.01.006038</v>
          </cell>
          <cell r="B597" t="str">
            <v>NORDESTE MINERAÇÃO DE ROCHAS LTDA</v>
          </cell>
          <cell r="C597" t="str">
            <v>419.380,02</v>
          </cell>
          <cell r="D597" t="str">
            <v>290.761,02</v>
          </cell>
          <cell r="E597" t="str">
            <v>0,00</v>
          </cell>
          <cell r="F597" t="str">
            <v>36.073,00</v>
          </cell>
          <cell r="G597" t="str">
            <v>92.546,00</v>
          </cell>
          <cell r="H597" t="str">
            <v>0,00</v>
          </cell>
          <cell r="I597">
            <v>92546</v>
          </cell>
          <cell r="J597">
            <v>-92546</v>
          </cell>
        </row>
        <row r="598">
          <cell r="A598" t="str">
            <v>1.1.1.3.01.006041</v>
          </cell>
          <cell r="B598" t="str">
            <v>ARILDO TOMAZ BUCKER</v>
          </cell>
          <cell r="C598" t="str">
            <v>24.743,52</v>
          </cell>
          <cell r="D598" t="str">
            <v>20.676,49</v>
          </cell>
          <cell r="E598" t="str">
            <v>0,00</v>
          </cell>
          <cell r="F598" t="str">
            <v>0,00</v>
          </cell>
          <cell r="G598" t="str">
            <v>4.067,03</v>
          </cell>
          <cell r="H598" t="str">
            <v>0,00</v>
          </cell>
          <cell r="I598">
            <v>4067.03</v>
          </cell>
          <cell r="J598">
            <v>-4067.03</v>
          </cell>
        </row>
        <row r="599">
          <cell r="A599" t="str">
            <v>1.1.1.3.01.006046</v>
          </cell>
          <cell r="B599" t="str">
            <v>GRANITOS MATATIAS LTDA</v>
          </cell>
          <cell r="C599" t="str">
            <v>26.340,00</v>
          </cell>
          <cell r="D599" t="str">
            <v>13.170,00</v>
          </cell>
          <cell r="E599" t="str">
            <v>0,00</v>
          </cell>
          <cell r="F599" t="str">
            <v>0,00</v>
          </cell>
          <cell r="G599" t="str">
            <v>13.170,00</v>
          </cell>
          <cell r="H599" t="str">
            <v>0,00</v>
          </cell>
          <cell r="I599">
            <v>13170</v>
          </cell>
          <cell r="J599">
            <v>-13170</v>
          </cell>
        </row>
        <row r="600">
          <cell r="A600" t="str">
            <v>1.1.1.3.01.006052</v>
          </cell>
          <cell r="B600" t="str">
            <v>ROMAGRAN ROMUALDO GRANITOS LTDA</v>
          </cell>
          <cell r="C600" t="str">
            <v>8.493,30</v>
          </cell>
          <cell r="D600" t="str">
            <v>3.054,52</v>
          </cell>
          <cell r="E600" t="str">
            <v>0,00</v>
          </cell>
          <cell r="F600" t="str">
            <v>4.689,49</v>
          </cell>
          <cell r="G600" t="str">
            <v>749,29</v>
          </cell>
          <cell r="H600" t="str">
            <v>0,00</v>
          </cell>
          <cell r="I600">
            <v>749.29</v>
          </cell>
          <cell r="J600">
            <v>-749.29</v>
          </cell>
        </row>
        <row r="601">
          <cell r="A601" t="str">
            <v>1.1.1.3.01.006062</v>
          </cell>
          <cell r="B601" t="str">
            <v>M2M COMERCIO DE MARMORES E GRANITOS LTDA</v>
          </cell>
          <cell r="C601" t="str">
            <v>27.918,97</v>
          </cell>
          <cell r="D601" t="str">
            <v>27.918,97</v>
          </cell>
          <cell r="E601" t="str">
            <v>7.844,93</v>
          </cell>
          <cell r="F601" t="str">
            <v>0,00</v>
          </cell>
          <cell r="G601" t="str">
            <v>7.844,93</v>
          </cell>
          <cell r="H601" t="str">
            <v>0,00</v>
          </cell>
          <cell r="I601">
            <v>7844.93</v>
          </cell>
          <cell r="J601">
            <v>-7844.93</v>
          </cell>
        </row>
        <row r="602">
          <cell r="A602" t="str">
            <v>1.1.1.3.01.006399</v>
          </cell>
          <cell r="B602" t="str">
            <v>JACOBINA MINERACAO E COMERCIO LTDA</v>
          </cell>
          <cell r="C602" t="str">
            <v>268.508,58</v>
          </cell>
          <cell r="D602" t="str">
            <v>217.835,60</v>
          </cell>
          <cell r="E602" t="str">
            <v>27.889,10</v>
          </cell>
          <cell r="F602" t="str">
            <v>50.672,98</v>
          </cell>
          <cell r="G602" t="str">
            <v>27.889,10</v>
          </cell>
          <cell r="H602" t="str">
            <v>0,00</v>
          </cell>
          <cell r="I602">
            <v>27889.1</v>
          </cell>
          <cell r="J602">
            <v>-27889.1</v>
          </cell>
        </row>
        <row r="603">
          <cell r="A603" t="str">
            <v>1.1.1.3.01.006402</v>
          </cell>
          <cell r="B603" t="str">
            <v>M2M COMERCIO DE MARMORES E GRANITOS LTDA</v>
          </cell>
          <cell r="C603" t="str">
            <v>10.200,10</v>
          </cell>
          <cell r="D603" t="str">
            <v>5.349,87</v>
          </cell>
          <cell r="E603" t="str">
            <v>0,00</v>
          </cell>
          <cell r="F603" t="str">
            <v>2.425,12</v>
          </cell>
          <cell r="G603" t="str">
            <v>2.425,11</v>
          </cell>
          <cell r="H603" t="str">
            <v>0,00</v>
          </cell>
          <cell r="I603">
            <v>2425.11</v>
          </cell>
          <cell r="J603">
            <v>-2425.11</v>
          </cell>
        </row>
        <row r="604">
          <cell r="A604" t="str">
            <v>1.1.1.3.01.006404</v>
          </cell>
          <cell r="B604" t="str">
            <v>ARGOS STONES LTDA</v>
          </cell>
          <cell r="C604" t="str">
            <v>2.778.644,06</v>
          </cell>
          <cell r="D604" t="str">
            <v>1.863.640,64</v>
          </cell>
          <cell r="E604" t="str">
            <v>0,00</v>
          </cell>
          <cell r="F604" t="str">
            <v>112.596,46</v>
          </cell>
          <cell r="G604" t="str">
            <v>802.406,96</v>
          </cell>
          <cell r="H604" t="str">
            <v>0,00</v>
          </cell>
          <cell r="I604">
            <v>802406.96</v>
          </cell>
          <cell r="J604">
            <v>-802406.96</v>
          </cell>
        </row>
        <row r="605">
          <cell r="A605" t="str">
            <v>1.1.1.3.01.006405</v>
          </cell>
          <cell r="B605" t="str">
            <v>MINERACAO SANTA MARIA LTDA</v>
          </cell>
          <cell r="C605" t="str">
            <v>269.320,67</v>
          </cell>
          <cell r="D605" t="str">
            <v>252.561,66</v>
          </cell>
          <cell r="E605" t="str">
            <v>1.515,38</v>
          </cell>
          <cell r="F605" t="str">
            <v>3.440,18</v>
          </cell>
          <cell r="G605" t="str">
            <v>14.834,21</v>
          </cell>
          <cell r="H605" t="str">
            <v>0,00</v>
          </cell>
          <cell r="I605">
            <v>14834.21</v>
          </cell>
          <cell r="J605">
            <v>-14834.21</v>
          </cell>
        </row>
        <row r="606">
          <cell r="A606" t="str">
            <v>1.1.1.3.01.006412</v>
          </cell>
          <cell r="B606" t="str">
            <v>SUHA EXTRACAO, MINERACAO &amp; COMERCIO LTDA</v>
          </cell>
          <cell r="C606" t="str">
            <v>57.000,00</v>
          </cell>
          <cell r="D606" t="str">
            <v>62.000,00</v>
          </cell>
          <cell r="E606" t="str">
            <v>0,00</v>
          </cell>
          <cell r="F606" t="str">
            <v>0,00</v>
          </cell>
          <cell r="G606" t="str">
            <v>0,00</v>
          </cell>
          <cell r="H606" t="str">
            <v>5.000,00</v>
          </cell>
          <cell r="I606">
            <v>-5000</v>
          </cell>
          <cell r="J606">
            <v>10000</v>
          </cell>
        </row>
        <row r="607">
          <cell r="A607" t="str">
            <v>1.1.1.3.01.006414</v>
          </cell>
          <cell r="B607" t="str">
            <v>HFC CONSTRUTORA E ENGENHARIA LTDA</v>
          </cell>
          <cell r="C607" t="str">
            <v>80.994,24</v>
          </cell>
          <cell r="D607" t="str">
            <v>56.994,24</v>
          </cell>
          <cell r="E607" t="str">
            <v>0,00</v>
          </cell>
          <cell r="F607" t="str">
            <v>4.800,00</v>
          </cell>
          <cell r="G607" t="str">
            <v>19.200,00</v>
          </cell>
          <cell r="H607" t="str">
            <v>0,00</v>
          </cell>
          <cell r="I607">
            <v>19200</v>
          </cell>
          <cell r="J607">
            <v>-19200</v>
          </cell>
        </row>
        <row r="608">
          <cell r="A608" t="str">
            <v>1.1.1.3.01.006417</v>
          </cell>
          <cell r="B608" t="str">
            <v>THOR GRANITOS E MARMORES LTDA</v>
          </cell>
          <cell r="C608" t="str">
            <v>7.619.718,09</v>
          </cell>
          <cell r="D608" t="str">
            <v>6.616.870,15</v>
          </cell>
          <cell r="E608" t="str">
            <v>8.068,98</v>
          </cell>
          <cell r="F608" t="str">
            <v>254.470,21</v>
          </cell>
          <cell r="G608" t="str">
            <v>756.446,71</v>
          </cell>
          <cell r="H608" t="str">
            <v>0,00</v>
          </cell>
          <cell r="I608">
            <v>756446.71</v>
          </cell>
          <cell r="J608">
            <v>-756446.71</v>
          </cell>
        </row>
        <row r="609">
          <cell r="A609" t="str">
            <v>1.1.1.3.01.006419</v>
          </cell>
          <cell r="B609" t="str">
            <v>SP FERREIRA ALUGUEL DE MAQ  E EQUIP LTDA</v>
          </cell>
          <cell r="C609" t="str">
            <v>114.990,00</v>
          </cell>
          <cell r="D609" t="str">
            <v>113.000,00</v>
          </cell>
          <cell r="E609" t="str">
            <v>0,00</v>
          </cell>
          <cell r="F609" t="str">
            <v>1.990,00</v>
          </cell>
          <cell r="G609" t="str">
            <v>0,00</v>
          </cell>
          <cell r="H609" t="str">
            <v>0,00</v>
          </cell>
          <cell r="I609">
            <v>0</v>
          </cell>
          <cell r="J609">
            <v>0</v>
          </cell>
        </row>
        <row r="610">
          <cell r="A610" t="str">
            <v>1.1.1.3.01.006423</v>
          </cell>
          <cell r="B610" t="str">
            <v>BRITAMAZON INDUSTRIA COMERCIO E MIN SA</v>
          </cell>
          <cell r="C610" t="str">
            <v>420.178,48</v>
          </cell>
          <cell r="D610" t="str">
            <v>413.471,62</v>
          </cell>
          <cell r="E610" t="str">
            <v>16.366,02</v>
          </cell>
          <cell r="F610" t="str">
            <v>6.706,86</v>
          </cell>
          <cell r="G610" t="str">
            <v>16.366,02</v>
          </cell>
          <cell r="H610" t="str">
            <v>0,00</v>
          </cell>
          <cell r="I610">
            <v>16366.02</v>
          </cell>
          <cell r="J610">
            <v>-16366.02</v>
          </cell>
        </row>
        <row r="611">
          <cell r="A611" t="str">
            <v>1.1.1.3.01.006427</v>
          </cell>
          <cell r="B611" t="str">
            <v>D PANCINI GIRARDI LTDA</v>
          </cell>
          <cell r="C611" t="str">
            <v>3.756.069,52</v>
          </cell>
          <cell r="D611" t="str">
            <v>1.798.379,43</v>
          </cell>
          <cell r="E611" t="str">
            <v>2.500,00</v>
          </cell>
          <cell r="F611" t="str">
            <v>34.716,66</v>
          </cell>
          <cell r="G611" t="str">
            <v>1.925.473,43</v>
          </cell>
          <cell r="H611" t="str">
            <v>0,00</v>
          </cell>
          <cell r="I611">
            <v>1925473.43</v>
          </cell>
          <cell r="J611">
            <v>-1925473.43</v>
          </cell>
        </row>
        <row r="612">
          <cell r="A612" t="str">
            <v>1.1.1.3.01.006430</v>
          </cell>
          <cell r="B612" t="str">
            <v>GRAMARIA GRANITOS E MARMORES LTDA</v>
          </cell>
          <cell r="C612" t="str">
            <v>1.449.670,55</v>
          </cell>
          <cell r="D612" t="str">
            <v>954.171,00</v>
          </cell>
          <cell r="E612" t="str">
            <v>0,00</v>
          </cell>
          <cell r="F612" t="str">
            <v>500,55</v>
          </cell>
          <cell r="G612" t="str">
            <v>494.999,00</v>
          </cell>
          <cell r="H612" t="str">
            <v>0,00</v>
          </cell>
          <cell r="I612">
            <v>494999</v>
          </cell>
          <cell r="J612">
            <v>-494999</v>
          </cell>
        </row>
        <row r="613">
          <cell r="A613" t="str">
            <v>1.1.1.3.01.006435</v>
          </cell>
          <cell r="B613" t="str">
            <v>MINERADORA CORRESOLO LTDA</v>
          </cell>
          <cell r="C613" t="str">
            <v>187.369,04</v>
          </cell>
          <cell r="D613" t="str">
            <v>155.165,45</v>
          </cell>
          <cell r="E613" t="str">
            <v>0,00</v>
          </cell>
          <cell r="F613" t="str">
            <v>0,00</v>
          </cell>
          <cell r="G613" t="str">
            <v>32.203,59</v>
          </cell>
          <cell r="H613" t="str">
            <v>0,00</v>
          </cell>
          <cell r="I613">
            <v>32203.59</v>
          </cell>
          <cell r="J613">
            <v>-32203.59</v>
          </cell>
        </row>
        <row r="614">
          <cell r="A614" t="str">
            <v>1.1.1.3.01.006436</v>
          </cell>
          <cell r="B614" t="str">
            <v>USIMAX USINAGEM DE GRANDE PORTE LTDA</v>
          </cell>
          <cell r="C614" t="str">
            <v>39.880,84</v>
          </cell>
          <cell r="D614" t="str">
            <v>35.000,00</v>
          </cell>
          <cell r="E614" t="str">
            <v>0,00</v>
          </cell>
          <cell r="F614" t="str">
            <v>2.440,42</v>
          </cell>
          <cell r="G614" t="str">
            <v>2.440,42</v>
          </cell>
          <cell r="H614" t="str">
            <v>0,00</v>
          </cell>
          <cell r="I614">
            <v>2440.42</v>
          </cell>
          <cell r="J614">
            <v>-2440.42</v>
          </cell>
        </row>
        <row r="615">
          <cell r="A615" t="str">
            <v>1.1.1.3.01.006439</v>
          </cell>
          <cell r="B615" t="str">
            <v>GROSMANN TERRAPLANAGEM LTDA</v>
          </cell>
          <cell r="C615" t="str">
            <v>435.000,00</v>
          </cell>
          <cell r="D615" t="str">
            <v>313.100,00</v>
          </cell>
          <cell r="E615" t="str">
            <v>0,00</v>
          </cell>
          <cell r="F615" t="str">
            <v>0,00</v>
          </cell>
          <cell r="G615" t="str">
            <v>121.900,00</v>
          </cell>
          <cell r="H615" t="str">
            <v>0,00</v>
          </cell>
          <cell r="I615">
            <v>121900</v>
          </cell>
          <cell r="J615">
            <v>-121900</v>
          </cell>
        </row>
        <row r="616">
          <cell r="A616" t="str">
            <v>1.1.1.3.01.006450</v>
          </cell>
          <cell r="B616" t="str">
            <v>SOBRADO AGROPECUARIA LTDA</v>
          </cell>
          <cell r="C616" t="str">
            <v>180.927,72</v>
          </cell>
          <cell r="D616" t="str">
            <v>175.683,09</v>
          </cell>
          <cell r="E616" t="str">
            <v>0,00</v>
          </cell>
          <cell r="F616" t="str">
            <v>0,00</v>
          </cell>
          <cell r="G616" t="str">
            <v>5.244,63</v>
          </cell>
          <cell r="H616" t="str">
            <v>0,00</v>
          </cell>
          <cell r="I616">
            <v>5244.63</v>
          </cell>
          <cell r="J616">
            <v>-5244.63</v>
          </cell>
        </row>
        <row r="617">
          <cell r="A617" t="str">
            <v>1.1.1.3.01.006452</v>
          </cell>
          <cell r="B617" t="str">
            <v>D.M.S TRANSPORTES E LOCACOES LTDA</v>
          </cell>
          <cell r="C617" t="str">
            <v>111.000,00</v>
          </cell>
          <cell r="D617" t="str">
            <v>111.000,00</v>
          </cell>
          <cell r="E617" t="str">
            <v>150,00</v>
          </cell>
          <cell r="F617" t="str">
            <v>150,00</v>
          </cell>
          <cell r="G617" t="str">
            <v>0,00</v>
          </cell>
          <cell r="H617" t="str">
            <v>0,00</v>
          </cell>
          <cell r="I617">
            <v>0</v>
          </cell>
          <cell r="J617">
            <v>0</v>
          </cell>
        </row>
        <row r="618">
          <cell r="A618" t="str">
            <v>1.1.1.3.01.006457</v>
          </cell>
          <cell r="B618" t="str">
            <v>NORTHPAV PAVIMENTACAO E LOCACAO LTDA</v>
          </cell>
          <cell r="C618" t="str">
            <v>182.454,00</v>
          </cell>
          <cell r="D618" t="str">
            <v>175.854,00</v>
          </cell>
          <cell r="E618" t="str">
            <v>0,00</v>
          </cell>
          <cell r="F618" t="str">
            <v>0,00</v>
          </cell>
          <cell r="G618" t="str">
            <v>6.600,00</v>
          </cell>
          <cell r="H618" t="str">
            <v>0,00</v>
          </cell>
          <cell r="I618">
            <v>6600</v>
          </cell>
          <cell r="J618">
            <v>-6600</v>
          </cell>
        </row>
        <row r="619">
          <cell r="A619" t="str">
            <v>1.1.1.3.01.006467</v>
          </cell>
          <cell r="B619" t="str">
            <v>ARTELAGOS ARTEFATOS DE CONCRETO LTDA</v>
          </cell>
          <cell r="C619" t="str">
            <v>149.875,00</v>
          </cell>
          <cell r="D619" t="str">
            <v>146.901,03</v>
          </cell>
          <cell r="E619" t="str">
            <v>10.426,48</v>
          </cell>
          <cell r="F619" t="str">
            <v>2.973,97</v>
          </cell>
          <cell r="G619" t="str">
            <v>10.426,48</v>
          </cell>
          <cell r="H619" t="str">
            <v>0,00</v>
          </cell>
          <cell r="I619">
            <v>10426.48</v>
          </cell>
          <cell r="J619">
            <v>-10426.48</v>
          </cell>
        </row>
        <row r="620">
          <cell r="A620" t="str">
            <v>1.1.1.3.01.006471</v>
          </cell>
          <cell r="B620" t="str">
            <v>THOR GRANITOS E MARMORES LTDA</v>
          </cell>
          <cell r="C620" t="str">
            <v>108.000,00</v>
          </cell>
          <cell r="D620" t="str">
            <v>99.000,00</v>
          </cell>
          <cell r="E620" t="str">
            <v>0,00</v>
          </cell>
          <cell r="F620" t="str">
            <v>0,00</v>
          </cell>
          <cell r="G620" t="str">
            <v>9.000,00</v>
          </cell>
          <cell r="H620" t="str">
            <v>0,00</v>
          </cell>
          <cell r="I620">
            <v>9000</v>
          </cell>
          <cell r="J620">
            <v>-9000</v>
          </cell>
        </row>
        <row r="621">
          <cell r="A621" t="str">
            <v>1.1.1.3.01.006472</v>
          </cell>
          <cell r="B621" t="str">
            <v>LOCTER TERRAPLENAGEM E TRANSPORTES LTDA</v>
          </cell>
          <cell r="C621" t="str">
            <v>117.970,38</v>
          </cell>
          <cell r="D621" t="str">
            <v>98.904,58</v>
          </cell>
          <cell r="E621" t="str">
            <v>0,00</v>
          </cell>
          <cell r="F621" t="str">
            <v>1.466,60</v>
          </cell>
          <cell r="G621" t="str">
            <v>17.599,20</v>
          </cell>
          <cell r="H621" t="str">
            <v>0,00</v>
          </cell>
          <cell r="I621">
            <v>17599.2</v>
          </cell>
          <cell r="J621">
            <v>-17599.2</v>
          </cell>
        </row>
        <row r="622">
          <cell r="A622" t="str">
            <v>1.1.1.3.01.006473</v>
          </cell>
          <cell r="B622" t="str">
            <v>H C SERAFIM TRANSPORTES E LOCACOES</v>
          </cell>
          <cell r="C622" t="str">
            <v>487.200,50</v>
          </cell>
          <cell r="D622" t="str">
            <v>452.972,98</v>
          </cell>
          <cell r="E622" t="str">
            <v>0,00</v>
          </cell>
          <cell r="F622" t="str">
            <v>18.227,52</v>
          </cell>
          <cell r="G622" t="str">
            <v>16.000,00</v>
          </cell>
          <cell r="H622" t="str">
            <v>0,00</v>
          </cell>
          <cell r="I622">
            <v>16000</v>
          </cell>
          <cell r="J622">
            <v>-16000</v>
          </cell>
        </row>
        <row r="623">
          <cell r="A623" t="str">
            <v>1.1.1.3.01.006475</v>
          </cell>
          <cell r="B623" t="str">
            <v>PABLO ANDRES TAPIA ARAVENA</v>
          </cell>
          <cell r="C623" t="str">
            <v>44.330,85</v>
          </cell>
          <cell r="D623" t="str">
            <v>37.330,85</v>
          </cell>
          <cell r="E623" t="str">
            <v>0,00</v>
          </cell>
          <cell r="F623" t="str">
            <v>0,00</v>
          </cell>
          <cell r="G623" t="str">
            <v>7.000,00</v>
          </cell>
          <cell r="H623" t="str">
            <v>0,00</v>
          </cell>
          <cell r="I623">
            <v>7000</v>
          </cell>
          <cell r="J623">
            <v>-7000</v>
          </cell>
        </row>
        <row r="624">
          <cell r="A624" t="str">
            <v>1.1.1.3.01.006478</v>
          </cell>
          <cell r="B624" t="str">
            <v>CONCREMIX S/A</v>
          </cell>
          <cell r="C624" t="str">
            <v>207.567,85</v>
          </cell>
          <cell r="D624" t="str">
            <v>191.536,21</v>
          </cell>
          <cell r="E624" t="str">
            <v>0,00</v>
          </cell>
          <cell r="F624" t="str">
            <v>7.741,60</v>
          </cell>
          <cell r="G624" t="str">
            <v>8.290,04</v>
          </cell>
          <cell r="H624" t="str">
            <v>0,00</v>
          </cell>
          <cell r="I624">
            <v>8290.0400000000009</v>
          </cell>
          <cell r="J624">
            <v>-8290.0400000000009</v>
          </cell>
        </row>
        <row r="625">
          <cell r="A625" t="str">
            <v>1.1.1.3.01.006483</v>
          </cell>
          <cell r="B625" t="str">
            <v>GIRA CAXIAS COMERCIO DE ALIMENTOS LTDA</v>
          </cell>
          <cell r="C625" t="str">
            <v>345.495,59</v>
          </cell>
          <cell r="D625" t="str">
            <v>315.441,18</v>
          </cell>
          <cell r="E625" t="str">
            <v>0,00</v>
          </cell>
          <cell r="F625" t="str">
            <v>0,00</v>
          </cell>
          <cell r="G625" t="str">
            <v>30.054,41</v>
          </cell>
          <cell r="H625" t="str">
            <v>0,00</v>
          </cell>
          <cell r="I625">
            <v>30054.41</v>
          </cell>
          <cell r="J625">
            <v>-30054.41</v>
          </cell>
        </row>
        <row r="626">
          <cell r="A626" t="str">
            <v>1.1.1.3.01.006486</v>
          </cell>
          <cell r="B626" t="str">
            <v>GRANCALVES GRANITOS GONCALVES LTDA</v>
          </cell>
          <cell r="C626" t="str">
            <v>458.635,27</v>
          </cell>
          <cell r="D626" t="str">
            <v>609.308,91</v>
          </cell>
          <cell r="E626" t="str">
            <v>0,00</v>
          </cell>
          <cell r="F626" t="str">
            <v>0,00</v>
          </cell>
          <cell r="G626" t="str">
            <v>0,00</v>
          </cell>
          <cell r="H626" t="str">
            <v>150.673,64</v>
          </cell>
          <cell r="I626">
            <v>-150673.64000000001</v>
          </cell>
          <cell r="J626">
            <v>301347.28000000003</v>
          </cell>
        </row>
        <row r="627">
          <cell r="A627" t="str">
            <v>1.1.1.3.01.006496</v>
          </cell>
          <cell r="B627" t="str">
            <v>MINERACAO BRUNELI LTDA</v>
          </cell>
          <cell r="C627" t="str">
            <v>232.640,11</v>
          </cell>
          <cell r="D627" t="str">
            <v>216.640,11</v>
          </cell>
          <cell r="E627" t="str">
            <v>6.238,36</v>
          </cell>
          <cell r="F627" t="str">
            <v>8.000,00</v>
          </cell>
          <cell r="G627" t="str">
            <v>14.238,36</v>
          </cell>
          <cell r="H627" t="str">
            <v>0,00</v>
          </cell>
          <cell r="I627">
            <v>14238.36</v>
          </cell>
          <cell r="J627">
            <v>-14238.36</v>
          </cell>
        </row>
        <row r="628">
          <cell r="A628" t="str">
            <v>1.1.1.3.01.006497</v>
          </cell>
          <cell r="B628" t="str">
            <v>UNI STONES LOCACOES E DEPOSITOS LTDA</v>
          </cell>
          <cell r="C628" t="str">
            <v>180.000,00</v>
          </cell>
          <cell r="D628" t="str">
            <v>123.300,00</v>
          </cell>
          <cell r="E628" t="str">
            <v>0,00</v>
          </cell>
          <cell r="F628" t="str">
            <v>8.100,00</v>
          </cell>
          <cell r="G628" t="str">
            <v>48.600,00</v>
          </cell>
          <cell r="H628" t="str">
            <v>0,00</v>
          </cell>
          <cell r="I628">
            <v>48600</v>
          </cell>
          <cell r="J628">
            <v>-48600</v>
          </cell>
        </row>
        <row r="629">
          <cell r="A629" t="str">
            <v>1.1.1.3.01.006505</v>
          </cell>
          <cell r="B629" t="str">
            <v>PEDREIRA ANHANGUERA SA EMP DE MINERACAO</v>
          </cell>
          <cell r="C629" t="str">
            <v>165.553,08</v>
          </cell>
          <cell r="D629" t="str">
            <v>157.513,07</v>
          </cell>
          <cell r="E629" t="str">
            <v>0,00</v>
          </cell>
          <cell r="F629" t="str">
            <v>0,00</v>
          </cell>
          <cell r="G629" t="str">
            <v>8.040,01</v>
          </cell>
          <cell r="H629" t="str">
            <v>0,00</v>
          </cell>
          <cell r="I629">
            <v>8040.01</v>
          </cell>
          <cell r="J629">
            <v>-8040.01</v>
          </cell>
        </row>
        <row r="630">
          <cell r="A630" t="str">
            <v>1.1.1.3.01.006515</v>
          </cell>
          <cell r="B630" t="str">
            <v>I M S CONSTRUTORA LTDA</v>
          </cell>
          <cell r="C630" t="str">
            <v>172.798,77</v>
          </cell>
          <cell r="D630" t="str">
            <v>170.243,62</v>
          </cell>
          <cell r="E630" t="str">
            <v>2.318,35</v>
          </cell>
          <cell r="F630" t="str">
            <v>2.555,15</v>
          </cell>
          <cell r="G630" t="str">
            <v>2.318,35</v>
          </cell>
          <cell r="H630" t="str">
            <v>0,00</v>
          </cell>
          <cell r="I630">
            <v>2318.35</v>
          </cell>
          <cell r="J630">
            <v>-2318.35</v>
          </cell>
        </row>
        <row r="631">
          <cell r="A631" t="str">
            <v>1.1.1.3.01.006520</v>
          </cell>
          <cell r="B631" t="str">
            <v>PEDREIRA IRMAOS MACHADO LTDA</v>
          </cell>
          <cell r="C631" t="str">
            <v>413.884,61</v>
          </cell>
          <cell r="D631" t="str">
            <v>313.884,61</v>
          </cell>
          <cell r="E631" t="str">
            <v>0,00</v>
          </cell>
          <cell r="F631" t="str">
            <v>0,00</v>
          </cell>
          <cell r="G631" t="str">
            <v>100.000,00</v>
          </cell>
          <cell r="H631" t="str">
            <v>0,00</v>
          </cell>
          <cell r="I631">
            <v>100000</v>
          </cell>
          <cell r="J631">
            <v>-100000</v>
          </cell>
        </row>
        <row r="632">
          <cell r="A632" t="str">
            <v>1.1.1.3.01.006524</v>
          </cell>
          <cell r="B632" t="str">
            <v>STONE CLEAN LTDA</v>
          </cell>
          <cell r="C632" t="str">
            <v>169.619,77</v>
          </cell>
          <cell r="D632" t="str">
            <v>165.706,96</v>
          </cell>
          <cell r="E632" t="str">
            <v>0,00</v>
          </cell>
          <cell r="F632" t="str">
            <v>3.912,81</v>
          </cell>
          <cell r="G632" t="str">
            <v>0,00</v>
          </cell>
          <cell r="H632" t="str">
            <v>0,00</v>
          </cell>
          <cell r="I632">
            <v>0</v>
          </cell>
          <cell r="J632">
            <v>0</v>
          </cell>
        </row>
        <row r="633">
          <cell r="A633" t="str">
            <v>1.1.1.3.01.006528</v>
          </cell>
          <cell r="B633" t="str">
            <v>BAKER HUGHES ENERGY TECHNOLOGY DO BRASIL</v>
          </cell>
          <cell r="C633" t="str">
            <v>1.211.100,17</v>
          </cell>
          <cell r="D633" t="str">
            <v>1.207.684,66</v>
          </cell>
          <cell r="E633" t="str">
            <v>0,00</v>
          </cell>
          <cell r="F633" t="str">
            <v>0,00</v>
          </cell>
          <cell r="G633" t="str">
            <v>3.415,51</v>
          </cell>
          <cell r="H633" t="str">
            <v>0,00</v>
          </cell>
          <cell r="I633">
            <v>3415.51</v>
          </cell>
          <cell r="J633">
            <v>-3415.51</v>
          </cell>
        </row>
        <row r="634">
          <cell r="A634" t="str">
            <v>1.1.1.3.01.006530</v>
          </cell>
          <cell r="B634" t="str">
            <v>CML CONSTRUCAO, MINERACAO E LOCACAO LTDA</v>
          </cell>
          <cell r="C634" t="str">
            <v>149.998,72</v>
          </cell>
          <cell r="D634" t="str">
            <v>145.731,28</v>
          </cell>
          <cell r="E634" t="str">
            <v>0,00</v>
          </cell>
          <cell r="F634" t="str">
            <v>2.428,54</v>
          </cell>
          <cell r="G634" t="str">
            <v>1.838,90</v>
          </cell>
          <cell r="H634" t="str">
            <v>0,00</v>
          </cell>
          <cell r="I634">
            <v>1838.9</v>
          </cell>
          <cell r="J634">
            <v>-1838.9</v>
          </cell>
        </row>
        <row r="635">
          <cell r="A635" t="str">
            <v>1.1.1.3.01.006534</v>
          </cell>
          <cell r="B635" t="str">
            <v>RAQUEL MARIA FERNANDES AMORIM</v>
          </cell>
          <cell r="C635" t="str">
            <v>228.875,16</v>
          </cell>
          <cell r="D635" t="str">
            <v>228.875,16</v>
          </cell>
          <cell r="E635" t="str">
            <v>1.533,13</v>
          </cell>
          <cell r="F635" t="str">
            <v>0,00</v>
          </cell>
          <cell r="G635" t="str">
            <v>1.533,13</v>
          </cell>
          <cell r="H635" t="str">
            <v>0,00</v>
          </cell>
          <cell r="I635">
            <v>1533.13</v>
          </cell>
          <cell r="J635">
            <v>-1533.13</v>
          </cell>
        </row>
        <row r="636">
          <cell r="A636" t="str">
            <v>1.1.1.3.01.006537</v>
          </cell>
          <cell r="B636" t="str">
            <v>EDECONSIL CONSTRUCOES E LOCACOES LTDA</v>
          </cell>
          <cell r="C636" t="str">
            <v>1.551.550,29</v>
          </cell>
          <cell r="D636" t="str">
            <v>1.434.907,83</v>
          </cell>
          <cell r="E636" t="str">
            <v>6.484,42</v>
          </cell>
          <cell r="F636" t="str">
            <v>17.165,00</v>
          </cell>
          <cell r="G636" t="str">
            <v>105.961,88</v>
          </cell>
          <cell r="H636" t="str">
            <v>0,00</v>
          </cell>
          <cell r="I636">
            <v>105961.88</v>
          </cell>
          <cell r="J636">
            <v>-105961.88</v>
          </cell>
        </row>
        <row r="637">
          <cell r="A637" t="str">
            <v>1.1.1.3.01.006540</v>
          </cell>
          <cell r="B637" t="str">
            <v>A J DA SILVA COMERCIO E LOC DE MAQUINAS</v>
          </cell>
          <cell r="C637" t="str">
            <v>152.355,18</v>
          </cell>
          <cell r="D637" t="str">
            <v>144.412,95</v>
          </cell>
          <cell r="E637" t="str">
            <v>8.892,61</v>
          </cell>
          <cell r="F637" t="str">
            <v>2.664,89</v>
          </cell>
          <cell r="G637" t="str">
            <v>14.169,95</v>
          </cell>
          <cell r="H637" t="str">
            <v>0,00</v>
          </cell>
          <cell r="I637">
            <v>14169.95</v>
          </cell>
          <cell r="J637">
            <v>-14169.95</v>
          </cell>
        </row>
        <row r="638">
          <cell r="A638" t="str">
            <v>1.1.1.3.01.006546</v>
          </cell>
          <cell r="B638" t="str">
            <v>BOM JESUS AGROPECUARIA LTDA</v>
          </cell>
          <cell r="C638" t="str">
            <v>152.708,76</v>
          </cell>
          <cell r="D638" t="str">
            <v>147.353,93</v>
          </cell>
          <cell r="E638" t="str">
            <v>4.868,29</v>
          </cell>
          <cell r="F638" t="str">
            <v>0,00</v>
          </cell>
          <cell r="G638" t="str">
            <v>10.223,12</v>
          </cell>
          <cell r="H638" t="str">
            <v>0,00</v>
          </cell>
          <cell r="I638">
            <v>10223.120000000001</v>
          </cell>
          <cell r="J638">
            <v>-10223.120000000001</v>
          </cell>
        </row>
        <row r="639">
          <cell r="A639" t="str">
            <v>1.1.1.3.01.006592</v>
          </cell>
          <cell r="B639" t="str">
            <v>DETRONIC DESMONTES E TERRAPLENAGEM SA</v>
          </cell>
          <cell r="C639" t="str">
            <v>830.190,58</v>
          </cell>
          <cell r="D639" t="str">
            <v>830.190,58</v>
          </cell>
          <cell r="E639" t="str">
            <v>2.283,24</v>
          </cell>
          <cell r="F639" t="str">
            <v>0,00</v>
          </cell>
          <cell r="G639" t="str">
            <v>2.283,24</v>
          </cell>
          <cell r="H639" t="str">
            <v>0,00</v>
          </cell>
          <cell r="I639">
            <v>2283.2399999999998</v>
          </cell>
          <cell r="J639">
            <v>-2283.2399999999998</v>
          </cell>
        </row>
        <row r="640">
          <cell r="A640" t="str">
            <v>1.1.1.3.01.006597</v>
          </cell>
          <cell r="B640" t="str">
            <v>MARMORARIA SIAO LTDA</v>
          </cell>
          <cell r="C640" t="str">
            <v>63.162,00</v>
          </cell>
          <cell r="D640" t="str">
            <v>0,00</v>
          </cell>
          <cell r="E640" t="str">
            <v>0,00</v>
          </cell>
          <cell r="F640" t="str">
            <v>0,00</v>
          </cell>
          <cell r="G640" t="str">
            <v>63.162,00</v>
          </cell>
          <cell r="H640" t="str">
            <v>0,00</v>
          </cell>
          <cell r="I640">
            <v>63162</v>
          </cell>
          <cell r="J640">
            <v>-63162</v>
          </cell>
        </row>
        <row r="641">
          <cell r="A641" t="str">
            <v>1.1.1.3.01.006598</v>
          </cell>
          <cell r="B641" t="str">
            <v>LOC MAQUINAS LOCACOES LTDA</v>
          </cell>
          <cell r="C641" t="str">
            <v>1.098.371,14</v>
          </cell>
          <cell r="D641" t="str">
            <v>955.971,14</v>
          </cell>
          <cell r="E641" t="str">
            <v>0,00</v>
          </cell>
          <cell r="F641" t="str">
            <v>35.600,00</v>
          </cell>
          <cell r="G641" t="str">
            <v>106.800,00</v>
          </cell>
          <cell r="H641" t="str">
            <v>0,00</v>
          </cell>
          <cell r="I641">
            <v>106800</v>
          </cell>
          <cell r="J641">
            <v>-106800</v>
          </cell>
        </row>
        <row r="642">
          <cell r="A642" t="str">
            <v>1.1.1.3.01.006601</v>
          </cell>
          <cell r="B642" t="str">
            <v>MARMORARIA ACQUA VERDE LTDA</v>
          </cell>
          <cell r="C642" t="str">
            <v>25.000,00</v>
          </cell>
          <cell r="D642" t="str">
            <v>22.500,00</v>
          </cell>
          <cell r="E642" t="str">
            <v>0,00</v>
          </cell>
          <cell r="F642" t="str">
            <v>0,00</v>
          </cell>
          <cell r="G642" t="str">
            <v>2.500,00</v>
          </cell>
          <cell r="H642" t="str">
            <v>0,00</v>
          </cell>
          <cell r="I642">
            <v>2500</v>
          </cell>
          <cell r="J642">
            <v>-2500</v>
          </cell>
        </row>
        <row r="643">
          <cell r="A643" t="str">
            <v>1.1.1.3.01.006603</v>
          </cell>
          <cell r="B643" t="str">
            <v>ELFUSA GERAL DE ELETROFUSAO LTDA</v>
          </cell>
          <cell r="C643" t="str">
            <v>284.336,40</v>
          </cell>
          <cell r="D643" t="str">
            <v>272.342,86</v>
          </cell>
          <cell r="E643" t="str">
            <v>7.995,20</v>
          </cell>
          <cell r="F643" t="str">
            <v>11.993,54</v>
          </cell>
          <cell r="G643" t="str">
            <v>7.995,20</v>
          </cell>
          <cell r="H643" t="str">
            <v>0,00</v>
          </cell>
          <cell r="I643">
            <v>7995.2</v>
          </cell>
          <cell r="J643">
            <v>-7995.2</v>
          </cell>
        </row>
        <row r="644">
          <cell r="A644" t="str">
            <v>1.1.1.3.01.006605</v>
          </cell>
          <cell r="B644" t="str">
            <v>ABILIO PEDRO INDUSTRIA E COMERCIO LTDA</v>
          </cell>
          <cell r="C644" t="str">
            <v>486.839,92</v>
          </cell>
          <cell r="D644" t="str">
            <v>484.387,42</v>
          </cell>
          <cell r="E644" t="str">
            <v>0,00</v>
          </cell>
          <cell r="F644" t="str">
            <v>2.452,50</v>
          </cell>
          <cell r="G644" t="str">
            <v>0,00</v>
          </cell>
          <cell r="H644" t="str">
            <v>0,00</v>
          </cell>
          <cell r="I644">
            <v>0</v>
          </cell>
          <cell r="J644">
            <v>0</v>
          </cell>
        </row>
        <row r="645">
          <cell r="A645" t="str">
            <v>1.1.1.3.01.006615</v>
          </cell>
          <cell r="B645" t="str">
            <v>D PAULA SERVICOS LTDA</v>
          </cell>
          <cell r="C645" t="str">
            <v>1.000.000,00</v>
          </cell>
          <cell r="D645" t="str">
            <v>980.000,00</v>
          </cell>
          <cell r="E645" t="str">
            <v>0,00</v>
          </cell>
          <cell r="F645" t="str">
            <v>0,00</v>
          </cell>
          <cell r="G645" t="str">
            <v>20.000,00</v>
          </cell>
          <cell r="H645" t="str">
            <v>0,00</v>
          </cell>
          <cell r="I645">
            <v>20000</v>
          </cell>
          <cell r="J645">
            <v>-20000</v>
          </cell>
        </row>
        <row r="646">
          <cell r="A646" t="str">
            <v>1.1.1.3.01.006617</v>
          </cell>
          <cell r="B646" t="str">
            <v>RG AMBIENTAL LTDA</v>
          </cell>
          <cell r="C646" t="str">
            <v>306.732,79</v>
          </cell>
          <cell r="D646" t="str">
            <v>220.159,36</v>
          </cell>
          <cell r="E646" t="str">
            <v>0,00</v>
          </cell>
          <cell r="F646" t="str">
            <v>0,00</v>
          </cell>
          <cell r="G646" t="str">
            <v>86.573,43</v>
          </cell>
          <cell r="H646" t="str">
            <v>0,00</v>
          </cell>
          <cell r="I646">
            <v>86573.43</v>
          </cell>
          <cell r="J646">
            <v>-86573.43</v>
          </cell>
        </row>
        <row r="647">
          <cell r="A647" t="str">
            <v>1.1.1.3.01.006620</v>
          </cell>
          <cell r="B647" t="str">
            <v>EURO STONES GRANITOS E MARMORES LTDA</v>
          </cell>
          <cell r="C647" t="str">
            <v>390.877,70</v>
          </cell>
          <cell r="D647" t="str">
            <v>378.877,70</v>
          </cell>
          <cell r="E647" t="str">
            <v>0,00</v>
          </cell>
          <cell r="F647" t="str">
            <v>0,00</v>
          </cell>
          <cell r="G647" t="str">
            <v>12.000,00</v>
          </cell>
          <cell r="H647" t="str">
            <v>0,00</v>
          </cell>
          <cell r="I647">
            <v>12000</v>
          </cell>
          <cell r="J647">
            <v>-12000</v>
          </cell>
        </row>
        <row r="648">
          <cell r="A648" t="str">
            <v>1.1.1.3.01.006627</v>
          </cell>
          <cell r="B648" t="str">
            <v>PEDREIRA NERI LTDA</v>
          </cell>
          <cell r="C648" t="str">
            <v>500.000,00</v>
          </cell>
          <cell r="D648" t="str">
            <v>470.000,00</v>
          </cell>
          <cell r="E648" t="str">
            <v>0,00</v>
          </cell>
          <cell r="F648" t="str">
            <v>15.000,00</v>
          </cell>
          <cell r="G648" t="str">
            <v>15.000,00</v>
          </cell>
          <cell r="H648" t="str">
            <v>0,00</v>
          </cell>
          <cell r="I648">
            <v>15000</v>
          </cell>
          <cell r="J648">
            <v>-15000</v>
          </cell>
        </row>
        <row r="649">
          <cell r="A649" t="str">
            <v>1.1.1.3.01.006632</v>
          </cell>
          <cell r="B649" t="str">
            <v>FAZENDINHAS TERRA DE MINAS RIO CLARO</v>
          </cell>
          <cell r="C649" t="str">
            <v>312.000,00</v>
          </cell>
          <cell r="D649" t="str">
            <v>311.861,33</v>
          </cell>
          <cell r="E649" t="str">
            <v>0,00</v>
          </cell>
          <cell r="F649" t="str">
            <v>0,00</v>
          </cell>
          <cell r="G649" t="str">
            <v>138,67</v>
          </cell>
          <cell r="H649" t="str">
            <v>0,00</v>
          </cell>
          <cell r="I649">
            <v>138.66999999999999</v>
          </cell>
          <cell r="J649">
            <v>-138.66999999999999</v>
          </cell>
        </row>
        <row r="650">
          <cell r="A650" t="str">
            <v>1.1.1.3.01.006633</v>
          </cell>
          <cell r="B650" t="str">
            <v>STEIG ENGENHARIA LTDA</v>
          </cell>
          <cell r="C650" t="str">
            <v>145.999,99</v>
          </cell>
          <cell r="D650" t="str">
            <v>134.499,99</v>
          </cell>
          <cell r="E650" t="str">
            <v>3.250,00</v>
          </cell>
          <cell r="F650" t="str">
            <v>5.500,00</v>
          </cell>
          <cell r="G650" t="str">
            <v>9.250,00</v>
          </cell>
          <cell r="H650" t="str">
            <v>0,00</v>
          </cell>
          <cell r="I650">
            <v>9250</v>
          </cell>
          <cell r="J650">
            <v>-9250</v>
          </cell>
        </row>
        <row r="651">
          <cell r="A651" t="str">
            <v>1.1.1.3.01.006648</v>
          </cell>
          <cell r="B651" t="str">
            <v>LOBOSQUE &amp; TERRAPLENAGEM E LOC LTDA</v>
          </cell>
          <cell r="C651" t="str">
            <v>0,00</v>
          </cell>
          <cell r="D651" t="str">
            <v>6.000,00</v>
          </cell>
          <cell r="E651" t="str">
            <v>0,00</v>
          </cell>
          <cell r="F651" t="str">
            <v>0,00</v>
          </cell>
          <cell r="G651" t="str">
            <v>0,00</v>
          </cell>
          <cell r="H651" t="str">
            <v>6.000,00</v>
          </cell>
          <cell r="I651">
            <v>-6000</v>
          </cell>
          <cell r="J651">
            <v>12000</v>
          </cell>
        </row>
        <row r="652">
          <cell r="A652" t="str">
            <v>1.1.1.3.01.006649</v>
          </cell>
          <cell r="B652" t="str">
            <v>WF TRANSPORTES LTDA</v>
          </cell>
          <cell r="C652" t="str">
            <v>188.082,68</v>
          </cell>
          <cell r="D652" t="str">
            <v>186.702,68</v>
          </cell>
          <cell r="E652" t="str">
            <v>0,00</v>
          </cell>
          <cell r="F652" t="str">
            <v>1.380,00</v>
          </cell>
          <cell r="G652" t="str">
            <v>0,00</v>
          </cell>
          <cell r="H652" t="str">
            <v>0,00</v>
          </cell>
          <cell r="I652">
            <v>0</v>
          </cell>
          <cell r="J652">
            <v>0</v>
          </cell>
        </row>
        <row r="653">
          <cell r="A653" t="str">
            <v>1.1.1.3.01.006651</v>
          </cell>
          <cell r="B653" t="str">
            <v>MALFINI ENGENHARIA E LOCACAO DE MAQ SA</v>
          </cell>
          <cell r="C653" t="str">
            <v>0,00</v>
          </cell>
          <cell r="D653" t="str">
            <v>37.000,00</v>
          </cell>
          <cell r="E653" t="str">
            <v>0,00</v>
          </cell>
          <cell r="F653" t="str">
            <v>0,00</v>
          </cell>
          <cell r="G653" t="str">
            <v>0,00</v>
          </cell>
          <cell r="H653" t="str">
            <v>37.000,00</v>
          </cell>
          <cell r="I653">
            <v>-37000</v>
          </cell>
          <cell r="J653">
            <v>74000</v>
          </cell>
        </row>
        <row r="654">
          <cell r="A654" t="str">
            <v>1.1.1.3.01.006652</v>
          </cell>
          <cell r="B654" t="str">
            <v>FGR INCORPORACOES JARDINS TURIM LTDA</v>
          </cell>
          <cell r="C654" t="str">
            <v>164.043,52</v>
          </cell>
          <cell r="D654" t="str">
            <v>161.432,11</v>
          </cell>
          <cell r="E654" t="str">
            <v>21.316,05</v>
          </cell>
          <cell r="F654" t="str">
            <v>2.611,41</v>
          </cell>
          <cell r="G654" t="str">
            <v>21.316,05</v>
          </cell>
          <cell r="H654" t="str">
            <v>0,00</v>
          </cell>
          <cell r="I654">
            <v>21316.05</v>
          </cell>
          <cell r="J654">
            <v>-21316.05</v>
          </cell>
        </row>
        <row r="655">
          <cell r="A655" t="str">
            <v>1.1.1.3.01.006654</v>
          </cell>
          <cell r="B655" t="str">
            <v>DOM BETO GRANITOS E MARMORES LTDA</v>
          </cell>
          <cell r="C655" t="str">
            <v>2.307.000,00</v>
          </cell>
          <cell r="D655" t="str">
            <v>1.014.514,81</v>
          </cell>
          <cell r="E655" t="str">
            <v>0,00</v>
          </cell>
          <cell r="F655" t="str">
            <v>38.020,83</v>
          </cell>
          <cell r="G655" t="str">
            <v>1.254.464,36</v>
          </cell>
          <cell r="H655" t="str">
            <v>0,00</v>
          </cell>
          <cell r="I655">
            <v>1254464.3600000001</v>
          </cell>
          <cell r="J655">
            <v>-1254464.3600000001</v>
          </cell>
        </row>
        <row r="656">
          <cell r="A656" t="str">
            <v>1.1.1.3.01.006663</v>
          </cell>
          <cell r="B656" t="str">
            <v>SUHA EXTRACAO MIN &amp; COM DE MINERIOS LTDA</v>
          </cell>
          <cell r="C656" t="str">
            <v>26.613,53</v>
          </cell>
          <cell r="D656" t="str">
            <v>19.528,53</v>
          </cell>
          <cell r="E656" t="str">
            <v>0,00</v>
          </cell>
          <cell r="F656" t="str">
            <v>0,00</v>
          </cell>
          <cell r="G656" t="str">
            <v>7.085,00</v>
          </cell>
          <cell r="H656" t="str">
            <v>0,00</v>
          </cell>
          <cell r="I656">
            <v>7085</v>
          </cell>
          <cell r="J656">
            <v>-7085</v>
          </cell>
        </row>
        <row r="657">
          <cell r="A657" t="str">
            <v>1.1.1.3.01.006664</v>
          </cell>
          <cell r="B657" t="str">
            <v>CONFIANCA E TRANSMELLO LTDA</v>
          </cell>
          <cell r="C657" t="str">
            <v>109.500,00</v>
          </cell>
          <cell r="D657" t="str">
            <v>112.500,00</v>
          </cell>
          <cell r="E657" t="str">
            <v>0,00</v>
          </cell>
          <cell r="F657" t="str">
            <v>17.000,00</v>
          </cell>
          <cell r="G657" t="str">
            <v>0,00</v>
          </cell>
          <cell r="H657" t="str">
            <v>20.000,00</v>
          </cell>
          <cell r="I657">
            <v>-20000</v>
          </cell>
          <cell r="J657">
            <v>40000</v>
          </cell>
        </row>
        <row r="658">
          <cell r="A658" t="str">
            <v>1.1.1.3.01.006667</v>
          </cell>
          <cell r="B658" t="str">
            <v>PEDREIRA AMORIM LTDA</v>
          </cell>
          <cell r="C658" t="str">
            <v>25.000,00</v>
          </cell>
          <cell r="D658" t="str">
            <v>15.000,00</v>
          </cell>
          <cell r="E658" t="str">
            <v>0,00</v>
          </cell>
          <cell r="F658" t="str">
            <v>0,00</v>
          </cell>
          <cell r="G658" t="str">
            <v>10.000,00</v>
          </cell>
          <cell r="H658" t="str">
            <v>0,00</v>
          </cell>
          <cell r="I658">
            <v>10000</v>
          </cell>
          <cell r="J658">
            <v>-10000</v>
          </cell>
        </row>
        <row r="659">
          <cell r="A659" t="str">
            <v>1.1.1.3.01.006670</v>
          </cell>
          <cell r="B659" t="str">
            <v>FORMIGAO LOCACOES E SERVICOS LTDA</v>
          </cell>
          <cell r="C659" t="str">
            <v>29.508,78</v>
          </cell>
          <cell r="D659" t="str">
            <v>27.208,78</v>
          </cell>
          <cell r="E659" t="str">
            <v>0,00</v>
          </cell>
          <cell r="F659" t="str">
            <v>2.300,00</v>
          </cell>
          <cell r="G659" t="str">
            <v>0,00</v>
          </cell>
          <cell r="H659" t="str">
            <v>0,00</v>
          </cell>
          <cell r="I659">
            <v>0</v>
          </cell>
          <cell r="J659">
            <v>0</v>
          </cell>
        </row>
        <row r="660">
          <cell r="A660" t="str">
            <v>1.1.1.3.01.006678</v>
          </cell>
          <cell r="B660" t="str">
            <v>SK INFRAESTRUTURA LTDA</v>
          </cell>
          <cell r="C660" t="str">
            <v>751.105,27</v>
          </cell>
          <cell r="D660" t="str">
            <v>691.105,27</v>
          </cell>
          <cell r="E660" t="str">
            <v>0,00</v>
          </cell>
          <cell r="F660" t="str">
            <v>0,00</v>
          </cell>
          <cell r="G660" t="str">
            <v>60.000,00</v>
          </cell>
          <cell r="H660" t="str">
            <v>0,00</v>
          </cell>
          <cell r="I660">
            <v>60000</v>
          </cell>
          <cell r="J660">
            <v>-60000</v>
          </cell>
        </row>
        <row r="661">
          <cell r="A661" t="str">
            <v>1.1.1.3.01.006682</v>
          </cell>
          <cell r="B661" t="str">
            <v>NOVA ROCHA COMERCIO DE CONCRETO LTDA</v>
          </cell>
          <cell r="C661" t="str">
            <v>0,00</v>
          </cell>
          <cell r="D661" t="str">
            <v>33.000,00</v>
          </cell>
          <cell r="E661" t="str">
            <v>0,00</v>
          </cell>
          <cell r="F661" t="str">
            <v>0,00</v>
          </cell>
          <cell r="G661" t="str">
            <v>0,00</v>
          </cell>
          <cell r="H661" t="str">
            <v>33.000,00</v>
          </cell>
          <cell r="I661">
            <v>-33000</v>
          </cell>
          <cell r="J661">
            <v>66000</v>
          </cell>
        </row>
        <row r="662">
          <cell r="A662" t="str">
            <v>1.1.1.3.01.006684</v>
          </cell>
          <cell r="B662" t="str">
            <v>DAGOBERTO BARCELLOS S/A</v>
          </cell>
          <cell r="C662" t="str">
            <v>221.392,09</v>
          </cell>
          <cell r="D662" t="str">
            <v>220.787,84</v>
          </cell>
          <cell r="E662" t="str">
            <v>0,00</v>
          </cell>
          <cell r="F662" t="str">
            <v>0,00</v>
          </cell>
          <cell r="G662" t="str">
            <v>604,25</v>
          </cell>
          <cell r="H662" t="str">
            <v>0,00</v>
          </cell>
          <cell r="I662">
            <v>604.25</v>
          </cell>
          <cell r="J662">
            <v>-604.25</v>
          </cell>
        </row>
        <row r="663">
          <cell r="A663" t="str">
            <v>1.1.1.3.01.006695</v>
          </cell>
          <cell r="B663" t="str">
            <v>LIMETAL - INDUSTRIA DE ETIQUETAS METALIC</v>
          </cell>
          <cell r="C663" t="str">
            <v>42,00</v>
          </cell>
          <cell r="D663" t="str">
            <v>0,00</v>
          </cell>
          <cell r="E663" t="str">
            <v>0,00</v>
          </cell>
          <cell r="F663" t="str">
            <v>0,00</v>
          </cell>
          <cell r="G663" t="str">
            <v>42,00</v>
          </cell>
          <cell r="H663" t="str">
            <v>0,00</v>
          </cell>
          <cell r="I663">
            <v>42</v>
          </cell>
          <cell r="J663">
            <v>-42</v>
          </cell>
        </row>
        <row r="664">
          <cell r="A664" t="str">
            <v>1.1.1.3.01.006705</v>
          </cell>
          <cell r="B664" t="str">
            <v>R&amp;D MINERACAO E CONSTRUCAO LTDA</v>
          </cell>
          <cell r="C664" t="str">
            <v>2.806.632,09</v>
          </cell>
          <cell r="D664" t="str">
            <v>2.739.569,40</v>
          </cell>
          <cell r="E664" t="str">
            <v>88.328,62</v>
          </cell>
          <cell r="F664" t="str">
            <v>67.062,69</v>
          </cell>
          <cell r="G664" t="str">
            <v>88.328,62</v>
          </cell>
          <cell r="H664" t="str">
            <v>0,00</v>
          </cell>
          <cell r="I664">
            <v>88328.62</v>
          </cell>
          <cell r="J664">
            <v>-88328.62</v>
          </cell>
        </row>
        <row r="665">
          <cell r="A665" t="str">
            <v>1.1.1.3.01.006717</v>
          </cell>
          <cell r="B665" t="str">
            <v>TONIOLO,BUSNELO S/A -TUNEIS,TERRAPLANAGE</v>
          </cell>
          <cell r="C665" t="str">
            <v>137.679,03</v>
          </cell>
          <cell r="D665" t="str">
            <v>124.951,42</v>
          </cell>
          <cell r="E665" t="str">
            <v>0,00</v>
          </cell>
          <cell r="F665" t="str">
            <v>0,00</v>
          </cell>
          <cell r="G665" t="str">
            <v>12.727,61</v>
          </cell>
          <cell r="H665" t="str">
            <v>0,00</v>
          </cell>
          <cell r="I665">
            <v>12727.61</v>
          </cell>
          <cell r="J665">
            <v>-12727.61</v>
          </cell>
        </row>
        <row r="666">
          <cell r="A666" t="str">
            <v>1.1.1.3.01.006722</v>
          </cell>
          <cell r="B666" t="str">
            <v>PARAFUSOS RUDGE RAMOS LTDA.</v>
          </cell>
          <cell r="C666" t="str">
            <v>114.594,17</v>
          </cell>
          <cell r="D666" t="str">
            <v>101.948,93</v>
          </cell>
          <cell r="E666" t="str">
            <v>0,00</v>
          </cell>
          <cell r="F666" t="str">
            <v>8.430,16</v>
          </cell>
          <cell r="G666" t="str">
            <v>4.215,08</v>
          </cell>
          <cell r="H666" t="str">
            <v>0,00</v>
          </cell>
          <cell r="I666">
            <v>4215.08</v>
          </cell>
          <cell r="J666">
            <v>-4215.08</v>
          </cell>
        </row>
        <row r="667">
          <cell r="A667" t="str">
            <v>1.1.1.3.01.006724</v>
          </cell>
          <cell r="B667" t="str">
            <v>MINERACAO ROCHA FORTE LTDA</v>
          </cell>
          <cell r="C667" t="str">
            <v>6.068,93</v>
          </cell>
          <cell r="D667" t="str">
            <v>3.034,47</v>
          </cell>
          <cell r="E667" t="str">
            <v>0,00</v>
          </cell>
          <cell r="F667" t="str">
            <v>3.034,46</v>
          </cell>
          <cell r="G667" t="str">
            <v>0,00</v>
          </cell>
          <cell r="H667" t="str">
            <v>0,00</v>
          </cell>
          <cell r="I667">
            <v>0</v>
          </cell>
          <cell r="J667">
            <v>0</v>
          </cell>
        </row>
        <row r="668">
          <cell r="A668" t="str">
            <v>1.1.1.3.01.006728</v>
          </cell>
          <cell r="B668" t="str">
            <v>M2M COMERCIO DE MARMORES E GRANITOS LTDA</v>
          </cell>
          <cell r="C668" t="str">
            <v>17.861,45</v>
          </cell>
          <cell r="D668" t="str">
            <v>12.066,72</v>
          </cell>
          <cell r="E668" t="str">
            <v>3.016,88</v>
          </cell>
          <cell r="F668" t="str">
            <v>5.708,07</v>
          </cell>
          <cell r="G668" t="str">
            <v>3.103,54</v>
          </cell>
          <cell r="H668" t="str">
            <v>0,00</v>
          </cell>
          <cell r="I668">
            <v>3103.54</v>
          </cell>
          <cell r="J668">
            <v>-3103.54</v>
          </cell>
        </row>
        <row r="669">
          <cell r="A669" t="str">
            <v>1.1.1.3.01.006732</v>
          </cell>
          <cell r="B669" t="str">
            <v>PRIME STONE MINERACAO LTDA</v>
          </cell>
          <cell r="C669" t="str">
            <v>8.372,45</v>
          </cell>
          <cell r="D669" t="str">
            <v>8.665,92</v>
          </cell>
          <cell r="E669" t="str">
            <v>0,00</v>
          </cell>
          <cell r="F669" t="str">
            <v>0,00</v>
          </cell>
          <cell r="G669" t="str">
            <v>0,00</v>
          </cell>
          <cell r="H669" t="str">
            <v>293,47</v>
          </cell>
          <cell r="I669">
            <v>-293.47000000000003</v>
          </cell>
          <cell r="J669">
            <v>586.94000000000005</v>
          </cell>
        </row>
        <row r="670">
          <cell r="A670" t="str">
            <v>1.1.1.3.01.006755</v>
          </cell>
          <cell r="B670" t="str">
            <v>MALFINI ENGENHARIA E LOCACAO DE MAQ SA</v>
          </cell>
          <cell r="C670" t="str">
            <v>100.800,00</v>
          </cell>
          <cell r="D670" t="str">
            <v>63.800,00</v>
          </cell>
          <cell r="E670" t="str">
            <v>0,00</v>
          </cell>
          <cell r="F670" t="str">
            <v>0,00</v>
          </cell>
          <cell r="G670" t="str">
            <v>37.000,00</v>
          </cell>
          <cell r="H670" t="str">
            <v>0,00</v>
          </cell>
          <cell r="I670">
            <v>37000</v>
          </cell>
          <cell r="J670">
            <v>-37000</v>
          </cell>
        </row>
        <row r="671">
          <cell r="A671" t="str">
            <v>1.1.1.3.01.006765</v>
          </cell>
          <cell r="B671" t="str">
            <v>SCAVASSANI COMERCIO DE SUCATAS METALICAS</v>
          </cell>
          <cell r="C671" t="str">
            <v>40.408,38</v>
          </cell>
          <cell r="D671" t="str">
            <v>40.408,38</v>
          </cell>
          <cell r="E671" t="str">
            <v>1.704,00</v>
          </cell>
          <cell r="F671" t="str">
            <v>1.704,00</v>
          </cell>
          <cell r="G671" t="str">
            <v>0,00</v>
          </cell>
          <cell r="H671" t="str">
            <v>0,00</v>
          </cell>
          <cell r="I671">
            <v>0</v>
          </cell>
          <cell r="J671">
            <v>0</v>
          </cell>
        </row>
        <row r="672">
          <cell r="A672" t="str">
            <v>1.1.1.3.01.006775</v>
          </cell>
          <cell r="B672" t="str">
            <v>V QUATTRO ENGENHARIA LTDA</v>
          </cell>
          <cell r="C672" t="str">
            <v>396.009,40</v>
          </cell>
          <cell r="D672" t="str">
            <v>362.556,40</v>
          </cell>
          <cell r="E672" t="str">
            <v>4.072,90</v>
          </cell>
          <cell r="F672" t="str">
            <v>4,59</v>
          </cell>
          <cell r="G672" t="str">
            <v>37.521,31</v>
          </cell>
          <cell r="H672" t="str">
            <v>0,00</v>
          </cell>
          <cell r="I672">
            <v>37521.31</v>
          </cell>
          <cell r="J672">
            <v>-37521.31</v>
          </cell>
        </row>
        <row r="673">
          <cell r="A673" t="str">
            <v>1.1.1.3.01.006778</v>
          </cell>
          <cell r="B673" t="str">
            <v>BECAMAR MARMORES E GRANITOS</v>
          </cell>
          <cell r="C673" t="str">
            <v>1.421.406,50</v>
          </cell>
          <cell r="D673" t="str">
            <v>671.406,50</v>
          </cell>
          <cell r="E673" t="str">
            <v>1.900.000,00</v>
          </cell>
          <cell r="F673" t="str">
            <v>50.000,00</v>
          </cell>
          <cell r="G673" t="str">
            <v>2.600.000,00</v>
          </cell>
          <cell r="H673" t="str">
            <v>0,00</v>
          </cell>
          <cell r="I673">
            <v>2600000</v>
          </cell>
          <cell r="J673">
            <v>-2600000</v>
          </cell>
        </row>
        <row r="674">
          <cell r="A674" t="str">
            <v>1.1.1.3.01.006780</v>
          </cell>
          <cell r="B674" t="str">
            <v>LIDER DEMOLIDORA LTDA</v>
          </cell>
          <cell r="C674" t="str">
            <v>301.000,00</v>
          </cell>
          <cell r="D674" t="str">
            <v>224.000,00</v>
          </cell>
          <cell r="E674" t="str">
            <v>0,00</v>
          </cell>
          <cell r="F674" t="str">
            <v>15.000,00</v>
          </cell>
          <cell r="G674" t="str">
            <v>62.000,00</v>
          </cell>
          <cell r="H674" t="str">
            <v>0,00</v>
          </cell>
          <cell r="I674">
            <v>62000</v>
          </cell>
          <cell r="J674">
            <v>-62000</v>
          </cell>
        </row>
        <row r="675">
          <cell r="A675" t="str">
            <v>1.1.1.3.01.006782</v>
          </cell>
          <cell r="B675" t="str">
            <v>ORIGEM MARMORES E GRANITOS LTDA</v>
          </cell>
          <cell r="C675" t="str">
            <v>1.600.000,00</v>
          </cell>
          <cell r="D675" t="str">
            <v>235.000,00</v>
          </cell>
          <cell r="E675" t="str">
            <v>0,00</v>
          </cell>
          <cell r="F675" t="str">
            <v>35.000,00</v>
          </cell>
          <cell r="G675" t="str">
            <v>1.330.000,00</v>
          </cell>
          <cell r="H675" t="str">
            <v>0,00</v>
          </cell>
          <cell r="I675">
            <v>1330000</v>
          </cell>
          <cell r="J675">
            <v>-1330000</v>
          </cell>
        </row>
        <row r="676">
          <cell r="A676" t="str">
            <v>1.1.1.3.01.006788</v>
          </cell>
          <cell r="B676" t="str">
            <v>BRUNO COSTA SOUSA LTDA</v>
          </cell>
          <cell r="C676" t="str">
            <v>267.618,24</v>
          </cell>
          <cell r="D676" t="str">
            <v>203.772,02</v>
          </cell>
          <cell r="E676" t="str">
            <v>0,00</v>
          </cell>
          <cell r="F676" t="str">
            <v>9.123,11</v>
          </cell>
          <cell r="G676" t="str">
            <v>54.723,11</v>
          </cell>
          <cell r="H676" t="str">
            <v>0,00</v>
          </cell>
          <cell r="I676">
            <v>54723.11</v>
          </cell>
          <cell r="J676">
            <v>-54723.11</v>
          </cell>
        </row>
        <row r="677">
          <cell r="A677" t="str">
            <v>1.1.1.3.01.006790</v>
          </cell>
          <cell r="B677" t="str">
            <v>SPLENDOUR MINERACAO E TRANSPORTE LTDA</v>
          </cell>
          <cell r="C677" t="str">
            <v>143.101,89</v>
          </cell>
          <cell r="D677" t="str">
            <v>141.919,80</v>
          </cell>
          <cell r="E677" t="str">
            <v>0,00</v>
          </cell>
          <cell r="F677" t="str">
            <v>1.182,09</v>
          </cell>
          <cell r="G677" t="str">
            <v>0,00</v>
          </cell>
          <cell r="H677" t="str">
            <v>0,00</v>
          </cell>
          <cell r="I677">
            <v>0</v>
          </cell>
          <cell r="J677">
            <v>0</v>
          </cell>
        </row>
        <row r="678">
          <cell r="A678" t="str">
            <v>1.1.1.3.01.006792</v>
          </cell>
          <cell r="B678" t="str">
            <v>EMERICK MINERACAO LTDA</v>
          </cell>
          <cell r="C678" t="str">
            <v>211.505,64</v>
          </cell>
          <cell r="D678" t="str">
            <v>66.840,00</v>
          </cell>
          <cell r="E678" t="str">
            <v>0,00</v>
          </cell>
          <cell r="F678" t="str">
            <v>0,00</v>
          </cell>
          <cell r="G678" t="str">
            <v>144.665,64</v>
          </cell>
          <cell r="H678" t="str">
            <v>0,00</v>
          </cell>
          <cell r="I678">
            <v>144665.64000000001</v>
          </cell>
          <cell r="J678">
            <v>-144665.64000000001</v>
          </cell>
        </row>
        <row r="679">
          <cell r="A679" t="str">
            <v>1.1.1.3.01.006822</v>
          </cell>
          <cell r="B679" t="str">
            <v>TOPCAR USINA E SERVICOS LTDA</v>
          </cell>
          <cell r="C679" t="str">
            <v>131.127,67</v>
          </cell>
          <cell r="D679" t="str">
            <v>63.127,67</v>
          </cell>
          <cell r="E679" t="str">
            <v>0,00</v>
          </cell>
          <cell r="F679" t="str">
            <v>17.857,14</v>
          </cell>
          <cell r="G679" t="str">
            <v>50.142,86</v>
          </cell>
          <cell r="H679" t="str">
            <v>0,00</v>
          </cell>
          <cell r="I679">
            <v>50142.86</v>
          </cell>
          <cell r="J679">
            <v>-50142.86</v>
          </cell>
        </row>
        <row r="680">
          <cell r="A680" t="str">
            <v>1.1.1.3.01.006827</v>
          </cell>
          <cell r="B680" t="str">
            <v>CARLOS ALBERTO MIGLIORINI E OUTROS</v>
          </cell>
          <cell r="C680" t="str">
            <v>967.237,04</v>
          </cell>
          <cell r="D680" t="str">
            <v>960.137,44</v>
          </cell>
          <cell r="E680" t="str">
            <v>0,00</v>
          </cell>
          <cell r="F680" t="str">
            <v>3.374,80</v>
          </cell>
          <cell r="G680" t="str">
            <v>3.724,80</v>
          </cell>
          <cell r="H680" t="str">
            <v>0,00</v>
          </cell>
          <cell r="I680">
            <v>3724.8</v>
          </cell>
          <cell r="J680">
            <v>-3724.8</v>
          </cell>
        </row>
        <row r="681">
          <cell r="A681" t="str">
            <v>1.1.1.3.01.006828</v>
          </cell>
          <cell r="B681" t="str">
            <v>ENS DEMOLICAO E CONSTRUCAO LTDA</v>
          </cell>
          <cell r="C681" t="str">
            <v>417.714,01</v>
          </cell>
          <cell r="D681" t="str">
            <v>414.323,18</v>
          </cell>
          <cell r="E681" t="str">
            <v>13.998,05</v>
          </cell>
          <cell r="F681" t="str">
            <v>3.390,83</v>
          </cell>
          <cell r="G681" t="str">
            <v>13.998,05</v>
          </cell>
          <cell r="H681" t="str">
            <v>0,00</v>
          </cell>
          <cell r="I681">
            <v>13998.05</v>
          </cell>
          <cell r="J681">
            <v>-13998.05</v>
          </cell>
        </row>
        <row r="682">
          <cell r="A682" t="str">
            <v>1.1.1.3.01.006829</v>
          </cell>
          <cell r="B682" t="str">
            <v>SIMAK LOCACAO SERVICOS S.A.</v>
          </cell>
          <cell r="C682" t="str">
            <v>820.407,85</v>
          </cell>
          <cell r="D682" t="str">
            <v>770.397,85</v>
          </cell>
          <cell r="E682" t="str">
            <v>0,00</v>
          </cell>
          <cell r="F682" t="str">
            <v>0,00</v>
          </cell>
          <cell r="G682" t="str">
            <v>50.010,00</v>
          </cell>
          <cell r="H682" t="str">
            <v>0,00</v>
          </cell>
          <cell r="I682">
            <v>50010</v>
          </cell>
          <cell r="J682">
            <v>-50010</v>
          </cell>
        </row>
        <row r="683">
          <cell r="A683" t="str">
            <v>1.1.1.3.01.006830</v>
          </cell>
          <cell r="B683" t="str">
            <v>TRANSCUPIM ENGENHARIA E TERRAPLANAGEM LT</v>
          </cell>
          <cell r="C683" t="str">
            <v>33.561,40</v>
          </cell>
          <cell r="D683" t="str">
            <v>31.780,70</v>
          </cell>
          <cell r="E683" t="str">
            <v>2.240,76</v>
          </cell>
          <cell r="F683" t="str">
            <v>1.780,70</v>
          </cell>
          <cell r="G683" t="str">
            <v>2.240,76</v>
          </cell>
          <cell r="H683" t="str">
            <v>0,00</v>
          </cell>
          <cell r="I683">
            <v>2240.7600000000002</v>
          </cell>
          <cell r="J683">
            <v>-2240.7600000000002</v>
          </cell>
        </row>
        <row r="684">
          <cell r="A684" t="str">
            <v>1.1.1.3.01.006835</v>
          </cell>
          <cell r="B684" t="str">
            <v>QUARTZBLUE MINERACAO LTDA</v>
          </cell>
          <cell r="C684" t="str">
            <v>424.475,22</v>
          </cell>
          <cell r="D684" t="str">
            <v>360.675,22</v>
          </cell>
          <cell r="E684" t="str">
            <v>574,40</v>
          </cell>
          <cell r="F684" t="str">
            <v>7.000,00</v>
          </cell>
          <cell r="G684" t="str">
            <v>57.374,40</v>
          </cell>
          <cell r="H684" t="str">
            <v>0,00</v>
          </cell>
          <cell r="I684">
            <v>57374.400000000001</v>
          </cell>
          <cell r="J684">
            <v>-57374.400000000001</v>
          </cell>
        </row>
        <row r="685">
          <cell r="A685" t="str">
            <v>1.1.1.3.01.006836</v>
          </cell>
          <cell r="B685" t="str">
            <v>D. I. AUTO PECAS E ACESSORIOS LTDA</v>
          </cell>
          <cell r="C685" t="str">
            <v>0,00</v>
          </cell>
          <cell r="D685" t="str">
            <v>197,48</v>
          </cell>
          <cell r="E685" t="str">
            <v>0,00</v>
          </cell>
          <cell r="F685" t="str">
            <v>0,00</v>
          </cell>
          <cell r="G685" t="str">
            <v>0,00</v>
          </cell>
          <cell r="H685" t="str">
            <v>197,48</v>
          </cell>
          <cell r="I685">
            <v>-197.48</v>
          </cell>
          <cell r="J685">
            <v>394.96</v>
          </cell>
        </row>
        <row r="686">
          <cell r="A686" t="str">
            <v>1.1.1.3.01.006838</v>
          </cell>
          <cell r="B686" t="str">
            <v>NITROTECH DEMOLICOES CONTROLADAS LTDA</v>
          </cell>
          <cell r="C686" t="str">
            <v>90.222,12</v>
          </cell>
          <cell r="D686" t="str">
            <v>90.444,24</v>
          </cell>
          <cell r="E686" t="str">
            <v>0,00</v>
          </cell>
          <cell r="F686" t="str">
            <v>0,00</v>
          </cell>
          <cell r="G686" t="str">
            <v>0,00</v>
          </cell>
          <cell r="H686" t="str">
            <v>222,12</v>
          </cell>
          <cell r="I686">
            <v>-222.12</v>
          </cell>
          <cell r="J686">
            <v>444.24</v>
          </cell>
        </row>
        <row r="687">
          <cell r="A687" t="str">
            <v>1.1.1.3.01.006839</v>
          </cell>
          <cell r="B687" t="str">
            <v>TRANS GALLU LTDA</v>
          </cell>
          <cell r="C687" t="str">
            <v>588.017,21</v>
          </cell>
          <cell r="D687" t="str">
            <v>413.017,21</v>
          </cell>
          <cell r="E687" t="str">
            <v>0,00</v>
          </cell>
          <cell r="F687" t="str">
            <v>0,00</v>
          </cell>
          <cell r="G687" t="str">
            <v>175.000,00</v>
          </cell>
          <cell r="H687" t="str">
            <v>0,00</v>
          </cell>
          <cell r="I687">
            <v>175000</v>
          </cell>
          <cell r="J687">
            <v>-175000</v>
          </cell>
        </row>
        <row r="688">
          <cell r="A688" t="str">
            <v>1.1.1.3.01.006841</v>
          </cell>
          <cell r="B688" t="str">
            <v>GUSMAO-LIMA MINERADORA LTDA</v>
          </cell>
          <cell r="C688" t="str">
            <v>337.642,64</v>
          </cell>
          <cell r="D688" t="str">
            <v>336.321,32</v>
          </cell>
          <cell r="E688" t="str">
            <v>0,00</v>
          </cell>
          <cell r="F688" t="str">
            <v>1.321,32</v>
          </cell>
          <cell r="G688" t="str">
            <v>0,00</v>
          </cell>
          <cell r="H688" t="str">
            <v>0,00</v>
          </cell>
          <cell r="I688">
            <v>0</v>
          </cell>
          <cell r="J688">
            <v>0</v>
          </cell>
        </row>
        <row r="689">
          <cell r="A689" t="str">
            <v>1.1.1.3.01.006846</v>
          </cell>
          <cell r="B689" t="str">
            <v>POTY CONSTRUTORA E EMPREENDIMENTOS IMOBI</v>
          </cell>
          <cell r="C689" t="str">
            <v>62.260,00</v>
          </cell>
          <cell r="D689" t="str">
            <v>57.000,00</v>
          </cell>
          <cell r="E689" t="str">
            <v>0,00</v>
          </cell>
          <cell r="F689" t="str">
            <v>0,00</v>
          </cell>
          <cell r="G689" t="str">
            <v>5.260,00</v>
          </cell>
          <cell r="H689" t="str">
            <v>0,00</v>
          </cell>
          <cell r="I689">
            <v>5260</v>
          </cell>
          <cell r="J689">
            <v>-5260</v>
          </cell>
        </row>
        <row r="690">
          <cell r="A690" t="str">
            <v>1.1.1.3.01.006852</v>
          </cell>
          <cell r="B690" t="str">
            <v>CONSTRUTORA SANCHES TRIPOLONI LTDA</v>
          </cell>
          <cell r="C690" t="str">
            <v>1.232,09</v>
          </cell>
          <cell r="D690" t="str">
            <v>0,00</v>
          </cell>
          <cell r="E690" t="str">
            <v>0,00</v>
          </cell>
          <cell r="F690" t="str">
            <v>0,00</v>
          </cell>
          <cell r="G690" t="str">
            <v>1.232,09</v>
          </cell>
          <cell r="H690" t="str">
            <v>0,00</v>
          </cell>
          <cell r="I690">
            <v>1232.0899999999999</v>
          </cell>
          <cell r="J690">
            <v>-1232.0899999999999</v>
          </cell>
        </row>
        <row r="691">
          <cell r="A691" t="str">
            <v>1.1.1.3.01.006920</v>
          </cell>
          <cell r="B691" t="str">
            <v>SOMA ENGENHARIA CIVIL LTDA</v>
          </cell>
          <cell r="C691" t="str">
            <v>83.127,65</v>
          </cell>
          <cell r="D691" t="str">
            <v>78.872,35</v>
          </cell>
          <cell r="E691" t="str">
            <v>0,00</v>
          </cell>
          <cell r="F691" t="str">
            <v>0,00</v>
          </cell>
          <cell r="G691" t="str">
            <v>4.255,30</v>
          </cell>
          <cell r="H691" t="str">
            <v>0,00</v>
          </cell>
          <cell r="I691">
            <v>4255.3</v>
          </cell>
          <cell r="J691">
            <v>-4255.3</v>
          </cell>
        </row>
        <row r="692">
          <cell r="A692" t="str">
            <v>1.1.1.3.01.006922</v>
          </cell>
          <cell r="B692" t="str">
            <v>GRANCAPIXABA GRANITOS LTDA</v>
          </cell>
          <cell r="C692" t="str">
            <v>1.000.000,00</v>
          </cell>
          <cell r="D692" t="str">
            <v>503.154,82</v>
          </cell>
          <cell r="E692" t="str">
            <v>0,00</v>
          </cell>
          <cell r="F692" t="str">
            <v>24.918,85</v>
          </cell>
          <cell r="G692" t="str">
            <v>471.926,33</v>
          </cell>
          <cell r="H692" t="str">
            <v>0,00</v>
          </cell>
          <cell r="I692">
            <v>471926.33</v>
          </cell>
          <cell r="J692">
            <v>-471926.33</v>
          </cell>
        </row>
        <row r="693">
          <cell r="A693" t="str">
            <v>1.1.1.3.01.006924</v>
          </cell>
          <cell r="B693" t="str">
            <v>EXTRA MAQUINAS SAO PAULO LTDA</v>
          </cell>
          <cell r="C693" t="str">
            <v>257.600,00</v>
          </cell>
          <cell r="D693" t="str">
            <v>220.683,33</v>
          </cell>
          <cell r="E693" t="str">
            <v>0,00</v>
          </cell>
          <cell r="F693" t="str">
            <v>21.283,33</v>
          </cell>
          <cell r="G693" t="str">
            <v>15.633,34</v>
          </cell>
          <cell r="H693" t="str">
            <v>0,00</v>
          </cell>
          <cell r="I693">
            <v>15633.34</v>
          </cell>
          <cell r="J693">
            <v>-15633.34</v>
          </cell>
        </row>
        <row r="694">
          <cell r="A694" t="str">
            <v>1.1.1.3.01.006926</v>
          </cell>
          <cell r="B694" t="str">
            <v>NEW BORA COMERCIO E IMPORTACAO DE PECAS</v>
          </cell>
          <cell r="C694" t="str">
            <v>10.242,34</v>
          </cell>
          <cell r="D694" t="str">
            <v>10.065,34</v>
          </cell>
          <cell r="E694" t="str">
            <v>0,00</v>
          </cell>
          <cell r="F694" t="str">
            <v>0,00</v>
          </cell>
          <cell r="G694" t="str">
            <v>177,00</v>
          </cell>
          <cell r="H694" t="str">
            <v>0,00</v>
          </cell>
          <cell r="I694">
            <v>177</v>
          </cell>
          <cell r="J694">
            <v>-177</v>
          </cell>
        </row>
        <row r="695">
          <cell r="A695" t="str">
            <v>1.1.1.3.01.006934</v>
          </cell>
          <cell r="B695" t="str">
            <v>BARRA DO TIETE COMERCIAL E SERVICOS LTDA</v>
          </cell>
          <cell r="C695" t="str">
            <v>150.000,00</v>
          </cell>
          <cell r="D695" t="str">
            <v>93.000,00</v>
          </cell>
          <cell r="E695" t="str">
            <v>0,00</v>
          </cell>
          <cell r="F695" t="str">
            <v>0,00</v>
          </cell>
          <cell r="G695" t="str">
            <v>57.000,00</v>
          </cell>
          <cell r="H695" t="str">
            <v>0,00</v>
          </cell>
          <cell r="I695">
            <v>57000</v>
          </cell>
          <cell r="J695">
            <v>-57000</v>
          </cell>
        </row>
        <row r="696">
          <cell r="A696" t="str">
            <v>1.1.1.3.01.006939</v>
          </cell>
          <cell r="B696" t="str">
            <v>USINA PAULISTA DE BRITAGEM PEDREIRA LTDA</v>
          </cell>
          <cell r="C696" t="str">
            <v>257.836,44</v>
          </cell>
          <cell r="D696" t="str">
            <v>250.643,27</v>
          </cell>
          <cell r="E696" t="str">
            <v>8.483,90</v>
          </cell>
          <cell r="F696" t="str">
            <v>3.596,58</v>
          </cell>
          <cell r="G696" t="str">
            <v>12.080,49</v>
          </cell>
          <cell r="H696" t="str">
            <v>0,00</v>
          </cell>
          <cell r="I696">
            <v>12080.49</v>
          </cell>
          <cell r="J696">
            <v>-12080.49</v>
          </cell>
        </row>
        <row r="697">
          <cell r="A697" t="str">
            <v>1.1.1.3.01.006943</v>
          </cell>
          <cell r="B697" t="str">
            <v>LUAN DANIELLI KOOP</v>
          </cell>
          <cell r="C697" t="str">
            <v>1.595,90</v>
          </cell>
          <cell r="D697" t="str">
            <v>632,46</v>
          </cell>
          <cell r="E697" t="str">
            <v>0,00</v>
          </cell>
          <cell r="F697" t="str">
            <v>0,00</v>
          </cell>
          <cell r="G697" t="str">
            <v>963,44</v>
          </cell>
          <cell r="H697" t="str">
            <v>0,00</v>
          </cell>
          <cell r="I697">
            <v>963.44</v>
          </cell>
          <cell r="J697">
            <v>-963.44</v>
          </cell>
        </row>
        <row r="698">
          <cell r="A698" t="str">
            <v>1.1.1.3.01.006957</v>
          </cell>
          <cell r="B698" t="str">
            <v>TERRA FORTE TERRAPLENAGEM E LOCACAO LTDA</v>
          </cell>
          <cell r="C698" t="str">
            <v>55.000,00</v>
          </cell>
          <cell r="D698" t="str">
            <v>55.000,00</v>
          </cell>
          <cell r="E698" t="str">
            <v>616,02</v>
          </cell>
          <cell r="F698" t="str">
            <v>0,00</v>
          </cell>
          <cell r="G698" t="str">
            <v>616,02</v>
          </cell>
          <cell r="H698" t="str">
            <v>0,00</v>
          </cell>
          <cell r="I698">
            <v>616.02</v>
          </cell>
          <cell r="J698">
            <v>-616.02</v>
          </cell>
        </row>
        <row r="699">
          <cell r="A699" t="str">
            <v>1.1.1.3.01.006961</v>
          </cell>
          <cell r="B699" t="str">
            <v>JULIO CEZAR PECAS E MANUTENCAO DE MAQ LT</v>
          </cell>
          <cell r="C699" t="str">
            <v>212.499,99</v>
          </cell>
          <cell r="D699" t="str">
            <v>160.499,99</v>
          </cell>
          <cell r="E699" t="str">
            <v>36.000,01</v>
          </cell>
          <cell r="F699" t="str">
            <v>24.000,00</v>
          </cell>
          <cell r="G699" t="str">
            <v>64.000,01</v>
          </cell>
          <cell r="H699" t="str">
            <v>0,00</v>
          </cell>
          <cell r="I699">
            <v>64000.01</v>
          </cell>
          <cell r="J699">
            <v>-64000.01</v>
          </cell>
        </row>
        <row r="700">
          <cell r="A700" t="str">
            <v>1.1.1.3.01.006964</v>
          </cell>
          <cell r="B700" t="str">
            <v>ROCKEX - MINERACAO LTDA</v>
          </cell>
          <cell r="C700" t="str">
            <v>42.000,00</v>
          </cell>
          <cell r="D700" t="str">
            <v>0,00</v>
          </cell>
          <cell r="E700" t="str">
            <v>0,00</v>
          </cell>
          <cell r="F700" t="str">
            <v>0,00</v>
          </cell>
          <cell r="G700" t="str">
            <v>42.000,00</v>
          </cell>
          <cell r="H700" t="str">
            <v>0,00</v>
          </cell>
          <cell r="I700">
            <v>42000</v>
          </cell>
          <cell r="J700">
            <v>-42000</v>
          </cell>
        </row>
        <row r="701">
          <cell r="A701" t="str">
            <v>1.1.1.3.01.006965</v>
          </cell>
          <cell r="B701" t="str">
            <v>B&amp;F NEGOCIOS E EMPREENDIMENTOS LTDA</v>
          </cell>
          <cell r="C701" t="str">
            <v>105.000,00</v>
          </cell>
          <cell r="D701" t="str">
            <v>20.000,00</v>
          </cell>
          <cell r="E701" t="str">
            <v>0,00</v>
          </cell>
          <cell r="F701" t="str">
            <v>0,00</v>
          </cell>
          <cell r="G701" t="str">
            <v>85.000,00</v>
          </cell>
          <cell r="H701" t="str">
            <v>0,00</v>
          </cell>
          <cell r="I701">
            <v>85000</v>
          </cell>
          <cell r="J701">
            <v>-85000</v>
          </cell>
        </row>
        <row r="702">
          <cell r="A702" t="str">
            <v>1.1.1.3.01.006967</v>
          </cell>
          <cell r="B702" t="str">
            <v>ITA-AREIA COMERCIO DE PEDRA E AREIA LTDA</v>
          </cell>
          <cell r="C702" t="str">
            <v>31.000,00</v>
          </cell>
          <cell r="D702" t="str">
            <v>0,00</v>
          </cell>
          <cell r="E702" t="str">
            <v>0,00</v>
          </cell>
          <cell r="F702" t="str">
            <v>0,00</v>
          </cell>
          <cell r="G702" t="str">
            <v>31.000,00</v>
          </cell>
          <cell r="H702" t="str">
            <v>0,00</v>
          </cell>
          <cell r="I702">
            <v>31000</v>
          </cell>
          <cell r="J702">
            <v>-31000</v>
          </cell>
        </row>
        <row r="703">
          <cell r="A703" t="str">
            <v>1.1.1.3.01.006968</v>
          </cell>
          <cell r="B703" t="str">
            <v>LOCMAQ LTDA</v>
          </cell>
          <cell r="C703" t="str">
            <v>476.550,78</v>
          </cell>
          <cell r="D703" t="str">
            <v>469.339,95</v>
          </cell>
          <cell r="E703" t="str">
            <v>0,00</v>
          </cell>
          <cell r="F703" t="str">
            <v>0,00</v>
          </cell>
          <cell r="G703" t="str">
            <v>7.210,83</v>
          </cell>
          <cell r="H703" t="str">
            <v>0,00</v>
          </cell>
          <cell r="I703">
            <v>7210.83</v>
          </cell>
          <cell r="J703">
            <v>-7210.83</v>
          </cell>
        </row>
        <row r="704">
          <cell r="A704" t="str">
            <v>1.1.1.3.01.006972</v>
          </cell>
          <cell r="B704" t="str">
            <v>LOC MAIS LOCACAO DE MAQ E CAMINHOES LTDA</v>
          </cell>
          <cell r="C704" t="str">
            <v>105.467,94</v>
          </cell>
          <cell r="D704" t="str">
            <v>105.467,94</v>
          </cell>
          <cell r="E704" t="str">
            <v>1.475,77</v>
          </cell>
          <cell r="F704" t="str">
            <v>0,00</v>
          </cell>
          <cell r="G704" t="str">
            <v>1.475,77</v>
          </cell>
          <cell r="H704" t="str">
            <v>0,00</v>
          </cell>
          <cell r="I704">
            <v>1475.77</v>
          </cell>
          <cell r="J704">
            <v>-1475.77</v>
          </cell>
        </row>
        <row r="705">
          <cell r="A705" t="str">
            <v>1.1.1.3.01.006975</v>
          </cell>
          <cell r="B705" t="str">
            <v>SCHELL CAFE EXPORTACAO E IMPORTACAO LTDA</v>
          </cell>
          <cell r="C705" t="str">
            <v>0,00</v>
          </cell>
          <cell r="D705" t="str">
            <v>90.000,00</v>
          </cell>
          <cell r="E705" t="str">
            <v>0,00</v>
          </cell>
          <cell r="F705" t="str">
            <v>0,00</v>
          </cell>
          <cell r="G705" t="str">
            <v>0,00</v>
          </cell>
          <cell r="H705" t="str">
            <v>90.000,00</v>
          </cell>
          <cell r="I705">
            <v>-90000</v>
          </cell>
          <cell r="J705">
            <v>180000</v>
          </cell>
        </row>
        <row r="706">
          <cell r="A706" t="str">
            <v>1.1.1.3.01.006976</v>
          </cell>
          <cell r="B706" t="str">
            <v>ITERCELER LOGISTICA S/A</v>
          </cell>
          <cell r="C706" t="str">
            <v>0,00</v>
          </cell>
          <cell r="D706" t="str">
            <v>41.100,00</v>
          </cell>
          <cell r="E706" t="str">
            <v>0,00</v>
          </cell>
          <cell r="F706" t="str">
            <v>0,00</v>
          </cell>
          <cell r="G706" t="str">
            <v>0,00</v>
          </cell>
          <cell r="H706" t="str">
            <v>41.100,00</v>
          </cell>
          <cell r="I706">
            <v>-41100</v>
          </cell>
          <cell r="J706">
            <v>82200</v>
          </cell>
        </row>
        <row r="707">
          <cell r="A707" t="str">
            <v>1.1.1.3.01.006977</v>
          </cell>
          <cell r="B707" t="str">
            <v>ACXEL ENGENHARIA LTDA</v>
          </cell>
          <cell r="C707" t="str">
            <v>375.000,00</v>
          </cell>
          <cell r="D707" t="str">
            <v>293.900,00</v>
          </cell>
          <cell r="E707" t="str">
            <v>0,00</v>
          </cell>
          <cell r="F707" t="str">
            <v>13.550,00</v>
          </cell>
          <cell r="G707" t="str">
            <v>67.550,00</v>
          </cell>
          <cell r="H707" t="str">
            <v>0,00</v>
          </cell>
          <cell r="I707">
            <v>67550</v>
          </cell>
          <cell r="J707">
            <v>-67550</v>
          </cell>
        </row>
        <row r="708">
          <cell r="A708" t="str">
            <v>1.1.1.3.01.006980</v>
          </cell>
          <cell r="B708" t="str">
            <v>MINERACAO TREMEDAL LTDA</v>
          </cell>
          <cell r="C708" t="str">
            <v>295.620,34</v>
          </cell>
          <cell r="D708" t="str">
            <v>159.916,88</v>
          </cell>
          <cell r="E708" t="str">
            <v>80.000,00</v>
          </cell>
          <cell r="F708" t="str">
            <v>29.288,97</v>
          </cell>
          <cell r="G708" t="str">
            <v>186.414,49</v>
          </cell>
          <cell r="H708" t="str">
            <v>0,00</v>
          </cell>
          <cell r="I708">
            <v>186414.49</v>
          </cell>
          <cell r="J708">
            <v>-186414.49</v>
          </cell>
        </row>
        <row r="709">
          <cell r="A709" t="str">
            <v>1.1.1.3.01.006981</v>
          </cell>
          <cell r="B709" t="str">
            <v>BINDA BRAZILIAN STONES LTDA</v>
          </cell>
          <cell r="C709" t="str">
            <v>390.000,00</v>
          </cell>
          <cell r="D709" t="str">
            <v>300.000,00</v>
          </cell>
          <cell r="E709" t="str">
            <v>0,00</v>
          </cell>
          <cell r="F709" t="str">
            <v>0,00</v>
          </cell>
          <cell r="G709" t="str">
            <v>90.000,00</v>
          </cell>
          <cell r="H709" t="str">
            <v>0,00</v>
          </cell>
          <cell r="I709">
            <v>90000</v>
          </cell>
          <cell r="J709">
            <v>-90000</v>
          </cell>
        </row>
        <row r="710">
          <cell r="A710" t="str">
            <v>1.1.1.3.01.006982</v>
          </cell>
          <cell r="B710" t="str">
            <v>MARCOS BURGO RODRIGUES</v>
          </cell>
          <cell r="C710" t="str">
            <v>72.000,00</v>
          </cell>
          <cell r="D710" t="str">
            <v>0,00</v>
          </cell>
          <cell r="E710" t="str">
            <v>0,00</v>
          </cell>
          <cell r="F710" t="str">
            <v>0,00</v>
          </cell>
          <cell r="G710" t="str">
            <v>72.000,00</v>
          </cell>
          <cell r="H710" t="str">
            <v>0,00</v>
          </cell>
          <cell r="I710">
            <v>72000</v>
          </cell>
          <cell r="J710">
            <v>-72000</v>
          </cell>
        </row>
        <row r="711">
          <cell r="A711" t="str">
            <v>1.1.1.3.01.006983</v>
          </cell>
          <cell r="B711" t="str">
            <v>JR MINERACAO  EXP E COM DE PEDRAS LTDA</v>
          </cell>
          <cell r="C711" t="str">
            <v>195.000,00</v>
          </cell>
          <cell r="D711" t="str">
            <v>97.500,00</v>
          </cell>
          <cell r="E711" t="str">
            <v>0,00</v>
          </cell>
          <cell r="F711" t="str">
            <v>0,00</v>
          </cell>
          <cell r="G711" t="str">
            <v>97.500,00</v>
          </cell>
          <cell r="H711" t="str">
            <v>0,00</v>
          </cell>
          <cell r="I711">
            <v>97500</v>
          </cell>
          <cell r="J711">
            <v>-97500</v>
          </cell>
        </row>
        <row r="712">
          <cell r="A712" t="str">
            <v>1.1.1.3.01.006990</v>
          </cell>
          <cell r="B712" t="str">
            <v>GUIMARAES AGRICOLA LTDA</v>
          </cell>
          <cell r="C712" t="str">
            <v>104.000,00</v>
          </cell>
          <cell r="D712" t="str">
            <v>60.000,00</v>
          </cell>
          <cell r="E712" t="str">
            <v>0,00</v>
          </cell>
          <cell r="F712" t="str">
            <v>0,00</v>
          </cell>
          <cell r="G712" t="str">
            <v>44.000,00</v>
          </cell>
          <cell r="H712" t="str">
            <v>0,00</v>
          </cell>
          <cell r="I712">
            <v>44000</v>
          </cell>
          <cell r="J712">
            <v>-44000</v>
          </cell>
        </row>
        <row r="713">
          <cell r="A713" t="str">
            <v>1.1.1.3.01.006991</v>
          </cell>
          <cell r="B713" t="str">
            <v>L J B TERRAPLENAGEM LTDA</v>
          </cell>
          <cell r="C713" t="str">
            <v>129.999,99</v>
          </cell>
          <cell r="D713" t="str">
            <v>116.999,99</v>
          </cell>
          <cell r="E713" t="str">
            <v>0,00</v>
          </cell>
          <cell r="F713" t="str">
            <v>0,00</v>
          </cell>
          <cell r="G713" t="str">
            <v>13.000,00</v>
          </cell>
          <cell r="H713" t="str">
            <v>0,00</v>
          </cell>
          <cell r="I713">
            <v>13000</v>
          </cell>
          <cell r="J713">
            <v>-13000</v>
          </cell>
        </row>
        <row r="714">
          <cell r="A714" t="str">
            <v>1.1.1.3.01.006997</v>
          </cell>
          <cell r="B714" t="str">
            <v>LH TERRAPLENAGEM E CONSTRUCOES LTDA</v>
          </cell>
          <cell r="C714" t="str">
            <v>2.642,57</v>
          </cell>
          <cell r="D714" t="str">
            <v>0,00</v>
          </cell>
          <cell r="E714" t="str">
            <v>0,00</v>
          </cell>
          <cell r="F714" t="str">
            <v>0,00</v>
          </cell>
          <cell r="G714" t="str">
            <v>2.642,57</v>
          </cell>
          <cell r="H714" t="str">
            <v>0,00</v>
          </cell>
          <cell r="I714">
            <v>2642.57</v>
          </cell>
          <cell r="J714">
            <v>-2642.57</v>
          </cell>
        </row>
        <row r="715">
          <cell r="A715" t="str">
            <v>1.1.1.3.01.006999</v>
          </cell>
          <cell r="B715" t="str">
            <v>PEDREIRA BOTUCATU LTDA</v>
          </cell>
          <cell r="C715" t="str">
            <v>1.504,93</v>
          </cell>
          <cell r="D715" t="str">
            <v>0,01</v>
          </cell>
          <cell r="E715" t="str">
            <v>0,00</v>
          </cell>
          <cell r="F715" t="str">
            <v>0,00</v>
          </cell>
          <cell r="G715" t="str">
            <v>1.504,92</v>
          </cell>
          <cell r="H715" t="str">
            <v>0,00</v>
          </cell>
          <cell r="I715">
            <v>1504.92</v>
          </cell>
          <cell r="J715">
            <v>-1504.92</v>
          </cell>
        </row>
        <row r="716">
          <cell r="A716" t="str">
            <v>1.1.1.3.01.007000</v>
          </cell>
          <cell r="B716" t="str">
            <v>TERRAPLENAGEM VEREDAS LTDA</v>
          </cell>
          <cell r="C716" t="str">
            <v>8.252,97</v>
          </cell>
          <cell r="D716" t="str">
            <v>0,00</v>
          </cell>
          <cell r="E716" t="str">
            <v>0,00</v>
          </cell>
          <cell r="F716" t="str">
            <v>0,00</v>
          </cell>
          <cell r="G716" t="str">
            <v>8.252,97</v>
          </cell>
          <cell r="H716" t="str">
            <v>0,00</v>
          </cell>
          <cell r="I716">
            <v>8252.9699999999993</v>
          </cell>
          <cell r="J716">
            <v>-8252.9699999999993</v>
          </cell>
        </row>
        <row r="717">
          <cell r="A717" t="str">
            <v>1.1.1.3.01.007005</v>
          </cell>
          <cell r="B717" t="str">
            <v>JCS LOCACAO DE MAQUINAS</v>
          </cell>
          <cell r="C717" t="str">
            <v>2.200,01</v>
          </cell>
          <cell r="D717" t="str">
            <v>4.000,01</v>
          </cell>
          <cell r="E717" t="str">
            <v>0,00</v>
          </cell>
          <cell r="F717" t="str">
            <v>0,00</v>
          </cell>
          <cell r="G717" t="str">
            <v>0,00</v>
          </cell>
          <cell r="H717" t="str">
            <v>1.800,00</v>
          </cell>
          <cell r="I717">
            <v>-1800</v>
          </cell>
          <cell r="J717">
            <v>3600</v>
          </cell>
        </row>
        <row r="718">
          <cell r="A718" t="str">
            <v>1.1.1.3.01.007010</v>
          </cell>
          <cell r="B718" t="str">
            <v>E.A. STOPASSOLA - COMERCIO E SERVICOS DE MAQUINAS</v>
          </cell>
          <cell r="C718" t="str">
            <v>929,40</v>
          </cell>
          <cell r="D718" t="str">
            <v>929,40</v>
          </cell>
          <cell r="E718" t="str">
            <v>734,66</v>
          </cell>
          <cell r="F718" t="str">
            <v>734,66</v>
          </cell>
          <cell r="G718" t="str">
            <v>0,00</v>
          </cell>
          <cell r="H718" t="str">
            <v>0,00</v>
          </cell>
          <cell r="I718">
            <v>0</v>
          </cell>
          <cell r="J718">
            <v>0</v>
          </cell>
        </row>
        <row r="719">
          <cell r="A719" t="str">
            <v>1.1.1.3.01.007014</v>
          </cell>
          <cell r="B719" t="str">
            <v>JOÃO CARLOS GRABOWSKI</v>
          </cell>
          <cell r="C719" t="str">
            <v>16.322,96</v>
          </cell>
          <cell r="D719" t="str">
            <v>16.623,14</v>
          </cell>
          <cell r="E719" t="str">
            <v>1.263,43</v>
          </cell>
          <cell r="F719" t="str">
            <v>1.263,43</v>
          </cell>
          <cell r="G719" t="str">
            <v>0,00</v>
          </cell>
          <cell r="H719" t="str">
            <v>300,18</v>
          </cell>
          <cell r="I719">
            <v>-300.18</v>
          </cell>
          <cell r="J719">
            <v>600.36</v>
          </cell>
        </row>
        <row r="720">
          <cell r="A720" t="str">
            <v>1.1.1.3.01.007015</v>
          </cell>
          <cell r="B720" t="str">
            <v>ANDALUGA LOCACAO DE EQUIPAMENTOS LTDA</v>
          </cell>
          <cell r="C720" t="str">
            <v>69.011,03</v>
          </cell>
          <cell r="D720" t="str">
            <v>14.299,96</v>
          </cell>
          <cell r="E720" t="str">
            <v>0,00</v>
          </cell>
          <cell r="F720" t="str">
            <v>6.400,00</v>
          </cell>
          <cell r="G720" t="str">
            <v>48.311,07</v>
          </cell>
          <cell r="H720" t="str">
            <v>0,00</v>
          </cell>
          <cell r="I720">
            <v>48311.07</v>
          </cell>
          <cell r="J720">
            <v>-48311.07</v>
          </cell>
        </row>
        <row r="721">
          <cell r="A721" t="str">
            <v>1.1.1.3.01.007016</v>
          </cell>
          <cell r="B721" t="str">
            <v>VDM MAQUINAS LTDA</v>
          </cell>
          <cell r="C721" t="str">
            <v>0,00</v>
          </cell>
          <cell r="D721" t="str">
            <v>4.887,60</v>
          </cell>
          <cell r="E721" t="str">
            <v>0,00</v>
          </cell>
          <cell r="F721" t="str">
            <v>0,00</v>
          </cell>
          <cell r="G721" t="str">
            <v>0,00</v>
          </cell>
          <cell r="H721" t="str">
            <v>4.887,60</v>
          </cell>
          <cell r="I721">
            <v>-4887.6000000000004</v>
          </cell>
          <cell r="J721">
            <v>9775.2000000000007</v>
          </cell>
        </row>
        <row r="722">
          <cell r="A722" t="str">
            <v>1.1.1.3.01.007017</v>
          </cell>
          <cell r="B722" t="str">
            <v>S A LOCACAO DE MAQUINAS E EQUIPAMENTOS LTDA</v>
          </cell>
          <cell r="C722" t="str">
            <v>17.116,29</v>
          </cell>
          <cell r="D722" t="str">
            <v>15.490,95</v>
          </cell>
          <cell r="E722" t="str">
            <v>2.410,78</v>
          </cell>
          <cell r="F722" t="str">
            <v>1.625,34</v>
          </cell>
          <cell r="G722" t="str">
            <v>2.410,78</v>
          </cell>
          <cell r="H722" t="str">
            <v>0,00</v>
          </cell>
          <cell r="I722">
            <v>2410.7800000000002</v>
          </cell>
          <cell r="J722">
            <v>-2410.7800000000002</v>
          </cell>
        </row>
        <row r="723">
          <cell r="A723" t="str">
            <v>1.1.1.3.01.007019</v>
          </cell>
          <cell r="B723" t="str">
            <v>VDM MAQUINAS LTDA</v>
          </cell>
          <cell r="C723" t="str">
            <v>9.703,34</v>
          </cell>
          <cell r="D723" t="str">
            <v>4.815,74</v>
          </cell>
          <cell r="E723" t="str">
            <v>0,00</v>
          </cell>
          <cell r="F723" t="str">
            <v>0,00</v>
          </cell>
          <cell r="G723" t="str">
            <v>4.887,60</v>
          </cell>
          <cell r="H723" t="str">
            <v>0,00</v>
          </cell>
          <cell r="I723">
            <v>4887.6000000000004</v>
          </cell>
          <cell r="J723">
            <v>-4887.6000000000004</v>
          </cell>
        </row>
        <row r="724">
          <cell r="A724" t="str">
            <v>1.1.1.3.01.007025</v>
          </cell>
          <cell r="B724" t="str">
            <v>LOCAL RENTAL DEMOLIÇÃO, PAVIMENTAÇÃO ETERRAPLANAGE</v>
          </cell>
          <cell r="C724" t="str">
            <v>220.450,83</v>
          </cell>
          <cell r="D724" t="str">
            <v>82.961,51</v>
          </cell>
          <cell r="E724" t="str">
            <v>0,00</v>
          </cell>
          <cell r="F724" t="str">
            <v>17.409,77</v>
          </cell>
          <cell r="G724" t="str">
            <v>120.079,55</v>
          </cell>
          <cell r="H724" t="str">
            <v>0,00</v>
          </cell>
          <cell r="I724">
            <v>120079.55</v>
          </cell>
          <cell r="J724">
            <v>-120079.55</v>
          </cell>
        </row>
        <row r="725">
          <cell r="A725" t="str">
            <v>1.1.1.3.01.007026</v>
          </cell>
          <cell r="B725" t="str">
            <v>ADRIANA DE OLIVEIRA</v>
          </cell>
          <cell r="C725" t="str">
            <v>12.973,02</v>
          </cell>
          <cell r="D725" t="str">
            <v>12.672,84</v>
          </cell>
          <cell r="E725" t="str">
            <v>0,00</v>
          </cell>
          <cell r="F725" t="str">
            <v>0,00</v>
          </cell>
          <cell r="G725" t="str">
            <v>300,18</v>
          </cell>
          <cell r="H725" t="str">
            <v>0,00</v>
          </cell>
          <cell r="I725">
            <v>300.18</v>
          </cell>
          <cell r="J725">
            <v>-300.18</v>
          </cell>
        </row>
        <row r="726">
          <cell r="A726" t="str">
            <v>1.1.1.3.01.007028</v>
          </cell>
          <cell r="B726" t="str">
            <v>CARTER BRASIL DISTRIBUIDORA DE PECAS LTDA</v>
          </cell>
          <cell r="C726" t="str">
            <v>11.054,38</v>
          </cell>
          <cell r="D726" t="str">
            <v>4.059,26</v>
          </cell>
          <cell r="E726" t="str">
            <v>1.211,97</v>
          </cell>
          <cell r="F726" t="str">
            <v>3.497,56</v>
          </cell>
          <cell r="G726" t="str">
            <v>4.709,53</v>
          </cell>
          <cell r="H726" t="str">
            <v>0,00</v>
          </cell>
          <cell r="I726">
            <v>4709.53</v>
          </cell>
          <cell r="J726">
            <v>-4709.53</v>
          </cell>
        </row>
        <row r="727">
          <cell r="A727" t="str">
            <v>1.1.1.3.01.007035</v>
          </cell>
          <cell r="B727" t="str">
            <v>IF FRAGMENTACAO DE ROCHA LTDA</v>
          </cell>
          <cell r="C727" t="str">
            <v>3.466,10</v>
          </cell>
          <cell r="D727" t="str">
            <v>0,00</v>
          </cell>
          <cell r="E727" t="str">
            <v>0,00</v>
          </cell>
          <cell r="F727" t="str">
            <v>1.155,37</v>
          </cell>
          <cell r="G727" t="str">
            <v>2.310,73</v>
          </cell>
          <cell r="H727" t="str">
            <v>0,00</v>
          </cell>
          <cell r="I727">
            <v>2310.73</v>
          </cell>
          <cell r="J727">
            <v>-2310.73</v>
          </cell>
        </row>
        <row r="728">
          <cell r="A728" t="str">
            <v>1.1.1.3.01.007446</v>
          </cell>
          <cell r="B728" t="str">
            <v>EMFOL - EMPRESA DE MIN FONTE LIMPA LTDA</v>
          </cell>
          <cell r="C728" t="str">
            <v>35.299,89</v>
          </cell>
          <cell r="D728" t="str">
            <v>35.299,89</v>
          </cell>
          <cell r="E728" t="str">
            <v>10.162,23</v>
          </cell>
          <cell r="F728" t="str">
            <v>0,00</v>
          </cell>
          <cell r="G728" t="str">
            <v>10.162,23</v>
          </cell>
          <cell r="H728" t="str">
            <v>0,00</v>
          </cell>
          <cell r="I728">
            <v>10162.23</v>
          </cell>
          <cell r="J728">
            <v>-10162.23</v>
          </cell>
        </row>
        <row r="729">
          <cell r="A729" t="str">
            <v>1.1.1.3.01.007450</v>
          </cell>
          <cell r="B729" t="str">
            <v>CSN MINERACAO S.A</v>
          </cell>
          <cell r="C729" t="str">
            <v>2.986.141,13</v>
          </cell>
          <cell r="D729" t="str">
            <v>2.113.618,65</v>
          </cell>
          <cell r="E729" t="str">
            <v>0,00</v>
          </cell>
          <cell r="F729" t="str">
            <v>0,00</v>
          </cell>
          <cell r="G729" t="str">
            <v>872.522,48</v>
          </cell>
          <cell r="H729" t="str">
            <v>0,00</v>
          </cell>
          <cell r="I729">
            <v>872522.48</v>
          </cell>
          <cell r="J729">
            <v>-872522.48</v>
          </cell>
        </row>
        <row r="730">
          <cell r="A730" t="str">
            <v>1.1.1.3.01.007452</v>
          </cell>
          <cell r="B730" t="str">
            <v>DENA REALIZACOES IMOBILIARIAS LTDA</v>
          </cell>
          <cell r="C730" t="str">
            <v>43.364,32</v>
          </cell>
          <cell r="D730" t="str">
            <v>43.364,32</v>
          </cell>
          <cell r="E730" t="str">
            <v>6.932,20</v>
          </cell>
          <cell r="F730" t="str">
            <v>6.932,20</v>
          </cell>
          <cell r="G730" t="str">
            <v>0,00</v>
          </cell>
          <cell r="H730" t="str">
            <v>0,00</v>
          </cell>
          <cell r="I730">
            <v>0</v>
          </cell>
          <cell r="J730">
            <v>0</v>
          </cell>
        </row>
        <row r="731">
          <cell r="A731" t="str">
            <v>1.1.1.3.01.007456</v>
          </cell>
          <cell r="B731" t="str">
            <v>LDG ENGENHARIA E MANUTENCAO IND LTDA</v>
          </cell>
          <cell r="C731" t="str">
            <v>115.999,99</v>
          </cell>
          <cell r="D731" t="str">
            <v>111.999,99</v>
          </cell>
          <cell r="E731" t="str">
            <v>0,00</v>
          </cell>
          <cell r="F731" t="str">
            <v>0,00</v>
          </cell>
          <cell r="G731" t="str">
            <v>4.000,00</v>
          </cell>
          <cell r="H731" t="str">
            <v>0,00</v>
          </cell>
          <cell r="I731">
            <v>4000</v>
          </cell>
          <cell r="J731">
            <v>-4000</v>
          </cell>
        </row>
        <row r="732">
          <cell r="A732" t="str">
            <v>1.1.1.3.01.007458</v>
          </cell>
          <cell r="B732" t="str">
            <v>G R DANIEL LTDA</v>
          </cell>
          <cell r="C732" t="str">
            <v>4.086,61</v>
          </cell>
          <cell r="D732" t="str">
            <v>39.586,61</v>
          </cell>
          <cell r="E732" t="str">
            <v>0,00</v>
          </cell>
          <cell r="F732" t="str">
            <v>0,00</v>
          </cell>
          <cell r="G732" t="str">
            <v>0,00</v>
          </cell>
          <cell r="H732" t="str">
            <v>35.500,00</v>
          </cell>
          <cell r="I732">
            <v>-35500</v>
          </cell>
          <cell r="J732">
            <v>71000</v>
          </cell>
        </row>
        <row r="733">
          <cell r="A733" t="str">
            <v>1.1.1.3.01.007459</v>
          </cell>
          <cell r="B733" t="str">
            <v>DFJ MINERACAO LTDA</v>
          </cell>
          <cell r="C733" t="str">
            <v>898.483,80</v>
          </cell>
          <cell r="D733" t="str">
            <v>797.883,80</v>
          </cell>
          <cell r="E733" t="str">
            <v>0,00</v>
          </cell>
          <cell r="F733" t="str">
            <v>24.900,00</v>
          </cell>
          <cell r="G733" t="str">
            <v>75.700,00</v>
          </cell>
          <cell r="H733" t="str">
            <v>0,00</v>
          </cell>
          <cell r="I733">
            <v>75700</v>
          </cell>
          <cell r="J733">
            <v>-75700</v>
          </cell>
        </row>
        <row r="734">
          <cell r="A734" t="str">
            <v>1.1.1.3.01.007465</v>
          </cell>
          <cell r="B734" t="str">
            <v>SPLENDOUR MINERACAO E TRANSPORTE LTDA</v>
          </cell>
          <cell r="C734" t="str">
            <v>28.721,06</v>
          </cell>
          <cell r="D734" t="str">
            <v>27.750,67</v>
          </cell>
          <cell r="E734" t="str">
            <v>0,00</v>
          </cell>
          <cell r="F734" t="str">
            <v>970,39</v>
          </cell>
          <cell r="G734" t="str">
            <v>0,00</v>
          </cell>
          <cell r="H734" t="str">
            <v>0,00</v>
          </cell>
          <cell r="I734">
            <v>0</v>
          </cell>
          <cell r="J734">
            <v>0</v>
          </cell>
        </row>
        <row r="735">
          <cell r="A735" t="str">
            <v>1.1.1.3.01.007466</v>
          </cell>
          <cell r="B735" t="str">
            <v>MINERACAO QUARTZO WORLD LTDA</v>
          </cell>
          <cell r="C735" t="str">
            <v>289.000,00</v>
          </cell>
          <cell r="D735" t="str">
            <v>162.300,00</v>
          </cell>
          <cell r="E735" t="str">
            <v>0,00</v>
          </cell>
          <cell r="F735" t="str">
            <v>0,00</v>
          </cell>
          <cell r="G735" t="str">
            <v>126.700,00</v>
          </cell>
          <cell r="H735" t="str">
            <v>0,00</v>
          </cell>
          <cell r="I735">
            <v>126700</v>
          </cell>
          <cell r="J735">
            <v>-126700</v>
          </cell>
        </row>
        <row r="736">
          <cell r="A736" t="str">
            <v>1.1.1.3.01.007472</v>
          </cell>
          <cell r="B736" t="str">
            <v>GIVALDO NASCIMENTO JÚNIOR</v>
          </cell>
          <cell r="C736" t="str">
            <v>5.343,51</v>
          </cell>
          <cell r="D736" t="str">
            <v>2.526,49</v>
          </cell>
          <cell r="E736" t="str">
            <v>0,00</v>
          </cell>
          <cell r="F736" t="str">
            <v>0,00</v>
          </cell>
          <cell r="G736" t="str">
            <v>2.817,02</v>
          </cell>
          <cell r="H736" t="str">
            <v>0,00</v>
          </cell>
          <cell r="I736">
            <v>2817.02</v>
          </cell>
          <cell r="J736">
            <v>-2817.02</v>
          </cell>
        </row>
        <row r="737">
          <cell r="A737" t="str">
            <v>1.1.1.3.01.007473</v>
          </cell>
          <cell r="B737" t="str">
            <v>PRIME STONE MINERAÇÃO LTDA</v>
          </cell>
          <cell r="C737" t="str">
            <v>1.586,01</v>
          </cell>
          <cell r="D737" t="str">
            <v>1.292,54</v>
          </cell>
          <cell r="E737" t="str">
            <v>0,00</v>
          </cell>
          <cell r="F737" t="str">
            <v>0,00</v>
          </cell>
          <cell r="G737" t="str">
            <v>293,47</v>
          </cell>
          <cell r="H737" t="str">
            <v>0,00</v>
          </cell>
          <cell r="I737">
            <v>293.47000000000003</v>
          </cell>
          <cell r="J737">
            <v>-293.47000000000003</v>
          </cell>
        </row>
        <row r="738">
          <cell r="A738" t="str">
            <v>1.1.1.3.01.007787</v>
          </cell>
          <cell r="B738" t="str">
            <v>COUTO TRANSPORTES E TERRAPLENAGEM LTDA</v>
          </cell>
          <cell r="C738" t="str">
            <v>44.364,77</v>
          </cell>
          <cell r="D738" t="str">
            <v>37.364,77</v>
          </cell>
          <cell r="E738" t="str">
            <v>200,00</v>
          </cell>
          <cell r="F738" t="str">
            <v>200,00</v>
          </cell>
          <cell r="G738" t="str">
            <v>7.000,00</v>
          </cell>
          <cell r="H738" t="str">
            <v>0,00</v>
          </cell>
          <cell r="I738">
            <v>7000</v>
          </cell>
          <cell r="J738">
            <v>-7000</v>
          </cell>
        </row>
        <row r="739">
          <cell r="A739" t="str">
            <v>1.1.1.3.01.007797</v>
          </cell>
          <cell r="B739" t="str">
            <v>BEGE OURO MARMORE LTDA</v>
          </cell>
          <cell r="C739" t="str">
            <v>104.000,00</v>
          </cell>
          <cell r="D739" t="str">
            <v>88.000,00</v>
          </cell>
          <cell r="E739" t="str">
            <v>0,00</v>
          </cell>
          <cell r="F739" t="str">
            <v>0,00</v>
          </cell>
          <cell r="G739" t="str">
            <v>16.000,00</v>
          </cell>
          <cell r="H739" t="str">
            <v>0,00</v>
          </cell>
          <cell r="I739">
            <v>16000</v>
          </cell>
          <cell r="J739">
            <v>-16000</v>
          </cell>
        </row>
        <row r="740">
          <cell r="A740" t="str">
            <v>1.1.1.3.01.007798</v>
          </cell>
          <cell r="B740" t="str">
            <v>MINERACAO SERRA GRANDE S A</v>
          </cell>
          <cell r="C740" t="str">
            <v>254.148,77</v>
          </cell>
          <cell r="D740" t="str">
            <v>221.791,47</v>
          </cell>
          <cell r="E740" t="str">
            <v>0,00</v>
          </cell>
          <cell r="F740" t="str">
            <v>0,00</v>
          </cell>
          <cell r="G740" t="str">
            <v>32.357,30</v>
          </cell>
          <cell r="H740" t="str">
            <v>0,00</v>
          </cell>
          <cell r="I740">
            <v>32357.3</v>
          </cell>
          <cell r="J740">
            <v>-32357.3</v>
          </cell>
        </row>
        <row r="741">
          <cell r="A741" t="str">
            <v>1.1.1.3.01.007799</v>
          </cell>
          <cell r="B741" t="str">
            <v>ITA ROCHAS ORNAMENTAIS LTDA</v>
          </cell>
          <cell r="C741" t="str">
            <v>3.964,49</v>
          </cell>
          <cell r="D741" t="str">
            <v>906,72</v>
          </cell>
          <cell r="E741" t="str">
            <v>0,00</v>
          </cell>
          <cell r="F741" t="str">
            <v>3.057,77</v>
          </cell>
          <cell r="G741" t="str">
            <v>0,00</v>
          </cell>
          <cell r="H741" t="str">
            <v>0,00</v>
          </cell>
          <cell r="I741">
            <v>0</v>
          </cell>
          <cell r="J741">
            <v>0</v>
          </cell>
        </row>
        <row r="742">
          <cell r="A742" t="str">
            <v>1.1.1.3.01.007806</v>
          </cell>
          <cell r="B742" t="str">
            <v>SANTA LUZ DESENVOLVIMENTO MINERAL LTDA</v>
          </cell>
          <cell r="C742" t="str">
            <v>384.965,84</v>
          </cell>
          <cell r="D742" t="str">
            <v>317.984,35</v>
          </cell>
          <cell r="E742" t="str">
            <v>58.222,04</v>
          </cell>
          <cell r="F742" t="str">
            <v>66.981,49</v>
          </cell>
          <cell r="G742" t="str">
            <v>58.222,04</v>
          </cell>
          <cell r="H742" t="str">
            <v>0,00</v>
          </cell>
          <cell r="I742">
            <v>58222.04</v>
          </cell>
          <cell r="J742">
            <v>-58222.04</v>
          </cell>
        </row>
        <row r="743">
          <cell r="A743" t="str">
            <v>1.1.1.3.01.007807</v>
          </cell>
          <cell r="B743" t="str">
            <v>TRATORCENTER PECAS E SERVICOS LTDA</v>
          </cell>
          <cell r="C743" t="str">
            <v>131.244,19</v>
          </cell>
          <cell r="D743" t="str">
            <v>114.444,23</v>
          </cell>
          <cell r="E743" t="str">
            <v>0,00</v>
          </cell>
          <cell r="F743" t="str">
            <v>799,96</v>
          </cell>
          <cell r="G743" t="str">
            <v>16.000,00</v>
          </cell>
          <cell r="H743" t="str">
            <v>0,00</v>
          </cell>
          <cell r="I743">
            <v>16000</v>
          </cell>
          <cell r="J743">
            <v>-16000</v>
          </cell>
        </row>
        <row r="744">
          <cell r="A744" t="str">
            <v>1.1.1.3.01.007809</v>
          </cell>
          <cell r="B744" t="str">
            <v>FIMAGRAN GRANITOS LTDA</v>
          </cell>
          <cell r="C744" t="str">
            <v>90.000,00</v>
          </cell>
          <cell r="D744" t="str">
            <v>30.000,00</v>
          </cell>
          <cell r="E744" t="str">
            <v>0,00</v>
          </cell>
          <cell r="F744" t="str">
            <v>6.000,00</v>
          </cell>
          <cell r="G744" t="str">
            <v>54.000,00</v>
          </cell>
          <cell r="H744" t="str">
            <v>0,00</v>
          </cell>
          <cell r="I744">
            <v>54000</v>
          </cell>
          <cell r="J744">
            <v>-54000</v>
          </cell>
        </row>
        <row r="745">
          <cell r="A745" t="str">
            <v>1.1.1.3.01.007810</v>
          </cell>
          <cell r="B745" t="str">
            <v>GRAMARBOM GRANITOS LTDA</v>
          </cell>
          <cell r="C745" t="str">
            <v>305.000,00</v>
          </cell>
          <cell r="D745" t="str">
            <v>275.000,00</v>
          </cell>
          <cell r="E745" t="str">
            <v>0,00</v>
          </cell>
          <cell r="F745" t="str">
            <v>0,00</v>
          </cell>
          <cell r="G745" t="str">
            <v>30.000,00</v>
          </cell>
          <cell r="H745" t="str">
            <v>0,00</v>
          </cell>
          <cell r="I745">
            <v>30000</v>
          </cell>
          <cell r="J745">
            <v>-30000</v>
          </cell>
        </row>
        <row r="746">
          <cell r="A746" t="str">
            <v>1.1.1.3.01.007812</v>
          </cell>
          <cell r="B746" t="str">
            <v>JRF TERRAPLANAGEM TRANS E LOCACAO LTDA</v>
          </cell>
          <cell r="C746" t="str">
            <v>21.000,00</v>
          </cell>
          <cell r="D746" t="str">
            <v>0,01</v>
          </cell>
          <cell r="E746" t="str">
            <v>0,00</v>
          </cell>
          <cell r="F746" t="str">
            <v>0,00</v>
          </cell>
          <cell r="G746" t="str">
            <v>20.999,99</v>
          </cell>
          <cell r="H746" t="str">
            <v>0,00</v>
          </cell>
          <cell r="I746">
            <v>20999.99</v>
          </cell>
          <cell r="J746">
            <v>-20999.99</v>
          </cell>
        </row>
        <row r="747">
          <cell r="A747" t="str">
            <v>1.1.1.3.01.007816</v>
          </cell>
          <cell r="B747" t="str">
            <v>LINEAL MS - ENGENHARIA E CONSTRUCAO LTDA</v>
          </cell>
          <cell r="C747" t="str">
            <v>23.897,39</v>
          </cell>
          <cell r="D747" t="str">
            <v>15.097,39</v>
          </cell>
          <cell r="E747" t="str">
            <v>0,00</v>
          </cell>
          <cell r="F747" t="str">
            <v>0,00</v>
          </cell>
          <cell r="G747" t="str">
            <v>8.800,00</v>
          </cell>
          <cell r="H747" t="str">
            <v>0,00</v>
          </cell>
          <cell r="I747">
            <v>8800</v>
          </cell>
          <cell r="J747">
            <v>-8800</v>
          </cell>
        </row>
        <row r="748">
          <cell r="A748" t="str">
            <v>1.1.1.3.01.007819</v>
          </cell>
          <cell r="B748" t="str">
            <v>AGLT TERRAPLENAGEM LTDA</v>
          </cell>
          <cell r="C748" t="str">
            <v>60.000,00</v>
          </cell>
          <cell r="D748" t="str">
            <v>42.000,00</v>
          </cell>
          <cell r="E748" t="str">
            <v>0,00</v>
          </cell>
          <cell r="F748" t="str">
            <v>0,00</v>
          </cell>
          <cell r="G748" t="str">
            <v>18.000,00</v>
          </cell>
          <cell r="H748" t="str">
            <v>0,00</v>
          </cell>
          <cell r="I748">
            <v>18000</v>
          </cell>
          <cell r="J748">
            <v>-18000</v>
          </cell>
        </row>
        <row r="749">
          <cell r="A749" t="str">
            <v>1.1.1.3.01.007821</v>
          </cell>
          <cell r="B749" t="str">
            <v>LEONIZAR RAMOS DOS SANTOS</v>
          </cell>
          <cell r="C749" t="str">
            <v>47.000,00</v>
          </cell>
          <cell r="D749" t="str">
            <v>27.000,00</v>
          </cell>
          <cell r="E749" t="str">
            <v>0,00</v>
          </cell>
          <cell r="F749" t="str">
            <v>0,00</v>
          </cell>
          <cell r="G749" t="str">
            <v>20.000,00</v>
          </cell>
          <cell r="H749" t="str">
            <v>0,00</v>
          </cell>
          <cell r="I749">
            <v>20000</v>
          </cell>
          <cell r="J749">
            <v>-20000</v>
          </cell>
        </row>
        <row r="750">
          <cell r="A750" t="str">
            <v>1.1.1.3.01.007823</v>
          </cell>
          <cell r="B750" t="str">
            <v>OLIMPO GRANITOS LTDA</v>
          </cell>
          <cell r="C750" t="str">
            <v>167.535,29</v>
          </cell>
          <cell r="D750" t="str">
            <v>104.535,29</v>
          </cell>
          <cell r="E750" t="str">
            <v>130.465,30</v>
          </cell>
          <cell r="F750" t="str">
            <v>46.465,30</v>
          </cell>
          <cell r="G750" t="str">
            <v>147.000,00</v>
          </cell>
          <cell r="H750" t="str">
            <v>0,00</v>
          </cell>
          <cell r="I750">
            <v>147000</v>
          </cell>
          <cell r="J750">
            <v>-147000</v>
          </cell>
        </row>
        <row r="751">
          <cell r="A751" t="str">
            <v>1.1.1.3.01.007824</v>
          </cell>
          <cell r="B751" t="str">
            <v>THOR NORDESTE GRANITOS LTDA</v>
          </cell>
          <cell r="C751" t="str">
            <v>554.384,46</v>
          </cell>
          <cell r="D751" t="str">
            <v>211.384,46</v>
          </cell>
          <cell r="E751" t="str">
            <v>0,00</v>
          </cell>
          <cell r="F751" t="str">
            <v>34.300,00</v>
          </cell>
          <cell r="G751" t="str">
            <v>308.700,00</v>
          </cell>
          <cell r="H751" t="str">
            <v>0,00</v>
          </cell>
          <cell r="I751">
            <v>308700</v>
          </cell>
          <cell r="J751">
            <v>-308700</v>
          </cell>
        </row>
        <row r="752">
          <cell r="A752" t="str">
            <v>1.1.1.3.01.007825</v>
          </cell>
          <cell r="B752" t="str">
            <v>CONSTRUTORA MVA LTDA</v>
          </cell>
          <cell r="C752" t="str">
            <v>67.600,00</v>
          </cell>
          <cell r="D752" t="str">
            <v>57.600,00</v>
          </cell>
          <cell r="E752" t="str">
            <v>0,00</v>
          </cell>
          <cell r="F752" t="str">
            <v>0,00</v>
          </cell>
          <cell r="G752" t="str">
            <v>10.000,00</v>
          </cell>
          <cell r="H752" t="str">
            <v>0,00</v>
          </cell>
          <cell r="I752">
            <v>10000</v>
          </cell>
          <cell r="J752">
            <v>-10000</v>
          </cell>
        </row>
        <row r="753">
          <cell r="A753" t="str">
            <v>1.1.1.3.01.007829</v>
          </cell>
          <cell r="B753" t="str">
            <v>VERA LUCIA DE ALMEIDA CONCEIÇÃO</v>
          </cell>
          <cell r="C753" t="str">
            <v>1.600,00</v>
          </cell>
          <cell r="D753" t="str">
            <v>0,00</v>
          </cell>
          <cell r="E753" t="str">
            <v>0,00</v>
          </cell>
          <cell r="F753" t="str">
            <v>0,00</v>
          </cell>
          <cell r="G753" t="str">
            <v>1.600,00</v>
          </cell>
          <cell r="H753" t="str">
            <v>0,00</v>
          </cell>
          <cell r="I753">
            <v>1600</v>
          </cell>
          <cell r="J753">
            <v>-1600</v>
          </cell>
        </row>
        <row r="754">
          <cell r="A754" t="str">
            <v>1.1.1.3.01.007831</v>
          </cell>
          <cell r="B754" t="str">
            <v>QUALITY BLOCKS BRAZIL LTDA</v>
          </cell>
          <cell r="C754" t="str">
            <v>270.000,00</v>
          </cell>
          <cell r="D754" t="str">
            <v>140.000,00</v>
          </cell>
          <cell r="E754" t="str">
            <v>0,00</v>
          </cell>
          <cell r="F754" t="str">
            <v>10.000,00</v>
          </cell>
          <cell r="G754" t="str">
            <v>120.000,00</v>
          </cell>
          <cell r="H754" t="str">
            <v>0,00</v>
          </cell>
          <cell r="I754">
            <v>120000</v>
          </cell>
          <cell r="J754">
            <v>-120000</v>
          </cell>
        </row>
        <row r="755">
          <cell r="A755" t="str">
            <v>1.1.1.3.01.007833</v>
          </cell>
          <cell r="B755" t="str">
            <v>BRIDI LOCACOES E SERVICOS LTDA</v>
          </cell>
          <cell r="C755" t="str">
            <v>46.000,00</v>
          </cell>
          <cell r="D755" t="str">
            <v>39.100,00</v>
          </cell>
          <cell r="E755" t="str">
            <v>0,00</v>
          </cell>
          <cell r="F755" t="str">
            <v>0,00</v>
          </cell>
          <cell r="G755" t="str">
            <v>6.900,00</v>
          </cell>
          <cell r="H755" t="str">
            <v>0,00</v>
          </cell>
          <cell r="I755">
            <v>6900</v>
          </cell>
          <cell r="J755">
            <v>-6900</v>
          </cell>
        </row>
        <row r="756">
          <cell r="A756" t="str">
            <v>1.1.1.3.01.007834</v>
          </cell>
          <cell r="B756" t="str">
            <v>PONTA DA SERRA MINERACAO LTDA</v>
          </cell>
          <cell r="C756" t="str">
            <v>49.681,03</v>
          </cell>
          <cell r="D756" t="str">
            <v>48.277,03</v>
          </cell>
          <cell r="E756" t="str">
            <v>0,00</v>
          </cell>
          <cell r="F756" t="str">
            <v>0,00</v>
          </cell>
          <cell r="G756" t="str">
            <v>1.404,00</v>
          </cell>
          <cell r="H756" t="str">
            <v>0,00</v>
          </cell>
          <cell r="I756">
            <v>1404</v>
          </cell>
          <cell r="J756">
            <v>-1404</v>
          </cell>
        </row>
        <row r="757">
          <cell r="A757" t="str">
            <v>1.1.1.3.01.007835</v>
          </cell>
          <cell r="B757" t="str">
            <v>VIDA NOVA ENGENHARIA E TERRAPLENAGEM LTD</v>
          </cell>
          <cell r="C757" t="str">
            <v>210.000,00</v>
          </cell>
          <cell r="D757" t="str">
            <v>177.800,00</v>
          </cell>
          <cell r="E757" t="str">
            <v>0,00</v>
          </cell>
          <cell r="F757" t="str">
            <v>11.100,00</v>
          </cell>
          <cell r="G757" t="str">
            <v>21.100,00</v>
          </cell>
          <cell r="H757" t="str">
            <v>0,00</v>
          </cell>
          <cell r="I757">
            <v>21100</v>
          </cell>
          <cell r="J757">
            <v>-21100</v>
          </cell>
        </row>
        <row r="758">
          <cell r="A758" t="str">
            <v>1.1.1.3.01.007837</v>
          </cell>
          <cell r="B758" t="str">
            <v>GRANITOS CRICIUMA LTDA</v>
          </cell>
          <cell r="C758" t="str">
            <v>665.870,00</v>
          </cell>
          <cell r="D758" t="str">
            <v>463.656,50</v>
          </cell>
          <cell r="E758" t="str">
            <v>0,00</v>
          </cell>
          <cell r="F758" t="str">
            <v>22.071,50</v>
          </cell>
          <cell r="G758" t="str">
            <v>180.142,00</v>
          </cell>
          <cell r="H758" t="str">
            <v>0,00</v>
          </cell>
          <cell r="I758">
            <v>180142</v>
          </cell>
          <cell r="J758">
            <v>-180142</v>
          </cell>
        </row>
        <row r="759">
          <cell r="A759" t="str">
            <v>1.1.1.3.01.007838</v>
          </cell>
          <cell r="B759" t="str">
            <v>MINAS CONSTRUTORA E TERRAPLANAGEM LTDA</v>
          </cell>
          <cell r="C759" t="str">
            <v>43.000,00</v>
          </cell>
          <cell r="D759" t="str">
            <v>32.820,00</v>
          </cell>
          <cell r="E759" t="str">
            <v>0,00</v>
          </cell>
          <cell r="F759" t="str">
            <v>1.840,00</v>
          </cell>
          <cell r="G759" t="str">
            <v>8.340,00</v>
          </cell>
          <cell r="H759" t="str">
            <v>0,00</v>
          </cell>
          <cell r="I759">
            <v>8340</v>
          </cell>
          <cell r="J759">
            <v>-8340</v>
          </cell>
        </row>
        <row r="760">
          <cell r="A760" t="str">
            <v>1.1.1.3.01.007839</v>
          </cell>
          <cell r="B760" t="str">
            <v>SANTO ANTONIO LOGISTICA LTDA</v>
          </cell>
          <cell r="C760" t="str">
            <v>138.500,00</v>
          </cell>
          <cell r="D760" t="str">
            <v>83.100,00</v>
          </cell>
          <cell r="E760" t="str">
            <v>0,00</v>
          </cell>
          <cell r="F760" t="str">
            <v>0,00</v>
          </cell>
          <cell r="G760" t="str">
            <v>55.400,00</v>
          </cell>
          <cell r="H760" t="str">
            <v>0,00</v>
          </cell>
          <cell r="I760">
            <v>55400</v>
          </cell>
          <cell r="J760">
            <v>-55400</v>
          </cell>
        </row>
        <row r="761">
          <cell r="A761" t="str">
            <v>1.1.1.3.01.007842</v>
          </cell>
          <cell r="B761" t="str">
            <v>CAMPESATTO CONSTRUTORA LTDA</v>
          </cell>
          <cell r="C761" t="str">
            <v>176.059,23</v>
          </cell>
          <cell r="D761" t="str">
            <v>128.059,23</v>
          </cell>
          <cell r="E761" t="str">
            <v>0,00</v>
          </cell>
          <cell r="F761" t="str">
            <v>0,00</v>
          </cell>
          <cell r="G761" t="str">
            <v>48.000,00</v>
          </cell>
          <cell r="H761" t="str">
            <v>0,00</v>
          </cell>
          <cell r="I761">
            <v>48000</v>
          </cell>
          <cell r="J761">
            <v>-48000</v>
          </cell>
        </row>
        <row r="762">
          <cell r="A762" t="str">
            <v>1.1.1.3.01.007844</v>
          </cell>
          <cell r="B762" t="str">
            <v>ZOMAQ MAQUINAS E EQUIPAMENTOS LTDA</v>
          </cell>
          <cell r="C762" t="str">
            <v>660.226,22</v>
          </cell>
          <cell r="D762" t="str">
            <v>388.626,22</v>
          </cell>
          <cell r="E762" t="str">
            <v>260.000,00</v>
          </cell>
          <cell r="F762" t="str">
            <v>81.600,00</v>
          </cell>
          <cell r="G762" t="str">
            <v>450.000,00</v>
          </cell>
          <cell r="H762" t="str">
            <v>0,00</v>
          </cell>
          <cell r="I762">
            <v>450000</v>
          </cell>
          <cell r="J762">
            <v>-450000</v>
          </cell>
        </row>
        <row r="763">
          <cell r="A763" t="str">
            <v>1.1.1.3.01.007845</v>
          </cell>
          <cell r="B763" t="str">
            <v>REMELATER TRANSPORTES LTDA</v>
          </cell>
          <cell r="C763" t="str">
            <v>89.000,00</v>
          </cell>
          <cell r="D763" t="str">
            <v>60.300,00</v>
          </cell>
          <cell r="E763" t="str">
            <v>0,00</v>
          </cell>
          <cell r="F763" t="str">
            <v>0,00</v>
          </cell>
          <cell r="G763" t="str">
            <v>28.700,00</v>
          </cell>
          <cell r="H763" t="str">
            <v>0,00</v>
          </cell>
          <cell r="I763">
            <v>28700</v>
          </cell>
          <cell r="J763">
            <v>-28700</v>
          </cell>
        </row>
        <row r="764">
          <cell r="A764" t="str">
            <v>1.1.1.3.01.007847</v>
          </cell>
          <cell r="B764" t="str">
            <v>BRITAGEM UNIVERSO LTDA</v>
          </cell>
          <cell r="C764" t="str">
            <v>58.958,51</v>
          </cell>
          <cell r="D764" t="str">
            <v>38.211,01</v>
          </cell>
          <cell r="E764" t="str">
            <v>0,00</v>
          </cell>
          <cell r="F764" t="str">
            <v>11.040,00</v>
          </cell>
          <cell r="G764" t="str">
            <v>9.707,50</v>
          </cell>
          <cell r="H764" t="str">
            <v>0,00</v>
          </cell>
          <cell r="I764">
            <v>9707.5</v>
          </cell>
          <cell r="J764">
            <v>-9707.5</v>
          </cell>
        </row>
        <row r="765">
          <cell r="A765" t="str">
            <v>1.1.1.3.01.007849</v>
          </cell>
          <cell r="B765" t="str">
            <v>FFX ENGENHARIA &amp; SERVICOS LTDA</v>
          </cell>
          <cell r="C765" t="str">
            <v>25.263,12</v>
          </cell>
          <cell r="D765" t="str">
            <v>20.263,12</v>
          </cell>
          <cell r="E765" t="str">
            <v>0,00</v>
          </cell>
          <cell r="F765" t="str">
            <v>0,00</v>
          </cell>
          <cell r="G765" t="str">
            <v>5.000,00</v>
          </cell>
          <cell r="H765" t="str">
            <v>0,00</v>
          </cell>
          <cell r="I765">
            <v>5000</v>
          </cell>
          <cell r="J765">
            <v>-5000</v>
          </cell>
        </row>
        <row r="766">
          <cell r="A766" t="str">
            <v>1.1.1.3.01.007850</v>
          </cell>
          <cell r="B766" t="str">
            <v>TACO LOCACAO DE MAQ E EQUIP TERRAPL LTDA</v>
          </cell>
          <cell r="C766" t="str">
            <v>75.000,00</v>
          </cell>
          <cell r="D766" t="str">
            <v>55.000,00</v>
          </cell>
          <cell r="E766" t="str">
            <v>0,00</v>
          </cell>
          <cell r="F766" t="str">
            <v>0,00</v>
          </cell>
          <cell r="G766" t="str">
            <v>20.000,00</v>
          </cell>
          <cell r="H766" t="str">
            <v>0,00</v>
          </cell>
          <cell r="I766">
            <v>20000</v>
          </cell>
          <cell r="J766">
            <v>-20000</v>
          </cell>
        </row>
        <row r="767">
          <cell r="A767" t="str">
            <v>1.1.1.3.01.007851</v>
          </cell>
          <cell r="B767" t="str">
            <v>SANTOS FILHO DEMOLIDORA LTDA</v>
          </cell>
          <cell r="C767" t="str">
            <v>180.000,00</v>
          </cell>
          <cell r="D767" t="str">
            <v>120.000,00</v>
          </cell>
          <cell r="E767" t="str">
            <v>0,00</v>
          </cell>
          <cell r="F767" t="str">
            <v>0,00</v>
          </cell>
          <cell r="G767" t="str">
            <v>60.000,00</v>
          </cell>
          <cell r="H767" t="str">
            <v>0,00</v>
          </cell>
          <cell r="I767">
            <v>60000</v>
          </cell>
          <cell r="J767">
            <v>-60000</v>
          </cell>
        </row>
        <row r="768">
          <cell r="A768" t="str">
            <v>1.1.1.3.01.007852</v>
          </cell>
          <cell r="B768" t="str">
            <v>LINERGIA LINHAS E REDES TRANSMISSAO LTDA</v>
          </cell>
          <cell r="C768" t="str">
            <v>24.000,00</v>
          </cell>
          <cell r="D768" t="str">
            <v>0,00</v>
          </cell>
          <cell r="E768" t="str">
            <v>0,00</v>
          </cell>
          <cell r="F768" t="str">
            <v>0,00</v>
          </cell>
          <cell r="G768" t="str">
            <v>24.000,00</v>
          </cell>
          <cell r="H768" t="str">
            <v>0,00</v>
          </cell>
          <cell r="I768">
            <v>24000</v>
          </cell>
          <cell r="J768">
            <v>-24000</v>
          </cell>
        </row>
        <row r="769">
          <cell r="A769" t="str">
            <v>1.1.1.3.01.007853</v>
          </cell>
          <cell r="B769" t="str">
            <v>RA MANUTENCAO INDUSTRIAL LTDA</v>
          </cell>
          <cell r="C769" t="str">
            <v>35.000,00</v>
          </cell>
          <cell r="D769" t="str">
            <v>24.500,00</v>
          </cell>
          <cell r="E769" t="str">
            <v>0,00</v>
          </cell>
          <cell r="F769" t="str">
            <v>0,00</v>
          </cell>
          <cell r="G769" t="str">
            <v>10.500,00</v>
          </cell>
          <cell r="H769" t="str">
            <v>0,00</v>
          </cell>
          <cell r="I769">
            <v>10500</v>
          </cell>
          <cell r="J769">
            <v>-10500</v>
          </cell>
        </row>
        <row r="770">
          <cell r="A770" t="str">
            <v>1.1.1.3.01.007854</v>
          </cell>
          <cell r="B770" t="str">
            <v>ARDO - CONSTRUTORA E PAVIMENTACAO LTDA</v>
          </cell>
          <cell r="C770" t="str">
            <v>26.980,00</v>
          </cell>
          <cell r="D770" t="str">
            <v>0,00</v>
          </cell>
          <cell r="E770" t="str">
            <v>0,00</v>
          </cell>
          <cell r="F770" t="str">
            <v>0,00</v>
          </cell>
          <cell r="G770" t="str">
            <v>26.980,00</v>
          </cell>
          <cell r="H770" t="str">
            <v>0,00</v>
          </cell>
          <cell r="I770">
            <v>26980</v>
          </cell>
          <cell r="J770">
            <v>-26980</v>
          </cell>
        </row>
        <row r="771">
          <cell r="A771" t="str">
            <v>1.1.1.3.01.007855</v>
          </cell>
          <cell r="B771" t="str">
            <v>LOCACAO DE MAQUINAS EQUIP CIDADE SOL LTD</v>
          </cell>
          <cell r="C771" t="str">
            <v>42.631,26</v>
          </cell>
          <cell r="D771" t="str">
            <v>3.631,26</v>
          </cell>
          <cell r="E771" t="str">
            <v>0,00</v>
          </cell>
          <cell r="F771" t="str">
            <v>0,00</v>
          </cell>
          <cell r="G771" t="str">
            <v>39.000,00</v>
          </cell>
          <cell r="H771" t="str">
            <v>0,00</v>
          </cell>
          <cell r="I771">
            <v>39000</v>
          </cell>
          <cell r="J771">
            <v>-39000</v>
          </cell>
        </row>
        <row r="772">
          <cell r="A772" t="str">
            <v>1.1.1.3.01.007856</v>
          </cell>
          <cell r="B772" t="str">
            <v>GENARO RIVA</v>
          </cell>
          <cell r="C772" t="str">
            <v>137.200,00</v>
          </cell>
          <cell r="D772" t="str">
            <v>95.200,00</v>
          </cell>
          <cell r="E772" t="str">
            <v>0,00</v>
          </cell>
          <cell r="F772" t="str">
            <v>0,00</v>
          </cell>
          <cell r="G772" t="str">
            <v>42.000,00</v>
          </cell>
          <cell r="H772" t="str">
            <v>0,00</v>
          </cell>
          <cell r="I772">
            <v>42000</v>
          </cell>
          <cell r="J772">
            <v>-42000</v>
          </cell>
        </row>
        <row r="773">
          <cell r="A773" t="str">
            <v>1.1.1.3.01.007857</v>
          </cell>
          <cell r="B773" t="str">
            <v>FELIPE RIZZO LTDA</v>
          </cell>
          <cell r="C773" t="str">
            <v>34.000,00</v>
          </cell>
          <cell r="D773" t="str">
            <v>28.000,00</v>
          </cell>
          <cell r="E773" t="str">
            <v>627,11</v>
          </cell>
          <cell r="F773" t="str">
            <v>0,00</v>
          </cell>
          <cell r="G773" t="str">
            <v>6.627,11</v>
          </cell>
          <cell r="H773" t="str">
            <v>0,00</v>
          </cell>
          <cell r="I773">
            <v>6627.11</v>
          </cell>
          <cell r="J773">
            <v>-6627.11</v>
          </cell>
        </row>
        <row r="774">
          <cell r="A774" t="str">
            <v>1.1.1.3.01.007858</v>
          </cell>
          <cell r="B774" t="str">
            <v>GEMINI RECICLA LTDA</v>
          </cell>
          <cell r="C774" t="str">
            <v>13.000,00</v>
          </cell>
          <cell r="D774" t="str">
            <v>11.000,00</v>
          </cell>
          <cell r="E774" t="str">
            <v>0,00</v>
          </cell>
          <cell r="F774" t="str">
            <v>0,00</v>
          </cell>
          <cell r="G774" t="str">
            <v>2.000,00</v>
          </cell>
          <cell r="H774" t="str">
            <v>0,00</v>
          </cell>
          <cell r="I774">
            <v>2000</v>
          </cell>
          <cell r="J774">
            <v>-2000</v>
          </cell>
        </row>
        <row r="775">
          <cell r="A775" t="str">
            <v>1.1.1.3.01.007859</v>
          </cell>
          <cell r="B775" t="str">
            <v>AKMOS ENGENHARIA E MONTAGENS IND LTDA</v>
          </cell>
          <cell r="C775" t="str">
            <v>33.000,00</v>
          </cell>
          <cell r="D775" t="str">
            <v>15.000,00</v>
          </cell>
          <cell r="E775" t="str">
            <v>0,00</v>
          </cell>
          <cell r="F775" t="str">
            <v>5.000,00</v>
          </cell>
          <cell r="G775" t="str">
            <v>13.000,00</v>
          </cell>
          <cell r="H775" t="str">
            <v>0,00</v>
          </cell>
          <cell r="I775">
            <v>13000</v>
          </cell>
          <cell r="J775">
            <v>-13000</v>
          </cell>
        </row>
        <row r="776">
          <cell r="A776" t="str">
            <v>1.1.1.3.01.007861</v>
          </cell>
          <cell r="B776" t="str">
            <v>WILLCOMEX-CENTRAL DE</v>
          </cell>
          <cell r="C776" t="str">
            <v>310.000,00</v>
          </cell>
          <cell r="D776" t="str">
            <v>228.750,00</v>
          </cell>
          <cell r="E776" t="str">
            <v>0,00</v>
          </cell>
          <cell r="F776" t="str">
            <v>16.250,00</v>
          </cell>
          <cell r="G776" t="str">
            <v>65.000,00</v>
          </cell>
          <cell r="H776" t="str">
            <v>0,00</v>
          </cell>
          <cell r="I776">
            <v>65000</v>
          </cell>
          <cell r="J776">
            <v>-65000</v>
          </cell>
        </row>
        <row r="777">
          <cell r="A777" t="str">
            <v>1.1.1.3.01.007864</v>
          </cell>
          <cell r="B777" t="str">
            <v>NOVO RUMO TERRAPLENAGEM LTDA</v>
          </cell>
          <cell r="C777" t="str">
            <v>9.295,65</v>
          </cell>
          <cell r="D777" t="str">
            <v>7.039,98</v>
          </cell>
          <cell r="E777" t="str">
            <v>0,00</v>
          </cell>
          <cell r="F777" t="str">
            <v>337,53</v>
          </cell>
          <cell r="G777" t="str">
            <v>1.918,14</v>
          </cell>
          <cell r="H777" t="str">
            <v>0,00</v>
          </cell>
          <cell r="I777">
            <v>1918.14</v>
          </cell>
          <cell r="J777">
            <v>-1918.14</v>
          </cell>
        </row>
        <row r="778">
          <cell r="A778" t="str">
            <v>1.1.1.3.01.008955</v>
          </cell>
          <cell r="B778" t="str">
            <v>ENPA ENGENHARIA E PARCERIA</v>
          </cell>
          <cell r="C778" t="str">
            <v>18.017,30</v>
          </cell>
          <cell r="D778" t="str">
            <v>15.565,76</v>
          </cell>
          <cell r="E778" t="str">
            <v>0,00</v>
          </cell>
          <cell r="F778" t="str">
            <v>0,00</v>
          </cell>
          <cell r="G778" t="str">
            <v>2.451,54</v>
          </cell>
          <cell r="H778" t="str">
            <v>0,00</v>
          </cell>
          <cell r="I778">
            <v>2451.54</v>
          </cell>
          <cell r="J778">
            <v>-2451.54</v>
          </cell>
        </row>
        <row r="779">
          <cell r="A779" t="str">
            <v>1.1.1.3.01.008956</v>
          </cell>
          <cell r="B779" t="str">
            <v>MINERACAO BODOQUENA S.</v>
          </cell>
          <cell r="C779" t="str">
            <v>57.865,18</v>
          </cell>
          <cell r="D779" t="str">
            <v>43.050,65</v>
          </cell>
          <cell r="E779" t="str">
            <v>0,00</v>
          </cell>
          <cell r="F779" t="str">
            <v>3.703,63</v>
          </cell>
          <cell r="G779" t="str">
            <v>11.110,90</v>
          </cell>
          <cell r="H779" t="str">
            <v>0,00</v>
          </cell>
          <cell r="I779">
            <v>11110.9</v>
          </cell>
          <cell r="J779">
            <v>-11110.9</v>
          </cell>
        </row>
        <row r="780">
          <cell r="A780" t="str">
            <v>1.1.1.3.01.008962</v>
          </cell>
          <cell r="B780" t="str">
            <v>PEEL EDIFICACOES DO BRASIL LTDA</v>
          </cell>
          <cell r="C780" t="str">
            <v>40.000,00</v>
          </cell>
          <cell r="D780" t="str">
            <v>24.000,00</v>
          </cell>
          <cell r="E780" t="str">
            <v>0,00</v>
          </cell>
          <cell r="F780" t="str">
            <v>0,00</v>
          </cell>
          <cell r="G780" t="str">
            <v>16.000,00</v>
          </cell>
          <cell r="H780" t="str">
            <v>0,00</v>
          </cell>
          <cell r="I780">
            <v>16000</v>
          </cell>
          <cell r="J780">
            <v>-16000</v>
          </cell>
        </row>
        <row r="781">
          <cell r="A781" t="str">
            <v>1.1.1.3.01.008963</v>
          </cell>
          <cell r="B781" t="str">
            <v>MAE TERRAP E LOC DE MAQ CONSTRUCAO CIVIL</v>
          </cell>
          <cell r="C781" t="str">
            <v>19.000,00</v>
          </cell>
          <cell r="D781" t="str">
            <v>38.000,00</v>
          </cell>
          <cell r="E781" t="str">
            <v>0,00</v>
          </cell>
          <cell r="F781" t="str">
            <v>0,00</v>
          </cell>
          <cell r="G781" t="str">
            <v>0,00</v>
          </cell>
          <cell r="H781" t="str">
            <v>19.000,00</v>
          </cell>
          <cell r="I781">
            <v>-19000</v>
          </cell>
          <cell r="J781">
            <v>38000</v>
          </cell>
        </row>
        <row r="782">
          <cell r="A782" t="str">
            <v>1.1.1.3.01.008966</v>
          </cell>
          <cell r="B782" t="str">
            <v>CCL DISTRIBUIDORA E TRANSPORTES LTDA</v>
          </cell>
          <cell r="C782" t="str">
            <v>3.682,00</v>
          </cell>
          <cell r="D782" t="str">
            <v>0,00</v>
          </cell>
          <cell r="E782" t="str">
            <v>0,00</v>
          </cell>
          <cell r="F782" t="str">
            <v>0,00</v>
          </cell>
          <cell r="G782" t="str">
            <v>3.682,00</v>
          </cell>
          <cell r="H782" t="str">
            <v>0,00</v>
          </cell>
          <cell r="I782">
            <v>3682</v>
          </cell>
          <cell r="J782">
            <v>-3682</v>
          </cell>
        </row>
        <row r="783">
          <cell r="A783" t="str">
            <v>1.1.1.3.01.008968</v>
          </cell>
          <cell r="B783" t="str">
            <v>PRESTOSERV DESMONTES CONTROLADOS S.A.</v>
          </cell>
          <cell r="C783" t="str">
            <v>78.203,14</v>
          </cell>
          <cell r="D783" t="str">
            <v>53.203,14</v>
          </cell>
          <cell r="E783" t="str">
            <v>0,00</v>
          </cell>
          <cell r="F783" t="str">
            <v>0,00</v>
          </cell>
          <cell r="G783" t="str">
            <v>25.000,00</v>
          </cell>
          <cell r="H783" t="str">
            <v>0,00</v>
          </cell>
          <cell r="I783">
            <v>25000</v>
          </cell>
          <cell r="J783">
            <v>-25000</v>
          </cell>
        </row>
        <row r="784">
          <cell r="A784" t="str">
            <v>1.1.1.3.01.008970</v>
          </cell>
          <cell r="B784" t="str">
            <v>MINERACAO CURIMBABA LTDA</v>
          </cell>
          <cell r="C784" t="str">
            <v>100.375,46</v>
          </cell>
          <cell r="D784" t="str">
            <v>60.375,46</v>
          </cell>
          <cell r="E784" t="str">
            <v>0,00</v>
          </cell>
          <cell r="F784" t="str">
            <v>0,00</v>
          </cell>
          <cell r="G784" t="str">
            <v>40.000,00</v>
          </cell>
          <cell r="H784" t="str">
            <v>0,00</v>
          </cell>
          <cell r="I784">
            <v>40000</v>
          </cell>
          <cell r="J784">
            <v>-40000</v>
          </cell>
        </row>
        <row r="785">
          <cell r="A785" t="str">
            <v>1.1.1.3.01.008972</v>
          </cell>
          <cell r="B785" t="str">
            <v>PEDREIRA BORBOREMA LTDA</v>
          </cell>
          <cell r="C785" t="str">
            <v>210.000,00</v>
          </cell>
          <cell r="D785" t="str">
            <v>100.800,00</v>
          </cell>
          <cell r="E785" t="str">
            <v>0,00</v>
          </cell>
          <cell r="F785" t="str">
            <v>16.800,00</v>
          </cell>
          <cell r="G785" t="str">
            <v>92.400,00</v>
          </cell>
          <cell r="H785" t="str">
            <v>0,00</v>
          </cell>
          <cell r="I785">
            <v>92400</v>
          </cell>
          <cell r="J785">
            <v>-92400</v>
          </cell>
        </row>
        <row r="786">
          <cell r="A786" t="str">
            <v>1.1.1.3.01.008978</v>
          </cell>
          <cell r="B786" t="str">
            <v>ITAJUBA CONSTRUCAO CIVIL E MECANICA LTDA</v>
          </cell>
          <cell r="C786" t="str">
            <v>80.000,00</v>
          </cell>
          <cell r="D786" t="str">
            <v>56.000,00</v>
          </cell>
          <cell r="E786" t="str">
            <v>0,00</v>
          </cell>
          <cell r="F786" t="str">
            <v>0,00</v>
          </cell>
          <cell r="G786" t="str">
            <v>24.000,00</v>
          </cell>
          <cell r="H786" t="str">
            <v>0,00</v>
          </cell>
          <cell r="I786">
            <v>24000</v>
          </cell>
          <cell r="J786">
            <v>-24000</v>
          </cell>
        </row>
        <row r="787">
          <cell r="A787" t="str">
            <v>1.1.1.3.01.008979</v>
          </cell>
          <cell r="B787" t="str">
            <v>RONDAFLEX LTDA</v>
          </cell>
          <cell r="C787" t="str">
            <v>37.023,67</v>
          </cell>
          <cell r="D787" t="str">
            <v>17.968,11</v>
          </cell>
          <cell r="E787" t="str">
            <v>2.250,00</v>
          </cell>
          <cell r="F787" t="str">
            <v>2.722,22</v>
          </cell>
          <cell r="G787" t="str">
            <v>18.583,34</v>
          </cell>
          <cell r="H787" t="str">
            <v>0,00</v>
          </cell>
          <cell r="I787">
            <v>18583.34</v>
          </cell>
          <cell r="J787">
            <v>-18583.34</v>
          </cell>
        </row>
        <row r="788">
          <cell r="A788" t="str">
            <v>1.1.1.3.01.008980</v>
          </cell>
          <cell r="B788" t="str">
            <v>AFFONSO GRAN LTDA</v>
          </cell>
          <cell r="C788" t="str">
            <v>120.000,00</v>
          </cell>
          <cell r="D788" t="str">
            <v>64.000,00</v>
          </cell>
          <cell r="E788" t="str">
            <v>0,00</v>
          </cell>
          <cell r="F788" t="str">
            <v>0,00</v>
          </cell>
          <cell r="G788" t="str">
            <v>56.000,00</v>
          </cell>
          <cell r="H788" t="str">
            <v>0,00</v>
          </cell>
          <cell r="I788">
            <v>56000</v>
          </cell>
          <cell r="J788">
            <v>-56000</v>
          </cell>
        </row>
        <row r="789">
          <cell r="A789" t="str">
            <v>1.1.1.3.01.008982</v>
          </cell>
          <cell r="B789" t="str">
            <v>MUNICIPIO DE HIDROLANDIA</v>
          </cell>
          <cell r="C789" t="str">
            <v>18.500,00</v>
          </cell>
          <cell r="D789" t="str">
            <v>0,00</v>
          </cell>
          <cell r="E789" t="str">
            <v>0,00</v>
          </cell>
          <cell r="F789" t="str">
            <v>0,00</v>
          </cell>
          <cell r="G789" t="str">
            <v>18.500,00</v>
          </cell>
          <cell r="H789" t="str">
            <v>0,00</v>
          </cell>
          <cell r="I789">
            <v>18500</v>
          </cell>
          <cell r="J789">
            <v>-18500</v>
          </cell>
        </row>
        <row r="790">
          <cell r="A790" t="str">
            <v>1.1.1.3.01.008993</v>
          </cell>
          <cell r="B790" t="str">
            <v>SCHEIDEGGER STONES MINERACAO E COMERCIO</v>
          </cell>
          <cell r="C790" t="str">
            <v>189.329,41</v>
          </cell>
          <cell r="D790" t="str">
            <v>124.829,41</v>
          </cell>
          <cell r="E790" t="str">
            <v>0,00</v>
          </cell>
          <cell r="F790" t="str">
            <v>25.500,00</v>
          </cell>
          <cell r="G790" t="str">
            <v>39.000,00</v>
          </cell>
          <cell r="H790" t="str">
            <v>0,00</v>
          </cell>
          <cell r="I790">
            <v>39000</v>
          </cell>
          <cell r="J790">
            <v>-39000</v>
          </cell>
        </row>
        <row r="791">
          <cell r="A791" t="str">
            <v>1.1.1.3.01.009001</v>
          </cell>
          <cell r="B791" t="str">
            <v>CODEFER CALDERARIA LTDA</v>
          </cell>
          <cell r="C791" t="str">
            <v>16.331,64</v>
          </cell>
          <cell r="D791" t="str">
            <v>11.774,69</v>
          </cell>
          <cell r="E791" t="str">
            <v>2.209,89</v>
          </cell>
          <cell r="F791" t="str">
            <v>2.209,89</v>
          </cell>
          <cell r="G791" t="str">
            <v>4.556,95</v>
          </cell>
          <cell r="H791" t="str">
            <v>0,00</v>
          </cell>
          <cell r="I791">
            <v>4556.95</v>
          </cell>
          <cell r="J791">
            <v>-4556.95</v>
          </cell>
        </row>
        <row r="792">
          <cell r="A792" t="str">
            <v>1.1.1.3.01.009009</v>
          </cell>
          <cell r="B792" t="str">
            <v>JOSE CARLOS KUBIT</v>
          </cell>
          <cell r="C792" t="str">
            <v>71.891,00</v>
          </cell>
          <cell r="D792" t="str">
            <v>72.000,00</v>
          </cell>
          <cell r="E792" t="str">
            <v>0,00</v>
          </cell>
          <cell r="F792" t="str">
            <v>0,00</v>
          </cell>
          <cell r="G792" t="str">
            <v>0,00</v>
          </cell>
          <cell r="H792" t="str">
            <v>109,00</v>
          </cell>
          <cell r="I792">
            <v>-109</v>
          </cell>
          <cell r="J792">
            <v>218</v>
          </cell>
        </row>
        <row r="793">
          <cell r="A793" t="str">
            <v>1.1.1.3.01.009032</v>
          </cell>
          <cell r="B793" t="str">
            <v>EXTRABASE MINERACAO LTDA</v>
          </cell>
          <cell r="C793" t="str">
            <v>684.000,00</v>
          </cell>
          <cell r="D793" t="str">
            <v>666.900,00</v>
          </cell>
          <cell r="E793" t="str">
            <v>0,00</v>
          </cell>
          <cell r="F793" t="str">
            <v>17.100,00</v>
          </cell>
          <cell r="G793" t="str">
            <v>0,00</v>
          </cell>
          <cell r="H793" t="str">
            <v>0,00</v>
          </cell>
          <cell r="I793">
            <v>0</v>
          </cell>
          <cell r="J793">
            <v>0</v>
          </cell>
        </row>
        <row r="794">
          <cell r="A794" t="str">
            <v>1.1.1.3.01.009048</v>
          </cell>
          <cell r="B794" t="str">
            <v>ARMANDO FELIX ALBULQUERQUE SANTOS</v>
          </cell>
          <cell r="C794" t="str">
            <v>4.959,31</v>
          </cell>
          <cell r="D794" t="str">
            <v>0,00</v>
          </cell>
          <cell r="E794" t="str">
            <v>0,00</v>
          </cell>
          <cell r="F794" t="str">
            <v>0,00</v>
          </cell>
          <cell r="G794" t="str">
            <v>4.959,31</v>
          </cell>
          <cell r="H794" t="str">
            <v>0,00</v>
          </cell>
          <cell r="I794">
            <v>4959.3100000000004</v>
          </cell>
          <cell r="J794">
            <v>-4959.3100000000004</v>
          </cell>
        </row>
        <row r="795">
          <cell r="A795" t="str">
            <v>1.1.1.3.01.009056</v>
          </cell>
          <cell r="B795" t="str">
            <v>JEFERSON RAFASKI THOMAZ</v>
          </cell>
          <cell r="C795" t="str">
            <v>0,00</v>
          </cell>
          <cell r="D795" t="str">
            <v>21.000,00</v>
          </cell>
          <cell r="E795" t="str">
            <v>0,00</v>
          </cell>
          <cell r="F795" t="str">
            <v>0,00</v>
          </cell>
          <cell r="G795" t="str">
            <v>0,00</v>
          </cell>
          <cell r="H795" t="str">
            <v>21.000,00</v>
          </cell>
          <cell r="I795">
            <v>-21000</v>
          </cell>
          <cell r="J795">
            <v>42000</v>
          </cell>
        </row>
        <row r="796">
          <cell r="A796" t="str">
            <v>1.1.1.3.01.009057</v>
          </cell>
          <cell r="B796" t="str">
            <v>WAGNER RIGHETTI</v>
          </cell>
          <cell r="C796" t="str">
            <v>36.500,00</v>
          </cell>
          <cell r="D796" t="str">
            <v>10.950,00</v>
          </cell>
          <cell r="E796" t="str">
            <v>0,00</v>
          </cell>
          <cell r="F796" t="str">
            <v>0,00</v>
          </cell>
          <cell r="G796" t="str">
            <v>25.550,00</v>
          </cell>
          <cell r="H796" t="str">
            <v>0,00</v>
          </cell>
          <cell r="I796">
            <v>25550</v>
          </cell>
          <cell r="J796">
            <v>-25550</v>
          </cell>
        </row>
        <row r="797">
          <cell r="A797" t="str">
            <v>1.1.1.3.01.009060</v>
          </cell>
          <cell r="B797" t="str">
            <v>BARRA MOTORES LTDA</v>
          </cell>
          <cell r="C797" t="str">
            <v>1.100,00</v>
          </cell>
          <cell r="D797" t="str">
            <v>1.100,00</v>
          </cell>
          <cell r="E797" t="str">
            <v>1.242,69</v>
          </cell>
          <cell r="F797" t="str">
            <v>0,00</v>
          </cell>
          <cell r="G797" t="str">
            <v>1.242,69</v>
          </cell>
          <cell r="H797" t="str">
            <v>0,00</v>
          </cell>
          <cell r="I797">
            <v>1242.69</v>
          </cell>
          <cell r="J797">
            <v>-1242.69</v>
          </cell>
        </row>
        <row r="798">
          <cell r="A798" t="str">
            <v>1.1.1.3.01.009072</v>
          </cell>
          <cell r="B798" t="str">
            <v>MAMERI EXPORT LTDA.</v>
          </cell>
          <cell r="C798" t="str">
            <v>174.933,33</v>
          </cell>
          <cell r="D798" t="str">
            <v>137.433,33</v>
          </cell>
          <cell r="E798" t="str">
            <v>0,00</v>
          </cell>
          <cell r="F798" t="str">
            <v>12.500,00</v>
          </cell>
          <cell r="G798" t="str">
            <v>25.000,00</v>
          </cell>
          <cell r="H798" t="str">
            <v>0,00</v>
          </cell>
          <cell r="I798">
            <v>25000</v>
          </cell>
          <cell r="J798">
            <v>-25000</v>
          </cell>
        </row>
        <row r="799">
          <cell r="A799" t="str">
            <v>1.1.1.3.01.009082</v>
          </cell>
          <cell r="B799" t="str">
            <v>RODRIGO RICCI</v>
          </cell>
          <cell r="C799" t="str">
            <v>359.837,47</v>
          </cell>
          <cell r="D799" t="str">
            <v>304.918,73</v>
          </cell>
          <cell r="E799" t="str">
            <v>0,00</v>
          </cell>
          <cell r="F799" t="str">
            <v>0,00</v>
          </cell>
          <cell r="G799" t="str">
            <v>54.918,74</v>
          </cell>
          <cell r="H799" t="str">
            <v>0,00</v>
          </cell>
          <cell r="I799">
            <v>54918.74</v>
          </cell>
          <cell r="J799">
            <v>-54918.74</v>
          </cell>
        </row>
        <row r="800">
          <cell r="A800" t="str">
            <v>1.1.1.3.01.009083</v>
          </cell>
          <cell r="B800" t="str">
            <v>GABRIEL OLIVEIRA RICCI</v>
          </cell>
          <cell r="C800" t="str">
            <v>359.837,47</v>
          </cell>
          <cell r="D800" t="str">
            <v>304.918,73</v>
          </cell>
          <cell r="E800" t="str">
            <v>0,00</v>
          </cell>
          <cell r="F800" t="str">
            <v>0,00</v>
          </cell>
          <cell r="G800" t="str">
            <v>54.918,74</v>
          </cell>
          <cell r="H800" t="str">
            <v>0,00</v>
          </cell>
          <cell r="I800">
            <v>54918.74</v>
          </cell>
          <cell r="J800">
            <v>-54918.74</v>
          </cell>
        </row>
        <row r="801">
          <cell r="A801" t="str">
            <v>1.1.1.3.01.009091</v>
          </cell>
          <cell r="B801" t="str">
            <v>ITERCELER LOGISTICA S/A</v>
          </cell>
          <cell r="C801" t="str">
            <v>39.380,50</v>
          </cell>
          <cell r="D801" t="str">
            <v>31.546,60</v>
          </cell>
          <cell r="E801" t="str">
            <v>0,00</v>
          </cell>
          <cell r="F801" t="str">
            <v>2.195,52</v>
          </cell>
          <cell r="G801" t="str">
            <v>5.638,38</v>
          </cell>
          <cell r="H801" t="str">
            <v>0,00</v>
          </cell>
          <cell r="I801">
            <v>5638.38</v>
          </cell>
          <cell r="J801">
            <v>-5638.38</v>
          </cell>
        </row>
        <row r="802">
          <cell r="A802" t="str">
            <v>1.1.1.3.01.009094</v>
          </cell>
          <cell r="B802" t="str">
            <v>TRANSPEDRA MINERACAO LTDA</v>
          </cell>
          <cell r="C802" t="str">
            <v>21.658,56</v>
          </cell>
          <cell r="D802" t="str">
            <v>15.228,71</v>
          </cell>
          <cell r="E802" t="str">
            <v>0,00</v>
          </cell>
          <cell r="F802" t="str">
            <v>3.214,93</v>
          </cell>
          <cell r="G802" t="str">
            <v>3.214,92</v>
          </cell>
          <cell r="H802" t="str">
            <v>0,00</v>
          </cell>
          <cell r="I802">
            <v>3214.92</v>
          </cell>
          <cell r="J802">
            <v>-3214.92</v>
          </cell>
        </row>
        <row r="803">
          <cell r="A803" t="str">
            <v>1.1.1.3.01.009104</v>
          </cell>
          <cell r="B803" t="str">
            <v>AGF BRASIL LOGISTICA E SERVICOS LTDA</v>
          </cell>
          <cell r="C803" t="str">
            <v>1.252.338,24</v>
          </cell>
          <cell r="D803" t="str">
            <v>1.192.738,24</v>
          </cell>
          <cell r="E803" t="str">
            <v>60.400,00</v>
          </cell>
          <cell r="F803" t="str">
            <v>102.200,00</v>
          </cell>
          <cell r="G803" t="str">
            <v>17.800,00</v>
          </cell>
          <cell r="H803" t="str">
            <v>0,00</v>
          </cell>
          <cell r="I803">
            <v>17800</v>
          </cell>
          <cell r="J803">
            <v>-17800</v>
          </cell>
        </row>
        <row r="804">
          <cell r="A804" t="str">
            <v>1.1.1.3.01.009134</v>
          </cell>
          <cell r="B804" t="str">
            <v>SUL EQUIPAMENTOS COMERCIO E SERVICOS LTDA</v>
          </cell>
          <cell r="C804" t="str">
            <v>3.384,27</v>
          </cell>
          <cell r="D804" t="str">
            <v>0,00</v>
          </cell>
          <cell r="E804" t="str">
            <v>0,00</v>
          </cell>
          <cell r="F804" t="str">
            <v>3.384,27</v>
          </cell>
          <cell r="G804" t="str">
            <v>0,00</v>
          </cell>
          <cell r="H804" t="str">
            <v>0,00</v>
          </cell>
          <cell r="I804">
            <v>0</v>
          </cell>
          <cell r="J804">
            <v>0</v>
          </cell>
        </row>
        <row r="805">
          <cell r="A805" t="str">
            <v>1.1.1.3.01.009140</v>
          </cell>
          <cell r="B805" t="str">
            <v>JOSE ROQUE COSTA E SILVA MONTEIRO</v>
          </cell>
          <cell r="C805" t="str">
            <v>0,00</v>
          </cell>
          <cell r="D805" t="str">
            <v>0,00</v>
          </cell>
          <cell r="E805" t="str">
            <v>1.453,73</v>
          </cell>
          <cell r="F805" t="str">
            <v>0,00</v>
          </cell>
          <cell r="G805" t="str">
            <v>1.453,73</v>
          </cell>
          <cell r="H805" t="str">
            <v>0,00</v>
          </cell>
          <cell r="I805">
            <v>1453.73</v>
          </cell>
          <cell r="J805">
            <v>-1453.73</v>
          </cell>
        </row>
        <row r="806">
          <cell r="A806" t="str">
            <v>1.1.1.3.01.009191</v>
          </cell>
          <cell r="B806" t="str">
            <v>ADILSON LUIZ ZOTTELE</v>
          </cell>
          <cell r="C806" t="str">
            <v>73.441,49</v>
          </cell>
          <cell r="D806" t="str">
            <v>33.441,49</v>
          </cell>
          <cell r="E806" t="str">
            <v>0,00</v>
          </cell>
          <cell r="F806" t="str">
            <v>0,00</v>
          </cell>
          <cell r="G806" t="str">
            <v>40.000,00</v>
          </cell>
          <cell r="H806" t="str">
            <v>0,00</v>
          </cell>
          <cell r="I806">
            <v>40000</v>
          </cell>
          <cell r="J806">
            <v>-40000</v>
          </cell>
        </row>
        <row r="807">
          <cell r="A807" t="str">
            <v>1.1.1.3.01.009220</v>
          </cell>
          <cell r="B807" t="str">
            <v>LINHARES LOCACOES DE GUINDASTE  LTDA</v>
          </cell>
          <cell r="C807" t="str">
            <v>5.251,94</v>
          </cell>
          <cell r="D807" t="str">
            <v>5.251,94</v>
          </cell>
          <cell r="E807" t="str">
            <v>1.461,76</v>
          </cell>
          <cell r="F807" t="str">
            <v>0,00</v>
          </cell>
          <cell r="G807" t="str">
            <v>1.461,76</v>
          </cell>
          <cell r="H807" t="str">
            <v>0,00</v>
          </cell>
          <cell r="I807">
            <v>1461.76</v>
          </cell>
          <cell r="J807">
            <v>-1461.76</v>
          </cell>
        </row>
        <row r="808">
          <cell r="A808" t="str">
            <v>1.1.1.3.01.009222</v>
          </cell>
          <cell r="B808" t="str">
            <v>PARANA DRILL COMERCIO DE EQUIPAMENTOS</v>
          </cell>
          <cell r="C808" t="str">
            <v>1.807,73</v>
          </cell>
          <cell r="D808" t="str">
            <v>0,00</v>
          </cell>
          <cell r="E808" t="str">
            <v>0,00</v>
          </cell>
          <cell r="F808" t="str">
            <v>0,00</v>
          </cell>
          <cell r="G808" t="str">
            <v>1.807,73</v>
          </cell>
          <cell r="H808" t="str">
            <v>0,00</v>
          </cell>
          <cell r="I808">
            <v>1807.73</v>
          </cell>
          <cell r="J808">
            <v>-1807.73</v>
          </cell>
        </row>
        <row r="809">
          <cell r="A809" t="str">
            <v>1.1.1.3.01.009226</v>
          </cell>
          <cell r="B809" t="str">
            <v>W ALVES PECAS E MANUTENCAO PESADAS  LTDA</v>
          </cell>
          <cell r="C809" t="str">
            <v>1.202,36</v>
          </cell>
          <cell r="D809" t="str">
            <v>0,00</v>
          </cell>
          <cell r="E809" t="str">
            <v>0,00</v>
          </cell>
          <cell r="F809" t="str">
            <v>0,00</v>
          </cell>
          <cell r="G809" t="str">
            <v>1.202,36</v>
          </cell>
          <cell r="H809" t="str">
            <v>0,00</v>
          </cell>
          <cell r="I809">
            <v>1202.3599999999999</v>
          </cell>
          <cell r="J809">
            <v>-1202.3599999999999</v>
          </cell>
        </row>
        <row r="810">
          <cell r="A810" t="str">
            <v>1.1.1.3.01.009227</v>
          </cell>
          <cell r="B810" t="str">
            <v>VALLE SUL PAVIMENTACAO E MINERACAO LTDA</v>
          </cell>
          <cell r="C810" t="str">
            <v>31.581,51</v>
          </cell>
          <cell r="D810" t="str">
            <v>29.128,26</v>
          </cell>
          <cell r="E810" t="str">
            <v>0,00</v>
          </cell>
          <cell r="F810" t="str">
            <v>0,00</v>
          </cell>
          <cell r="G810" t="str">
            <v>2.453,25</v>
          </cell>
          <cell r="H810" t="str">
            <v>0,00</v>
          </cell>
          <cell r="I810">
            <v>2453.25</v>
          </cell>
          <cell r="J810">
            <v>-2453.25</v>
          </cell>
        </row>
        <row r="811">
          <cell r="A811" t="str">
            <v>1.1.1.3.01.009229</v>
          </cell>
          <cell r="B811" t="str">
            <v>JRC COMERCIO DE PECAS AUTOMOTORES E SERV</v>
          </cell>
          <cell r="C811" t="str">
            <v>5.096,87</v>
          </cell>
          <cell r="D811" t="str">
            <v>3.833,32</v>
          </cell>
          <cell r="E811" t="str">
            <v>0,00</v>
          </cell>
          <cell r="F811" t="str">
            <v>0,00</v>
          </cell>
          <cell r="G811" t="str">
            <v>1.263,55</v>
          </cell>
          <cell r="H811" t="str">
            <v>0,00</v>
          </cell>
          <cell r="I811">
            <v>1263.55</v>
          </cell>
          <cell r="J811">
            <v>-1263.55</v>
          </cell>
        </row>
        <row r="812">
          <cell r="A812" t="str">
            <v>1.1.1.3.01.009233</v>
          </cell>
          <cell r="B812" t="str">
            <v>DAVID MARIANO DA FRANCA CARDOSO</v>
          </cell>
          <cell r="C812" t="str">
            <v>7.800,00</v>
          </cell>
          <cell r="D812" t="str">
            <v>0,00</v>
          </cell>
          <cell r="E812" t="str">
            <v>0,00</v>
          </cell>
          <cell r="F812" t="str">
            <v>0,00</v>
          </cell>
          <cell r="G812" t="str">
            <v>7.800,00</v>
          </cell>
          <cell r="H812" t="str">
            <v>0,00</v>
          </cell>
          <cell r="I812">
            <v>7800</v>
          </cell>
          <cell r="J812">
            <v>-7800</v>
          </cell>
        </row>
        <row r="813">
          <cell r="A813" t="str">
            <v>1.1.1.3.01.009234</v>
          </cell>
          <cell r="B813" t="str">
            <v>ARMAC LOCACAO LOGISTICA E SERVIÇOS .</v>
          </cell>
          <cell r="C813" t="str">
            <v>0,00</v>
          </cell>
          <cell r="D813" t="str">
            <v>4.900,00</v>
          </cell>
          <cell r="E813" t="str">
            <v>0,00</v>
          </cell>
          <cell r="F813" t="str">
            <v>0,00</v>
          </cell>
          <cell r="G813" t="str">
            <v>0,00</v>
          </cell>
          <cell r="H813" t="str">
            <v>4.900,00</v>
          </cell>
          <cell r="I813">
            <v>-4900</v>
          </cell>
          <cell r="J813">
            <v>9800</v>
          </cell>
        </row>
        <row r="814">
          <cell r="A814" t="str">
            <v>1.1.1.3.01.009238</v>
          </cell>
          <cell r="B814" t="str">
            <v>MINERAÇÃO IMPERIO STONES LTDA - EPP</v>
          </cell>
          <cell r="C814" t="str">
            <v>567,10</v>
          </cell>
          <cell r="D814" t="str">
            <v>0,00</v>
          </cell>
          <cell r="E814" t="str">
            <v>0,00</v>
          </cell>
          <cell r="F814" t="str">
            <v>0,00</v>
          </cell>
          <cell r="G814" t="str">
            <v>567,10</v>
          </cell>
          <cell r="H814" t="str">
            <v>0,00</v>
          </cell>
          <cell r="I814">
            <v>567.1</v>
          </cell>
          <cell r="J814">
            <v>-567.1</v>
          </cell>
        </row>
        <row r="815">
          <cell r="A815" t="str">
            <v>1.1.1.3.01.009245</v>
          </cell>
          <cell r="B815" t="str">
            <v>J DANTAS S/A ENGENHARIA E CONSTRUCOES</v>
          </cell>
          <cell r="C815" t="str">
            <v>176.138,58</v>
          </cell>
          <cell r="D815" t="str">
            <v>153.304,60</v>
          </cell>
          <cell r="E815" t="str">
            <v>0,00</v>
          </cell>
          <cell r="F815" t="str">
            <v>13.177,76</v>
          </cell>
          <cell r="G815" t="str">
            <v>9.656,22</v>
          </cell>
          <cell r="H815" t="str">
            <v>0,00</v>
          </cell>
          <cell r="I815">
            <v>9656.2199999999993</v>
          </cell>
          <cell r="J815">
            <v>-9656.2199999999993</v>
          </cell>
        </row>
        <row r="816">
          <cell r="A816" t="str">
            <v>1.1.1.3.01.009246</v>
          </cell>
          <cell r="B816" t="str">
            <v>NATURAL CLEAN LTDA</v>
          </cell>
          <cell r="C816" t="str">
            <v>946,98</v>
          </cell>
          <cell r="D816" t="str">
            <v>626,98</v>
          </cell>
          <cell r="E816" t="str">
            <v>0,00</v>
          </cell>
          <cell r="F816" t="str">
            <v>0,00</v>
          </cell>
          <cell r="G816" t="str">
            <v>320,00</v>
          </cell>
          <cell r="H816" t="str">
            <v>0,00</v>
          </cell>
          <cell r="I816">
            <v>320</v>
          </cell>
          <cell r="J816">
            <v>-320</v>
          </cell>
        </row>
        <row r="817">
          <cell r="A817" t="str">
            <v>1.1.1.3.01.009247</v>
          </cell>
          <cell r="B817" t="str">
            <v>CALCARIO MILENIUM LTDA</v>
          </cell>
          <cell r="C817" t="str">
            <v>781.633,03</v>
          </cell>
          <cell r="D817" t="str">
            <v>556.633,03</v>
          </cell>
          <cell r="E817" t="str">
            <v>0,00</v>
          </cell>
          <cell r="F817" t="str">
            <v>50.000,00</v>
          </cell>
          <cell r="G817" t="str">
            <v>175.000,00</v>
          </cell>
          <cell r="H817" t="str">
            <v>0,00</v>
          </cell>
          <cell r="I817">
            <v>175000</v>
          </cell>
          <cell r="J817">
            <v>-175000</v>
          </cell>
        </row>
        <row r="818">
          <cell r="A818" t="str">
            <v>1.1.1.3.01.009250</v>
          </cell>
          <cell r="B818" t="str">
            <v>MINERACAO CORREGO AZUL</v>
          </cell>
          <cell r="C818" t="str">
            <v>732,79</v>
          </cell>
          <cell r="D818" t="str">
            <v>500,34</v>
          </cell>
          <cell r="E818" t="str">
            <v>0,00</v>
          </cell>
          <cell r="F818" t="str">
            <v>0,00</v>
          </cell>
          <cell r="G818" t="str">
            <v>232,45</v>
          </cell>
          <cell r="H818" t="str">
            <v>0,00</v>
          </cell>
          <cell r="I818">
            <v>232.45</v>
          </cell>
          <cell r="J818">
            <v>-232.45</v>
          </cell>
        </row>
        <row r="819">
          <cell r="A819" t="str">
            <v>1.1.1.3.01.009254</v>
          </cell>
          <cell r="B819" t="str">
            <v>MECUS SUBSEA ENG E MAN SUBMARINA LTDA</v>
          </cell>
          <cell r="C819" t="str">
            <v>481.438,97</v>
          </cell>
          <cell r="D819" t="str">
            <v>452.688,97</v>
          </cell>
          <cell r="E819" t="str">
            <v>0,00</v>
          </cell>
          <cell r="F819" t="str">
            <v>0,00</v>
          </cell>
          <cell r="G819" t="str">
            <v>28.750,00</v>
          </cell>
          <cell r="H819" t="str">
            <v>0,00</v>
          </cell>
          <cell r="I819">
            <v>28750</v>
          </cell>
          <cell r="J819">
            <v>-28750</v>
          </cell>
        </row>
        <row r="820">
          <cell r="A820" t="str">
            <v>1.1.1.3.01.009255</v>
          </cell>
          <cell r="B820" t="str">
            <v>J V F SIVEIRA LOCACAO E SERVICOS</v>
          </cell>
          <cell r="C820" t="str">
            <v>3.418,58</v>
          </cell>
          <cell r="D820" t="str">
            <v>1.599,95</v>
          </cell>
          <cell r="E820" t="str">
            <v>0,00</v>
          </cell>
          <cell r="F820" t="str">
            <v>0,00</v>
          </cell>
          <cell r="G820" t="str">
            <v>1.818,63</v>
          </cell>
          <cell r="H820" t="str">
            <v>0,00</v>
          </cell>
          <cell r="I820">
            <v>1818.63</v>
          </cell>
          <cell r="J820">
            <v>-1818.63</v>
          </cell>
        </row>
        <row r="821">
          <cell r="A821" t="str">
            <v>1.1.1.3.01.009256</v>
          </cell>
          <cell r="B821" t="str">
            <v>G. B. PEREIRA ENGENHARIA</v>
          </cell>
          <cell r="C821" t="str">
            <v>103.119,24</v>
          </cell>
          <cell r="D821" t="str">
            <v>98.119,24</v>
          </cell>
          <cell r="E821" t="str">
            <v>0,00</v>
          </cell>
          <cell r="F821" t="str">
            <v>0,00</v>
          </cell>
          <cell r="G821" t="str">
            <v>5.000,00</v>
          </cell>
          <cell r="H821" t="str">
            <v>0,00</v>
          </cell>
          <cell r="I821">
            <v>5000</v>
          </cell>
          <cell r="J821">
            <v>-5000</v>
          </cell>
        </row>
        <row r="822">
          <cell r="A822" t="str">
            <v>1.1.1.3.01.009257</v>
          </cell>
          <cell r="B822" t="str">
            <v>FORTALEZA ROCHAS ORNAMENTAIS LTDA - ME</v>
          </cell>
          <cell r="C822" t="str">
            <v>67.000,00</v>
          </cell>
          <cell r="D822" t="str">
            <v>51.000,00</v>
          </cell>
          <cell r="E822" t="str">
            <v>0,00</v>
          </cell>
          <cell r="F822" t="str">
            <v>0,00</v>
          </cell>
          <cell r="G822" t="str">
            <v>16.000,00</v>
          </cell>
          <cell r="H822" t="str">
            <v>0,00</v>
          </cell>
          <cell r="I822">
            <v>16000</v>
          </cell>
          <cell r="J822">
            <v>-16000</v>
          </cell>
        </row>
        <row r="823">
          <cell r="A823" t="str">
            <v>1.1.1.3.01.009260</v>
          </cell>
          <cell r="B823" t="str">
            <v>JORGE BASILIO E OUTROS</v>
          </cell>
          <cell r="C823" t="str">
            <v>103.000,00</v>
          </cell>
          <cell r="D823" t="str">
            <v>79.900,00</v>
          </cell>
          <cell r="E823" t="str">
            <v>0,00</v>
          </cell>
          <cell r="F823" t="str">
            <v>1.820,00</v>
          </cell>
          <cell r="G823" t="str">
            <v>21.280,00</v>
          </cell>
          <cell r="H823" t="str">
            <v>0,00</v>
          </cell>
          <cell r="I823">
            <v>21280</v>
          </cell>
          <cell r="J823">
            <v>-21280</v>
          </cell>
        </row>
        <row r="824">
          <cell r="A824" t="str">
            <v>1.1.1.3.01.009261</v>
          </cell>
          <cell r="B824" t="str">
            <v>IVOLZIR BEDIN</v>
          </cell>
          <cell r="C824" t="str">
            <v>56.319,49</v>
          </cell>
          <cell r="D824" t="str">
            <v>29.519,49</v>
          </cell>
          <cell r="E824" t="str">
            <v>0,00</v>
          </cell>
          <cell r="F824" t="str">
            <v>0,00</v>
          </cell>
          <cell r="G824" t="str">
            <v>26.800,00</v>
          </cell>
          <cell r="H824" t="str">
            <v>0,00</v>
          </cell>
          <cell r="I824">
            <v>26800</v>
          </cell>
          <cell r="J824">
            <v>-26800</v>
          </cell>
        </row>
        <row r="825">
          <cell r="A825" t="str">
            <v>1.1.1.3.01.009265</v>
          </cell>
          <cell r="B825" t="str">
            <v>DAVID MARIANO CURSINO DA FRANCA CARDOSO</v>
          </cell>
          <cell r="C825" t="str">
            <v>65.000,00</v>
          </cell>
          <cell r="D825" t="str">
            <v>130.000,00</v>
          </cell>
          <cell r="E825" t="str">
            <v>0,00</v>
          </cell>
          <cell r="F825" t="str">
            <v>0,00</v>
          </cell>
          <cell r="G825" t="str">
            <v>0,00</v>
          </cell>
          <cell r="H825" t="str">
            <v>65.000,00</v>
          </cell>
          <cell r="I825">
            <v>-65000</v>
          </cell>
          <cell r="J825">
            <v>130000</v>
          </cell>
        </row>
        <row r="826">
          <cell r="A826" t="str">
            <v>1.1.1.3.01.009266</v>
          </cell>
          <cell r="B826" t="str">
            <v>ARMAC LOCACOES LOGISTICA E SERVICOS</v>
          </cell>
          <cell r="C826" t="str">
            <v>8.976,84</v>
          </cell>
          <cell r="D826" t="str">
            <v>7.406,04</v>
          </cell>
          <cell r="E826" t="str">
            <v>0,00</v>
          </cell>
          <cell r="F826" t="str">
            <v>0,00</v>
          </cell>
          <cell r="G826" t="str">
            <v>1.570,80</v>
          </cell>
          <cell r="H826" t="str">
            <v>0,00</v>
          </cell>
          <cell r="I826">
            <v>1570.8</v>
          </cell>
          <cell r="J826">
            <v>-1570.8</v>
          </cell>
        </row>
        <row r="827">
          <cell r="A827" t="str">
            <v>1.1.1.3.01.009268</v>
          </cell>
          <cell r="B827" t="str">
            <v>FELIPE ROBERTO ROLIM VIEIRA</v>
          </cell>
          <cell r="C827" t="str">
            <v>19.000,00</v>
          </cell>
          <cell r="D827" t="str">
            <v>0,00</v>
          </cell>
          <cell r="E827" t="str">
            <v>0,00</v>
          </cell>
          <cell r="F827" t="str">
            <v>0,00</v>
          </cell>
          <cell r="G827" t="str">
            <v>19.000,00</v>
          </cell>
          <cell r="H827" t="str">
            <v>0,00</v>
          </cell>
          <cell r="I827">
            <v>19000</v>
          </cell>
          <cell r="J827">
            <v>-19000</v>
          </cell>
        </row>
        <row r="828">
          <cell r="A828" t="str">
            <v>1.1.1.3.01.009269</v>
          </cell>
          <cell r="B828" t="str">
            <v>MINERACAO IGUACU LTDA</v>
          </cell>
          <cell r="C828" t="str">
            <v>125.000,00</v>
          </cell>
          <cell r="D828" t="str">
            <v>100.000,00</v>
          </cell>
          <cell r="E828" t="str">
            <v>0,00</v>
          </cell>
          <cell r="F828" t="str">
            <v>25.000,00</v>
          </cell>
          <cell r="G828" t="str">
            <v>0,00</v>
          </cell>
          <cell r="H828" t="str">
            <v>0,00</v>
          </cell>
          <cell r="I828">
            <v>0</v>
          </cell>
          <cell r="J828">
            <v>0</v>
          </cell>
        </row>
        <row r="829">
          <cell r="A829" t="str">
            <v>1.1.1.3.01.009271</v>
          </cell>
          <cell r="B829" t="str">
            <v>NOROMIX CONCRETO SA</v>
          </cell>
          <cell r="C829" t="str">
            <v>6.359,10</v>
          </cell>
          <cell r="D829" t="str">
            <v>5.808,57</v>
          </cell>
          <cell r="E829" t="str">
            <v>0,00</v>
          </cell>
          <cell r="F829" t="str">
            <v>550,53</v>
          </cell>
          <cell r="G829" t="str">
            <v>0,00</v>
          </cell>
          <cell r="H829" t="str">
            <v>0,00</v>
          </cell>
          <cell r="I829">
            <v>0</v>
          </cell>
          <cell r="J829">
            <v>0</v>
          </cell>
        </row>
        <row r="830">
          <cell r="A830" t="str">
            <v>1.1.1.3.01.009275</v>
          </cell>
          <cell r="B830" t="str">
            <v>TR EMPREENDIMENTOS LTDA</v>
          </cell>
          <cell r="C830" t="str">
            <v>45.000,00</v>
          </cell>
          <cell r="D830" t="str">
            <v>35.000,00</v>
          </cell>
          <cell r="E830" t="str">
            <v>0,00</v>
          </cell>
          <cell r="F830" t="str">
            <v>0,00</v>
          </cell>
          <cell r="G830" t="str">
            <v>10.000,00</v>
          </cell>
          <cell r="H830" t="str">
            <v>0,00</v>
          </cell>
          <cell r="I830">
            <v>10000</v>
          </cell>
          <cell r="J830">
            <v>-10000</v>
          </cell>
        </row>
        <row r="831">
          <cell r="A831" t="str">
            <v>1.1.1.3.01.009276</v>
          </cell>
          <cell r="B831" t="str">
            <v>WS FUNDACOES E CONSTRUCOES LTDA</v>
          </cell>
          <cell r="C831" t="str">
            <v>19.500,00</v>
          </cell>
          <cell r="D831" t="str">
            <v>0,00</v>
          </cell>
          <cell r="E831" t="str">
            <v>0,00</v>
          </cell>
          <cell r="F831" t="str">
            <v>0,00</v>
          </cell>
          <cell r="G831" t="str">
            <v>19.500,00</v>
          </cell>
          <cell r="H831" t="str">
            <v>0,00</v>
          </cell>
          <cell r="I831">
            <v>19500</v>
          </cell>
          <cell r="J831">
            <v>-19500</v>
          </cell>
        </row>
        <row r="832">
          <cell r="A832" t="str">
            <v>1.1.1.3.01.009278</v>
          </cell>
          <cell r="B832" t="str">
            <v>GDMBRASIL GEOLOGIA</v>
          </cell>
          <cell r="C832" t="str">
            <v>190.000,00</v>
          </cell>
          <cell r="D832" t="str">
            <v>167.540,00</v>
          </cell>
          <cell r="E832" t="str">
            <v>0,00</v>
          </cell>
          <cell r="F832" t="str">
            <v>11.230,00</v>
          </cell>
          <cell r="G832" t="str">
            <v>11.230,00</v>
          </cell>
          <cell r="H832" t="str">
            <v>0,00</v>
          </cell>
          <cell r="I832">
            <v>11230</v>
          </cell>
          <cell r="J832">
            <v>-11230</v>
          </cell>
        </row>
        <row r="833">
          <cell r="A833" t="str">
            <v>1.1.1.3.01.009280</v>
          </cell>
          <cell r="B833" t="str">
            <v>BS2G CONSULTORIA LTDA</v>
          </cell>
          <cell r="C833" t="str">
            <v>51.901,88</v>
          </cell>
          <cell r="D833" t="str">
            <v>18.901,88</v>
          </cell>
          <cell r="E833" t="str">
            <v>0,00</v>
          </cell>
          <cell r="F833" t="str">
            <v>0,00</v>
          </cell>
          <cell r="G833" t="str">
            <v>33.000,00</v>
          </cell>
          <cell r="H833" t="str">
            <v>0,00</v>
          </cell>
          <cell r="I833">
            <v>33000</v>
          </cell>
          <cell r="J833">
            <v>-33000</v>
          </cell>
        </row>
        <row r="834">
          <cell r="A834" t="str">
            <v>1.1.1.3.01.009281</v>
          </cell>
          <cell r="B834" t="str">
            <v>EDUARDO SANTIN TOMÉ</v>
          </cell>
          <cell r="C834" t="str">
            <v>40.000,00</v>
          </cell>
          <cell r="D834" t="str">
            <v>0,00</v>
          </cell>
          <cell r="E834" t="str">
            <v>0,00</v>
          </cell>
          <cell r="F834" t="str">
            <v>0,00</v>
          </cell>
          <cell r="G834" t="str">
            <v>40.000,00</v>
          </cell>
          <cell r="H834" t="str">
            <v>0,00</v>
          </cell>
          <cell r="I834">
            <v>40000</v>
          </cell>
          <cell r="J834">
            <v>-40000</v>
          </cell>
        </row>
        <row r="835">
          <cell r="A835" t="str">
            <v>1.1.1.3.01.009287</v>
          </cell>
          <cell r="B835" t="str">
            <v>LUIZAO TERRAPLENAGEM LTDA</v>
          </cell>
          <cell r="C835" t="str">
            <v>49.314,40</v>
          </cell>
          <cell r="D835" t="str">
            <v>26.500,00</v>
          </cell>
          <cell r="E835" t="str">
            <v>0,00</v>
          </cell>
          <cell r="F835" t="str">
            <v>0,00</v>
          </cell>
          <cell r="G835" t="str">
            <v>22.814,40</v>
          </cell>
          <cell r="H835" t="str">
            <v>0,00</v>
          </cell>
          <cell r="I835">
            <v>22814.400000000001</v>
          </cell>
          <cell r="J835">
            <v>-22814.400000000001</v>
          </cell>
        </row>
        <row r="836">
          <cell r="A836" t="str">
            <v>1.1.1.3.01.009288</v>
          </cell>
          <cell r="B836" t="str">
            <v>ARQUITERRA USINA DE ASFALTO LTDA</v>
          </cell>
          <cell r="C836" t="str">
            <v>135.000,00</v>
          </cell>
          <cell r="D836" t="str">
            <v>131.500,00</v>
          </cell>
          <cell r="E836" t="str">
            <v>0,00</v>
          </cell>
          <cell r="F836" t="str">
            <v>3.500,00</v>
          </cell>
          <cell r="G836" t="str">
            <v>0,00</v>
          </cell>
          <cell r="H836" t="str">
            <v>0,00</v>
          </cell>
          <cell r="I836">
            <v>0</v>
          </cell>
          <cell r="J836">
            <v>0</v>
          </cell>
        </row>
        <row r="837">
          <cell r="A837" t="str">
            <v>1.1.1.3.01.009295</v>
          </cell>
          <cell r="B837" t="str">
            <v>MEANI MINERACAO LTDA</v>
          </cell>
          <cell r="C837" t="str">
            <v>8.122,33</v>
          </cell>
          <cell r="D837" t="str">
            <v>5.414,90</v>
          </cell>
          <cell r="E837" t="str">
            <v>0,00</v>
          </cell>
          <cell r="F837" t="str">
            <v>2.707,43</v>
          </cell>
          <cell r="G837" t="str">
            <v>0,00</v>
          </cell>
          <cell r="H837" t="str">
            <v>0,00</v>
          </cell>
          <cell r="I837">
            <v>0</v>
          </cell>
          <cell r="J837">
            <v>0</v>
          </cell>
        </row>
        <row r="838">
          <cell r="A838" t="str">
            <v>1.1.1.3.01.00930</v>
          </cell>
          <cell r="B838" t="str">
            <v>JC NEWS COMERCIAL ELETRONICA LTDA</v>
          </cell>
          <cell r="C838" t="str">
            <v>8.681,94</v>
          </cell>
          <cell r="D838" t="str">
            <v>6.803,12</v>
          </cell>
          <cell r="E838" t="str">
            <v>0,00</v>
          </cell>
          <cell r="F838" t="str">
            <v>1.878,82</v>
          </cell>
          <cell r="G838" t="str">
            <v>0,00</v>
          </cell>
          <cell r="H838" t="str">
            <v>0,00</v>
          </cell>
          <cell r="I838">
            <v>0</v>
          </cell>
          <cell r="J838">
            <v>0</v>
          </cell>
        </row>
        <row r="839">
          <cell r="A839" t="str">
            <v>1.1.1.3.01.009302</v>
          </cell>
          <cell r="B839" t="str">
            <v>CONSTRUTORA MATTEDI LTDA</v>
          </cell>
          <cell r="C839" t="str">
            <v>131.999,99</v>
          </cell>
          <cell r="D839" t="str">
            <v>129.000,00</v>
          </cell>
          <cell r="E839" t="str">
            <v>0,00</v>
          </cell>
          <cell r="F839" t="str">
            <v>1.500,00</v>
          </cell>
          <cell r="G839" t="str">
            <v>1.499,99</v>
          </cell>
          <cell r="H839" t="str">
            <v>0,00</v>
          </cell>
          <cell r="I839">
            <v>1499.99</v>
          </cell>
          <cell r="J839">
            <v>-1499.99</v>
          </cell>
        </row>
        <row r="840">
          <cell r="A840" t="str">
            <v>1.1.1.3.01.009303</v>
          </cell>
          <cell r="B840" t="str">
            <v>DE PAULA &amp; CIA LTDA</v>
          </cell>
          <cell r="C840" t="str">
            <v>126.749,95</v>
          </cell>
          <cell r="D840" t="str">
            <v>114.544,98</v>
          </cell>
          <cell r="E840" t="str">
            <v>0,00</v>
          </cell>
          <cell r="F840" t="str">
            <v>12.204,97</v>
          </cell>
          <cell r="G840" t="str">
            <v>0,00</v>
          </cell>
          <cell r="H840" t="str">
            <v>0,00</v>
          </cell>
          <cell r="I840">
            <v>0</v>
          </cell>
          <cell r="J840">
            <v>0</v>
          </cell>
        </row>
        <row r="841">
          <cell r="A841" t="str">
            <v>1.1.1.3.01.009308</v>
          </cell>
          <cell r="B841" t="str">
            <v>MULTI SOLUCOES INTEGRADAS LTDA</v>
          </cell>
          <cell r="C841" t="str">
            <v>74.994,80</v>
          </cell>
          <cell r="D841" t="str">
            <v>45.364,80</v>
          </cell>
          <cell r="E841" t="str">
            <v>0,00</v>
          </cell>
          <cell r="F841" t="str">
            <v>4.185,00</v>
          </cell>
          <cell r="G841" t="str">
            <v>25.445,00</v>
          </cell>
          <cell r="H841" t="str">
            <v>0,00</v>
          </cell>
          <cell r="I841">
            <v>25445</v>
          </cell>
          <cell r="J841">
            <v>-25445</v>
          </cell>
        </row>
        <row r="842">
          <cell r="A842" t="str">
            <v>1.1.1.3.01.009310</v>
          </cell>
          <cell r="B842" t="str">
            <v>G.M.C MATERIAIS PARA CONSTRUCAO LTDA</v>
          </cell>
          <cell r="C842" t="str">
            <v>32.000,00</v>
          </cell>
          <cell r="D842" t="str">
            <v>29.400,00</v>
          </cell>
          <cell r="E842" t="str">
            <v>0,00</v>
          </cell>
          <cell r="F842" t="str">
            <v>2.600,00</v>
          </cell>
          <cell r="G842" t="str">
            <v>0,00</v>
          </cell>
          <cell r="H842" t="str">
            <v>0,00</v>
          </cell>
          <cell r="I842">
            <v>0</v>
          </cell>
          <cell r="J842">
            <v>0</v>
          </cell>
        </row>
        <row r="843">
          <cell r="A843" t="str">
            <v>1.1.1.3.01.009313</v>
          </cell>
          <cell r="B843" t="str">
            <v>LOI ROBERTO CONSTRUTORA LTDA</v>
          </cell>
          <cell r="C843" t="str">
            <v>43.000,00</v>
          </cell>
          <cell r="D843" t="str">
            <v>38.700,00</v>
          </cell>
          <cell r="E843" t="str">
            <v>0,00</v>
          </cell>
          <cell r="F843" t="str">
            <v>4.300,00</v>
          </cell>
          <cell r="G843" t="str">
            <v>0,00</v>
          </cell>
          <cell r="H843" t="str">
            <v>0,00</v>
          </cell>
          <cell r="I843">
            <v>0</v>
          </cell>
          <cell r="J843">
            <v>0</v>
          </cell>
        </row>
        <row r="844">
          <cell r="A844" t="str">
            <v>1.1.1.3.01.009314</v>
          </cell>
          <cell r="B844" t="str">
            <v>T.F. EQUIPAMENTOS LOCACOES E SERVICOS LT</v>
          </cell>
          <cell r="C844" t="str">
            <v>42.000,00</v>
          </cell>
          <cell r="D844" t="str">
            <v>38.800,00</v>
          </cell>
          <cell r="E844" t="str">
            <v>0,00</v>
          </cell>
          <cell r="F844" t="str">
            <v>3.200,00</v>
          </cell>
          <cell r="G844" t="str">
            <v>0,00</v>
          </cell>
          <cell r="H844" t="str">
            <v>0,00</v>
          </cell>
          <cell r="I844">
            <v>0</v>
          </cell>
          <cell r="J844">
            <v>0</v>
          </cell>
        </row>
        <row r="845">
          <cell r="A845" t="str">
            <v>1.1.1.3.01.009315</v>
          </cell>
          <cell r="B845" t="str">
            <v>TERRA MINAS TERRAPLENAGEM</v>
          </cell>
          <cell r="C845" t="str">
            <v>216.295,32</v>
          </cell>
          <cell r="D845" t="str">
            <v>190.295,32</v>
          </cell>
          <cell r="E845" t="str">
            <v>0,00</v>
          </cell>
          <cell r="F845" t="str">
            <v>26.000,00</v>
          </cell>
          <cell r="G845" t="str">
            <v>0,00</v>
          </cell>
          <cell r="H845" t="str">
            <v>0,00</v>
          </cell>
          <cell r="I845">
            <v>0</v>
          </cell>
          <cell r="J845">
            <v>0</v>
          </cell>
        </row>
        <row r="846">
          <cell r="A846" t="str">
            <v>1.1.1.3.01.009317</v>
          </cell>
          <cell r="B846" t="str">
            <v>SAMPA SANEAMENTO AMBIENTAL LTDA</v>
          </cell>
          <cell r="C846" t="str">
            <v>44.000,00</v>
          </cell>
          <cell r="D846" t="str">
            <v>37.200,00</v>
          </cell>
          <cell r="E846" t="str">
            <v>0,00</v>
          </cell>
          <cell r="F846" t="str">
            <v>3.400,00</v>
          </cell>
          <cell r="G846" t="str">
            <v>3.400,00</v>
          </cell>
          <cell r="H846" t="str">
            <v>0,00</v>
          </cell>
          <cell r="I846">
            <v>3400</v>
          </cell>
          <cell r="J846">
            <v>-3400</v>
          </cell>
        </row>
        <row r="847">
          <cell r="A847" t="str">
            <v>1.1.1.3.01.009318</v>
          </cell>
          <cell r="B847" t="str">
            <v>AGRO - ROQUE SERVICOS E LOCACAO LTDA</v>
          </cell>
          <cell r="C847" t="str">
            <v>747.998,98</v>
          </cell>
          <cell r="D847" t="str">
            <v>531.040,00</v>
          </cell>
          <cell r="E847" t="str">
            <v>0,00</v>
          </cell>
          <cell r="F847" t="str">
            <v>54.240,00</v>
          </cell>
          <cell r="G847" t="str">
            <v>162.718,98</v>
          </cell>
          <cell r="H847" t="str">
            <v>0,00</v>
          </cell>
          <cell r="I847">
            <v>162718.98000000001</v>
          </cell>
          <cell r="J847">
            <v>-162718.98000000001</v>
          </cell>
        </row>
        <row r="848">
          <cell r="A848" t="str">
            <v>1.1.1.3.01.009319</v>
          </cell>
          <cell r="B848" t="str">
            <v>CONSTEL CONSTRUTORA E PAVIMENTACAO LTDA</v>
          </cell>
          <cell r="C848" t="str">
            <v>20.490,00</v>
          </cell>
          <cell r="D848" t="str">
            <v>18.270,00</v>
          </cell>
          <cell r="E848" t="str">
            <v>0,00</v>
          </cell>
          <cell r="F848" t="str">
            <v>0,00</v>
          </cell>
          <cell r="G848" t="str">
            <v>2.220,00</v>
          </cell>
          <cell r="H848" t="str">
            <v>0,00</v>
          </cell>
          <cell r="I848">
            <v>2220</v>
          </cell>
          <cell r="J848">
            <v>-2220</v>
          </cell>
        </row>
        <row r="849">
          <cell r="A849" t="str">
            <v>1.1.1.3.01.009320</v>
          </cell>
          <cell r="B849" t="str">
            <v>G R NETO LTDA</v>
          </cell>
          <cell r="C849" t="str">
            <v>39.000,00</v>
          </cell>
          <cell r="D849" t="str">
            <v>36.000,00</v>
          </cell>
          <cell r="E849" t="str">
            <v>0,00</v>
          </cell>
          <cell r="F849" t="str">
            <v>3.000,00</v>
          </cell>
          <cell r="G849" t="str">
            <v>0,00</v>
          </cell>
          <cell r="H849" t="str">
            <v>0,00</v>
          </cell>
          <cell r="I849">
            <v>0</v>
          </cell>
          <cell r="J849">
            <v>0</v>
          </cell>
        </row>
        <row r="850">
          <cell r="A850" t="str">
            <v>1.1.1.3.01.009324</v>
          </cell>
          <cell r="B850" t="str">
            <v>RENOVE GESTAO E SOLUC</v>
          </cell>
          <cell r="C850" t="str">
            <v>58.276,58</v>
          </cell>
          <cell r="D850" t="str">
            <v>57.221,70</v>
          </cell>
          <cell r="E850" t="str">
            <v>305,91</v>
          </cell>
          <cell r="F850" t="str">
            <v>1.054,88</v>
          </cell>
          <cell r="G850" t="str">
            <v>305,91</v>
          </cell>
          <cell r="H850" t="str">
            <v>0,00</v>
          </cell>
          <cell r="I850">
            <v>305.91000000000003</v>
          </cell>
          <cell r="J850">
            <v>-305.91000000000003</v>
          </cell>
        </row>
        <row r="851">
          <cell r="A851" t="str">
            <v>1.1.1.3.01.009325</v>
          </cell>
          <cell r="B851" t="str">
            <v>MULTI BRITA MATERIAIS DE CONSTRUCAO LTDA</v>
          </cell>
          <cell r="C851" t="str">
            <v>106.500,00</v>
          </cell>
          <cell r="D851" t="str">
            <v>58.600,00</v>
          </cell>
          <cell r="E851" t="str">
            <v>0,00</v>
          </cell>
          <cell r="F851" t="str">
            <v>16.087,50</v>
          </cell>
          <cell r="G851" t="str">
            <v>31.812,50</v>
          </cell>
          <cell r="H851" t="str">
            <v>0,00</v>
          </cell>
          <cell r="I851">
            <v>31812.5</v>
          </cell>
          <cell r="J851">
            <v>-31812.5</v>
          </cell>
        </row>
        <row r="852">
          <cell r="A852" t="str">
            <v>1.1.1.3.01.009327</v>
          </cell>
          <cell r="B852" t="str">
            <v>SEVEN HILL MINING LTDA</v>
          </cell>
          <cell r="C852" t="str">
            <v>502.732,00</v>
          </cell>
          <cell r="D852" t="str">
            <v>338.732,00</v>
          </cell>
          <cell r="E852" t="str">
            <v>0,00</v>
          </cell>
          <cell r="F852" t="str">
            <v>28.000,00</v>
          </cell>
          <cell r="G852" t="str">
            <v>136.000,00</v>
          </cell>
          <cell r="H852" t="str">
            <v>0,00</v>
          </cell>
          <cell r="I852">
            <v>136000</v>
          </cell>
          <cell r="J852">
            <v>-136000</v>
          </cell>
        </row>
        <row r="853">
          <cell r="A853" t="str">
            <v>1.1.1.3.01.009328</v>
          </cell>
          <cell r="B853" t="str">
            <v>TERRA SANTA MINERACAO LTDA</v>
          </cell>
          <cell r="C853" t="str">
            <v>26.579,53</v>
          </cell>
          <cell r="D853" t="str">
            <v>26.579,53</v>
          </cell>
          <cell r="E853" t="str">
            <v>4.372,32</v>
          </cell>
          <cell r="F853" t="str">
            <v>0,00</v>
          </cell>
          <cell r="G853" t="str">
            <v>4.372,32</v>
          </cell>
          <cell r="H853" t="str">
            <v>0,00</v>
          </cell>
          <cell r="I853">
            <v>4372.32</v>
          </cell>
          <cell r="J853">
            <v>-4372.32</v>
          </cell>
        </row>
        <row r="854">
          <cell r="A854" t="str">
            <v>1.1.1.3.01.009329</v>
          </cell>
          <cell r="B854" t="str">
            <v>MARMIL MINERACAO LTDA</v>
          </cell>
          <cell r="C854" t="str">
            <v>484.636,56</v>
          </cell>
          <cell r="D854" t="str">
            <v>230.997,79</v>
          </cell>
          <cell r="E854" t="str">
            <v>0,00</v>
          </cell>
          <cell r="F854" t="str">
            <v>21.136,56</v>
          </cell>
          <cell r="G854" t="str">
            <v>232.502,21</v>
          </cell>
          <cell r="H854" t="str">
            <v>0,00</v>
          </cell>
          <cell r="I854">
            <v>232502.21</v>
          </cell>
          <cell r="J854">
            <v>-232502.21</v>
          </cell>
        </row>
        <row r="855">
          <cell r="A855" t="str">
            <v>1.1.1.3.01.009332</v>
          </cell>
          <cell r="B855" t="str">
            <v>A B L ENGENHARIA COMERCIO E REPRESENTACAO LTDA</v>
          </cell>
          <cell r="C855" t="str">
            <v>216.500,00</v>
          </cell>
          <cell r="D855" t="str">
            <v>135.600,00</v>
          </cell>
          <cell r="E855" t="str">
            <v>0,00</v>
          </cell>
          <cell r="F855" t="str">
            <v>15.075,00</v>
          </cell>
          <cell r="G855" t="str">
            <v>65.825,00</v>
          </cell>
          <cell r="H855" t="str">
            <v>0,00</v>
          </cell>
          <cell r="I855">
            <v>65825</v>
          </cell>
          <cell r="J855">
            <v>-65825</v>
          </cell>
        </row>
        <row r="856">
          <cell r="A856" t="str">
            <v>1.1.1.3.01.009333</v>
          </cell>
          <cell r="B856" t="str">
            <v>LOC - TRANSPORTES LTDA</v>
          </cell>
          <cell r="C856" t="str">
            <v>90.000,00</v>
          </cell>
          <cell r="D856" t="str">
            <v>77.400,00</v>
          </cell>
          <cell r="E856" t="str">
            <v>0,00</v>
          </cell>
          <cell r="F856" t="str">
            <v>6.300,00</v>
          </cell>
          <cell r="G856" t="str">
            <v>6.300,00</v>
          </cell>
          <cell r="H856" t="str">
            <v>0,00</v>
          </cell>
          <cell r="I856">
            <v>6300</v>
          </cell>
          <cell r="J856">
            <v>-6300</v>
          </cell>
        </row>
        <row r="857">
          <cell r="A857" t="str">
            <v>1.1.1.3.01.009334</v>
          </cell>
          <cell r="B857" t="str">
            <v>ACT ENGENHARIA LTDA</v>
          </cell>
          <cell r="C857" t="str">
            <v>40.000,00</v>
          </cell>
          <cell r="D857" t="str">
            <v>32.000,00</v>
          </cell>
          <cell r="E857" t="str">
            <v>0,00</v>
          </cell>
          <cell r="F857" t="str">
            <v>4.000,00</v>
          </cell>
          <cell r="G857" t="str">
            <v>4.000,00</v>
          </cell>
          <cell r="H857" t="str">
            <v>0,00</v>
          </cell>
          <cell r="I857">
            <v>4000</v>
          </cell>
          <cell r="J857">
            <v>-4000</v>
          </cell>
        </row>
        <row r="858">
          <cell r="A858" t="str">
            <v>1.1.1.3.01.009335</v>
          </cell>
          <cell r="B858" t="str">
            <v>LOCPEL TERRAPLENAGEM E LOCACAO DE MAQUINAS LTDA</v>
          </cell>
          <cell r="C858" t="str">
            <v>258.999,99</v>
          </cell>
          <cell r="D858" t="str">
            <v>201.700,00</v>
          </cell>
          <cell r="E858" t="str">
            <v>0,00</v>
          </cell>
          <cell r="F858" t="str">
            <v>19.100,00</v>
          </cell>
          <cell r="G858" t="str">
            <v>38.199,99</v>
          </cell>
          <cell r="H858" t="str">
            <v>0,00</v>
          </cell>
          <cell r="I858">
            <v>38199.99</v>
          </cell>
          <cell r="J858">
            <v>-38199.99</v>
          </cell>
        </row>
        <row r="859">
          <cell r="A859" t="str">
            <v>1.1.1.3.01.009337</v>
          </cell>
          <cell r="B859" t="str">
            <v>JOAO FRANCISCO PICONI</v>
          </cell>
          <cell r="C859" t="str">
            <v>20.500,00</v>
          </cell>
          <cell r="D859" t="str">
            <v>17.630,00</v>
          </cell>
          <cell r="E859" t="str">
            <v>0,00</v>
          </cell>
          <cell r="F859" t="str">
            <v>1.435,00</v>
          </cell>
          <cell r="G859" t="str">
            <v>1.435,00</v>
          </cell>
          <cell r="H859" t="str">
            <v>0,00</v>
          </cell>
          <cell r="I859">
            <v>1435</v>
          </cell>
          <cell r="J859">
            <v>-1435</v>
          </cell>
        </row>
        <row r="860">
          <cell r="A860" t="str">
            <v>1.1.1.3.01.009341</v>
          </cell>
          <cell r="B860" t="str">
            <v>PAVIMENTADORA UNIAO LTDA</v>
          </cell>
          <cell r="C860" t="str">
            <v>124.999,99</v>
          </cell>
          <cell r="D860" t="str">
            <v>108.000,00</v>
          </cell>
          <cell r="E860" t="str">
            <v>0,00</v>
          </cell>
          <cell r="F860" t="str">
            <v>8.500,00</v>
          </cell>
          <cell r="G860" t="str">
            <v>8.499,99</v>
          </cell>
          <cell r="H860" t="str">
            <v>0,00</v>
          </cell>
          <cell r="I860">
            <v>8499.99</v>
          </cell>
          <cell r="J860">
            <v>-8499.99</v>
          </cell>
        </row>
        <row r="861">
          <cell r="A861" t="str">
            <v>1.1.1.3.01.009343</v>
          </cell>
          <cell r="B861" t="str">
            <v>ZETA LOCACAO DE MAQUINAS E EQUIPAMENTOS LTDA</v>
          </cell>
          <cell r="C861" t="str">
            <v>115.646,52</v>
          </cell>
          <cell r="D861" t="str">
            <v>51.166,52</v>
          </cell>
          <cell r="E861" t="str">
            <v>66.000,00</v>
          </cell>
          <cell r="F861" t="str">
            <v>6.826,67</v>
          </cell>
          <cell r="G861" t="str">
            <v>123.653,33</v>
          </cell>
          <cell r="H861" t="str">
            <v>0,00</v>
          </cell>
          <cell r="I861">
            <v>123653.33</v>
          </cell>
          <cell r="J861">
            <v>-123653.33</v>
          </cell>
        </row>
        <row r="862">
          <cell r="A862" t="str">
            <v>1.1.1.3.01.009344</v>
          </cell>
          <cell r="B862" t="str">
            <v>CONSTRUPAR EMPREENDIMENTOS IMOBILIARIOS LTDA</v>
          </cell>
          <cell r="C862" t="str">
            <v>100.000,00</v>
          </cell>
          <cell r="D862" t="str">
            <v>86.000,00</v>
          </cell>
          <cell r="E862" t="str">
            <v>0,00</v>
          </cell>
          <cell r="F862" t="str">
            <v>7.000,00</v>
          </cell>
          <cell r="G862" t="str">
            <v>7.000,00</v>
          </cell>
          <cell r="H862" t="str">
            <v>0,00</v>
          </cell>
          <cell r="I862">
            <v>7000</v>
          </cell>
          <cell r="J862">
            <v>-7000</v>
          </cell>
        </row>
        <row r="863">
          <cell r="A863" t="str">
            <v>1.1.1.3.01.009345</v>
          </cell>
          <cell r="B863" t="str">
            <v>PLASTIMETAL- ARTEFATOS DE PLASTICOS E METALICOS LT</v>
          </cell>
          <cell r="C863" t="str">
            <v>52.000,00</v>
          </cell>
          <cell r="D863" t="str">
            <v>43.600,00</v>
          </cell>
          <cell r="E863" t="str">
            <v>0,00</v>
          </cell>
          <cell r="F863" t="str">
            <v>5.600,00</v>
          </cell>
          <cell r="G863" t="str">
            <v>2.800,00</v>
          </cell>
          <cell r="H863" t="str">
            <v>0,00</v>
          </cell>
          <cell r="I863">
            <v>2800</v>
          </cell>
          <cell r="J863">
            <v>-2800</v>
          </cell>
        </row>
        <row r="864">
          <cell r="A864" t="str">
            <v>1.1.1.3.01.009346</v>
          </cell>
          <cell r="B864" t="str">
            <v>SANTA FE CONSTRUTORA LTDA</v>
          </cell>
          <cell r="C864" t="str">
            <v>121.238,36</v>
          </cell>
          <cell r="D864" t="str">
            <v>97.088,36</v>
          </cell>
          <cell r="E864" t="str">
            <v>0,00</v>
          </cell>
          <cell r="F864" t="str">
            <v>8.050,00</v>
          </cell>
          <cell r="G864" t="str">
            <v>16.100,00</v>
          </cell>
          <cell r="H864" t="str">
            <v>0,00</v>
          </cell>
          <cell r="I864">
            <v>16100</v>
          </cell>
          <cell r="J864">
            <v>-16100</v>
          </cell>
        </row>
        <row r="865">
          <cell r="A865" t="str">
            <v>1.1.1.3.01.009352</v>
          </cell>
          <cell r="B865" t="str">
            <v>UNICA FUNDACOES E CONSTRUCOES LTDA</v>
          </cell>
          <cell r="C865" t="str">
            <v>23.000,00</v>
          </cell>
          <cell r="D865" t="str">
            <v>18.170,00</v>
          </cell>
          <cell r="E865" t="str">
            <v>0,00</v>
          </cell>
          <cell r="F865" t="str">
            <v>1.610,00</v>
          </cell>
          <cell r="G865" t="str">
            <v>3.220,00</v>
          </cell>
          <cell r="H865" t="str">
            <v>0,00</v>
          </cell>
          <cell r="I865">
            <v>3220</v>
          </cell>
          <cell r="J865">
            <v>-3220</v>
          </cell>
        </row>
        <row r="866">
          <cell r="A866" t="str">
            <v>1.1.1.3.01.009354</v>
          </cell>
          <cell r="B866" t="str">
            <v>ARED CONSTRUCAO E PAVIMENTACAO URBANA LTDA</v>
          </cell>
          <cell r="C866" t="str">
            <v>306.988,81</v>
          </cell>
          <cell r="D866" t="str">
            <v>112.433,25</v>
          </cell>
          <cell r="E866" t="str">
            <v>0,00</v>
          </cell>
          <cell r="F866" t="str">
            <v>19.717,17</v>
          </cell>
          <cell r="G866" t="str">
            <v>174.838,39</v>
          </cell>
          <cell r="H866" t="str">
            <v>0,00</v>
          </cell>
          <cell r="I866">
            <v>174838.39</v>
          </cell>
          <cell r="J866">
            <v>-174838.39</v>
          </cell>
        </row>
        <row r="867">
          <cell r="A867" t="str">
            <v>1.1.1.3.01.009355</v>
          </cell>
          <cell r="B867" t="str">
            <v>MINERBRAZ IMPORTACAO E EXPORTACAO LTDA</v>
          </cell>
          <cell r="C867" t="str">
            <v>70.000,00</v>
          </cell>
          <cell r="D867" t="str">
            <v>40.854,52</v>
          </cell>
          <cell r="E867" t="str">
            <v>0,00</v>
          </cell>
          <cell r="F867" t="str">
            <v>5.836,36</v>
          </cell>
          <cell r="G867" t="str">
            <v>23.309,12</v>
          </cell>
          <cell r="H867" t="str">
            <v>0,00</v>
          </cell>
          <cell r="I867">
            <v>23309.119999999999</v>
          </cell>
          <cell r="J867">
            <v>-23309.119999999999</v>
          </cell>
        </row>
        <row r="868">
          <cell r="A868" t="str">
            <v>1.1.1.3.01.009356</v>
          </cell>
          <cell r="B868" t="str">
            <v>VENEZA EQUIPAMENTOS PESADOS S/A</v>
          </cell>
          <cell r="C868" t="str">
            <v>84.409,32</v>
          </cell>
          <cell r="D868" t="str">
            <v>72.909,32</v>
          </cell>
          <cell r="E868" t="str">
            <v>0,00</v>
          </cell>
          <cell r="F868" t="str">
            <v>11.500,00</v>
          </cell>
          <cell r="G868" t="str">
            <v>0,00</v>
          </cell>
          <cell r="H868" t="str">
            <v>0,00</v>
          </cell>
          <cell r="I868">
            <v>0</v>
          </cell>
          <cell r="J868">
            <v>0</v>
          </cell>
        </row>
        <row r="869">
          <cell r="A869" t="str">
            <v>1.1.1.3.01.009357</v>
          </cell>
          <cell r="B869" t="str">
            <v>COTEX CONSULTORIA TECNICA E EXECUCOES LTDA</v>
          </cell>
          <cell r="C869" t="str">
            <v>141.091,00</v>
          </cell>
          <cell r="D869" t="str">
            <v>117.091,00</v>
          </cell>
          <cell r="E869" t="str">
            <v>0,00</v>
          </cell>
          <cell r="F869" t="str">
            <v>8.000,00</v>
          </cell>
          <cell r="G869" t="str">
            <v>16.000,00</v>
          </cell>
          <cell r="H869" t="str">
            <v>0,00</v>
          </cell>
          <cell r="I869">
            <v>16000</v>
          </cell>
          <cell r="J869">
            <v>-16000</v>
          </cell>
        </row>
        <row r="870">
          <cell r="A870" t="str">
            <v>1.1.1.3.01.009359</v>
          </cell>
          <cell r="B870" t="str">
            <v>F B ONISHI ENGENHARIA &amp; DEMOLICAO LTDA</v>
          </cell>
          <cell r="C870" t="str">
            <v>265.000,00</v>
          </cell>
          <cell r="D870" t="str">
            <v>154.500,00</v>
          </cell>
          <cell r="E870" t="str">
            <v>6.080,41</v>
          </cell>
          <cell r="F870" t="str">
            <v>19.500,00</v>
          </cell>
          <cell r="G870" t="str">
            <v>97.080,41</v>
          </cell>
          <cell r="H870" t="str">
            <v>0,00</v>
          </cell>
          <cell r="I870">
            <v>97080.41</v>
          </cell>
          <cell r="J870">
            <v>-97080.41</v>
          </cell>
        </row>
        <row r="871">
          <cell r="A871" t="str">
            <v>1.1.1.3.01.009361</v>
          </cell>
          <cell r="B871" t="str">
            <v>ELSALI ENGENHARIA LTDA</v>
          </cell>
          <cell r="C871" t="str">
            <v>23.600,00</v>
          </cell>
          <cell r="D871" t="str">
            <v>18.998,00</v>
          </cell>
          <cell r="E871" t="str">
            <v>0,00</v>
          </cell>
          <cell r="F871" t="str">
            <v>1.534,00</v>
          </cell>
          <cell r="G871" t="str">
            <v>3.068,00</v>
          </cell>
          <cell r="H871" t="str">
            <v>0,00</v>
          </cell>
          <cell r="I871">
            <v>3068</v>
          </cell>
          <cell r="J871">
            <v>-3068</v>
          </cell>
        </row>
        <row r="872">
          <cell r="A872" t="str">
            <v>1.1.1.3.01.009362</v>
          </cell>
          <cell r="B872" t="str">
            <v>MIGBRITAS INDUSTRIA E COMERCIO DE BRITA LTDA</v>
          </cell>
          <cell r="C872" t="str">
            <v>140.000,00</v>
          </cell>
          <cell r="D872" t="str">
            <v>110.600,00</v>
          </cell>
          <cell r="E872" t="str">
            <v>0,00</v>
          </cell>
          <cell r="F872" t="str">
            <v>9.800,00</v>
          </cell>
          <cell r="G872" t="str">
            <v>19.600,00</v>
          </cell>
          <cell r="H872" t="str">
            <v>0,00</v>
          </cell>
          <cell r="I872">
            <v>19600</v>
          </cell>
          <cell r="J872">
            <v>-19600</v>
          </cell>
        </row>
        <row r="873">
          <cell r="A873" t="str">
            <v>1.1.1.3.01.009363</v>
          </cell>
          <cell r="B873" t="str">
            <v>CENTRAL DE ENTULHO LTDA</v>
          </cell>
          <cell r="C873" t="str">
            <v>25.000,00</v>
          </cell>
          <cell r="D873" t="str">
            <v>19.750,00</v>
          </cell>
          <cell r="E873" t="str">
            <v>0,00</v>
          </cell>
          <cell r="F873" t="str">
            <v>1.750,00</v>
          </cell>
          <cell r="G873" t="str">
            <v>3.500,00</v>
          </cell>
          <cell r="H873" t="str">
            <v>0,00</v>
          </cell>
          <cell r="I873">
            <v>3500</v>
          </cell>
          <cell r="J873">
            <v>-3500</v>
          </cell>
        </row>
        <row r="874">
          <cell r="A874" t="str">
            <v>1.1.1.3.01.009365</v>
          </cell>
          <cell r="B874" t="str">
            <v>LUIZ JORGE RODRIGUES CARDOZO</v>
          </cell>
          <cell r="C874" t="str">
            <v>24.000,00</v>
          </cell>
          <cell r="D874" t="str">
            <v>19.800,00</v>
          </cell>
          <cell r="E874" t="str">
            <v>0,00</v>
          </cell>
          <cell r="F874" t="str">
            <v>1.400,00</v>
          </cell>
          <cell r="G874" t="str">
            <v>2.800,00</v>
          </cell>
          <cell r="H874" t="str">
            <v>0,00</v>
          </cell>
          <cell r="I874">
            <v>2800</v>
          </cell>
          <cell r="J874">
            <v>-2800</v>
          </cell>
        </row>
        <row r="875">
          <cell r="A875" t="str">
            <v>1.1.1.3.01.009368</v>
          </cell>
          <cell r="B875" t="str">
            <v>CAGI MIX LTDA</v>
          </cell>
          <cell r="C875" t="str">
            <v>102.356,97</v>
          </cell>
          <cell r="D875" t="str">
            <v>89.601,17</v>
          </cell>
          <cell r="E875" t="str">
            <v>93.227,32</v>
          </cell>
          <cell r="F875" t="str">
            <v>37.755,80</v>
          </cell>
          <cell r="G875" t="str">
            <v>68.227,32</v>
          </cell>
          <cell r="H875" t="str">
            <v>0,00</v>
          </cell>
          <cell r="I875">
            <v>68227.320000000007</v>
          </cell>
          <cell r="J875">
            <v>-68227.320000000007</v>
          </cell>
        </row>
        <row r="876">
          <cell r="A876" t="str">
            <v>1.1.1.3.01.009369</v>
          </cell>
          <cell r="B876" t="str">
            <v>INCORPORADORA E CONSTRUTORA COELHO LTDA</v>
          </cell>
          <cell r="C876" t="str">
            <v>67.798,24</v>
          </cell>
          <cell r="D876" t="str">
            <v>60.801,79</v>
          </cell>
          <cell r="E876" t="str">
            <v>0,00</v>
          </cell>
          <cell r="F876" t="str">
            <v>3.498,23</v>
          </cell>
          <cell r="G876" t="str">
            <v>3.498,22</v>
          </cell>
          <cell r="H876" t="str">
            <v>0,00</v>
          </cell>
          <cell r="I876">
            <v>3498.22</v>
          </cell>
          <cell r="J876">
            <v>-3498.22</v>
          </cell>
        </row>
        <row r="877">
          <cell r="A877" t="str">
            <v>1.1.1.3.01.009371</v>
          </cell>
          <cell r="B877" t="str">
            <v>CGR DA AMAZONIA LTDA</v>
          </cell>
          <cell r="C877" t="str">
            <v>51.000,00</v>
          </cell>
          <cell r="D877" t="str">
            <v>18.360,00</v>
          </cell>
          <cell r="E877" t="str">
            <v>0,00</v>
          </cell>
          <cell r="F877" t="str">
            <v>3.060,00</v>
          </cell>
          <cell r="G877" t="str">
            <v>29.580,00</v>
          </cell>
          <cell r="H877" t="str">
            <v>0,00</v>
          </cell>
          <cell r="I877">
            <v>29580</v>
          </cell>
          <cell r="J877">
            <v>-29580</v>
          </cell>
        </row>
        <row r="878">
          <cell r="A878" t="str">
            <v>1.1.1.3.01.009377</v>
          </cell>
          <cell r="B878" t="str">
            <v>MATHEL PRESTADORA DE SERVICOS LTDA</v>
          </cell>
          <cell r="C878" t="str">
            <v>46.000,00</v>
          </cell>
          <cell r="D878" t="str">
            <v>21.480,00</v>
          </cell>
          <cell r="E878" t="str">
            <v>0,00</v>
          </cell>
          <cell r="F878" t="str">
            <v>3.580,00</v>
          </cell>
          <cell r="G878" t="str">
            <v>20.940,00</v>
          </cell>
          <cell r="H878" t="str">
            <v>0,00</v>
          </cell>
          <cell r="I878">
            <v>20940</v>
          </cell>
          <cell r="J878">
            <v>-20940</v>
          </cell>
        </row>
        <row r="879">
          <cell r="A879" t="str">
            <v>1.1.1.3.01.009378</v>
          </cell>
          <cell r="B879" t="str">
            <v>COMERCIO IMPORTACAO E EXPORTACAO DE CAFE LTDA</v>
          </cell>
          <cell r="C879" t="str">
            <v>38.586,93</v>
          </cell>
          <cell r="D879" t="str">
            <v>38.000,00</v>
          </cell>
          <cell r="E879" t="str">
            <v>0,00</v>
          </cell>
          <cell r="F879" t="str">
            <v>0,00</v>
          </cell>
          <cell r="G879" t="str">
            <v>586,93</v>
          </cell>
          <cell r="H879" t="str">
            <v>0,00</v>
          </cell>
          <cell r="I879">
            <v>586.92999999999995</v>
          </cell>
          <cell r="J879">
            <v>-586.92999999999995</v>
          </cell>
        </row>
        <row r="880">
          <cell r="A880" t="str">
            <v>1.1.1.3.01.009379</v>
          </cell>
          <cell r="B880" t="str">
            <v>MAGALHAES DEMOLICAO LTDA</v>
          </cell>
          <cell r="C880" t="str">
            <v>1.162,96</v>
          </cell>
          <cell r="D880" t="str">
            <v>1.162,96</v>
          </cell>
          <cell r="E880" t="str">
            <v>766,79</v>
          </cell>
          <cell r="F880" t="str">
            <v>766,79</v>
          </cell>
          <cell r="G880" t="str">
            <v>0,00</v>
          </cell>
          <cell r="H880" t="str">
            <v>0,00</v>
          </cell>
          <cell r="I880">
            <v>0</v>
          </cell>
          <cell r="J880">
            <v>0</v>
          </cell>
        </row>
        <row r="881">
          <cell r="A881" t="str">
            <v>1.1.1.3.01.009380</v>
          </cell>
          <cell r="B881" t="str">
            <v>EMAL EMPRESA DE MINERACAO ARIPUANA LTDA</v>
          </cell>
          <cell r="C881" t="str">
            <v>234.213,43</v>
          </cell>
          <cell r="D881" t="str">
            <v>116.213,43</v>
          </cell>
          <cell r="E881" t="str">
            <v>0,00</v>
          </cell>
          <cell r="F881" t="str">
            <v>16.000,00</v>
          </cell>
          <cell r="G881" t="str">
            <v>102.000,00</v>
          </cell>
          <cell r="H881" t="str">
            <v>0,00</v>
          </cell>
          <cell r="I881">
            <v>102000</v>
          </cell>
          <cell r="J881">
            <v>-102000</v>
          </cell>
        </row>
        <row r="882">
          <cell r="A882" t="str">
            <v>1.1.1.3.01.009382</v>
          </cell>
          <cell r="B882" t="str">
            <v>GRANJA CONSTRUTORA LTDA</v>
          </cell>
          <cell r="C882" t="str">
            <v>25.000,00</v>
          </cell>
          <cell r="D882" t="str">
            <v>22.500,00</v>
          </cell>
          <cell r="E882" t="str">
            <v>0,00</v>
          </cell>
          <cell r="F882" t="str">
            <v>2.500,00</v>
          </cell>
          <cell r="G882" t="str">
            <v>0,00</v>
          </cell>
          <cell r="H882" t="str">
            <v>0,00</v>
          </cell>
          <cell r="I882">
            <v>0</v>
          </cell>
          <cell r="J882">
            <v>0</v>
          </cell>
        </row>
        <row r="883">
          <cell r="A883" t="str">
            <v>1.1.1.3.01.009389</v>
          </cell>
          <cell r="B883" t="str">
            <v>PRIMUX TERRAPLANAGENS LTDA</v>
          </cell>
          <cell r="C883" t="str">
            <v>22.000,00</v>
          </cell>
          <cell r="D883" t="str">
            <v>20.333,35</v>
          </cell>
          <cell r="E883" t="str">
            <v>0,00</v>
          </cell>
          <cell r="F883" t="str">
            <v>1.666,65</v>
          </cell>
          <cell r="G883" t="str">
            <v>0,00</v>
          </cell>
          <cell r="H883" t="str">
            <v>0,00</v>
          </cell>
          <cell r="I883">
            <v>0</v>
          </cell>
          <cell r="J883">
            <v>0</v>
          </cell>
        </row>
        <row r="884">
          <cell r="A884" t="str">
            <v>1.1.1.3.01.009391</v>
          </cell>
          <cell r="B884" t="str">
            <v>OPE - CONSTRUCOES LTDA</v>
          </cell>
          <cell r="C884" t="str">
            <v>67.000,00</v>
          </cell>
          <cell r="D884" t="str">
            <v>55.275,00</v>
          </cell>
          <cell r="E884" t="str">
            <v>0,00</v>
          </cell>
          <cell r="F884" t="str">
            <v>5.862,50</v>
          </cell>
          <cell r="G884" t="str">
            <v>5.862,50</v>
          </cell>
          <cell r="H884" t="str">
            <v>0,00</v>
          </cell>
          <cell r="I884">
            <v>5862.5</v>
          </cell>
          <cell r="J884">
            <v>-5862.5</v>
          </cell>
        </row>
        <row r="885">
          <cell r="A885" t="str">
            <v>1.1.1.3.01.009392</v>
          </cell>
          <cell r="B885" t="str">
            <v>RECICLAR RECICLAGEM DE MATERIAIS LTDA</v>
          </cell>
          <cell r="C885" t="str">
            <v>155.000,00</v>
          </cell>
          <cell r="D885" t="str">
            <v>150.466,64</v>
          </cell>
          <cell r="E885" t="str">
            <v>0,00</v>
          </cell>
          <cell r="F885" t="str">
            <v>0,00</v>
          </cell>
          <cell r="G885" t="str">
            <v>4.533,36</v>
          </cell>
          <cell r="H885" t="str">
            <v>0,00</v>
          </cell>
          <cell r="I885">
            <v>4533.3599999999997</v>
          </cell>
          <cell r="J885">
            <v>-4533.3599999999997</v>
          </cell>
        </row>
        <row r="886">
          <cell r="A886" t="str">
            <v>1.1.1.3.01.009393</v>
          </cell>
          <cell r="B886" t="str">
            <v>PAI &amp; FILHO TERRAPLENAGEM LTDA</v>
          </cell>
          <cell r="C886" t="str">
            <v>145.000,00</v>
          </cell>
          <cell r="D886" t="str">
            <v>92.500,00</v>
          </cell>
          <cell r="E886" t="str">
            <v>0,00</v>
          </cell>
          <cell r="F886" t="str">
            <v>10.500,00</v>
          </cell>
          <cell r="G886" t="str">
            <v>42.000,00</v>
          </cell>
          <cell r="H886" t="str">
            <v>0,00</v>
          </cell>
          <cell r="I886">
            <v>42000</v>
          </cell>
          <cell r="J886">
            <v>-42000</v>
          </cell>
        </row>
        <row r="887">
          <cell r="A887" t="str">
            <v>1.1.1.3.01.009394</v>
          </cell>
          <cell r="B887" t="str">
            <v>CONSORCIO LINHA 02 VERDE - VILA PRUDENTE - DUTRA</v>
          </cell>
          <cell r="C887" t="str">
            <v>15.685,65</v>
          </cell>
          <cell r="D887" t="str">
            <v>11.866,89</v>
          </cell>
          <cell r="E887" t="str">
            <v>0,00</v>
          </cell>
          <cell r="F887" t="str">
            <v>3.818,76</v>
          </cell>
          <cell r="G887" t="str">
            <v>0,00</v>
          </cell>
          <cell r="H887" t="str">
            <v>0,00</v>
          </cell>
          <cell r="I887">
            <v>0</v>
          </cell>
          <cell r="J887">
            <v>0</v>
          </cell>
        </row>
        <row r="888">
          <cell r="A888" t="str">
            <v>1.1.1.3.01.009396</v>
          </cell>
          <cell r="B888" t="str">
            <v>ANTÔNIO ERIMILSON SOARES BEZERRA</v>
          </cell>
          <cell r="C888" t="str">
            <v>92.000,00</v>
          </cell>
          <cell r="D888" t="str">
            <v>74.285,70</v>
          </cell>
          <cell r="E888" t="str">
            <v>0,00</v>
          </cell>
          <cell r="F888" t="str">
            <v>8.857,16</v>
          </cell>
          <cell r="G888" t="str">
            <v>8.857,14</v>
          </cell>
          <cell r="H888" t="str">
            <v>0,00</v>
          </cell>
          <cell r="I888">
            <v>8857.14</v>
          </cell>
          <cell r="J888">
            <v>-8857.14</v>
          </cell>
        </row>
        <row r="889">
          <cell r="A889" t="str">
            <v>1.1.1.3.01.009397</v>
          </cell>
          <cell r="B889" t="str">
            <v>AFN EMPREENDIMENTOS LTDA</v>
          </cell>
          <cell r="C889" t="str">
            <v>110.000,00</v>
          </cell>
          <cell r="D889" t="str">
            <v>26.400,00</v>
          </cell>
          <cell r="E889" t="str">
            <v>0,00</v>
          </cell>
          <cell r="F889" t="str">
            <v>6.600,00</v>
          </cell>
          <cell r="G889" t="str">
            <v>77.000,00</v>
          </cell>
          <cell r="H889" t="str">
            <v>0,00</v>
          </cell>
          <cell r="I889">
            <v>77000</v>
          </cell>
          <cell r="J889">
            <v>-77000</v>
          </cell>
        </row>
        <row r="890">
          <cell r="A890" t="str">
            <v>1.1.1.3.01.009410</v>
          </cell>
          <cell r="B890" t="str">
            <v>J P M VEICULOS DIESEL LTDA</v>
          </cell>
          <cell r="C890" t="str">
            <v>11.038,24</v>
          </cell>
          <cell r="D890" t="str">
            <v>11.038,24</v>
          </cell>
          <cell r="E890" t="str">
            <v>2.913,31</v>
          </cell>
          <cell r="F890" t="str">
            <v>0,00</v>
          </cell>
          <cell r="G890" t="str">
            <v>2.913,31</v>
          </cell>
          <cell r="H890" t="str">
            <v>0,00</v>
          </cell>
          <cell r="I890">
            <v>2913.31</v>
          </cell>
          <cell r="J890">
            <v>-2913.31</v>
          </cell>
        </row>
        <row r="891">
          <cell r="A891" t="str">
            <v>1.1.1.3.01.009428</v>
          </cell>
          <cell r="B891" t="str">
            <v>IMPERIO DO GRANITO EIRELLI EPP</v>
          </cell>
          <cell r="C891" t="str">
            <v>47.893,32</v>
          </cell>
          <cell r="D891" t="str">
            <v>38.314,64</v>
          </cell>
          <cell r="E891" t="str">
            <v>0,00</v>
          </cell>
          <cell r="F891" t="str">
            <v>9.578,68</v>
          </cell>
          <cell r="G891" t="str">
            <v>0,00</v>
          </cell>
          <cell r="H891" t="str">
            <v>0,00</v>
          </cell>
          <cell r="I891">
            <v>0</v>
          </cell>
          <cell r="J891">
            <v>0</v>
          </cell>
        </row>
        <row r="892">
          <cell r="A892" t="str">
            <v>1.1.1.3.01.009430</v>
          </cell>
          <cell r="B892" t="str">
            <v>MAKA ROCHAS ORNAMENTAIS LTDA</v>
          </cell>
          <cell r="C892" t="str">
            <v>11.099,09</v>
          </cell>
          <cell r="D892" t="str">
            <v>8.150,46</v>
          </cell>
          <cell r="E892" t="str">
            <v>0,00</v>
          </cell>
          <cell r="F892" t="str">
            <v>0,00</v>
          </cell>
          <cell r="G892" t="str">
            <v>2.948,63</v>
          </cell>
          <cell r="H892" t="str">
            <v>0,00</v>
          </cell>
          <cell r="I892">
            <v>2948.63</v>
          </cell>
          <cell r="J892">
            <v>-2948.63</v>
          </cell>
        </row>
        <row r="893">
          <cell r="A893" t="str">
            <v>1.1.1.3.01.009431</v>
          </cell>
          <cell r="B893" t="str">
            <v>MINERAÇÃO COTO COMERCIO IMPORTAÇÃO E EXPORTAÇÃO LT</v>
          </cell>
          <cell r="C893" t="str">
            <v>102.138,51</v>
          </cell>
          <cell r="D893" t="str">
            <v>56.638,51</v>
          </cell>
          <cell r="E893" t="str">
            <v>0,00</v>
          </cell>
          <cell r="F893" t="str">
            <v>6.500,00</v>
          </cell>
          <cell r="G893" t="str">
            <v>39.000,00</v>
          </cell>
          <cell r="H893" t="str">
            <v>0,00</v>
          </cell>
          <cell r="I893">
            <v>39000</v>
          </cell>
          <cell r="J893">
            <v>-39000</v>
          </cell>
        </row>
        <row r="894">
          <cell r="A894" t="str">
            <v>1.1.1.3.01.009432</v>
          </cell>
          <cell r="B894" t="str">
            <v>MAERCIO DIOGO DE OLIVEIRA</v>
          </cell>
          <cell r="C894" t="str">
            <v>142.499,99</v>
          </cell>
          <cell r="D894" t="str">
            <v>42.500,00</v>
          </cell>
          <cell r="E894" t="str">
            <v>15.650,00</v>
          </cell>
          <cell r="F894" t="str">
            <v>28.467,06</v>
          </cell>
          <cell r="G894" t="str">
            <v>87.182,93</v>
          </cell>
          <cell r="H894" t="str">
            <v>0,00</v>
          </cell>
          <cell r="I894">
            <v>87182.93</v>
          </cell>
          <cell r="J894">
            <v>-87182.93</v>
          </cell>
        </row>
        <row r="895">
          <cell r="A895" t="str">
            <v>1.1.1.3.01.009443</v>
          </cell>
          <cell r="B895" t="str">
            <v>JOSCELINO ROQUE DELAI</v>
          </cell>
          <cell r="C895" t="str">
            <v>36.500,00</v>
          </cell>
          <cell r="D895" t="str">
            <v>7.300,00</v>
          </cell>
          <cell r="E895" t="str">
            <v>0,00</v>
          </cell>
          <cell r="F895" t="str">
            <v>0,00</v>
          </cell>
          <cell r="G895" t="str">
            <v>29.200,00</v>
          </cell>
          <cell r="H895" t="str">
            <v>0,00</v>
          </cell>
          <cell r="I895">
            <v>29200</v>
          </cell>
          <cell r="J895">
            <v>-29200</v>
          </cell>
        </row>
        <row r="896">
          <cell r="A896" t="str">
            <v>1.1.1.3.01.009449</v>
          </cell>
          <cell r="B896" t="str">
            <v>LUIS CARLOS CRABI</v>
          </cell>
          <cell r="C896" t="str">
            <v>200.810,15</v>
          </cell>
          <cell r="D896" t="str">
            <v>0,00</v>
          </cell>
          <cell r="E896" t="str">
            <v>336.179,42</v>
          </cell>
          <cell r="F896" t="str">
            <v>200.810,15</v>
          </cell>
          <cell r="G896" t="str">
            <v>336.179,42</v>
          </cell>
          <cell r="H896" t="str">
            <v>0,00</v>
          </cell>
          <cell r="I896">
            <v>336179.42</v>
          </cell>
          <cell r="J896">
            <v>-336179.42</v>
          </cell>
        </row>
        <row r="897">
          <cell r="A897" t="str">
            <v>1.1.1.3.01.009450</v>
          </cell>
          <cell r="B897" t="str">
            <v>FERNANDO DESIDERIO NETO E FAMILIA</v>
          </cell>
          <cell r="C897" t="str">
            <v>0,00</v>
          </cell>
          <cell r="D897" t="str">
            <v>51.500,00</v>
          </cell>
          <cell r="E897" t="str">
            <v>0,00</v>
          </cell>
          <cell r="F897" t="str">
            <v>0,00</v>
          </cell>
          <cell r="G897" t="str">
            <v>0,00</v>
          </cell>
          <cell r="H897" t="str">
            <v>51.500,00</v>
          </cell>
          <cell r="I897">
            <v>-51500</v>
          </cell>
          <cell r="J897">
            <v>103000</v>
          </cell>
        </row>
        <row r="898">
          <cell r="A898" t="str">
            <v>1.1.1.3.01.009460</v>
          </cell>
          <cell r="B898" t="str">
            <v>TALUDECONSTRUÇOES S.A.</v>
          </cell>
          <cell r="C898" t="str">
            <v>4.780,61</v>
          </cell>
          <cell r="D898" t="str">
            <v>627,11</v>
          </cell>
          <cell r="E898" t="str">
            <v>0,00</v>
          </cell>
          <cell r="F898" t="str">
            <v>0,00</v>
          </cell>
          <cell r="G898" t="str">
            <v>4.153,50</v>
          </cell>
          <cell r="H898" t="str">
            <v>0,00</v>
          </cell>
          <cell r="I898">
            <v>4153.5</v>
          </cell>
          <cell r="J898">
            <v>-4153.5</v>
          </cell>
        </row>
        <row r="899">
          <cell r="A899" t="str">
            <v>1.1.1.3.01.009463</v>
          </cell>
          <cell r="B899" t="str">
            <v>RCTRACTOR COMÉRCIO, IMPORTAÇÃO E EXPORTAÇÃO DE PEÇ</v>
          </cell>
          <cell r="C899" t="str">
            <v>1.270,45</v>
          </cell>
          <cell r="D899" t="str">
            <v>1.270,45</v>
          </cell>
          <cell r="E899" t="str">
            <v>1.270,45</v>
          </cell>
          <cell r="F899" t="str">
            <v>635,23</v>
          </cell>
          <cell r="G899" t="str">
            <v>635,22</v>
          </cell>
          <cell r="H899" t="str">
            <v>0,00</v>
          </cell>
          <cell r="I899">
            <v>635.22</v>
          </cell>
          <cell r="J899">
            <v>-635.22</v>
          </cell>
        </row>
        <row r="900">
          <cell r="A900" t="str">
            <v>1.1.1.3.01.009468</v>
          </cell>
          <cell r="B900" t="str">
            <v>MS12 SERVICO DE OBRA E LOCACAO DE MAQUINAS PARA CO</v>
          </cell>
          <cell r="C900" t="str">
            <v>19.396,61</v>
          </cell>
          <cell r="D900" t="str">
            <v>14.496,61</v>
          </cell>
          <cell r="E900" t="str">
            <v>0,00</v>
          </cell>
          <cell r="F900" t="str">
            <v>2.450,00</v>
          </cell>
          <cell r="G900" t="str">
            <v>2.450,00</v>
          </cell>
          <cell r="H900" t="str">
            <v>0,00</v>
          </cell>
          <cell r="I900">
            <v>2450</v>
          </cell>
          <cell r="J900">
            <v>-2450</v>
          </cell>
        </row>
        <row r="901">
          <cell r="A901" t="str">
            <v>1.1.1.3.01.009470</v>
          </cell>
          <cell r="B901" t="str">
            <v>NEOVIA RESTAURACAO RODOVIARIA LTDA</v>
          </cell>
          <cell r="C901" t="str">
            <v>14.143,08</v>
          </cell>
          <cell r="D901" t="str">
            <v>14.143,08</v>
          </cell>
          <cell r="E901" t="str">
            <v>12.783,79</v>
          </cell>
          <cell r="F901" t="str">
            <v>0,00</v>
          </cell>
          <cell r="G901" t="str">
            <v>12.783,79</v>
          </cell>
          <cell r="H901" t="str">
            <v>0,00</v>
          </cell>
          <cell r="I901">
            <v>12783.79</v>
          </cell>
          <cell r="J901">
            <v>-12783.79</v>
          </cell>
        </row>
        <row r="902">
          <cell r="A902" t="str">
            <v>1.1.1.3.01.009478</v>
          </cell>
          <cell r="B902" t="str">
            <v>OLIVO SIMOSO</v>
          </cell>
          <cell r="C902" t="str">
            <v>17.500,00</v>
          </cell>
          <cell r="D902" t="str">
            <v>5.833,33</v>
          </cell>
          <cell r="E902" t="str">
            <v>0,00</v>
          </cell>
          <cell r="F902" t="str">
            <v>5.833,33</v>
          </cell>
          <cell r="G902" t="str">
            <v>5.833,34</v>
          </cell>
          <cell r="H902" t="str">
            <v>0,00</v>
          </cell>
          <cell r="I902">
            <v>5833.34</v>
          </cell>
          <cell r="J902">
            <v>-5833.34</v>
          </cell>
        </row>
        <row r="903">
          <cell r="A903" t="str">
            <v>1.1.1.3.01.009481</v>
          </cell>
          <cell r="B903" t="str">
            <v>PEDRISA PAVIMENTACOES LTDA</v>
          </cell>
          <cell r="C903" t="str">
            <v>21.000,00</v>
          </cell>
          <cell r="D903" t="str">
            <v>4.200,00</v>
          </cell>
          <cell r="E903" t="str">
            <v>0,00</v>
          </cell>
          <cell r="F903" t="str">
            <v>2.100,00</v>
          </cell>
          <cell r="G903" t="str">
            <v>14.700,00</v>
          </cell>
          <cell r="H903" t="str">
            <v>0,00</v>
          </cell>
          <cell r="I903">
            <v>14700</v>
          </cell>
          <cell r="J903">
            <v>-14700</v>
          </cell>
        </row>
        <row r="904">
          <cell r="A904" t="str">
            <v>1.1.1.3.01.009482</v>
          </cell>
          <cell r="B904" t="str">
            <v>FC VIAS SERVICOS FERROVIARIOS LTDA</v>
          </cell>
          <cell r="C904" t="str">
            <v>39.468,59</v>
          </cell>
          <cell r="D904" t="str">
            <v>23.088,59</v>
          </cell>
          <cell r="E904" t="str">
            <v>0,00</v>
          </cell>
          <cell r="F904" t="str">
            <v>1.820,00</v>
          </cell>
          <cell r="G904" t="str">
            <v>14.560,00</v>
          </cell>
          <cell r="H904" t="str">
            <v>0,00</v>
          </cell>
          <cell r="I904">
            <v>14560</v>
          </cell>
          <cell r="J904">
            <v>-14560</v>
          </cell>
        </row>
        <row r="905">
          <cell r="A905" t="str">
            <v>1.1.1.3.01.009502</v>
          </cell>
          <cell r="B905" t="str">
            <v>D.I. AUTO PECAS E ACESSORIOS</v>
          </cell>
          <cell r="C905" t="str">
            <v>197,48</v>
          </cell>
          <cell r="D905" t="str">
            <v>0,00</v>
          </cell>
          <cell r="E905" t="str">
            <v>0,00</v>
          </cell>
          <cell r="F905" t="str">
            <v>0,00</v>
          </cell>
          <cell r="G905" t="str">
            <v>197,48</v>
          </cell>
          <cell r="H905" t="str">
            <v>0,00</v>
          </cell>
          <cell r="I905">
            <v>197.48</v>
          </cell>
          <cell r="J905">
            <v>-197.48</v>
          </cell>
        </row>
        <row r="906">
          <cell r="A906" t="str">
            <v>1.1.1.3.01.009503</v>
          </cell>
          <cell r="B906" t="str">
            <v>CONSORCIO BANDEIRANTES - JAUPAVI</v>
          </cell>
          <cell r="C906" t="str">
            <v>5.240,17</v>
          </cell>
          <cell r="D906" t="str">
            <v>5.240,17</v>
          </cell>
          <cell r="E906" t="str">
            <v>1.162,92</v>
          </cell>
          <cell r="F906" t="str">
            <v>0,00</v>
          </cell>
          <cell r="G906" t="str">
            <v>1.162,92</v>
          </cell>
          <cell r="H906" t="str">
            <v>0,00</v>
          </cell>
          <cell r="I906">
            <v>1162.92</v>
          </cell>
          <cell r="J906">
            <v>-1162.92</v>
          </cell>
        </row>
        <row r="907">
          <cell r="A907" t="str">
            <v>1.1.1.3.01.009504</v>
          </cell>
          <cell r="B907" t="str">
            <v>CALTINS CALCARIO TOCANTINS LTDA</v>
          </cell>
          <cell r="C907" t="str">
            <v>18.155,16</v>
          </cell>
          <cell r="D907" t="str">
            <v>0,00</v>
          </cell>
          <cell r="E907" t="str">
            <v>0,00</v>
          </cell>
          <cell r="F907" t="str">
            <v>6.778,98</v>
          </cell>
          <cell r="G907" t="str">
            <v>11.376,18</v>
          </cell>
          <cell r="H907" t="str">
            <v>0,00</v>
          </cell>
          <cell r="I907">
            <v>11376.18</v>
          </cell>
          <cell r="J907">
            <v>-11376.18</v>
          </cell>
        </row>
        <row r="908">
          <cell r="A908" t="str">
            <v>1.1.1.3.01.009511</v>
          </cell>
          <cell r="B908" t="str">
            <v>CONSORCIO AVBN - PACOTES 22 23</v>
          </cell>
          <cell r="C908" t="str">
            <v>2.202,89</v>
          </cell>
          <cell r="D908" t="str">
            <v>734,30</v>
          </cell>
          <cell r="E908" t="str">
            <v>0,00</v>
          </cell>
          <cell r="F908" t="str">
            <v>0,00</v>
          </cell>
          <cell r="G908" t="str">
            <v>1.468,59</v>
          </cell>
          <cell r="H908" t="str">
            <v>0,00</v>
          </cell>
          <cell r="I908">
            <v>1468.59</v>
          </cell>
          <cell r="J908">
            <v>-1468.59</v>
          </cell>
        </row>
        <row r="909">
          <cell r="A909" t="str">
            <v>1.1.1.3.01.009513</v>
          </cell>
          <cell r="B909" t="str">
            <v>LIMA DO BRASIL LTDA</v>
          </cell>
          <cell r="C909" t="str">
            <v>10.050,00</v>
          </cell>
          <cell r="D909" t="str">
            <v>5.025,00</v>
          </cell>
          <cell r="E909" t="str">
            <v>0,00</v>
          </cell>
          <cell r="F909" t="str">
            <v>2.512,50</v>
          </cell>
          <cell r="G909" t="str">
            <v>2.512,50</v>
          </cell>
          <cell r="H909" t="str">
            <v>0,00</v>
          </cell>
          <cell r="I909">
            <v>2512.5</v>
          </cell>
          <cell r="J909">
            <v>-2512.5</v>
          </cell>
        </row>
        <row r="910">
          <cell r="A910" t="str">
            <v>1.1.1.3.01.009516</v>
          </cell>
          <cell r="B910" t="str">
            <v>EVIDENCIA MINERACAO MARMORES E GRANITOS</v>
          </cell>
          <cell r="C910" t="str">
            <v>1.550,04</v>
          </cell>
          <cell r="D910" t="str">
            <v>1.550,04</v>
          </cell>
          <cell r="E910" t="str">
            <v>14.844,18</v>
          </cell>
          <cell r="F910" t="str">
            <v>0,00</v>
          </cell>
          <cell r="G910" t="str">
            <v>14.844,18</v>
          </cell>
          <cell r="H910" t="str">
            <v>0,00</v>
          </cell>
          <cell r="I910">
            <v>14844.18</v>
          </cell>
          <cell r="J910">
            <v>-14844.18</v>
          </cell>
        </row>
        <row r="911">
          <cell r="A911" t="str">
            <v>1.1.1.3.01.009517</v>
          </cell>
          <cell r="B911" t="str">
            <v>VERMONT MINERACAO EXPORTACAO E IMPORTACAO LTDA</v>
          </cell>
          <cell r="C911" t="str">
            <v>82.557,72</v>
          </cell>
          <cell r="D911" t="str">
            <v>49.185,91</v>
          </cell>
          <cell r="E911" t="str">
            <v>0,00</v>
          </cell>
          <cell r="F911" t="str">
            <v>33.371,81</v>
          </cell>
          <cell r="G911" t="str">
            <v>0,00</v>
          </cell>
          <cell r="H911" t="str">
            <v>0,00</v>
          </cell>
          <cell r="I911">
            <v>0</v>
          </cell>
          <cell r="J911">
            <v>0</v>
          </cell>
        </row>
        <row r="912">
          <cell r="A912" t="str">
            <v>1.1.1.3.01.009531</v>
          </cell>
          <cell r="B912" t="str">
            <v>MINERADORA LIDERCAL LTDA</v>
          </cell>
          <cell r="C912" t="str">
            <v>95.000,00</v>
          </cell>
          <cell r="D912" t="str">
            <v>14.250,00</v>
          </cell>
          <cell r="E912" t="str">
            <v>0,00</v>
          </cell>
          <cell r="F912" t="str">
            <v>8.075,00</v>
          </cell>
          <cell r="G912" t="str">
            <v>72.675,00</v>
          </cell>
          <cell r="H912" t="str">
            <v>0,00</v>
          </cell>
          <cell r="I912">
            <v>72675</v>
          </cell>
          <cell r="J912">
            <v>-72675</v>
          </cell>
        </row>
        <row r="913">
          <cell r="A913" t="str">
            <v>1.1.1.3.01.009537</v>
          </cell>
          <cell r="B913" t="str">
            <v>TOP LOCAÇOES E TERRAPLANAGEM LTDA</v>
          </cell>
          <cell r="C913" t="str">
            <v>1.276,08</v>
          </cell>
          <cell r="D913" t="str">
            <v>1.276,08</v>
          </cell>
          <cell r="E913" t="str">
            <v>541,78</v>
          </cell>
          <cell r="F913" t="str">
            <v>541,78</v>
          </cell>
          <cell r="G913" t="str">
            <v>0,00</v>
          </cell>
          <cell r="H913" t="str">
            <v>0,00</v>
          </cell>
          <cell r="I913">
            <v>0</v>
          </cell>
          <cell r="J913">
            <v>0</v>
          </cell>
        </row>
        <row r="914">
          <cell r="A914" t="str">
            <v>1.1.1.3.01.009540</v>
          </cell>
          <cell r="B914" t="str">
            <v>GILEMA SERVIÇOS DE TERRAPLANAGEM EIRELI</v>
          </cell>
          <cell r="C914" t="str">
            <v>2.198,95</v>
          </cell>
          <cell r="D914" t="str">
            <v>1.370,37</v>
          </cell>
          <cell r="E914" t="str">
            <v>0,00</v>
          </cell>
          <cell r="F914" t="str">
            <v>828,58</v>
          </cell>
          <cell r="G914" t="str">
            <v>0,00</v>
          </cell>
          <cell r="H914" t="str">
            <v>0,00</v>
          </cell>
          <cell r="I914">
            <v>0</v>
          </cell>
          <cell r="J914">
            <v>0</v>
          </cell>
        </row>
        <row r="915">
          <cell r="A915" t="str">
            <v>1.1.1.3.01.009543</v>
          </cell>
          <cell r="B915" t="str">
            <v>INDUSTRIAS DE MARMORES CAVALIERE LTDA</v>
          </cell>
          <cell r="C915" t="str">
            <v>3.915,19</v>
          </cell>
          <cell r="D915" t="str">
            <v>1.305,06</v>
          </cell>
          <cell r="E915" t="str">
            <v>0,00</v>
          </cell>
          <cell r="F915" t="str">
            <v>1.305,06</v>
          </cell>
          <cell r="G915" t="str">
            <v>1.305,07</v>
          </cell>
          <cell r="H915" t="str">
            <v>0,00</v>
          </cell>
          <cell r="I915">
            <v>1305.07</v>
          </cell>
          <cell r="J915">
            <v>-1305.07</v>
          </cell>
        </row>
        <row r="916">
          <cell r="A916" t="str">
            <v>1.1.1.3.01.009555</v>
          </cell>
          <cell r="B916" t="str">
            <v>BRC BRAZILIAN ROCKS CONNECTION SERVIÇOS LTDA</v>
          </cell>
          <cell r="C916" t="str">
            <v>1.720,00</v>
          </cell>
          <cell r="D916" t="str">
            <v>860,00</v>
          </cell>
          <cell r="E916" t="str">
            <v>0,00</v>
          </cell>
          <cell r="F916" t="str">
            <v>0,00</v>
          </cell>
          <cell r="G916" t="str">
            <v>860,00</v>
          </cell>
          <cell r="H916" t="str">
            <v>0,00</v>
          </cell>
          <cell r="I916">
            <v>860</v>
          </cell>
          <cell r="J916">
            <v>-860</v>
          </cell>
        </row>
        <row r="917">
          <cell r="A917" t="str">
            <v>1.1.1.3.01.009556</v>
          </cell>
          <cell r="B917" t="str">
            <v>ALESSANDRO ANDRADE BENITES</v>
          </cell>
          <cell r="C917" t="str">
            <v>5.683,95</v>
          </cell>
          <cell r="D917" t="str">
            <v>3.747,77</v>
          </cell>
          <cell r="E917" t="str">
            <v>0,00</v>
          </cell>
          <cell r="F917" t="str">
            <v>1.936,18</v>
          </cell>
          <cell r="G917" t="str">
            <v>0,00</v>
          </cell>
          <cell r="H917" t="str">
            <v>0,00</v>
          </cell>
          <cell r="I917">
            <v>0</v>
          </cell>
          <cell r="J917">
            <v>0</v>
          </cell>
        </row>
        <row r="918">
          <cell r="A918" t="str">
            <v>1.1.1.3.01.009562</v>
          </cell>
          <cell r="B918" t="str">
            <v>W B GOMES  LTDA</v>
          </cell>
          <cell r="C918" t="str">
            <v>7.900,00</v>
          </cell>
          <cell r="D918" t="str">
            <v>3.950,00</v>
          </cell>
          <cell r="E918" t="str">
            <v>0,00</v>
          </cell>
          <cell r="F918" t="str">
            <v>0,00</v>
          </cell>
          <cell r="G918" t="str">
            <v>3.950,00</v>
          </cell>
          <cell r="H918" t="str">
            <v>0,00</v>
          </cell>
          <cell r="I918">
            <v>3950</v>
          </cell>
          <cell r="J918">
            <v>-3950</v>
          </cell>
        </row>
        <row r="919">
          <cell r="A919" t="str">
            <v>1.1.1.3.01.009563</v>
          </cell>
          <cell r="B919" t="str">
            <v>LUIZ GUSTAVO JUNQUEIRA LELIS</v>
          </cell>
          <cell r="C919" t="str">
            <v>3.713,49</v>
          </cell>
          <cell r="D919" t="str">
            <v>3.713,49</v>
          </cell>
          <cell r="E919" t="str">
            <v>19.187,67</v>
          </cell>
          <cell r="F919" t="str">
            <v>3.000,00</v>
          </cell>
          <cell r="G919" t="str">
            <v>16.187,67</v>
          </cell>
          <cell r="H919" t="str">
            <v>0,00</v>
          </cell>
          <cell r="I919">
            <v>16187.67</v>
          </cell>
          <cell r="J919">
            <v>-16187.67</v>
          </cell>
        </row>
        <row r="920">
          <cell r="A920" t="str">
            <v>1.1.1.3.01.009565</v>
          </cell>
          <cell r="B920" t="str">
            <v>NELCIR JOAO POLINSKI SERVICOS LTDA</v>
          </cell>
          <cell r="C920" t="str">
            <v>5.052,26</v>
          </cell>
          <cell r="D920" t="str">
            <v>3.504,00</v>
          </cell>
          <cell r="E920" t="str">
            <v>0,00</v>
          </cell>
          <cell r="F920" t="str">
            <v>1.548,26</v>
          </cell>
          <cell r="G920" t="str">
            <v>0,00</v>
          </cell>
          <cell r="H920" t="str">
            <v>0,00</v>
          </cell>
          <cell r="I920">
            <v>0</v>
          </cell>
          <cell r="J920">
            <v>0</v>
          </cell>
        </row>
        <row r="921">
          <cell r="A921" t="str">
            <v>1.1.1.3.01.009574</v>
          </cell>
          <cell r="B921" t="str">
            <v>S A PAULISTA DE CONSTRUCOES E COMERCIO</v>
          </cell>
          <cell r="C921" t="str">
            <v>16.702,34</v>
          </cell>
          <cell r="D921" t="str">
            <v>0,00</v>
          </cell>
          <cell r="E921" t="str">
            <v>0,00</v>
          </cell>
          <cell r="F921" t="str">
            <v>3.340,47</v>
          </cell>
          <cell r="G921" t="str">
            <v>13.361,87</v>
          </cell>
          <cell r="H921" t="str">
            <v>0,00</v>
          </cell>
          <cell r="I921">
            <v>13361.87</v>
          </cell>
          <cell r="J921">
            <v>-13361.87</v>
          </cell>
        </row>
        <row r="922">
          <cell r="A922" t="str">
            <v>1.1.1.3.01.009576</v>
          </cell>
          <cell r="B922" t="str">
            <v>ANGICO MINERACAO LTDA</v>
          </cell>
          <cell r="C922" t="str">
            <v>3.689,20</v>
          </cell>
          <cell r="D922" t="str">
            <v>0,00</v>
          </cell>
          <cell r="E922" t="str">
            <v>0,00</v>
          </cell>
          <cell r="F922" t="str">
            <v>2.689,20</v>
          </cell>
          <cell r="G922" t="str">
            <v>1.000,00</v>
          </cell>
          <cell r="H922" t="str">
            <v>0,00</v>
          </cell>
          <cell r="I922">
            <v>1000</v>
          </cell>
          <cell r="J922">
            <v>-1000</v>
          </cell>
        </row>
        <row r="923">
          <cell r="A923" t="str">
            <v>1.1.1.3.01.009580</v>
          </cell>
          <cell r="B923" t="str">
            <v>CM VEDACOES HIDRAULICAS</v>
          </cell>
          <cell r="C923" t="str">
            <v>7.312,47</v>
          </cell>
          <cell r="D923" t="str">
            <v>7.312,47</v>
          </cell>
          <cell r="E923" t="str">
            <v>7.537,70</v>
          </cell>
          <cell r="F923" t="str">
            <v>0,00</v>
          </cell>
          <cell r="G923" t="str">
            <v>7.537,70</v>
          </cell>
          <cell r="H923" t="str">
            <v>0,00</v>
          </cell>
          <cell r="I923">
            <v>7537.7</v>
          </cell>
          <cell r="J923">
            <v>-7537.7</v>
          </cell>
        </row>
        <row r="924">
          <cell r="A924" t="str">
            <v>1.1.1.3.01.009581</v>
          </cell>
          <cell r="B924" t="str">
            <v>JKR TAPUMES E LOCAÇOES DE MAQUINAS LTDA</v>
          </cell>
          <cell r="C924" t="str">
            <v>1.083,56</v>
          </cell>
          <cell r="D924" t="str">
            <v>541,78</v>
          </cell>
          <cell r="E924" t="str">
            <v>0,00</v>
          </cell>
          <cell r="F924" t="str">
            <v>0,00</v>
          </cell>
          <cell r="G924" t="str">
            <v>541,78</v>
          </cell>
          <cell r="H924" t="str">
            <v>0,00</v>
          </cell>
          <cell r="I924">
            <v>541.78</v>
          </cell>
          <cell r="J924">
            <v>-541.78</v>
          </cell>
        </row>
        <row r="925">
          <cell r="A925" t="str">
            <v>1.1.1.3.01.009589</v>
          </cell>
          <cell r="B925" t="str">
            <v>TREVO ENGENHARIA E SERVICOS LTDA</v>
          </cell>
          <cell r="C925" t="str">
            <v>0,00</v>
          </cell>
          <cell r="D925" t="str">
            <v>0,00</v>
          </cell>
          <cell r="E925" t="str">
            <v>3.873,63</v>
          </cell>
          <cell r="F925" t="str">
            <v>3.873,63</v>
          </cell>
          <cell r="G925" t="str">
            <v>0,00</v>
          </cell>
          <cell r="H925" t="str">
            <v>0,00</v>
          </cell>
          <cell r="I925">
            <v>0</v>
          </cell>
          <cell r="J925">
            <v>0</v>
          </cell>
        </row>
        <row r="926">
          <cell r="A926" t="str">
            <v>1.1.1.3.01.009591</v>
          </cell>
          <cell r="B926" t="str">
            <v>MINERADORA SAO FRANCISCO LTDA</v>
          </cell>
          <cell r="C926" t="str">
            <v>0,00</v>
          </cell>
          <cell r="D926" t="str">
            <v>0,00</v>
          </cell>
          <cell r="E926" t="str">
            <v>7.078,57</v>
          </cell>
          <cell r="F926" t="str">
            <v>7.078,57</v>
          </cell>
          <cell r="G926" t="str">
            <v>0,00</v>
          </cell>
          <cell r="H926" t="str">
            <v>0,00</v>
          </cell>
          <cell r="I926">
            <v>0</v>
          </cell>
          <cell r="J926">
            <v>0</v>
          </cell>
        </row>
        <row r="927">
          <cell r="A927" t="str">
            <v>1.1.1.3.01.009595</v>
          </cell>
          <cell r="B927" t="str">
            <v>R.M LOCACOES E SERVICOS INTEGRADOS LTDA</v>
          </cell>
          <cell r="C927" t="str">
            <v>0,00</v>
          </cell>
          <cell r="D927" t="str">
            <v>0,00</v>
          </cell>
          <cell r="E927" t="str">
            <v>145,63</v>
          </cell>
          <cell r="F927" t="str">
            <v>145,63</v>
          </cell>
          <cell r="G927" t="str">
            <v>0,00</v>
          </cell>
          <cell r="H927" t="str">
            <v>0,00</v>
          </cell>
          <cell r="I927">
            <v>0</v>
          </cell>
          <cell r="J927">
            <v>0</v>
          </cell>
        </row>
        <row r="928">
          <cell r="A928" t="str">
            <v>1.1.1.3.01.009596</v>
          </cell>
          <cell r="B928" t="str">
            <v>GONCALO PEDROSO DE BARROS MINERACAO</v>
          </cell>
          <cell r="C928" t="str">
            <v>124.196,67</v>
          </cell>
          <cell r="D928" t="str">
            <v>0,00</v>
          </cell>
          <cell r="E928" t="str">
            <v>20.583,20</v>
          </cell>
          <cell r="F928" t="str">
            <v>21.532,28</v>
          </cell>
          <cell r="G928" t="str">
            <v>123.247,59</v>
          </cell>
          <cell r="H928" t="str">
            <v>0,00</v>
          </cell>
          <cell r="I928">
            <v>123247.59</v>
          </cell>
          <cell r="J928">
            <v>-123247.59</v>
          </cell>
        </row>
        <row r="929">
          <cell r="A929" t="str">
            <v>1.1.1.3.01.009805</v>
          </cell>
          <cell r="B929" t="str">
            <v>METRIA MINERACAO LTDA</v>
          </cell>
          <cell r="C929" t="str">
            <v>115.000,00</v>
          </cell>
          <cell r="D929" t="str">
            <v>85.675,00</v>
          </cell>
          <cell r="E929" t="str">
            <v>0,00</v>
          </cell>
          <cell r="F929" t="str">
            <v>0,00</v>
          </cell>
          <cell r="G929" t="str">
            <v>29.325,00</v>
          </cell>
          <cell r="H929" t="str">
            <v>0,00</v>
          </cell>
          <cell r="I929">
            <v>29325</v>
          </cell>
          <cell r="J929">
            <v>-29325</v>
          </cell>
        </row>
        <row r="930">
          <cell r="A930" t="str">
            <v>1.1.1.3.01.009806</v>
          </cell>
          <cell r="B930" t="str">
            <v>BONATTO AGRICOLA E TRANSPORTES LTDA</v>
          </cell>
          <cell r="C930" t="str">
            <v>115.090,00</v>
          </cell>
          <cell r="D930" t="str">
            <v>66.752,20</v>
          </cell>
          <cell r="E930" t="str">
            <v>0,00</v>
          </cell>
          <cell r="F930" t="str">
            <v>0,00</v>
          </cell>
          <cell r="G930" t="str">
            <v>48.337,80</v>
          </cell>
          <cell r="H930" t="str">
            <v>0,00</v>
          </cell>
          <cell r="I930">
            <v>48337.8</v>
          </cell>
          <cell r="J930">
            <v>-48337.8</v>
          </cell>
        </row>
        <row r="931">
          <cell r="A931" t="str">
            <v>1.1.1.3.01.009807</v>
          </cell>
          <cell r="B931" t="str">
            <v>J.M.A COMERCIO DE MARMORES LTDA</v>
          </cell>
          <cell r="C931" t="str">
            <v>215.000,00</v>
          </cell>
          <cell r="D931" t="str">
            <v>100.333,31</v>
          </cell>
          <cell r="E931" t="str">
            <v>0,00</v>
          </cell>
          <cell r="F931" t="str">
            <v>14.333,33</v>
          </cell>
          <cell r="G931" t="str">
            <v>100.333,36</v>
          </cell>
          <cell r="H931" t="str">
            <v>0,00</v>
          </cell>
          <cell r="I931">
            <v>100333.36</v>
          </cell>
          <cell r="J931">
            <v>-100333.36</v>
          </cell>
        </row>
        <row r="932">
          <cell r="A932" t="str">
            <v>1.1.1.3.01.009819</v>
          </cell>
          <cell r="B932" t="str">
            <v>LUIS CARLOS MORETTO</v>
          </cell>
          <cell r="C932" t="str">
            <v>162.353,55</v>
          </cell>
          <cell r="D932" t="str">
            <v>63.419,35</v>
          </cell>
          <cell r="E932" t="str">
            <v>82.950,00</v>
          </cell>
          <cell r="F932" t="str">
            <v>65.380,41</v>
          </cell>
          <cell r="G932" t="str">
            <v>116.503,79</v>
          </cell>
          <cell r="H932" t="str">
            <v>0,00</v>
          </cell>
          <cell r="I932">
            <v>116503.79</v>
          </cell>
          <cell r="J932">
            <v>-116503.79</v>
          </cell>
        </row>
        <row r="933">
          <cell r="A933" t="str">
            <v>1.1.1.3.01.009827</v>
          </cell>
          <cell r="B933" t="str">
            <v>VEMBALOC LOCACAO DE MAQUINAS E EQUIPAMENTOS LTDA</v>
          </cell>
          <cell r="C933" t="str">
            <v>21.000,00</v>
          </cell>
          <cell r="D933" t="str">
            <v>15.120,00</v>
          </cell>
          <cell r="E933" t="str">
            <v>0,00</v>
          </cell>
          <cell r="F933" t="str">
            <v>1.470,00</v>
          </cell>
          <cell r="G933" t="str">
            <v>4.410,00</v>
          </cell>
          <cell r="H933" t="str">
            <v>0,00</v>
          </cell>
          <cell r="I933">
            <v>4410</v>
          </cell>
          <cell r="J933">
            <v>-4410</v>
          </cell>
        </row>
        <row r="934">
          <cell r="A934" t="str">
            <v>1.1.1.3.01.009828</v>
          </cell>
          <cell r="B934" t="str">
            <v>THENDA  EMPREENDIMENTOS LTDA</v>
          </cell>
          <cell r="C934" t="str">
            <v>12.476,72</v>
          </cell>
          <cell r="D934" t="str">
            <v>6.238,36</v>
          </cell>
          <cell r="E934" t="str">
            <v>0,00</v>
          </cell>
          <cell r="F934" t="str">
            <v>6.238,36</v>
          </cell>
          <cell r="G934" t="str">
            <v>0,00</v>
          </cell>
          <cell r="H934" t="str">
            <v>0,00</v>
          </cell>
          <cell r="I934">
            <v>0</v>
          </cell>
          <cell r="J934">
            <v>0</v>
          </cell>
        </row>
        <row r="935">
          <cell r="A935" t="str">
            <v>1.1.1.3.01.009835</v>
          </cell>
          <cell r="B935" t="str">
            <v>CIRO FERNANDES PORTO</v>
          </cell>
          <cell r="C935" t="str">
            <v>0,00</v>
          </cell>
          <cell r="D935" t="str">
            <v>0,00</v>
          </cell>
          <cell r="E935" t="str">
            <v>315.200,00</v>
          </cell>
          <cell r="F935" t="str">
            <v>135.200,00</v>
          </cell>
          <cell r="G935" t="str">
            <v>180.000,00</v>
          </cell>
          <cell r="H935" t="str">
            <v>0,00</v>
          </cell>
          <cell r="I935">
            <v>180000</v>
          </cell>
          <cell r="J935">
            <v>-180000</v>
          </cell>
        </row>
        <row r="936">
          <cell r="A936" t="str">
            <v>1.1.1.3.01.009836</v>
          </cell>
          <cell r="B936" t="str">
            <v>MINERACAO ANTONELLI LTDA</v>
          </cell>
          <cell r="C936" t="str">
            <v>95.000,00</v>
          </cell>
          <cell r="D936" t="str">
            <v>45.000,00</v>
          </cell>
          <cell r="E936" t="str">
            <v>0,00</v>
          </cell>
          <cell r="F936" t="str">
            <v>7.500,00</v>
          </cell>
          <cell r="G936" t="str">
            <v>42.500,00</v>
          </cell>
          <cell r="H936" t="str">
            <v>0,00</v>
          </cell>
          <cell r="I936">
            <v>42500</v>
          </cell>
          <cell r="J936">
            <v>-42500</v>
          </cell>
        </row>
        <row r="937">
          <cell r="A937" t="str">
            <v>1.1.1.3.01.009837</v>
          </cell>
          <cell r="B937" t="str">
            <v>MELVANA TRANSPORTES LTDA</v>
          </cell>
          <cell r="C937" t="str">
            <v>24.731,50</v>
          </cell>
          <cell r="D937" t="str">
            <v>18.571,50</v>
          </cell>
          <cell r="E937" t="str">
            <v>0,00</v>
          </cell>
          <cell r="F937" t="str">
            <v>1.540,00</v>
          </cell>
          <cell r="G937" t="str">
            <v>4.620,00</v>
          </cell>
          <cell r="H937" t="str">
            <v>0,00</v>
          </cell>
          <cell r="I937">
            <v>4620</v>
          </cell>
          <cell r="J937">
            <v>-4620</v>
          </cell>
        </row>
        <row r="938">
          <cell r="A938" t="str">
            <v>1.1.1.3.01.009839</v>
          </cell>
          <cell r="B938" t="str">
            <v>RODRIGUES FOREST COMERCIO DE MADEIRAS LTDA</v>
          </cell>
          <cell r="C938" t="str">
            <v>22.000,00</v>
          </cell>
          <cell r="D938" t="str">
            <v>12.940,00</v>
          </cell>
          <cell r="E938" t="str">
            <v>0,00</v>
          </cell>
          <cell r="F938" t="str">
            <v>0,00</v>
          </cell>
          <cell r="G938" t="str">
            <v>9.060,00</v>
          </cell>
          <cell r="H938" t="str">
            <v>0,00</v>
          </cell>
          <cell r="I938">
            <v>9060</v>
          </cell>
          <cell r="J938">
            <v>-9060</v>
          </cell>
        </row>
        <row r="939">
          <cell r="A939" t="str">
            <v>1.1.1.3.01.009842</v>
          </cell>
          <cell r="B939" t="str">
            <v>USUAL BRINQUEDOS LTDA</v>
          </cell>
          <cell r="C939" t="str">
            <v>1.909,42</v>
          </cell>
          <cell r="D939" t="str">
            <v>1.909,42</v>
          </cell>
          <cell r="E939" t="str">
            <v>3.766,95</v>
          </cell>
          <cell r="F939" t="str">
            <v>0,00</v>
          </cell>
          <cell r="G939" t="str">
            <v>3.766,95</v>
          </cell>
          <cell r="H939" t="str">
            <v>0,00</v>
          </cell>
          <cell r="I939">
            <v>3766.95</v>
          </cell>
          <cell r="J939">
            <v>-3766.95</v>
          </cell>
        </row>
        <row r="940">
          <cell r="A940" t="str">
            <v>1.1.1.3.01.009845</v>
          </cell>
          <cell r="B940" t="str">
            <v>ACA MARMORES E GRANITOS LTDA</v>
          </cell>
          <cell r="C940" t="str">
            <v>16.800,00</v>
          </cell>
          <cell r="D940" t="str">
            <v>14.000,00</v>
          </cell>
          <cell r="E940" t="str">
            <v>0,00</v>
          </cell>
          <cell r="F940" t="str">
            <v>2.800,00</v>
          </cell>
          <cell r="G940" t="str">
            <v>0,00</v>
          </cell>
          <cell r="H940" t="str">
            <v>0,00</v>
          </cell>
          <cell r="I940">
            <v>0</v>
          </cell>
          <cell r="J940">
            <v>0</v>
          </cell>
        </row>
        <row r="941">
          <cell r="A941" t="str">
            <v>1.1.1.3.01.009852</v>
          </cell>
          <cell r="B941" t="str">
            <v>DESMONTEC SOLUCOES EM DETONACOES LTDA</v>
          </cell>
          <cell r="C941" t="str">
            <v>530.000,00</v>
          </cell>
          <cell r="D941" t="str">
            <v>257.933,32</v>
          </cell>
          <cell r="E941" t="str">
            <v>0,00</v>
          </cell>
          <cell r="F941" t="str">
            <v>0,00</v>
          </cell>
          <cell r="G941" t="str">
            <v>272.066,68</v>
          </cell>
          <cell r="H941" t="str">
            <v>0,00</v>
          </cell>
          <cell r="I941">
            <v>272066.68</v>
          </cell>
          <cell r="J941">
            <v>-272066.68</v>
          </cell>
        </row>
        <row r="942">
          <cell r="A942" t="str">
            <v>1.1.1.3.01.009855</v>
          </cell>
          <cell r="B942" t="str">
            <v>ECOGRAN BRITAGEM LTDA</v>
          </cell>
          <cell r="C942" t="str">
            <v>68.000,00</v>
          </cell>
          <cell r="D942" t="str">
            <v>52.133,32</v>
          </cell>
          <cell r="E942" t="str">
            <v>0,00</v>
          </cell>
          <cell r="F942" t="str">
            <v>0,00</v>
          </cell>
          <cell r="G942" t="str">
            <v>15.866,68</v>
          </cell>
          <cell r="H942" t="str">
            <v>0,00</v>
          </cell>
          <cell r="I942">
            <v>15866.68</v>
          </cell>
          <cell r="J942">
            <v>-15866.68</v>
          </cell>
        </row>
        <row r="943">
          <cell r="A943" t="str">
            <v>1.1.1.3.01.009856</v>
          </cell>
          <cell r="B943" t="str">
            <v>ISAM MAQUINAS DE CONSTRUCAO LTDA</v>
          </cell>
          <cell r="C943" t="str">
            <v>178.000,00</v>
          </cell>
          <cell r="D943" t="str">
            <v>113.000,00</v>
          </cell>
          <cell r="E943" t="str">
            <v>0,00</v>
          </cell>
          <cell r="F943" t="str">
            <v>13.000,00</v>
          </cell>
          <cell r="G943" t="str">
            <v>52.000,00</v>
          </cell>
          <cell r="H943" t="str">
            <v>0,00</v>
          </cell>
          <cell r="I943">
            <v>52000</v>
          </cell>
          <cell r="J943">
            <v>-52000</v>
          </cell>
        </row>
        <row r="944">
          <cell r="A944" t="str">
            <v>1.1.1.3.01.009859</v>
          </cell>
          <cell r="B944" t="str">
            <v>SANEAR CONSTRUTORA LTDA</v>
          </cell>
          <cell r="C944" t="str">
            <v>110.000,02</v>
          </cell>
          <cell r="D944" t="str">
            <v>31.045,30</v>
          </cell>
          <cell r="E944" t="str">
            <v>0,00</v>
          </cell>
          <cell r="F944" t="str">
            <v>0,00</v>
          </cell>
          <cell r="G944" t="str">
            <v>78.954,72</v>
          </cell>
          <cell r="H944" t="str">
            <v>0,00</v>
          </cell>
          <cell r="I944">
            <v>78954.720000000001</v>
          </cell>
          <cell r="J944">
            <v>-78954.720000000001</v>
          </cell>
        </row>
        <row r="945">
          <cell r="A945" t="str">
            <v>1.1.1.3.01.009862</v>
          </cell>
          <cell r="B945" t="str">
            <v>SAO JORGE PEDRAS ORNAMENTAIS LTDA</v>
          </cell>
          <cell r="C945" t="str">
            <v>78.000,00</v>
          </cell>
          <cell r="D945" t="str">
            <v>29.000,00</v>
          </cell>
          <cell r="E945" t="str">
            <v>0,00</v>
          </cell>
          <cell r="F945" t="str">
            <v>5.800,00</v>
          </cell>
          <cell r="G945" t="str">
            <v>43.200,00</v>
          </cell>
          <cell r="H945" t="str">
            <v>0,00</v>
          </cell>
          <cell r="I945">
            <v>43200</v>
          </cell>
          <cell r="J945">
            <v>-43200</v>
          </cell>
        </row>
        <row r="946">
          <cell r="A946" t="str">
            <v>1.1.1.3.01.009863</v>
          </cell>
          <cell r="B946" t="str">
            <v>STONE TRACING SERVICES LTDA</v>
          </cell>
          <cell r="C946" t="str">
            <v>470.000,00</v>
          </cell>
          <cell r="D946" t="str">
            <v>195.833,35</v>
          </cell>
          <cell r="E946" t="str">
            <v>0,00</v>
          </cell>
          <cell r="F946" t="str">
            <v>39.166,67</v>
          </cell>
          <cell r="G946" t="str">
            <v>234.999,98</v>
          </cell>
          <cell r="H946" t="str">
            <v>0,00</v>
          </cell>
          <cell r="I946">
            <v>234999.98</v>
          </cell>
          <cell r="J946">
            <v>-234999.98</v>
          </cell>
        </row>
        <row r="947">
          <cell r="A947" t="str">
            <v>1.1.1.3.01.009865</v>
          </cell>
          <cell r="B947" t="str">
            <v>E.K ENGENHARIA E CONSTRUCOES LTDA</v>
          </cell>
          <cell r="C947" t="str">
            <v>83.000,00</v>
          </cell>
          <cell r="D947" t="str">
            <v>32.250,00</v>
          </cell>
          <cell r="E947" t="str">
            <v>0,00</v>
          </cell>
          <cell r="F947" t="str">
            <v>7.250,00</v>
          </cell>
          <cell r="G947" t="str">
            <v>43.500,00</v>
          </cell>
          <cell r="H947" t="str">
            <v>0,00</v>
          </cell>
          <cell r="I947">
            <v>43500</v>
          </cell>
          <cell r="J947">
            <v>-43500</v>
          </cell>
        </row>
        <row r="948">
          <cell r="A948" t="str">
            <v>1.1.1.3.01.009874</v>
          </cell>
          <cell r="B948" t="str">
            <v>DARCI ROBERTO DELAI</v>
          </cell>
          <cell r="C948" t="str">
            <v>61.553,00</v>
          </cell>
          <cell r="D948" t="str">
            <v>12.310,60</v>
          </cell>
          <cell r="E948" t="str">
            <v>0,00</v>
          </cell>
          <cell r="F948" t="str">
            <v>0,00</v>
          </cell>
          <cell r="G948" t="str">
            <v>49.242,40</v>
          </cell>
          <cell r="H948" t="str">
            <v>0,00</v>
          </cell>
          <cell r="I948">
            <v>49242.400000000001</v>
          </cell>
          <cell r="J948">
            <v>-49242.400000000001</v>
          </cell>
        </row>
        <row r="949">
          <cell r="A949" t="str">
            <v>1.1.1.3.01.009875</v>
          </cell>
          <cell r="B949" t="str">
            <v>CONSTRUTORA SIMOSO LTDA.</v>
          </cell>
          <cell r="C949" t="str">
            <v>100.000,00</v>
          </cell>
          <cell r="D949" t="str">
            <v>0,00</v>
          </cell>
          <cell r="E949" t="str">
            <v>0,00</v>
          </cell>
          <cell r="F949" t="str">
            <v>85.337,50</v>
          </cell>
          <cell r="G949" t="str">
            <v>14.662,50</v>
          </cell>
          <cell r="H949" t="str">
            <v>0,00</v>
          </cell>
          <cell r="I949">
            <v>14662.5</v>
          </cell>
          <cell r="J949">
            <v>-14662.5</v>
          </cell>
        </row>
        <row r="950">
          <cell r="A950" t="str">
            <v>1.1.1.3.01.009877</v>
          </cell>
          <cell r="B950" t="str">
            <v>EFICIENTE SERVICOS E LOCACAO LTDA</v>
          </cell>
          <cell r="C950" t="str">
            <v>115.000,00</v>
          </cell>
          <cell r="D950" t="str">
            <v>67.000,00</v>
          </cell>
          <cell r="E950" t="str">
            <v>0,00</v>
          </cell>
          <cell r="F950" t="str">
            <v>8.000,00</v>
          </cell>
          <cell r="G950" t="str">
            <v>40.000,00</v>
          </cell>
          <cell r="H950" t="str">
            <v>0,00</v>
          </cell>
          <cell r="I950">
            <v>40000</v>
          </cell>
          <cell r="J950">
            <v>-40000</v>
          </cell>
        </row>
        <row r="951">
          <cell r="A951" t="str">
            <v>1.1.1.3.01.009881</v>
          </cell>
          <cell r="B951" t="str">
            <v>NACIONAL BRASIL MINERACAO LTDA</v>
          </cell>
          <cell r="C951" t="str">
            <v>495.000,00</v>
          </cell>
          <cell r="D951" t="str">
            <v>139.615,38</v>
          </cell>
          <cell r="E951" t="str">
            <v>0,00</v>
          </cell>
          <cell r="F951" t="str">
            <v>35.538,46</v>
          </cell>
          <cell r="G951" t="str">
            <v>319.846,16</v>
          </cell>
          <cell r="H951" t="str">
            <v>0,00</v>
          </cell>
          <cell r="I951">
            <v>319846.15999999997</v>
          </cell>
          <cell r="J951">
            <v>-319846.15999999997</v>
          </cell>
        </row>
        <row r="952">
          <cell r="A952" t="str">
            <v>1.1.1.3.01.009883</v>
          </cell>
          <cell r="B952" t="str">
            <v>THOR GRANITOS E MARMORES LTDA</v>
          </cell>
          <cell r="C952" t="str">
            <v>1.119.512,72</v>
          </cell>
          <cell r="D952" t="str">
            <v>393.575,57</v>
          </cell>
          <cell r="E952" t="str">
            <v>13.325,65</v>
          </cell>
          <cell r="F952" t="str">
            <v>117.837,15</v>
          </cell>
          <cell r="G952" t="str">
            <v>621.425,65</v>
          </cell>
          <cell r="H952" t="str">
            <v>0,00</v>
          </cell>
          <cell r="I952">
            <v>621425.65</v>
          </cell>
          <cell r="J952">
            <v>-621425.65</v>
          </cell>
        </row>
        <row r="953">
          <cell r="A953" t="str">
            <v>1.1.1.3.01.009886</v>
          </cell>
          <cell r="B953" t="str">
            <v>GSA DA CONSTRUCAO COMERCIO E SERVICO LTDA</v>
          </cell>
          <cell r="C953" t="str">
            <v>201.236,29</v>
          </cell>
          <cell r="D953" t="str">
            <v>103.764,18</v>
          </cell>
          <cell r="E953" t="str">
            <v>0,00</v>
          </cell>
          <cell r="F953" t="str">
            <v>15.572,11</v>
          </cell>
          <cell r="G953" t="str">
            <v>81.900,00</v>
          </cell>
          <cell r="H953" t="str">
            <v>0,00</v>
          </cell>
          <cell r="I953">
            <v>81900</v>
          </cell>
          <cell r="J953">
            <v>-81900</v>
          </cell>
        </row>
        <row r="954">
          <cell r="A954" t="str">
            <v>1.1.1.3.01.009889</v>
          </cell>
          <cell r="B954" t="str">
            <v>AZZURRA STONE LTDA</v>
          </cell>
          <cell r="C954" t="str">
            <v>75.000,00</v>
          </cell>
          <cell r="D954" t="str">
            <v>22.500,00</v>
          </cell>
          <cell r="E954" t="str">
            <v>0,00</v>
          </cell>
          <cell r="F954" t="str">
            <v>0,00</v>
          </cell>
          <cell r="G954" t="str">
            <v>52.500,00</v>
          </cell>
          <cell r="H954" t="str">
            <v>0,00</v>
          </cell>
          <cell r="I954">
            <v>52500</v>
          </cell>
          <cell r="J954">
            <v>-52500</v>
          </cell>
        </row>
        <row r="955">
          <cell r="A955" t="str">
            <v>1.1.1.3.01.009891</v>
          </cell>
          <cell r="B955" t="str">
            <v>MINERACAO SAO SEBASTIAO LTDA</v>
          </cell>
          <cell r="C955" t="str">
            <v>653,20</v>
          </cell>
          <cell r="D955" t="str">
            <v>0,00</v>
          </cell>
          <cell r="E955" t="str">
            <v>0,00</v>
          </cell>
          <cell r="F955" t="str">
            <v>0,00</v>
          </cell>
          <cell r="G955" t="str">
            <v>653,20</v>
          </cell>
          <cell r="H955" t="str">
            <v>0,00</v>
          </cell>
          <cell r="I955">
            <v>653.20000000000005</v>
          </cell>
          <cell r="J955">
            <v>-653.20000000000005</v>
          </cell>
        </row>
        <row r="956">
          <cell r="A956" t="str">
            <v>1.1.1.3.01.009901</v>
          </cell>
          <cell r="B956" t="str">
            <v>MARCOS ANTONIEL DE OLIVEIRA</v>
          </cell>
          <cell r="C956" t="str">
            <v>23.800,11</v>
          </cell>
          <cell r="D956" t="str">
            <v>22.000,00</v>
          </cell>
          <cell r="E956" t="str">
            <v>0,00</v>
          </cell>
          <cell r="F956" t="str">
            <v>0,00</v>
          </cell>
          <cell r="G956" t="str">
            <v>1.800,11</v>
          </cell>
          <cell r="H956" t="str">
            <v>0,00</v>
          </cell>
          <cell r="I956">
            <v>1800.11</v>
          </cell>
          <cell r="J956">
            <v>-1800.11</v>
          </cell>
        </row>
        <row r="957">
          <cell r="A957" t="str">
            <v>1.1.1.3.01.009902</v>
          </cell>
          <cell r="B957" t="str">
            <v>AGF BRASIL LOGISTICA E SERVICOS LTDA</v>
          </cell>
          <cell r="C957" t="str">
            <v>6.599.699,96</v>
          </cell>
          <cell r="D957" t="str">
            <v>5.342.261,76</v>
          </cell>
          <cell r="E957" t="str">
            <v>1.722.783,75</v>
          </cell>
          <cell r="F957" t="str">
            <v>2.297.800,00</v>
          </cell>
          <cell r="G957" t="str">
            <v>682.421,95</v>
          </cell>
          <cell r="H957" t="str">
            <v>0,00</v>
          </cell>
          <cell r="I957">
            <v>682421.95</v>
          </cell>
          <cell r="J957">
            <v>-682421.95</v>
          </cell>
        </row>
        <row r="958">
          <cell r="A958" t="str">
            <v>1.1.1.3.01.009906</v>
          </cell>
          <cell r="B958" t="str">
            <v>RC6 GLOBAL STONES BRAZIL SPE LTDA</v>
          </cell>
          <cell r="C958" t="str">
            <v>87.541,90</v>
          </cell>
          <cell r="D958" t="str">
            <v>41.381,90</v>
          </cell>
          <cell r="E958" t="str">
            <v>0,00</v>
          </cell>
          <cell r="F958" t="str">
            <v>5.840,00</v>
          </cell>
          <cell r="G958" t="str">
            <v>40.320,00</v>
          </cell>
          <cell r="H958" t="str">
            <v>0,00</v>
          </cell>
          <cell r="I958">
            <v>40320</v>
          </cell>
          <cell r="J958">
            <v>-40320</v>
          </cell>
        </row>
        <row r="959">
          <cell r="A959" t="str">
            <v>1.1.1.3.01.009911</v>
          </cell>
          <cell r="B959" t="str">
            <v>VIGUI GRANITOS LTDA</v>
          </cell>
          <cell r="C959" t="str">
            <v>1.500.000,00</v>
          </cell>
          <cell r="D959" t="str">
            <v>0,00</v>
          </cell>
          <cell r="E959" t="str">
            <v>0,00</v>
          </cell>
          <cell r="F959" t="str">
            <v>0,00</v>
          </cell>
          <cell r="G959" t="str">
            <v>1.500.000,00</v>
          </cell>
          <cell r="H959" t="str">
            <v>0,00</v>
          </cell>
          <cell r="I959">
            <v>1500000</v>
          </cell>
          <cell r="J959">
            <v>-1500000</v>
          </cell>
        </row>
        <row r="960">
          <cell r="A960" t="str">
            <v>1.1.1.3.01.009914</v>
          </cell>
          <cell r="B960" t="str">
            <v>R R S TRANSPORTES E SERVICOS LTDA</v>
          </cell>
          <cell r="C960" t="str">
            <v>65.000,00</v>
          </cell>
          <cell r="D960" t="str">
            <v>50.000,00</v>
          </cell>
          <cell r="E960" t="str">
            <v>0,00</v>
          </cell>
          <cell r="F960" t="str">
            <v>7.500,00</v>
          </cell>
          <cell r="G960" t="str">
            <v>7.500,00</v>
          </cell>
          <cell r="H960" t="str">
            <v>0,00</v>
          </cell>
          <cell r="I960">
            <v>7500</v>
          </cell>
          <cell r="J960">
            <v>-7500</v>
          </cell>
        </row>
        <row r="961">
          <cell r="A961" t="str">
            <v>1.1.1.3.01.009918</v>
          </cell>
          <cell r="B961" t="str">
            <v>ALABAMA MINING E STONES LTDA</v>
          </cell>
          <cell r="C961" t="str">
            <v>460.000,00</v>
          </cell>
          <cell r="D961" t="str">
            <v>115.000,00</v>
          </cell>
          <cell r="E961" t="str">
            <v>0,00</v>
          </cell>
          <cell r="F961" t="str">
            <v>25.000,00</v>
          </cell>
          <cell r="G961" t="str">
            <v>320.000,00</v>
          </cell>
          <cell r="H961" t="str">
            <v>0,00</v>
          </cell>
          <cell r="I961">
            <v>320000</v>
          </cell>
          <cell r="J961">
            <v>-320000</v>
          </cell>
        </row>
        <row r="962">
          <cell r="A962" t="str">
            <v>1.1.1.3.01.009919</v>
          </cell>
          <cell r="B962" t="str">
            <v>QUINTO GRAN GRANITOS LTDA</v>
          </cell>
          <cell r="C962" t="str">
            <v>645.000,00</v>
          </cell>
          <cell r="D962" t="str">
            <v>178.949,80</v>
          </cell>
          <cell r="E962" t="str">
            <v>0,00</v>
          </cell>
          <cell r="F962" t="str">
            <v>25.454,00</v>
          </cell>
          <cell r="G962" t="str">
            <v>440.596,20</v>
          </cell>
          <cell r="H962" t="str">
            <v>0,00</v>
          </cell>
          <cell r="I962">
            <v>440596.2</v>
          </cell>
          <cell r="J962">
            <v>-440596.2</v>
          </cell>
        </row>
        <row r="963">
          <cell r="A963" t="str">
            <v>1.1.1.3.01.009923</v>
          </cell>
          <cell r="B963" t="str">
            <v>CFG SERVICOS DE REPAROS NA AREA DE CONSTRUCAO LTDA</v>
          </cell>
          <cell r="C963" t="str">
            <v>46.013,24</v>
          </cell>
          <cell r="D963" t="str">
            <v>28.013,25</v>
          </cell>
          <cell r="E963" t="str">
            <v>0,00</v>
          </cell>
          <cell r="F963" t="str">
            <v>4.500,00</v>
          </cell>
          <cell r="G963" t="str">
            <v>13.499,99</v>
          </cell>
          <cell r="H963" t="str">
            <v>0,00</v>
          </cell>
          <cell r="I963">
            <v>13499.99</v>
          </cell>
          <cell r="J963">
            <v>-13499.99</v>
          </cell>
        </row>
        <row r="964">
          <cell r="A964" t="str">
            <v>1.1.1.3.01.009924</v>
          </cell>
          <cell r="B964" t="str">
            <v>CONQUISTAR SERVICOS E CONSTRUCAO LTDA</v>
          </cell>
          <cell r="C964" t="str">
            <v>180.000,00</v>
          </cell>
          <cell r="D964" t="str">
            <v>82.800,00</v>
          </cell>
          <cell r="E964" t="str">
            <v>0,00</v>
          </cell>
          <cell r="F964" t="str">
            <v>0,00</v>
          </cell>
          <cell r="G964" t="str">
            <v>97.200,00</v>
          </cell>
          <cell r="H964" t="str">
            <v>0,00</v>
          </cell>
          <cell r="I964">
            <v>97200</v>
          </cell>
          <cell r="J964">
            <v>-97200</v>
          </cell>
        </row>
        <row r="965">
          <cell r="A965" t="str">
            <v>1.1.1.3.01.009925</v>
          </cell>
          <cell r="B965" t="str">
            <v>ART BEGE COMERCIO DE MARMORE LTDA</v>
          </cell>
          <cell r="C965" t="str">
            <v>92.000,00</v>
          </cell>
          <cell r="D965" t="str">
            <v>27.200,00</v>
          </cell>
          <cell r="E965" t="str">
            <v>0,00</v>
          </cell>
          <cell r="F965" t="str">
            <v>7.200,00</v>
          </cell>
          <cell r="G965" t="str">
            <v>57.600,00</v>
          </cell>
          <cell r="H965" t="str">
            <v>0,00</v>
          </cell>
          <cell r="I965">
            <v>57600</v>
          </cell>
          <cell r="J965">
            <v>-57600</v>
          </cell>
        </row>
        <row r="966">
          <cell r="A966" t="str">
            <v>1.1.1.3.01.009926</v>
          </cell>
          <cell r="B966" t="str">
            <v>T10 ENGENHARIA E FUNDACOES LTDA</v>
          </cell>
          <cell r="C966" t="str">
            <v>161.173,12</v>
          </cell>
          <cell r="D966" t="str">
            <v>84.873,12</v>
          </cell>
          <cell r="E966" t="str">
            <v>0,00</v>
          </cell>
          <cell r="F966" t="str">
            <v>10.900,00</v>
          </cell>
          <cell r="G966" t="str">
            <v>65.400,00</v>
          </cell>
          <cell r="H966" t="str">
            <v>0,00</v>
          </cell>
          <cell r="I966">
            <v>65400</v>
          </cell>
          <cell r="J966">
            <v>-65400</v>
          </cell>
        </row>
        <row r="967">
          <cell r="A967" t="str">
            <v>1.1.1.3.01.009927</v>
          </cell>
          <cell r="B967" t="str">
            <v>WDC CONSTRUTORA E LOCACOES LTDA</v>
          </cell>
          <cell r="C967" t="str">
            <v>67.000,00</v>
          </cell>
          <cell r="D967" t="str">
            <v>20.100,00</v>
          </cell>
          <cell r="E967" t="str">
            <v>0,00</v>
          </cell>
          <cell r="F967" t="str">
            <v>13.400,00</v>
          </cell>
          <cell r="G967" t="str">
            <v>33.500,00</v>
          </cell>
          <cell r="H967" t="str">
            <v>0,00</v>
          </cell>
          <cell r="I967">
            <v>33500</v>
          </cell>
          <cell r="J967">
            <v>-33500</v>
          </cell>
        </row>
        <row r="968">
          <cell r="A968" t="str">
            <v>1.1.1.3.01.009928</v>
          </cell>
          <cell r="B968" t="str">
            <v>UNIBASE PAVIMENTACAO E LOCACAO DE EQUIPAMENTOS LTD</v>
          </cell>
          <cell r="C968" t="str">
            <v>81.900,00</v>
          </cell>
          <cell r="D968" t="str">
            <v>54.600,00</v>
          </cell>
          <cell r="E968" t="str">
            <v>0,00</v>
          </cell>
          <cell r="F968" t="str">
            <v>0,00</v>
          </cell>
          <cell r="G968" t="str">
            <v>27.300,00</v>
          </cell>
          <cell r="H968" t="str">
            <v>0,00</v>
          </cell>
          <cell r="I968">
            <v>27300</v>
          </cell>
          <cell r="J968">
            <v>-27300</v>
          </cell>
        </row>
        <row r="969">
          <cell r="A969" t="str">
            <v>1.1.1.3.01.009929</v>
          </cell>
          <cell r="B969" t="str">
            <v>AURIFRANCIA NUNES SOUSA</v>
          </cell>
          <cell r="C969" t="str">
            <v>100.000,00</v>
          </cell>
          <cell r="D969" t="str">
            <v>44.000,00</v>
          </cell>
          <cell r="E969" t="str">
            <v>0,00</v>
          </cell>
          <cell r="F969" t="str">
            <v>16.000,00</v>
          </cell>
          <cell r="G969" t="str">
            <v>40.000,00</v>
          </cell>
          <cell r="H969" t="str">
            <v>0,00</v>
          </cell>
          <cell r="I969">
            <v>40000</v>
          </cell>
          <cell r="J969">
            <v>-40000</v>
          </cell>
        </row>
        <row r="970">
          <cell r="A970" t="str">
            <v>1.1.1.3.01.009930</v>
          </cell>
          <cell r="B970" t="str">
            <v>T OLIVER ASFALTOS LTDA</v>
          </cell>
          <cell r="C970" t="str">
            <v>72.000,00</v>
          </cell>
          <cell r="D970" t="str">
            <v>37.000,00</v>
          </cell>
          <cell r="E970" t="str">
            <v>0,00</v>
          </cell>
          <cell r="F970" t="str">
            <v>5.000,00</v>
          </cell>
          <cell r="G970" t="str">
            <v>30.000,00</v>
          </cell>
          <cell r="H970" t="str">
            <v>0,00</v>
          </cell>
          <cell r="I970">
            <v>30000</v>
          </cell>
          <cell r="J970">
            <v>-30000</v>
          </cell>
        </row>
        <row r="971">
          <cell r="A971" t="str">
            <v>1.1.1.3.01.009931</v>
          </cell>
          <cell r="B971" t="str">
            <v>RODRIGUES E ORTIZ PAVIMENTACAO E CONSTRUCAO LTDA</v>
          </cell>
          <cell r="C971" t="str">
            <v>68.000,00</v>
          </cell>
          <cell r="D971" t="str">
            <v>34.680,00</v>
          </cell>
          <cell r="E971" t="str">
            <v>0,00</v>
          </cell>
          <cell r="F971" t="str">
            <v>33.320,00</v>
          </cell>
          <cell r="G971" t="str">
            <v>0,00</v>
          </cell>
          <cell r="H971" t="str">
            <v>0,00</v>
          </cell>
          <cell r="I971">
            <v>0</v>
          </cell>
          <cell r="J971">
            <v>0</v>
          </cell>
        </row>
        <row r="972">
          <cell r="A972" t="str">
            <v>1.1.1.3.01.009933</v>
          </cell>
          <cell r="B972" t="str">
            <v>MAQPREST MAQUINAS E SERVICOS DE CONSTRUCAO CIVIL L</v>
          </cell>
          <cell r="C972" t="str">
            <v>17.300,00</v>
          </cell>
          <cell r="D972" t="str">
            <v>8.823,00</v>
          </cell>
          <cell r="E972" t="str">
            <v>0,00</v>
          </cell>
          <cell r="F972" t="str">
            <v>1.211,00</v>
          </cell>
          <cell r="G972" t="str">
            <v>7.266,00</v>
          </cell>
          <cell r="H972" t="str">
            <v>0,00</v>
          </cell>
          <cell r="I972">
            <v>7266</v>
          </cell>
          <cell r="J972">
            <v>-7266</v>
          </cell>
        </row>
        <row r="973">
          <cell r="A973" t="str">
            <v>1.1.1.3.01.009936</v>
          </cell>
          <cell r="B973" t="str">
            <v>R P DE NOVAES CONSTRUCOES</v>
          </cell>
          <cell r="C973" t="str">
            <v>165.800,00</v>
          </cell>
          <cell r="D973" t="str">
            <v>91.280,00</v>
          </cell>
          <cell r="E973" t="str">
            <v>60.000,00</v>
          </cell>
          <cell r="F973" t="str">
            <v>15.600,00</v>
          </cell>
          <cell r="G973" t="str">
            <v>118.920,00</v>
          </cell>
          <cell r="H973" t="str">
            <v>0,00</v>
          </cell>
          <cell r="I973">
            <v>118920</v>
          </cell>
          <cell r="J973">
            <v>-118920</v>
          </cell>
        </row>
        <row r="974">
          <cell r="A974" t="str">
            <v>1.1.1.3.01.009937</v>
          </cell>
          <cell r="B974" t="str">
            <v>PINTO COELHO ROCHAS ORNAMENTAIS INDUSTRIA COM LTDA</v>
          </cell>
          <cell r="C974" t="str">
            <v>38.000,00</v>
          </cell>
          <cell r="D974" t="str">
            <v>38.000,00</v>
          </cell>
          <cell r="E974" t="str">
            <v>760.000,00</v>
          </cell>
          <cell r="F974" t="str">
            <v>456.000,00</v>
          </cell>
          <cell r="G974" t="str">
            <v>304.000,00</v>
          </cell>
          <cell r="H974" t="str">
            <v>0,00</v>
          </cell>
          <cell r="I974">
            <v>304000</v>
          </cell>
          <cell r="J974">
            <v>-304000</v>
          </cell>
        </row>
        <row r="975">
          <cell r="A975" t="str">
            <v>1.1.1.3.01.009938</v>
          </cell>
          <cell r="B975" t="str">
            <v>MINERACAO COTO COMERCIO IMPORTACAO EXPORTACAO LTDA</v>
          </cell>
          <cell r="C975" t="str">
            <v>129.000,00</v>
          </cell>
          <cell r="D975" t="str">
            <v>66.000,00</v>
          </cell>
          <cell r="E975" t="str">
            <v>0,00</v>
          </cell>
          <cell r="F975" t="str">
            <v>9.000,00</v>
          </cell>
          <cell r="G975" t="str">
            <v>54.000,00</v>
          </cell>
          <cell r="H975" t="str">
            <v>0,00</v>
          </cell>
          <cell r="I975">
            <v>54000</v>
          </cell>
          <cell r="J975">
            <v>-54000</v>
          </cell>
        </row>
        <row r="976">
          <cell r="A976" t="str">
            <v>1.1.1.3.01.009942</v>
          </cell>
          <cell r="B976" t="str">
            <v>TR3S MINERACAO LTDA</v>
          </cell>
          <cell r="C976" t="str">
            <v>80.000,00</v>
          </cell>
          <cell r="D976" t="str">
            <v>24.000,00</v>
          </cell>
          <cell r="E976" t="str">
            <v>0,00</v>
          </cell>
          <cell r="F976" t="str">
            <v>8.000,00</v>
          </cell>
          <cell r="G976" t="str">
            <v>48.000,00</v>
          </cell>
          <cell r="H976" t="str">
            <v>0,00</v>
          </cell>
          <cell r="I976">
            <v>48000</v>
          </cell>
          <cell r="J976">
            <v>-48000</v>
          </cell>
        </row>
        <row r="977">
          <cell r="A977" t="str">
            <v>1.1.1.3.01.009943</v>
          </cell>
          <cell r="B977" t="str">
            <v>HIDROENERGY ENGENHARIA LTDA</v>
          </cell>
          <cell r="C977" t="str">
            <v>60.034,74</v>
          </cell>
          <cell r="D977" t="str">
            <v>30.037,57</v>
          </cell>
          <cell r="E977" t="str">
            <v>69.000,00</v>
          </cell>
          <cell r="F977" t="str">
            <v>17.998,58</v>
          </cell>
          <cell r="G977" t="str">
            <v>80.998,59</v>
          </cell>
          <cell r="H977" t="str">
            <v>0,00</v>
          </cell>
          <cell r="I977">
            <v>80998.59</v>
          </cell>
          <cell r="J977">
            <v>-80998.59</v>
          </cell>
        </row>
        <row r="978">
          <cell r="A978" t="str">
            <v>1.1.1.3.01.009944</v>
          </cell>
          <cell r="B978" t="str">
            <v>METALMINAS USINAGEM LTDA</v>
          </cell>
          <cell r="C978" t="str">
            <v>70.000,00</v>
          </cell>
          <cell r="D978" t="str">
            <v>76.900,00</v>
          </cell>
          <cell r="E978" t="str">
            <v>0,00</v>
          </cell>
          <cell r="F978" t="str">
            <v>0,00</v>
          </cell>
          <cell r="G978" t="str">
            <v>0,00</v>
          </cell>
          <cell r="H978" t="str">
            <v>6.900,00</v>
          </cell>
          <cell r="I978">
            <v>-6900</v>
          </cell>
          <cell r="J978">
            <v>13800</v>
          </cell>
        </row>
        <row r="979">
          <cell r="A979" t="str">
            <v>1.1.1.3.01.009947</v>
          </cell>
          <cell r="B979" t="str">
            <v>FENPEI COMERCIO IMPORTACAO E EXPORT DE MAQUINA LTD</v>
          </cell>
          <cell r="C979" t="str">
            <v>16.900,00</v>
          </cell>
          <cell r="D979" t="str">
            <v>10.900,00</v>
          </cell>
          <cell r="E979" t="str">
            <v>0,00</v>
          </cell>
          <cell r="F979" t="str">
            <v>3.000,00</v>
          </cell>
          <cell r="G979" t="str">
            <v>3.000,00</v>
          </cell>
          <cell r="H979" t="str">
            <v>0,00</v>
          </cell>
          <cell r="I979">
            <v>3000</v>
          </cell>
          <cell r="J979">
            <v>-3000</v>
          </cell>
        </row>
        <row r="980">
          <cell r="A980" t="str">
            <v>1.1.1.3.01.009951</v>
          </cell>
          <cell r="B980" t="str">
            <v>TM TIMBO CONSTRUCOES LTDA</v>
          </cell>
          <cell r="C980" t="str">
            <v>32.000,00</v>
          </cell>
          <cell r="D980" t="str">
            <v>13.824,00</v>
          </cell>
          <cell r="E980" t="str">
            <v>0,00</v>
          </cell>
          <cell r="F980" t="str">
            <v>2.272,00</v>
          </cell>
          <cell r="G980" t="str">
            <v>15.904,00</v>
          </cell>
          <cell r="H980" t="str">
            <v>0,00</v>
          </cell>
          <cell r="I980">
            <v>15904</v>
          </cell>
          <cell r="J980">
            <v>-15904</v>
          </cell>
        </row>
        <row r="981">
          <cell r="A981" t="str">
            <v>1.1.1.3.01.009952</v>
          </cell>
          <cell r="B981" t="str">
            <v>LIG LIG BATERIAS LTDA</v>
          </cell>
          <cell r="C981" t="str">
            <v>170.000,00</v>
          </cell>
          <cell r="D981" t="str">
            <v>61.200,00</v>
          </cell>
          <cell r="E981" t="str">
            <v>0,00</v>
          </cell>
          <cell r="F981" t="str">
            <v>0,00</v>
          </cell>
          <cell r="G981" t="str">
            <v>108.800,00</v>
          </cell>
          <cell r="H981" t="str">
            <v>0,00</v>
          </cell>
          <cell r="I981">
            <v>108800</v>
          </cell>
          <cell r="J981">
            <v>-108800</v>
          </cell>
        </row>
        <row r="982">
          <cell r="A982" t="str">
            <v>1.1.1.3.01.009953</v>
          </cell>
          <cell r="B982" t="str">
            <v>JOSE MAURICIO DOS SANTOS</v>
          </cell>
          <cell r="C982" t="str">
            <v>155.000,00</v>
          </cell>
          <cell r="D982" t="str">
            <v>75.000,00</v>
          </cell>
          <cell r="E982" t="str">
            <v>0,00</v>
          </cell>
          <cell r="F982" t="str">
            <v>10.000,00</v>
          </cell>
          <cell r="G982" t="str">
            <v>70.000,00</v>
          </cell>
          <cell r="H982" t="str">
            <v>0,00</v>
          </cell>
          <cell r="I982">
            <v>70000</v>
          </cell>
          <cell r="J982">
            <v>-70000</v>
          </cell>
        </row>
        <row r="983">
          <cell r="A983" t="str">
            <v>1.1.1.3.01.009955</v>
          </cell>
          <cell r="B983" t="str">
            <v>INTEGRAN COMERCIO DE MARMORES EXP E TRANSP LTDA</v>
          </cell>
          <cell r="C983" t="str">
            <v>0,00</v>
          </cell>
          <cell r="D983" t="str">
            <v>0,00</v>
          </cell>
          <cell r="E983" t="str">
            <v>156.390,00</v>
          </cell>
          <cell r="F983" t="str">
            <v>35.000,00</v>
          </cell>
          <cell r="G983" t="str">
            <v>121.390,00</v>
          </cell>
          <cell r="H983" t="str">
            <v>0,00</v>
          </cell>
          <cell r="I983">
            <v>121390</v>
          </cell>
          <cell r="J983">
            <v>-121390</v>
          </cell>
        </row>
        <row r="984">
          <cell r="A984" t="str">
            <v>1.1.1.3.01.009956</v>
          </cell>
          <cell r="B984" t="str">
            <v>GLOBAL CONSTRUCOES SERVICOS E MANUTENCOES LTDA</v>
          </cell>
          <cell r="C984" t="str">
            <v>35.000,00</v>
          </cell>
          <cell r="D984" t="str">
            <v>14.140,00</v>
          </cell>
          <cell r="E984" t="str">
            <v>0,00</v>
          </cell>
          <cell r="F984" t="str">
            <v>2.450,00</v>
          </cell>
          <cell r="G984" t="str">
            <v>18.410,00</v>
          </cell>
          <cell r="H984" t="str">
            <v>0,00</v>
          </cell>
          <cell r="I984">
            <v>18410</v>
          </cell>
          <cell r="J984">
            <v>-18410</v>
          </cell>
        </row>
        <row r="985">
          <cell r="A985" t="str">
            <v>1.1.1.3.01.009958</v>
          </cell>
          <cell r="B985" t="str">
            <v>LOBO BARRETO COMPANY EXPORT LTDA</v>
          </cell>
          <cell r="C985" t="str">
            <v>570.000,00</v>
          </cell>
          <cell r="D985" t="str">
            <v>169.666,64</v>
          </cell>
          <cell r="E985" t="str">
            <v>0,00</v>
          </cell>
          <cell r="F985" t="str">
            <v>10.583,33</v>
          </cell>
          <cell r="G985" t="str">
            <v>389.750,03</v>
          </cell>
          <cell r="H985" t="str">
            <v>0,00</v>
          </cell>
          <cell r="I985">
            <v>389750.03</v>
          </cell>
          <cell r="J985">
            <v>-389750.03</v>
          </cell>
        </row>
        <row r="986">
          <cell r="A986" t="str">
            <v>1.1.1.3.01.009959</v>
          </cell>
          <cell r="B986" t="str">
            <v>HY CONSTRUTORA LTDA</v>
          </cell>
          <cell r="C986" t="str">
            <v>84.000,00</v>
          </cell>
          <cell r="D986" t="str">
            <v>41.633,32</v>
          </cell>
          <cell r="E986" t="str">
            <v>0,00</v>
          </cell>
          <cell r="F986" t="str">
            <v>10.591,66</v>
          </cell>
          <cell r="G986" t="str">
            <v>31.775,02</v>
          </cell>
          <cell r="H986" t="str">
            <v>0,00</v>
          </cell>
          <cell r="I986">
            <v>31775.02</v>
          </cell>
          <cell r="J986">
            <v>-31775.02</v>
          </cell>
        </row>
        <row r="987">
          <cell r="A987" t="str">
            <v>1.1.1.3.01.009960</v>
          </cell>
          <cell r="B987" t="str">
            <v>J.J. SOLUCOES INDUSTRIAIS LTDA</v>
          </cell>
          <cell r="C987" t="str">
            <v>75.000,00</v>
          </cell>
          <cell r="D987" t="str">
            <v>0,00</v>
          </cell>
          <cell r="E987" t="str">
            <v>0,00</v>
          </cell>
          <cell r="F987" t="str">
            <v>0,00</v>
          </cell>
          <cell r="G987" t="str">
            <v>75.000,00</v>
          </cell>
          <cell r="H987" t="str">
            <v>0,00</v>
          </cell>
          <cell r="I987">
            <v>75000</v>
          </cell>
          <cell r="J987">
            <v>-75000</v>
          </cell>
        </row>
        <row r="988">
          <cell r="A988" t="str">
            <v>1.1.1.3.01.009962</v>
          </cell>
          <cell r="B988" t="str">
            <v>MIRANDA &amp; MENDELSOHN ADMINISTRACAO DE BENS LTDA</v>
          </cell>
          <cell r="C988" t="str">
            <v>180.000,00</v>
          </cell>
          <cell r="D988" t="str">
            <v>90.000,00</v>
          </cell>
          <cell r="E988" t="str">
            <v>0,00</v>
          </cell>
          <cell r="F988" t="str">
            <v>20.000,00</v>
          </cell>
          <cell r="G988" t="str">
            <v>70.000,00</v>
          </cell>
          <cell r="H988" t="str">
            <v>0,00</v>
          </cell>
          <cell r="I988">
            <v>70000</v>
          </cell>
          <cell r="J988">
            <v>-70000</v>
          </cell>
        </row>
        <row r="989">
          <cell r="A989" t="str">
            <v>1.1.1.3.01.009963</v>
          </cell>
          <cell r="B989" t="str">
            <v>MONTE BRANCO GRANITOS LTDA</v>
          </cell>
          <cell r="C989" t="str">
            <v>121.548,39</v>
          </cell>
          <cell r="D989" t="str">
            <v>20.000,00</v>
          </cell>
          <cell r="E989" t="str">
            <v>0,00</v>
          </cell>
          <cell r="F989" t="str">
            <v>11.548,39</v>
          </cell>
          <cell r="G989" t="str">
            <v>90.000,00</v>
          </cell>
          <cell r="H989" t="str">
            <v>0,00</v>
          </cell>
          <cell r="I989">
            <v>90000</v>
          </cell>
          <cell r="J989">
            <v>-90000</v>
          </cell>
        </row>
        <row r="990">
          <cell r="A990" t="str">
            <v>1.1.1.3.01.009965</v>
          </cell>
          <cell r="B990" t="str">
            <v>PAULO MAXIMIANO JUNQUEIRA NETO</v>
          </cell>
          <cell r="C990" t="str">
            <v>33.000,00</v>
          </cell>
          <cell r="D990" t="str">
            <v>2.610,00</v>
          </cell>
          <cell r="E990" t="str">
            <v>0,00</v>
          </cell>
          <cell r="F990" t="str">
            <v>2.610,00</v>
          </cell>
          <cell r="G990" t="str">
            <v>27.780,00</v>
          </cell>
          <cell r="H990" t="str">
            <v>0,00</v>
          </cell>
          <cell r="I990">
            <v>27780</v>
          </cell>
          <cell r="J990">
            <v>-27780</v>
          </cell>
        </row>
        <row r="991">
          <cell r="A991" t="str">
            <v>1.1.1.3.01.009966</v>
          </cell>
          <cell r="B991" t="str">
            <v>DAVID BIZERRA DE LIMA</v>
          </cell>
          <cell r="C991" t="str">
            <v>50.000,00</v>
          </cell>
          <cell r="D991" t="str">
            <v>10.000,00</v>
          </cell>
          <cell r="E991" t="str">
            <v>0,00</v>
          </cell>
          <cell r="F991" t="str">
            <v>0,00</v>
          </cell>
          <cell r="G991" t="str">
            <v>40.000,00</v>
          </cell>
          <cell r="H991" t="str">
            <v>0,00</v>
          </cell>
          <cell r="I991">
            <v>40000</v>
          </cell>
          <cell r="J991">
            <v>-40000</v>
          </cell>
        </row>
        <row r="992">
          <cell r="A992" t="str">
            <v>1.1.1.3.01.009967</v>
          </cell>
          <cell r="B992" t="str">
            <v>+BRASIL MARMORES E GRANITOS LTDA</v>
          </cell>
          <cell r="C992" t="str">
            <v>110.000,00</v>
          </cell>
          <cell r="D992" t="str">
            <v>30.000,00</v>
          </cell>
          <cell r="E992" t="str">
            <v>0,00</v>
          </cell>
          <cell r="F992" t="str">
            <v>15.400,00</v>
          </cell>
          <cell r="G992" t="str">
            <v>64.600,00</v>
          </cell>
          <cell r="H992" t="str">
            <v>0,00</v>
          </cell>
          <cell r="I992">
            <v>64600</v>
          </cell>
          <cell r="J992">
            <v>-64600</v>
          </cell>
        </row>
        <row r="993">
          <cell r="A993" t="str">
            <v>1.1.1.3.01.009969</v>
          </cell>
          <cell r="B993" t="str">
            <v>CONSTRUTORA BARBOSA MELLO SA</v>
          </cell>
          <cell r="C993" t="str">
            <v>0,00</v>
          </cell>
          <cell r="D993" t="str">
            <v>0,00</v>
          </cell>
          <cell r="E993" t="str">
            <v>100.000,00</v>
          </cell>
          <cell r="F993" t="str">
            <v>0,00</v>
          </cell>
          <cell r="G993" t="str">
            <v>100.000,00</v>
          </cell>
          <cell r="H993" t="str">
            <v>0,00</v>
          </cell>
          <cell r="I993">
            <v>100000</v>
          </cell>
          <cell r="J993">
            <v>-100000</v>
          </cell>
        </row>
        <row r="994">
          <cell r="A994" t="str">
            <v>1.1.1.3.01.009970</v>
          </cell>
          <cell r="B994" t="str">
            <v>RESULTA ENERGIA SUL LTDA</v>
          </cell>
          <cell r="C994" t="str">
            <v>125.000,00</v>
          </cell>
          <cell r="D994" t="str">
            <v>39.500,00</v>
          </cell>
          <cell r="E994" t="str">
            <v>0,00</v>
          </cell>
          <cell r="F994" t="str">
            <v>9.500,00</v>
          </cell>
          <cell r="G994" t="str">
            <v>76.000,00</v>
          </cell>
          <cell r="H994" t="str">
            <v>0,00</v>
          </cell>
          <cell r="I994">
            <v>76000</v>
          </cell>
          <cell r="J994">
            <v>-76000</v>
          </cell>
        </row>
        <row r="995">
          <cell r="A995" t="str">
            <v>1.1.1.3.01.009973</v>
          </cell>
          <cell r="B995" t="str">
            <v>CONCESSIONARIA PREVER ADM CEMITERIAL FUNERARIOS SA</v>
          </cell>
          <cell r="C995" t="str">
            <v>115.000,00</v>
          </cell>
          <cell r="D995" t="str">
            <v>35.000,00</v>
          </cell>
          <cell r="E995" t="str">
            <v>0,00</v>
          </cell>
          <cell r="F995" t="str">
            <v>8.000,00</v>
          </cell>
          <cell r="G995" t="str">
            <v>72.000,00</v>
          </cell>
          <cell r="H995" t="str">
            <v>0,00</v>
          </cell>
          <cell r="I995">
            <v>72000</v>
          </cell>
          <cell r="J995">
            <v>-72000</v>
          </cell>
        </row>
        <row r="996">
          <cell r="A996" t="str">
            <v>1.1.1.3.01.009974</v>
          </cell>
          <cell r="B996" t="str">
            <v>AVANTI COMERCIAL EXPORTADORA S.A.</v>
          </cell>
          <cell r="C996" t="str">
            <v>264.053,70</v>
          </cell>
          <cell r="D996" t="str">
            <v>27.817,90</v>
          </cell>
          <cell r="E996" t="str">
            <v>0,00</v>
          </cell>
          <cell r="F996" t="str">
            <v>27.817,90</v>
          </cell>
          <cell r="G996" t="str">
            <v>208.417,90</v>
          </cell>
          <cell r="H996" t="str">
            <v>0,00</v>
          </cell>
          <cell r="I996">
            <v>208417.9</v>
          </cell>
          <cell r="J996">
            <v>-208417.9</v>
          </cell>
        </row>
        <row r="997">
          <cell r="A997" t="str">
            <v>1.1.1.3.01.009976</v>
          </cell>
          <cell r="B997" t="str">
            <v>DISTRIBUIDORA CAPIXABA DE MARMORES E GRANITOS LTDA</v>
          </cell>
          <cell r="C997" t="str">
            <v>461.200,00</v>
          </cell>
          <cell r="D997" t="str">
            <v>38.333,33</v>
          </cell>
          <cell r="E997" t="str">
            <v>0,00</v>
          </cell>
          <cell r="F997" t="str">
            <v>39.533,33</v>
          </cell>
          <cell r="G997" t="str">
            <v>383.333,34</v>
          </cell>
          <cell r="H997" t="str">
            <v>0,00</v>
          </cell>
          <cell r="I997">
            <v>383333.34</v>
          </cell>
          <cell r="J997">
            <v>-383333.34</v>
          </cell>
        </row>
        <row r="998">
          <cell r="A998" t="str">
            <v>1.1.1.3.01.009979</v>
          </cell>
          <cell r="B998" t="str">
            <v>FORTE DEMOLICOES LTDA</v>
          </cell>
          <cell r="C998" t="str">
            <v>200.000,01</v>
          </cell>
          <cell r="D998" t="str">
            <v>70.000,00</v>
          </cell>
          <cell r="E998" t="str">
            <v>0,00</v>
          </cell>
          <cell r="F998" t="str">
            <v>13.000,00</v>
          </cell>
          <cell r="G998" t="str">
            <v>117.000,01</v>
          </cell>
          <cell r="H998" t="str">
            <v>0,00</v>
          </cell>
          <cell r="I998">
            <v>117000.01</v>
          </cell>
          <cell r="J998">
            <v>-117000.01</v>
          </cell>
        </row>
        <row r="999">
          <cell r="A999" t="str">
            <v>1.1.1.3.01.009980</v>
          </cell>
          <cell r="B999" t="str">
            <v>UNIAO PRESTADORA DE SERVICOS LTDA-ME</v>
          </cell>
          <cell r="C999" t="str">
            <v>18.500,00</v>
          </cell>
          <cell r="D999" t="str">
            <v>8.140,00</v>
          </cell>
          <cell r="E999" t="str">
            <v>0,00</v>
          </cell>
          <cell r="F999" t="str">
            <v>2.590,00</v>
          </cell>
          <cell r="G999" t="str">
            <v>7.770,00</v>
          </cell>
          <cell r="H999" t="str">
            <v>0,00</v>
          </cell>
          <cell r="I999">
            <v>7770</v>
          </cell>
          <cell r="J999">
            <v>-7770</v>
          </cell>
        </row>
        <row r="1000">
          <cell r="A1000" t="str">
            <v>1.1.1.3.01.009981</v>
          </cell>
          <cell r="B1000" t="str">
            <v>MINERACAO CORDILHEIRA LTDA</v>
          </cell>
          <cell r="C1000" t="str">
            <v>180.000,00</v>
          </cell>
          <cell r="D1000" t="str">
            <v>28.000,00</v>
          </cell>
          <cell r="E1000" t="str">
            <v>0,00</v>
          </cell>
          <cell r="F1000" t="str">
            <v>14.000,00</v>
          </cell>
          <cell r="G1000" t="str">
            <v>138.000,00</v>
          </cell>
          <cell r="H1000" t="str">
            <v>0,00</v>
          </cell>
          <cell r="I1000">
            <v>138000</v>
          </cell>
          <cell r="J1000">
            <v>-138000</v>
          </cell>
        </row>
        <row r="1001">
          <cell r="A1001" t="str">
            <v>1.1.1.3.01.009984</v>
          </cell>
          <cell r="B1001" t="str">
            <v>GRAZIELA FERNANDA DIAS LTDA</v>
          </cell>
          <cell r="C1001" t="str">
            <v>14.507,50</v>
          </cell>
          <cell r="D1001" t="str">
            <v>2.072,50</v>
          </cell>
          <cell r="E1001" t="str">
            <v>0,00</v>
          </cell>
          <cell r="F1001" t="str">
            <v>2.072,50</v>
          </cell>
          <cell r="G1001" t="str">
            <v>10.362,50</v>
          </cell>
          <cell r="H1001" t="str">
            <v>0,00</v>
          </cell>
          <cell r="I1001">
            <v>10362.5</v>
          </cell>
          <cell r="J1001">
            <v>-10362.5</v>
          </cell>
        </row>
        <row r="1002">
          <cell r="A1002" t="str">
            <v>1.1.1.3.01.009987</v>
          </cell>
          <cell r="B1002" t="str">
            <v>EDUARDO PICCINI E OUTROS</v>
          </cell>
          <cell r="C1002" t="str">
            <v>95.000,00</v>
          </cell>
          <cell r="D1002" t="str">
            <v>28.500,00</v>
          </cell>
          <cell r="E1002" t="str">
            <v>0,00</v>
          </cell>
          <cell r="F1002" t="str">
            <v>6.650,00</v>
          </cell>
          <cell r="G1002" t="str">
            <v>59.850,00</v>
          </cell>
          <cell r="H1002" t="str">
            <v>0,00</v>
          </cell>
          <cell r="I1002">
            <v>59850</v>
          </cell>
          <cell r="J1002">
            <v>-59850</v>
          </cell>
        </row>
        <row r="1003">
          <cell r="A1003" t="str">
            <v>1.1.1.3.01.009989</v>
          </cell>
          <cell r="B1003" t="str">
            <v>ROCHA BRASIL LTDA</v>
          </cell>
          <cell r="C1003" t="str">
            <v>170.000,00</v>
          </cell>
          <cell r="D1003" t="str">
            <v>0,00</v>
          </cell>
          <cell r="E1003" t="str">
            <v>0,00</v>
          </cell>
          <cell r="F1003" t="str">
            <v>170.000,00</v>
          </cell>
          <cell r="G1003" t="str">
            <v>0,00</v>
          </cell>
          <cell r="H1003" t="str">
            <v>0,00</v>
          </cell>
          <cell r="I1003">
            <v>0</v>
          </cell>
          <cell r="J1003">
            <v>0</v>
          </cell>
        </row>
        <row r="1004">
          <cell r="A1004" t="str">
            <v>1.1.1.3.01.009990</v>
          </cell>
          <cell r="B1004" t="str">
            <v>ARTELESTE CONSTRUCOES LIMITADA</v>
          </cell>
          <cell r="C1004" t="str">
            <v>120.000,00</v>
          </cell>
          <cell r="D1004" t="str">
            <v>58.000,00</v>
          </cell>
          <cell r="E1004" t="str">
            <v>0,00</v>
          </cell>
          <cell r="F1004" t="str">
            <v>12.400,00</v>
          </cell>
          <cell r="G1004" t="str">
            <v>49.600,00</v>
          </cell>
          <cell r="H1004" t="str">
            <v>0,00</v>
          </cell>
          <cell r="I1004">
            <v>49600</v>
          </cell>
          <cell r="J1004">
            <v>-49600</v>
          </cell>
        </row>
        <row r="1005">
          <cell r="A1005" t="str">
            <v>1.1.1.3.01.009991</v>
          </cell>
          <cell r="B1005" t="str">
            <v>UNI TERRA TERRAPLENAGEM LTDA</v>
          </cell>
          <cell r="C1005" t="str">
            <v>0,00</v>
          </cell>
          <cell r="D1005" t="str">
            <v>0,00</v>
          </cell>
          <cell r="E1005" t="str">
            <v>89.500,00</v>
          </cell>
          <cell r="F1005" t="str">
            <v>26.850,00</v>
          </cell>
          <cell r="G1005" t="str">
            <v>62.650,00</v>
          </cell>
          <cell r="H1005" t="str">
            <v>0,00</v>
          </cell>
          <cell r="I1005">
            <v>62650</v>
          </cell>
          <cell r="J1005">
            <v>-62650</v>
          </cell>
        </row>
        <row r="1006">
          <cell r="A1006" t="str">
            <v>1.1.1.3.01.009992</v>
          </cell>
          <cell r="B1006" t="str">
            <v>SHALON CONSTRUTORA E PAVIMENTADORA LTDA</v>
          </cell>
          <cell r="C1006" t="str">
            <v>60.000,00</v>
          </cell>
          <cell r="D1006" t="str">
            <v>10.000,00</v>
          </cell>
          <cell r="E1006" t="str">
            <v>0,00</v>
          </cell>
          <cell r="F1006" t="str">
            <v>5.000,00</v>
          </cell>
          <cell r="G1006" t="str">
            <v>45.000,00</v>
          </cell>
          <cell r="H1006" t="str">
            <v>0,00</v>
          </cell>
          <cell r="I1006">
            <v>45000</v>
          </cell>
          <cell r="J1006">
            <v>-45000</v>
          </cell>
        </row>
        <row r="1007">
          <cell r="A1007" t="str">
            <v>1.1.1.3.01.009999</v>
          </cell>
          <cell r="B1007" t="str">
            <v>UNIMINERIOS MINERADORA E COMERCIO LTDA</v>
          </cell>
          <cell r="C1007" t="str">
            <v>200.000,00</v>
          </cell>
          <cell r="D1007" t="str">
            <v>60.000,00</v>
          </cell>
          <cell r="E1007" t="str">
            <v>0,00</v>
          </cell>
          <cell r="F1007" t="str">
            <v>11.666,67</v>
          </cell>
          <cell r="G1007" t="str">
            <v>128.333,33</v>
          </cell>
          <cell r="H1007" t="str">
            <v>0,00</v>
          </cell>
          <cell r="I1007">
            <v>128333.33</v>
          </cell>
          <cell r="J1007">
            <v>-128333.33</v>
          </cell>
        </row>
        <row r="1008">
          <cell r="A1008" t="str">
            <v>1.1.1.3.01.010001</v>
          </cell>
          <cell r="B1008" t="str">
            <v>VIA MAQUINAS DISTRIBUIDORA E LOCADORA LTDA</v>
          </cell>
          <cell r="C1008" t="str">
            <v>82.000,00</v>
          </cell>
          <cell r="D1008" t="str">
            <v>32.000,00</v>
          </cell>
          <cell r="E1008" t="str">
            <v>0,00</v>
          </cell>
          <cell r="F1008" t="str">
            <v>5.000,00</v>
          </cell>
          <cell r="G1008" t="str">
            <v>45.000,00</v>
          </cell>
          <cell r="H1008" t="str">
            <v>0,00</v>
          </cell>
          <cell r="I1008">
            <v>45000</v>
          </cell>
          <cell r="J1008">
            <v>-45000</v>
          </cell>
        </row>
        <row r="1009">
          <cell r="A1009" t="str">
            <v>1.1.1.3.01.010002</v>
          </cell>
          <cell r="B1009" t="str">
            <v>MDC MINERACAO LTDA</v>
          </cell>
          <cell r="C1009" t="str">
            <v>0,00</v>
          </cell>
          <cell r="D1009" t="str">
            <v>0,00</v>
          </cell>
          <cell r="E1009" t="str">
            <v>9.994,00</v>
          </cell>
          <cell r="F1009" t="str">
            <v>9.994,00</v>
          </cell>
          <cell r="G1009" t="str">
            <v>0,00</v>
          </cell>
          <cell r="H1009" t="str">
            <v>0,00</v>
          </cell>
          <cell r="I1009">
            <v>0</v>
          </cell>
          <cell r="J1009">
            <v>0</v>
          </cell>
        </row>
        <row r="1010">
          <cell r="A1010" t="str">
            <v>1.1.1.3.01.010005</v>
          </cell>
          <cell r="B1010" t="str">
            <v>MM2 MARMORES E GRANITOS LTDA</v>
          </cell>
          <cell r="C1010" t="str">
            <v>222,12</v>
          </cell>
          <cell r="D1010" t="str">
            <v>0,00</v>
          </cell>
          <cell r="E1010" t="str">
            <v>0,00</v>
          </cell>
          <cell r="F1010" t="str">
            <v>0,00</v>
          </cell>
          <cell r="G1010" t="str">
            <v>222,12</v>
          </cell>
          <cell r="H1010" t="str">
            <v>0,00</v>
          </cell>
          <cell r="I1010">
            <v>222.12</v>
          </cell>
          <cell r="J1010">
            <v>-222.12</v>
          </cell>
        </row>
        <row r="1011">
          <cell r="A1011" t="str">
            <v>1.1.1.3.01.010009</v>
          </cell>
          <cell r="B1011" t="str">
            <v>CICLOFER DEMOLIÇAO, LOCAÇAO E TERRAPLANAGEM LTDA</v>
          </cell>
          <cell r="C1011" t="str">
            <v>9.243,38</v>
          </cell>
          <cell r="D1011" t="str">
            <v>0,00</v>
          </cell>
          <cell r="E1011" t="str">
            <v>27.462,83</v>
          </cell>
          <cell r="F1011" t="str">
            <v>0,00</v>
          </cell>
          <cell r="G1011" t="str">
            <v>36.706,21</v>
          </cell>
          <cell r="H1011" t="str">
            <v>0,00</v>
          </cell>
          <cell r="I1011">
            <v>36706.21</v>
          </cell>
          <cell r="J1011">
            <v>-36706.21</v>
          </cell>
        </row>
        <row r="1012">
          <cell r="A1012" t="str">
            <v>1.1.1.3.01.010010</v>
          </cell>
          <cell r="B1012" t="str">
            <v>DIIR MINERAÇÃO LTDA</v>
          </cell>
          <cell r="C1012" t="str">
            <v>0,00</v>
          </cell>
          <cell r="D1012" t="str">
            <v>0,00</v>
          </cell>
          <cell r="E1012" t="str">
            <v>13.424,75</v>
          </cell>
          <cell r="F1012" t="str">
            <v>13.424,75</v>
          </cell>
          <cell r="G1012" t="str">
            <v>0,00</v>
          </cell>
          <cell r="H1012" t="str">
            <v>0,00</v>
          </cell>
          <cell r="I1012">
            <v>0</v>
          </cell>
          <cell r="J1012">
            <v>0</v>
          </cell>
        </row>
        <row r="1013">
          <cell r="A1013" t="str">
            <v>1.1.1.3.01.010012</v>
          </cell>
          <cell r="B1013" t="str">
            <v>MAE DE OURO SERVICOS E LOCACOES DE MAQUINAS LTDA</v>
          </cell>
          <cell r="C1013" t="str">
            <v>17.000,00</v>
          </cell>
          <cell r="D1013" t="str">
            <v>3.400,00</v>
          </cell>
          <cell r="E1013" t="str">
            <v>0,00</v>
          </cell>
          <cell r="F1013" t="str">
            <v>1.360,00</v>
          </cell>
          <cell r="G1013" t="str">
            <v>12.240,00</v>
          </cell>
          <cell r="H1013" t="str">
            <v>0,00</v>
          </cell>
          <cell r="I1013">
            <v>12240</v>
          </cell>
          <cell r="J1013">
            <v>-12240</v>
          </cell>
        </row>
        <row r="1014">
          <cell r="A1014" t="str">
            <v>1.1.1.3.01.010014</v>
          </cell>
          <cell r="B1014" t="str">
            <v>GRANICAP GRANITOS CAPIXABA</v>
          </cell>
          <cell r="C1014" t="str">
            <v>670,75</v>
          </cell>
          <cell r="D1014" t="str">
            <v>0,00</v>
          </cell>
          <cell r="E1014" t="str">
            <v>0,00</v>
          </cell>
          <cell r="F1014" t="str">
            <v>670,75</v>
          </cell>
          <cell r="G1014" t="str">
            <v>0,00</v>
          </cell>
          <cell r="H1014" t="str">
            <v>0,00</v>
          </cell>
          <cell r="I1014">
            <v>0</v>
          </cell>
          <cell r="J1014">
            <v>0</v>
          </cell>
        </row>
        <row r="1015">
          <cell r="A1015" t="str">
            <v>1.1.1.3.01.010015</v>
          </cell>
          <cell r="B1015" t="str">
            <v>F2N TRANSPORTE, LOCACAO, TERRAPLANAGEM E OBRAS LTD</v>
          </cell>
          <cell r="C1015" t="str">
            <v>11.000,00</v>
          </cell>
          <cell r="D1015" t="str">
            <v>0,00</v>
          </cell>
          <cell r="E1015" t="str">
            <v>0,00</v>
          </cell>
          <cell r="F1015" t="str">
            <v>0,00</v>
          </cell>
          <cell r="G1015" t="str">
            <v>11.000,00</v>
          </cell>
          <cell r="H1015" t="str">
            <v>0,00</v>
          </cell>
          <cell r="I1015">
            <v>11000</v>
          </cell>
          <cell r="J1015">
            <v>-11000</v>
          </cell>
        </row>
        <row r="1016">
          <cell r="A1016" t="str">
            <v>1.1.1.3.01.010018</v>
          </cell>
          <cell r="B1016" t="str">
            <v>LUPA INDUSTRIA DE EQUIPAMENTOS AMBIENTAIS LTDA</v>
          </cell>
          <cell r="C1016" t="str">
            <v>0,00</v>
          </cell>
          <cell r="D1016" t="str">
            <v>0,00</v>
          </cell>
          <cell r="E1016" t="str">
            <v>26.000,00</v>
          </cell>
          <cell r="F1016" t="str">
            <v>26.000,00</v>
          </cell>
          <cell r="G1016" t="str">
            <v>0,00</v>
          </cell>
          <cell r="H1016" t="str">
            <v>0,00</v>
          </cell>
          <cell r="I1016">
            <v>0</v>
          </cell>
          <cell r="J1016">
            <v>0</v>
          </cell>
        </row>
        <row r="1017">
          <cell r="A1017" t="str">
            <v>1.1.1.3.01.010019</v>
          </cell>
          <cell r="B1017" t="str">
            <v>CONSTRUTORA CONTINENTAL DE SAO PAULO LTDA</v>
          </cell>
          <cell r="C1017" t="str">
            <v>0,00</v>
          </cell>
          <cell r="D1017" t="str">
            <v>0,00</v>
          </cell>
          <cell r="E1017" t="str">
            <v>3.466,10</v>
          </cell>
          <cell r="F1017" t="str">
            <v>0,00</v>
          </cell>
          <cell r="G1017" t="str">
            <v>3.466,10</v>
          </cell>
          <cell r="H1017" t="str">
            <v>0,00</v>
          </cell>
          <cell r="I1017">
            <v>3466.1</v>
          </cell>
          <cell r="J1017">
            <v>-3466.1</v>
          </cell>
        </row>
        <row r="1018">
          <cell r="A1018" t="str">
            <v>1.1.1.3.01.010020</v>
          </cell>
          <cell r="B1018" t="str">
            <v>MINGORI TRANSPORTES LTDA</v>
          </cell>
          <cell r="C1018" t="str">
            <v>0,00</v>
          </cell>
          <cell r="D1018" t="str">
            <v>0,00</v>
          </cell>
          <cell r="E1018" t="str">
            <v>5.557,96</v>
          </cell>
          <cell r="F1018" t="str">
            <v>5.557,96</v>
          </cell>
          <cell r="G1018" t="str">
            <v>0,00</v>
          </cell>
          <cell r="H1018" t="str">
            <v>0,00</v>
          </cell>
          <cell r="I1018">
            <v>0</v>
          </cell>
          <cell r="J1018">
            <v>0</v>
          </cell>
        </row>
        <row r="1019">
          <cell r="A1019" t="str">
            <v>1.1.1.3.01.010021</v>
          </cell>
          <cell r="B1019" t="str">
            <v>ENGEPROCONS LAJES DE CONCRETO LTDA</v>
          </cell>
          <cell r="C1019" t="str">
            <v>0,00</v>
          </cell>
          <cell r="D1019" t="str">
            <v>0,00</v>
          </cell>
          <cell r="E1019" t="str">
            <v>40.000,00</v>
          </cell>
          <cell r="F1019" t="str">
            <v>12.000,00</v>
          </cell>
          <cell r="G1019" t="str">
            <v>28.000,00</v>
          </cell>
          <cell r="H1019" t="str">
            <v>0,00</v>
          </cell>
          <cell r="I1019">
            <v>28000</v>
          </cell>
          <cell r="J1019">
            <v>-28000</v>
          </cell>
        </row>
        <row r="1020">
          <cell r="A1020" t="str">
            <v>1.1.1.3.01.010023</v>
          </cell>
          <cell r="B1020" t="str">
            <v>GLADIADORE MINERACAO LTDA</v>
          </cell>
          <cell r="C1020" t="str">
            <v>0,00</v>
          </cell>
          <cell r="D1020" t="str">
            <v>0,00</v>
          </cell>
          <cell r="E1020" t="str">
            <v>547.000,00</v>
          </cell>
          <cell r="F1020" t="str">
            <v>0,00</v>
          </cell>
          <cell r="G1020" t="str">
            <v>547.000,00</v>
          </cell>
          <cell r="H1020" t="str">
            <v>0,00</v>
          </cell>
          <cell r="I1020">
            <v>547000</v>
          </cell>
          <cell r="J1020">
            <v>-547000</v>
          </cell>
        </row>
        <row r="1021">
          <cell r="A1021" t="str">
            <v>1.1.1.3.01.010027</v>
          </cell>
          <cell r="B1021" t="str">
            <v>BERTINATTO MAQUINAS LTDA</v>
          </cell>
          <cell r="C1021" t="str">
            <v>0,00</v>
          </cell>
          <cell r="D1021" t="str">
            <v>0,00</v>
          </cell>
          <cell r="E1021" t="str">
            <v>99.800,00</v>
          </cell>
          <cell r="F1021" t="str">
            <v>29.940,00</v>
          </cell>
          <cell r="G1021" t="str">
            <v>69.860,00</v>
          </cell>
          <cell r="H1021" t="str">
            <v>0,00</v>
          </cell>
          <cell r="I1021">
            <v>69860</v>
          </cell>
          <cell r="J1021">
            <v>-69860</v>
          </cell>
        </row>
        <row r="1022">
          <cell r="A1022" t="str">
            <v>1.1.1.3.01.010029</v>
          </cell>
          <cell r="B1022" t="str">
            <v>STARMIL - MONTAGEM DE EMBALAGENS PARA TRANSPORTES</v>
          </cell>
          <cell r="C1022" t="str">
            <v>0,00</v>
          </cell>
          <cell r="D1022" t="str">
            <v>0,00</v>
          </cell>
          <cell r="E1022" t="str">
            <v>51.238,00</v>
          </cell>
          <cell r="F1022" t="str">
            <v>0,00</v>
          </cell>
          <cell r="G1022" t="str">
            <v>51.238,00</v>
          </cell>
          <cell r="H1022" t="str">
            <v>0,00</v>
          </cell>
          <cell r="I1022">
            <v>51238</v>
          </cell>
          <cell r="J1022">
            <v>-51238</v>
          </cell>
        </row>
        <row r="1023">
          <cell r="A1023" t="str">
            <v>1.1.1.3.01.010030</v>
          </cell>
          <cell r="B1023" t="str">
            <v>LEBISA EMPREENDIMENTOS E PARTICIPACOES LTDA</v>
          </cell>
          <cell r="C1023" t="str">
            <v>0,00</v>
          </cell>
          <cell r="D1023" t="str">
            <v>0,00</v>
          </cell>
          <cell r="E1023" t="str">
            <v>55.000,00</v>
          </cell>
          <cell r="F1023" t="str">
            <v>55.000,00</v>
          </cell>
          <cell r="G1023" t="str">
            <v>0,00</v>
          </cell>
          <cell r="H1023" t="str">
            <v>0,00</v>
          </cell>
          <cell r="I1023">
            <v>0</v>
          </cell>
          <cell r="J1023">
            <v>0</v>
          </cell>
        </row>
        <row r="1024">
          <cell r="A1024" t="str">
            <v>1.1.1.3.01.010031</v>
          </cell>
          <cell r="B1024" t="str">
            <v>34.952.125 EDSON PIRES DE ALMEIDA JUNIOR</v>
          </cell>
          <cell r="C1024" t="str">
            <v>0,00</v>
          </cell>
          <cell r="D1024" t="str">
            <v>0,00</v>
          </cell>
          <cell r="E1024" t="str">
            <v>57.000,00</v>
          </cell>
          <cell r="F1024" t="str">
            <v>5.700,00</v>
          </cell>
          <cell r="G1024" t="str">
            <v>51.300,00</v>
          </cell>
          <cell r="H1024" t="str">
            <v>0,00</v>
          </cell>
          <cell r="I1024">
            <v>51300</v>
          </cell>
          <cell r="J1024">
            <v>-51300</v>
          </cell>
        </row>
        <row r="1025">
          <cell r="A1025" t="str">
            <v>1.1.1.3.01.010032</v>
          </cell>
          <cell r="B1025" t="str">
            <v>MINERACAO LOUGON LTDA</v>
          </cell>
          <cell r="C1025" t="str">
            <v>0,00</v>
          </cell>
          <cell r="D1025" t="str">
            <v>0,00</v>
          </cell>
          <cell r="E1025" t="str">
            <v>9.000,00</v>
          </cell>
          <cell r="F1025" t="str">
            <v>0,00</v>
          </cell>
          <cell r="G1025" t="str">
            <v>9.000,00</v>
          </cell>
          <cell r="H1025" t="str">
            <v>0,00</v>
          </cell>
          <cell r="I1025">
            <v>9000</v>
          </cell>
          <cell r="J1025">
            <v>-9000</v>
          </cell>
        </row>
        <row r="1026">
          <cell r="A1026" t="str">
            <v>1.1.1.3.01.010035</v>
          </cell>
          <cell r="B1026" t="str">
            <v>R.MOREIRA TERRAPLANAGEM LTDA</v>
          </cell>
          <cell r="C1026" t="str">
            <v>0,00</v>
          </cell>
          <cell r="D1026" t="str">
            <v>0,00</v>
          </cell>
          <cell r="E1026" t="str">
            <v>1.368,02</v>
          </cell>
          <cell r="F1026" t="str">
            <v>1.368,02</v>
          </cell>
          <cell r="G1026" t="str">
            <v>0,00</v>
          </cell>
          <cell r="H1026" t="str">
            <v>0,00</v>
          </cell>
          <cell r="I1026">
            <v>0</v>
          </cell>
          <cell r="J1026">
            <v>0</v>
          </cell>
        </row>
        <row r="1027">
          <cell r="A1027" t="str">
            <v>1.1.1.3.01.010036</v>
          </cell>
          <cell r="B1027" t="str">
            <v>CONSTRU CUNHA CONSTRUCOES LTDA</v>
          </cell>
          <cell r="C1027" t="str">
            <v>0,00</v>
          </cell>
          <cell r="D1027" t="str">
            <v>0,00</v>
          </cell>
          <cell r="E1027" t="str">
            <v>66.000,00</v>
          </cell>
          <cell r="F1027" t="str">
            <v>19.800,00</v>
          </cell>
          <cell r="G1027" t="str">
            <v>46.200,00</v>
          </cell>
          <cell r="H1027" t="str">
            <v>0,00</v>
          </cell>
          <cell r="I1027">
            <v>46200</v>
          </cell>
          <cell r="J1027">
            <v>-46200</v>
          </cell>
        </row>
        <row r="1028">
          <cell r="A1028" t="str">
            <v>1.1.1.3.01.010038</v>
          </cell>
          <cell r="B1028" t="str">
            <v>AVANTI ROCHAS ORNAMENTAIS LTDA</v>
          </cell>
          <cell r="C1028" t="str">
            <v>0,00</v>
          </cell>
          <cell r="D1028" t="str">
            <v>0,00</v>
          </cell>
          <cell r="E1028" t="str">
            <v>1.800,00</v>
          </cell>
          <cell r="F1028" t="str">
            <v>1.800,00</v>
          </cell>
          <cell r="G1028" t="str">
            <v>0,00</v>
          </cell>
          <cell r="H1028" t="str">
            <v>0,00</v>
          </cell>
          <cell r="I1028">
            <v>0</v>
          </cell>
          <cell r="J1028">
            <v>0</v>
          </cell>
        </row>
        <row r="1029">
          <cell r="A1029" t="str">
            <v>1.1.1.3.01.010040</v>
          </cell>
          <cell r="B1029" t="str">
            <v>G C DO AMARAL SERTANIA</v>
          </cell>
          <cell r="C1029" t="str">
            <v>0,00</v>
          </cell>
          <cell r="D1029" t="str">
            <v>0,00</v>
          </cell>
          <cell r="E1029" t="str">
            <v>193.000,00</v>
          </cell>
          <cell r="F1029" t="str">
            <v>38.600,00</v>
          </cell>
          <cell r="G1029" t="str">
            <v>154.400,00</v>
          </cell>
          <cell r="H1029" t="str">
            <v>0,00</v>
          </cell>
          <cell r="I1029">
            <v>154400</v>
          </cell>
          <cell r="J1029">
            <v>-154400</v>
          </cell>
        </row>
        <row r="1030">
          <cell r="A1030" t="str">
            <v>1.1.1.3.01.010042</v>
          </cell>
          <cell r="B1030" t="str">
            <v>DAYWISON MORETH RIBEIRO</v>
          </cell>
          <cell r="C1030" t="str">
            <v>0,00</v>
          </cell>
          <cell r="D1030" t="str">
            <v>0,00</v>
          </cell>
          <cell r="E1030" t="str">
            <v>2.102,95</v>
          </cell>
          <cell r="F1030" t="str">
            <v>0,00</v>
          </cell>
          <cell r="G1030" t="str">
            <v>2.102,95</v>
          </cell>
          <cell r="H1030" t="str">
            <v>0,00</v>
          </cell>
          <cell r="I1030">
            <v>2102.9499999999998</v>
          </cell>
          <cell r="J1030">
            <v>-2102.9499999999998</v>
          </cell>
        </row>
        <row r="1031">
          <cell r="A1031" t="str">
            <v>1.1.1.3.01.010043</v>
          </cell>
          <cell r="B1031" t="str">
            <v>TRANSTEC TERRAPLANAGEM E TRANSPORTE LTDA</v>
          </cell>
          <cell r="C1031" t="str">
            <v>0,00</v>
          </cell>
          <cell r="D1031" t="str">
            <v>0,00</v>
          </cell>
          <cell r="E1031" t="str">
            <v>1.072,58</v>
          </cell>
          <cell r="F1031" t="str">
            <v>1.072,58</v>
          </cell>
          <cell r="G1031" t="str">
            <v>0,00</v>
          </cell>
          <cell r="H1031" t="str">
            <v>0,00</v>
          </cell>
          <cell r="I1031">
            <v>0</v>
          </cell>
          <cell r="J1031">
            <v>0</v>
          </cell>
        </row>
        <row r="1032">
          <cell r="A1032" t="str">
            <v>1.1.1.3.01.010044</v>
          </cell>
          <cell r="B1032" t="str">
            <v>FOKUS CONSTRUCOES E SERVICOS LTDA</v>
          </cell>
          <cell r="C1032" t="str">
            <v>0,00</v>
          </cell>
          <cell r="D1032" t="str">
            <v>0,00</v>
          </cell>
          <cell r="E1032" t="str">
            <v>27.000,00</v>
          </cell>
          <cell r="F1032" t="str">
            <v>5.400,00</v>
          </cell>
          <cell r="G1032" t="str">
            <v>21.600,00</v>
          </cell>
          <cell r="H1032" t="str">
            <v>0,00</v>
          </cell>
          <cell r="I1032">
            <v>21600</v>
          </cell>
          <cell r="J1032">
            <v>-21600</v>
          </cell>
        </row>
        <row r="1033">
          <cell r="A1033" t="str">
            <v>1.1.1.3.01.010046</v>
          </cell>
          <cell r="B1033" t="str">
            <v>JERIBA MINERACAO DE PEDRAS ORNAMENTAIS, EXTRACAO,</v>
          </cell>
          <cell r="C1033" t="str">
            <v>0,00</v>
          </cell>
          <cell r="D1033" t="str">
            <v>0,00</v>
          </cell>
          <cell r="E1033" t="str">
            <v>576.000,00</v>
          </cell>
          <cell r="F1033" t="str">
            <v>172.800,00</v>
          </cell>
          <cell r="G1033" t="str">
            <v>403.200,00</v>
          </cell>
          <cell r="H1033" t="str">
            <v>0,00</v>
          </cell>
          <cell r="I1033">
            <v>403200</v>
          </cell>
          <cell r="J1033">
            <v>-403200</v>
          </cell>
        </row>
        <row r="1034">
          <cell r="A1034" t="str">
            <v>1.1.1.3.01.010050</v>
          </cell>
          <cell r="B1034" t="str">
            <v>MINERACAO FISCHER LTDA</v>
          </cell>
          <cell r="C1034" t="str">
            <v>0,00</v>
          </cell>
          <cell r="D1034" t="str">
            <v>0,00</v>
          </cell>
          <cell r="E1034" t="str">
            <v>2.053,40</v>
          </cell>
          <cell r="F1034" t="str">
            <v>0,00</v>
          </cell>
          <cell r="G1034" t="str">
            <v>2.053,40</v>
          </cell>
          <cell r="H1034" t="str">
            <v>0,00</v>
          </cell>
          <cell r="I1034">
            <v>2053.4</v>
          </cell>
          <cell r="J1034">
            <v>-2053.4</v>
          </cell>
        </row>
        <row r="1035">
          <cell r="A1035" t="str">
            <v>1.1.1.3.01.010055</v>
          </cell>
          <cell r="B1035" t="str">
            <v>DEFANT E CAPELOSSA SILVA LTDA</v>
          </cell>
          <cell r="C1035" t="str">
            <v>0,00</v>
          </cell>
          <cell r="D1035" t="str">
            <v>0,00</v>
          </cell>
          <cell r="E1035" t="str">
            <v>24.000,00</v>
          </cell>
          <cell r="F1035" t="str">
            <v>0,00</v>
          </cell>
          <cell r="G1035" t="str">
            <v>24.000,00</v>
          </cell>
          <cell r="H1035" t="str">
            <v>0,00</v>
          </cell>
          <cell r="I1035">
            <v>24000</v>
          </cell>
          <cell r="J1035">
            <v>-24000</v>
          </cell>
        </row>
        <row r="1036">
          <cell r="A1036" t="str">
            <v>1.1.1.3.01.010060</v>
          </cell>
          <cell r="B1036" t="str">
            <v>M.B LIMA EQUIPAMENTOS, SERVICOS, LOCACAO E IMPORTA</v>
          </cell>
          <cell r="C1036" t="str">
            <v>0,00</v>
          </cell>
          <cell r="D1036" t="str">
            <v>0,00</v>
          </cell>
          <cell r="E1036" t="str">
            <v>2.314,82</v>
          </cell>
          <cell r="F1036" t="str">
            <v>2.314,82</v>
          </cell>
          <cell r="G1036" t="str">
            <v>0,00</v>
          </cell>
          <cell r="H1036" t="str">
            <v>0,00</v>
          </cell>
          <cell r="I1036">
            <v>0</v>
          </cell>
          <cell r="J1036">
            <v>0</v>
          </cell>
        </row>
        <row r="1037">
          <cell r="A1037" t="str">
            <v>1.1.1.3.01.010061</v>
          </cell>
          <cell r="B1037" t="str">
            <v>DOUGLAS FRANCO</v>
          </cell>
          <cell r="C1037" t="str">
            <v>0,00</v>
          </cell>
          <cell r="D1037" t="str">
            <v>0,00</v>
          </cell>
          <cell r="E1037" t="str">
            <v>1.184,95</v>
          </cell>
          <cell r="F1037" t="str">
            <v>1.184,95</v>
          </cell>
          <cell r="G1037" t="str">
            <v>0,00</v>
          </cell>
          <cell r="H1037" t="str">
            <v>0,00</v>
          </cell>
          <cell r="I1037">
            <v>0</v>
          </cell>
          <cell r="J1037">
            <v>0</v>
          </cell>
        </row>
        <row r="1038">
          <cell r="A1038" t="str">
            <v>1.1.1.3.01.010062</v>
          </cell>
          <cell r="B1038" t="str">
            <v>AMBER PEDRAS LTDA</v>
          </cell>
          <cell r="C1038" t="str">
            <v>0,00</v>
          </cell>
          <cell r="D1038" t="str">
            <v>0,00</v>
          </cell>
          <cell r="E1038" t="str">
            <v>3.211,82</v>
          </cell>
          <cell r="F1038" t="str">
            <v>1.100,00</v>
          </cell>
          <cell r="G1038" t="str">
            <v>2.111,82</v>
          </cell>
          <cell r="H1038" t="str">
            <v>0,00</v>
          </cell>
          <cell r="I1038">
            <v>2111.8200000000002</v>
          </cell>
          <cell r="J1038">
            <v>-2111.8200000000002</v>
          </cell>
        </row>
        <row r="1039">
          <cell r="A1039" t="str">
            <v>1.1.1.3.01.010063</v>
          </cell>
          <cell r="B1039" t="str">
            <v>BURITI MINERACAO LTDA</v>
          </cell>
          <cell r="C1039" t="str">
            <v>0,00</v>
          </cell>
          <cell r="D1039" t="str">
            <v>0,00</v>
          </cell>
          <cell r="E1039" t="str">
            <v>135.000,00</v>
          </cell>
          <cell r="F1039" t="str">
            <v>27.000,00</v>
          </cell>
          <cell r="G1039" t="str">
            <v>108.000,00</v>
          </cell>
          <cell r="H1039" t="str">
            <v>0,00</v>
          </cell>
          <cell r="I1039">
            <v>108000</v>
          </cell>
          <cell r="J1039">
            <v>-108000</v>
          </cell>
        </row>
        <row r="1040">
          <cell r="A1040" t="str">
            <v>1.1.1.3.01.010066</v>
          </cell>
          <cell r="B1040" t="str">
            <v>MINERACAO GETSEMANI LTDA</v>
          </cell>
          <cell r="C1040" t="str">
            <v>0,00</v>
          </cell>
          <cell r="D1040" t="str">
            <v>0,00</v>
          </cell>
          <cell r="E1040" t="str">
            <v>265,00</v>
          </cell>
          <cell r="F1040" t="str">
            <v>265,00</v>
          </cell>
          <cell r="G1040" t="str">
            <v>0,00</v>
          </cell>
          <cell r="H1040" t="str">
            <v>0,00</v>
          </cell>
          <cell r="I1040">
            <v>0</v>
          </cell>
          <cell r="J1040">
            <v>0</v>
          </cell>
        </row>
        <row r="1041">
          <cell r="A1041" t="str">
            <v>1.1.1.3.01.010068</v>
          </cell>
          <cell r="B1041" t="str">
            <v>AC FERNANDES CONSTRUCOES LTDA</v>
          </cell>
          <cell r="C1041" t="str">
            <v>0,00</v>
          </cell>
          <cell r="D1041" t="str">
            <v>0,00</v>
          </cell>
          <cell r="E1041" t="str">
            <v>109.000,00</v>
          </cell>
          <cell r="F1041" t="str">
            <v>109.000,00</v>
          </cell>
          <cell r="G1041" t="str">
            <v>0,00</v>
          </cell>
          <cell r="H1041" t="str">
            <v>0,00</v>
          </cell>
          <cell r="I1041">
            <v>0</v>
          </cell>
          <cell r="J1041">
            <v>0</v>
          </cell>
        </row>
        <row r="1042">
          <cell r="A1042" t="str">
            <v>1.1.1.3.01.04920</v>
          </cell>
          <cell r="B1042" t="str">
            <v>PROGRESSO AGRICOLA LTDA</v>
          </cell>
          <cell r="C1042" t="str">
            <v>94.133,91</v>
          </cell>
          <cell r="D1042" t="str">
            <v>94.133,91</v>
          </cell>
          <cell r="E1042" t="str">
            <v>39.513,48</v>
          </cell>
          <cell r="F1042" t="str">
            <v>0,00</v>
          </cell>
          <cell r="G1042" t="str">
            <v>39.513,48</v>
          </cell>
          <cell r="H1042" t="str">
            <v>0,00</v>
          </cell>
          <cell r="I1042">
            <v>39513.480000000003</v>
          </cell>
          <cell r="J1042">
            <v>-39513.480000000003</v>
          </cell>
        </row>
        <row r="1043">
          <cell r="A1043" t="str">
            <v>1.1.1.3.01.04925</v>
          </cell>
          <cell r="B1043" t="str">
            <v>L3 ENERGY ENGENHARIA E SOLUCOES LTDA</v>
          </cell>
          <cell r="C1043" t="str">
            <v>95.000,00</v>
          </cell>
          <cell r="D1043" t="str">
            <v>69.350,00</v>
          </cell>
          <cell r="E1043" t="str">
            <v>0,00</v>
          </cell>
          <cell r="F1043" t="str">
            <v>0,00</v>
          </cell>
          <cell r="G1043" t="str">
            <v>25.650,00</v>
          </cell>
          <cell r="H1043" t="str">
            <v>0,00</v>
          </cell>
          <cell r="I1043">
            <v>25650</v>
          </cell>
          <cell r="J1043">
            <v>-25650</v>
          </cell>
        </row>
        <row r="1044">
          <cell r="A1044" t="str">
            <v>1.1.1.3.01.04928</v>
          </cell>
          <cell r="B1044" t="str">
            <v>REINOSO MARMORES E GRANITOS</v>
          </cell>
          <cell r="C1044" t="str">
            <v>204,00</v>
          </cell>
          <cell r="D1044" t="str">
            <v>204,00</v>
          </cell>
          <cell r="E1044" t="str">
            <v>263,04</v>
          </cell>
          <cell r="F1044" t="str">
            <v>263,04</v>
          </cell>
          <cell r="G1044" t="str">
            <v>0,00</v>
          </cell>
          <cell r="H1044" t="str">
            <v>0,00</v>
          </cell>
          <cell r="I1044">
            <v>0</v>
          </cell>
          <cell r="J1044">
            <v>0</v>
          </cell>
        </row>
        <row r="1045">
          <cell r="A1045" t="str">
            <v>1.1.1.3.01.04929</v>
          </cell>
          <cell r="B1045" t="str">
            <v>CALCARIO ANDREAZZA LTDA</v>
          </cell>
          <cell r="C1045" t="str">
            <v>105.652,21</v>
          </cell>
          <cell r="D1045" t="str">
            <v>83.152,21</v>
          </cell>
          <cell r="E1045" t="str">
            <v>0,00</v>
          </cell>
          <cell r="F1045" t="str">
            <v>7.500,00</v>
          </cell>
          <cell r="G1045" t="str">
            <v>15.000,00</v>
          </cell>
          <cell r="H1045" t="str">
            <v>0,00</v>
          </cell>
          <cell r="I1045">
            <v>15000</v>
          </cell>
          <cell r="J1045">
            <v>-15000</v>
          </cell>
        </row>
        <row r="1046">
          <cell r="A1046" t="str">
            <v>1.1.1.3.01.04930</v>
          </cell>
          <cell r="B1046" t="str">
            <v>MARMORARIA PEDRA BELLA LTDA</v>
          </cell>
          <cell r="C1046" t="str">
            <v>200.000,00</v>
          </cell>
          <cell r="D1046" t="str">
            <v>170.000,00</v>
          </cell>
          <cell r="E1046" t="str">
            <v>0,00</v>
          </cell>
          <cell r="F1046" t="str">
            <v>0,00</v>
          </cell>
          <cell r="G1046" t="str">
            <v>30.000,00</v>
          </cell>
          <cell r="H1046" t="str">
            <v>0,00</v>
          </cell>
          <cell r="I1046">
            <v>30000</v>
          </cell>
          <cell r="J1046">
            <v>-30000</v>
          </cell>
        </row>
        <row r="1047">
          <cell r="A1047" t="str">
            <v>1.1.1.3.01.04931</v>
          </cell>
          <cell r="B1047" t="str">
            <v>GARRA CONSTRUCAO E PAVIMENTACAO LTDA</v>
          </cell>
          <cell r="C1047" t="str">
            <v>95.000,00</v>
          </cell>
          <cell r="D1047" t="str">
            <v>122.500,00</v>
          </cell>
          <cell r="E1047" t="str">
            <v>0,00</v>
          </cell>
          <cell r="F1047" t="str">
            <v>0,00</v>
          </cell>
          <cell r="G1047" t="str">
            <v>0,00</v>
          </cell>
          <cell r="H1047" t="str">
            <v>27.500,00</v>
          </cell>
          <cell r="I1047">
            <v>-27500</v>
          </cell>
          <cell r="J1047">
            <v>55000</v>
          </cell>
        </row>
        <row r="1048">
          <cell r="A1048" t="str">
            <v>1.1.1.3.01.04933</v>
          </cell>
          <cell r="B1048" t="str">
            <v>GREENCAL EXTRACAO DE MINERIOS LTDA</v>
          </cell>
          <cell r="C1048" t="str">
            <v>217.739,71</v>
          </cell>
          <cell r="D1048" t="str">
            <v>198.989,71</v>
          </cell>
          <cell r="E1048" t="str">
            <v>0,00</v>
          </cell>
          <cell r="F1048" t="str">
            <v>18.750,00</v>
          </cell>
          <cell r="G1048" t="str">
            <v>0,00</v>
          </cell>
          <cell r="H1048" t="str">
            <v>0,00</v>
          </cell>
          <cell r="I1048">
            <v>0</v>
          </cell>
          <cell r="J1048">
            <v>0</v>
          </cell>
        </row>
        <row r="1049">
          <cell r="A1049" t="str">
            <v>1.1.1.3.01.04935</v>
          </cell>
          <cell r="B1049" t="str">
            <v>GLADIADORE MINERACAO LTDA</v>
          </cell>
          <cell r="C1049" t="str">
            <v>547.000,00</v>
          </cell>
          <cell r="D1049" t="str">
            <v>80.000,00</v>
          </cell>
          <cell r="E1049" t="str">
            <v>0,00</v>
          </cell>
          <cell r="F1049" t="str">
            <v>547.000,00</v>
          </cell>
          <cell r="G1049" t="str">
            <v>0,00</v>
          </cell>
          <cell r="H1049" t="str">
            <v>80.000,00</v>
          </cell>
          <cell r="I1049">
            <v>-80000</v>
          </cell>
          <cell r="J1049">
            <v>160000</v>
          </cell>
        </row>
        <row r="1050">
          <cell r="A1050" t="str">
            <v>1.1.1.3.01.04936</v>
          </cell>
          <cell r="B1050" t="str">
            <v>JD MINERACAO LTDA</v>
          </cell>
          <cell r="C1050" t="str">
            <v>280.000,00</v>
          </cell>
          <cell r="D1050" t="str">
            <v>0,00</v>
          </cell>
          <cell r="E1050" t="str">
            <v>0,00</v>
          </cell>
          <cell r="F1050" t="str">
            <v>20.000,00</v>
          </cell>
          <cell r="G1050" t="str">
            <v>260.000,00</v>
          </cell>
          <cell r="H1050" t="str">
            <v>0,00</v>
          </cell>
          <cell r="I1050">
            <v>260000</v>
          </cell>
          <cell r="J1050">
            <v>-260000</v>
          </cell>
        </row>
        <row r="1051">
          <cell r="A1051" t="str">
            <v>1.1.1.3.01.07014</v>
          </cell>
          <cell r="B1051" t="str">
            <v>LMORAIS MAQUINAS SERVICOS E COMERCIO DE PECAS LTDA</v>
          </cell>
          <cell r="C1051" t="str">
            <v>22.527,51</v>
          </cell>
          <cell r="D1051" t="str">
            <v>8.283,33</v>
          </cell>
          <cell r="E1051" t="str">
            <v>0,00</v>
          </cell>
          <cell r="F1051" t="str">
            <v>4.748,06</v>
          </cell>
          <cell r="G1051" t="str">
            <v>9.496,12</v>
          </cell>
          <cell r="H1051" t="str">
            <v>0,00</v>
          </cell>
          <cell r="I1051">
            <v>9496.1200000000008</v>
          </cell>
          <cell r="J1051">
            <v>-9496.1200000000008</v>
          </cell>
        </row>
        <row r="1052">
          <cell r="A1052" t="str">
            <v>1.1.1.3.01.07015</v>
          </cell>
          <cell r="B1052" t="str">
            <v>MESSIAS CRABI</v>
          </cell>
          <cell r="C1052" t="str">
            <v>0,00</v>
          </cell>
          <cell r="D1052" t="str">
            <v>60.243,05</v>
          </cell>
          <cell r="E1052" t="str">
            <v>0,00</v>
          </cell>
          <cell r="F1052" t="str">
            <v>40.610,78</v>
          </cell>
          <cell r="G1052" t="str">
            <v>0,00</v>
          </cell>
          <cell r="H1052" t="str">
            <v>100.853,83</v>
          </cell>
          <cell r="I1052">
            <v>-100853.83</v>
          </cell>
          <cell r="J1052">
            <v>201707.66</v>
          </cell>
        </row>
        <row r="1053">
          <cell r="A1053" t="str">
            <v>1.1.1.3.01.07018</v>
          </cell>
          <cell r="B1053" t="str">
            <v>GERONIMO ALBERTO THOMAZ</v>
          </cell>
          <cell r="C1053" t="str">
            <v>289.003,42</v>
          </cell>
          <cell r="D1053" t="str">
            <v>75.000,00</v>
          </cell>
          <cell r="E1053" t="str">
            <v>0,00</v>
          </cell>
          <cell r="F1053" t="str">
            <v>0,00</v>
          </cell>
          <cell r="G1053" t="str">
            <v>214.003,42</v>
          </cell>
          <cell r="H1053" t="str">
            <v>0,00</v>
          </cell>
          <cell r="I1053">
            <v>214003.42</v>
          </cell>
          <cell r="J1053">
            <v>-214003.42</v>
          </cell>
        </row>
        <row r="1054">
          <cell r="A1054" t="str">
            <v>1.1.1.3.01.07021</v>
          </cell>
          <cell r="B1054" t="str">
            <v>ROMAGRAN ROMUALDO GRANITOS LTDA</v>
          </cell>
          <cell r="C1054" t="str">
            <v>414.001,75</v>
          </cell>
          <cell r="D1054" t="str">
            <v>209.601,75</v>
          </cell>
          <cell r="E1054" t="str">
            <v>2.252,44</v>
          </cell>
          <cell r="F1054" t="str">
            <v>29.200,00</v>
          </cell>
          <cell r="G1054" t="str">
            <v>177.452,44</v>
          </cell>
          <cell r="H1054" t="str">
            <v>0,00</v>
          </cell>
          <cell r="I1054">
            <v>177452.44</v>
          </cell>
          <cell r="J1054">
            <v>-177452.44</v>
          </cell>
        </row>
        <row r="1055">
          <cell r="A1055" t="str">
            <v>1.1.1.3.01.07022</v>
          </cell>
          <cell r="B1055" t="str">
            <v>AGRO ASSIS PECAS E SERVICOS LTDA</v>
          </cell>
          <cell r="C1055" t="str">
            <v>1.990,00</v>
          </cell>
          <cell r="D1055" t="str">
            <v>1.990,00</v>
          </cell>
          <cell r="E1055" t="str">
            <v>266,61</v>
          </cell>
          <cell r="F1055" t="str">
            <v>266,61</v>
          </cell>
          <cell r="G1055" t="str">
            <v>0,00</v>
          </cell>
          <cell r="H1055" t="str">
            <v>0,00</v>
          </cell>
          <cell r="I1055">
            <v>0</v>
          </cell>
          <cell r="J1055">
            <v>0</v>
          </cell>
        </row>
        <row r="1056">
          <cell r="A1056" t="str">
            <v>1.1.1.3.01.999999</v>
          </cell>
          <cell r="B1056" t="str">
            <v>CLIENTE PADRAO P/ ORCAMENTO</v>
          </cell>
          <cell r="C1056" t="str">
            <v>91.117,43</v>
          </cell>
          <cell r="D1056" t="str">
            <v>317.259,56</v>
          </cell>
          <cell r="E1056" t="str">
            <v>0,00</v>
          </cell>
          <cell r="F1056" t="str">
            <v>9.706,86</v>
          </cell>
          <cell r="G1056" t="str">
            <v>0,00</v>
          </cell>
          <cell r="H1056" t="str">
            <v>235.848,99</v>
          </cell>
          <cell r="I1056">
            <v>-235848.99</v>
          </cell>
          <cell r="J1056">
            <v>471697.98</v>
          </cell>
        </row>
        <row r="1057">
          <cell r="A1057" t="str">
            <v>1.1.1.3.02</v>
          </cell>
          <cell r="B1057" t="str">
            <v>CLIENTES - VENDAS PARA ENTREGA FUTURA</v>
          </cell>
          <cell r="C1057" t="str">
            <v>0,00</v>
          </cell>
          <cell r="D1057" t="str">
            <v>0,00</v>
          </cell>
          <cell r="E1057" t="str">
            <v>1.200.799,99</v>
          </cell>
          <cell r="F1057" t="str">
            <v>1.200.799,99</v>
          </cell>
          <cell r="G1057" t="str">
            <v>0,00</v>
          </cell>
          <cell r="H1057" t="str">
            <v>0,00</v>
          </cell>
          <cell r="I1057">
            <v>0</v>
          </cell>
          <cell r="J1057">
            <v>0</v>
          </cell>
        </row>
        <row r="1058">
          <cell r="A1058" t="str">
            <v>1.1.1.3.02.00001</v>
          </cell>
          <cell r="B1058" t="str">
            <v>CLIENTES-VENDAS P/ENTREGA FUTURA</v>
          </cell>
          <cell r="C1058" t="str">
            <v>42.448.860,89</v>
          </cell>
          <cell r="D1058" t="str">
            <v>40.549.251,86</v>
          </cell>
          <cell r="E1058" t="str">
            <v>440.799,99</v>
          </cell>
          <cell r="F1058" t="str">
            <v>760.000,00</v>
          </cell>
          <cell r="G1058" t="str">
            <v>1.580.409,02</v>
          </cell>
          <cell r="H1058" t="str">
            <v>0,00</v>
          </cell>
          <cell r="I1058">
            <v>1580409.02</v>
          </cell>
          <cell r="J1058">
            <v>-1580409.02</v>
          </cell>
        </row>
        <row r="1059">
          <cell r="A1059" t="str">
            <v>1.1.1.3.02.00002</v>
          </cell>
          <cell r="B1059" t="str">
            <v>(-) FATURAMENTO P/ ENTREGA FUTURA</v>
          </cell>
          <cell r="C1059" t="str">
            <v>40.549.251,86</v>
          </cell>
          <cell r="D1059" t="str">
            <v>42.448.860,89</v>
          </cell>
          <cell r="E1059" t="str">
            <v>760.000,00</v>
          </cell>
          <cell r="F1059" t="str">
            <v>440.799,99</v>
          </cell>
          <cell r="G1059" t="str">
            <v>0,00</v>
          </cell>
          <cell r="H1059" t="str">
            <v>1.580.409,02</v>
          </cell>
          <cell r="I1059">
            <v>-1580409.02</v>
          </cell>
          <cell r="J1059">
            <v>3160818.04</v>
          </cell>
        </row>
        <row r="1060">
          <cell r="A1060" t="str">
            <v>1.1.1.3.03</v>
          </cell>
          <cell r="B1060" t="str">
            <v>CLIENTE EXTERIOR</v>
          </cell>
          <cell r="C1060" t="str">
            <v>0,00</v>
          </cell>
          <cell r="D1060" t="str">
            <v>0,00</v>
          </cell>
          <cell r="E1060" t="str">
            <v>302.964,81</v>
          </cell>
          <cell r="F1060" t="str">
            <v>62.226,10</v>
          </cell>
          <cell r="G1060" t="str">
            <v>7.009.817,21</v>
          </cell>
          <cell r="H1060" t="str">
            <v>0,00</v>
          </cell>
          <cell r="I1060">
            <v>7009817.21</v>
          </cell>
          <cell r="J1060">
            <v>-7009817.21</v>
          </cell>
        </row>
        <row r="1061">
          <cell r="A1061" t="str">
            <v>1.1.1.3.03.00004</v>
          </cell>
          <cell r="B1061" t="str">
            <v>X - DIAMOND INTERNATIONAL DIAMOND TOOLS</v>
          </cell>
          <cell r="C1061" t="str">
            <v>5.792.095,85</v>
          </cell>
          <cell r="D1061" t="str">
            <v>5.792.094,63</v>
          </cell>
          <cell r="E1061" t="str">
            <v>0,00</v>
          </cell>
          <cell r="F1061" t="str">
            <v>0,00</v>
          </cell>
          <cell r="G1061" t="str">
            <v>1,22</v>
          </cell>
          <cell r="H1061" t="str">
            <v>0,00</v>
          </cell>
          <cell r="I1061">
            <v>1.22</v>
          </cell>
          <cell r="J1061">
            <v>-1.22</v>
          </cell>
        </row>
        <row r="1062">
          <cell r="A1062" t="str">
            <v>1.1.1.3.03.00005</v>
          </cell>
          <cell r="B1062" t="str">
            <v>TROCIUK Y CIA A.G.I.S.A</v>
          </cell>
          <cell r="C1062" t="str">
            <v>745.881,76</v>
          </cell>
          <cell r="D1062" t="str">
            <v>743.216,21</v>
          </cell>
          <cell r="E1062" t="str">
            <v>63,10</v>
          </cell>
          <cell r="F1062" t="str">
            <v>0,00</v>
          </cell>
          <cell r="G1062" t="str">
            <v>2.728,65</v>
          </cell>
          <cell r="H1062" t="str">
            <v>0,00</v>
          </cell>
          <cell r="I1062">
            <v>2728.65</v>
          </cell>
          <cell r="J1062">
            <v>-2728.65</v>
          </cell>
        </row>
        <row r="1063">
          <cell r="A1063" t="str">
            <v>1.1.1.3.03.00008</v>
          </cell>
          <cell r="B1063" t="str">
            <v>WILD DRILLING TOOLS ROCKWELL TECHNOLOGY</v>
          </cell>
          <cell r="C1063" t="str">
            <v>833.903,87</v>
          </cell>
          <cell r="D1063" t="str">
            <v>709.095,11</v>
          </cell>
          <cell r="E1063" t="str">
            <v>109,92</v>
          </cell>
          <cell r="F1063" t="str">
            <v>0,00</v>
          </cell>
          <cell r="G1063" t="str">
            <v>124.918,68</v>
          </cell>
          <cell r="H1063" t="str">
            <v>0,00</v>
          </cell>
          <cell r="I1063">
            <v>124918.68</v>
          </cell>
          <cell r="J1063">
            <v>-124918.68</v>
          </cell>
        </row>
        <row r="1064">
          <cell r="A1064" t="str">
            <v>1.1.1.3.03.00010</v>
          </cell>
          <cell r="B1064" t="str">
            <v>AGF EUROPE UNIPESSOAL LDA</v>
          </cell>
          <cell r="C1064" t="str">
            <v>7.143.535,32</v>
          </cell>
          <cell r="D1064" t="str">
            <v>2.561.485,54</v>
          </cell>
          <cell r="E1064" t="str">
            <v>4.035,54</v>
          </cell>
          <cell r="F1064" t="str">
            <v>0,00</v>
          </cell>
          <cell r="G1064" t="str">
            <v>4.586.085,32</v>
          </cell>
          <cell r="H1064" t="str">
            <v>0,00</v>
          </cell>
          <cell r="I1064">
            <v>4586085.32</v>
          </cell>
          <cell r="J1064">
            <v>-4586085.32</v>
          </cell>
        </row>
        <row r="1065">
          <cell r="A1065" t="str">
            <v>1.1.1.3.03.00011</v>
          </cell>
          <cell r="B1065" t="str">
            <v>BESTMAQ SRL</v>
          </cell>
          <cell r="C1065" t="str">
            <v>3.009.308,27</v>
          </cell>
          <cell r="D1065" t="str">
            <v>2.628.498,70</v>
          </cell>
          <cell r="E1065" t="str">
            <v>260.571,88</v>
          </cell>
          <cell r="F1065" t="str">
            <v>0,00</v>
          </cell>
          <cell r="G1065" t="str">
            <v>641.381,45</v>
          </cell>
          <cell r="H1065" t="str">
            <v>0,00</v>
          </cell>
          <cell r="I1065">
            <v>641381.44999999995</v>
          </cell>
          <cell r="J1065">
            <v>-641381.44999999995</v>
          </cell>
        </row>
        <row r="1066">
          <cell r="A1066" t="str">
            <v>1.1.1.3.03.00014</v>
          </cell>
          <cell r="B1066" t="str">
            <v>ARTE Y ESTRUCTURA S.A.</v>
          </cell>
          <cell r="C1066" t="str">
            <v>267.779,17</v>
          </cell>
          <cell r="D1066" t="str">
            <v>267.779,18</v>
          </cell>
          <cell r="E1066" t="str">
            <v>0,00</v>
          </cell>
          <cell r="F1066" t="str">
            <v>0,00</v>
          </cell>
          <cell r="G1066" t="str">
            <v>0,00</v>
          </cell>
          <cell r="H1066" t="str">
            <v>0,01</v>
          </cell>
          <cell r="I1066">
            <v>-0.01</v>
          </cell>
          <cell r="J1066">
            <v>0.02</v>
          </cell>
        </row>
        <row r="1067">
          <cell r="A1067" t="str">
            <v>1.1.1.3.03.00015</v>
          </cell>
          <cell r="B1067" t="str">
            <v>RSG STONES (100 % EOU)</v>
          </cell>
          <cell r="C1067" t="str">
            <v>2.311.316,01</v>
          </cell>
          <cell r="D1067" t="str">
            <v>1.210.002,07</v>
          </cell>
          <cell r="E1067" t="str">
            <v>26.067,07</v>
          </cell>
          <cell r="F1067" t="str">
            <v>0,00</v>
          </cell>
          <cell r="G1067" t="str">
            <v>1.127.381,01</v>
          </cell>
          <cell r="H1067" t="str">
            <v>0,00</v>
          </cell>
          <cell r="I1067">
            <v>1127381.01</v>
          </cell>
          <cell r="J1067">
            <v>-1127381.01</v>
          </cell>
        </row>
        <row r="1068">
          <cell r="A1068" t="str">
            <v>1.1.1.3.03.00016</v>
          </cell>
          <cell r="B1068" t="str">
            <v>RECICLAJE Y DEMOLICIONES RÍO ALTO SPA</v>
          </cell>
          <cell r="C1068" t="str">
            <v>587.343,68</v>
          </cell>
          <cell r="D1068" t="str">
            <v>345.657,62</v>
          </cell>
          <cell r="E1068" t="str">
            <v>4.169,09</v>
          </cell>
          <cell r="F1068" t="str">
            <v>62.226,10</v>
          </cell>
          <cell r="G1068" t="str">
            <v>183.629,05</v>
          </cell>
          <cell r="H1068" t="str">
            <v>0,00</v>
          </cell>
          <cell r="I1068">
            <v>183629.05</v>
          </cell>
          <cell r="J1068">
            <v>-183629.05</v>
          </cell>
        </row>
        <row r="1069">
          <cell r="A1069" t="str">
            <v>1.1.1.3.03.00017</v>
          </cell>
          <cell r="B1069" t="str">
            <v>ACCMAQ SPA</v>
          </cell>
          <cell r="C1069" t="str">
            <v>335.743,63</v>
          </cell>
          <cell r="D1069" t="str">
            <v>0,00</v>
          </cell>
          <cell r="E1069" t="str">
            <v>7.948,21</v>
          </cell>
          <cell r="F1069" t="str">
            <v>0,00</v>
          </cell>
          <cell r="G1069" t="str">
            <v>343.691,84</v>
          </cell>
          <cell r="H1069" t="str">
            <v>0,00</v>
          </cell>
          <cell r="I1069">
            <v>343691.84</v>
          </cell>
          <cell r="J1069">
            <v>-343691.84</v>
          </cell>
        </row>
        <row r="1070">
          <cell r="A1070" t="str">
            <v>1.1.1.3.90</v>
          </cell>
          <cell r="B1070" t="str">
            <v>(-)PROV P/CREDITO DE LIQUIDACAO DUVIDOSA</v>
          </cell>
          <cell r="C1070" t="str">
            <v>0,00</v>
          </cell>
          <cell r="D1070" t="str">
            <v>0,00</v>
          </cell>
          <cell r="E1070" t="str">
            <v>0,00</v>
          </cell>
          <cell r="F1070" t="str">
            <v>1,00</v>
          </cell>
          <cell r="G1070" t="str">
            <v>0,00</v>
          </cell>
          <cell r="H1070" t="str">
            <v>394.348,76</v>
          </cell>
          <cell r="I1070">
            <v>-394348.76</v>
          </cell>
          <cell r="J1070">
            <v>788697.52</v>
          </cell>
        </row>
        <row r="1071">
          <cell r="A1071" t="str">
            <v>1.1.1.3.90.00001</v>
          </cell>
          <cell r="B1071" t="str">
            <v>(-)PROV P/CREDITO DE LIQUIDACAO DUVIDOSA</v>
          </cell>
          <cell r="C1071" t="str">
            <v>182.892,95</v>
          </cell>
          <cell r="D1071" t="str">
            <v>577.240,71</v>
          </cell>
          <cell r="E1071" t="str">
            <v>0,00</v>
          </cell>
          <cell r="F1071" t="str">
            <v>1,00</v>
          </cell>
          <cell r="G1071" t="str">
            <v>0,00</v>
          </cell>
          <cell r="H1071" t="str">
            <v>394.348,76</v>
          </cell>
          <cell r="I1071">
            <v>-394348.76</v>
          </cell>
          <cell r="J1071">
            <v>788697.52</v>
          </cell>
        </row>
        <row r="1072">
          <cell r="A1072" t="str">
            <v>1.1.1.5</v>
          </cell>
          <cell r="B1072" t="str">
            <v>IMPOSTOS E CONTRIBUICOES A RECUPERAR</v>
          </cell>
          <cell r="C1072" t="str">
            <v>0,00</v>
          </cell>
          <cell r="D1072" t="str">
            <v>0,00</v>
          </cell>
          <cell r="E1072" t="str">
            <v>2.315.395,60</v>
          </cell>
          <cell r="F1072" t="str">
            <v>1.550.578,68</v>
          </cell>
          <cell r="G1072" t="str">
            <v>5.292.292,62</v>
          </cell>
          <cell r="H1072" t="str">
            <v>0,00</v>
          </cell>
          <cell r="I1072">
            <v>5292292.62</v>
          </cell>
          <cell r="J1072">
            <v>-5292292.62</v>
          </cell>
        </row>
        <row r="1073">
          <cell r="A1073" t="str">
            <v>1.1.1.5.01</v>
          </cell>
          <cell r="B1073" t="str">
            <v>IMPOSTOS A RECUPERAR</v>
          </cell>
          <cell r="C1073" t="str">
            <v>0,00</v>
          </cell>
          <cell r="D1073" t="str">
            <v>0,00</v>
          </cell>
          <cell r="E1073" t="str">
            <v>1.463.805,10</v>
          </cell>
          <cell r="F1073" t="str">
            <v>1.377.439,06</v>
          </cell>
          <cell r="G1073" t="str">
            <v>2.424.950,95</v>
          </cell>
          <cell r="H1073" t="str">
            <v>0,00</v>
          </cell>
          <cell r="I1073">
            <v>2424950.9500000002</v>
          </cell>
          <cell r="J1073">
            <v>-2424950.9500000002</v>
          </cell>
        </row>
        <row r="1074">
          <cell r="A1074" t="str">
            <v>1.1.1.5.01.00001</v>
          </cell>
          <cell r="B1074" t="str">
            <v>IRRF S/ APLICACAO FINANCEIRA</v>
          </cell>
          <cell r="C1074" t="str">
            <v>1.490.932,26</v>
          </cell>
          <cell r="D1074" t="str">
            <v>1.374.729,46</v>
          </cell>
          <cell r="E1074" t="str">
            <v>4,65</v>
          </cell>
          <cell r="F1074" t="str">
            <v>0,00</v>
          </cell>
          <cell r="G1074" t="str">
            <v>116.207,45</v>
          </cell>
          <cell r="H1074" t="str">
            <v>0,00</v>
          </cell>
          <cell r="I1074">
            <v>116207.45</v>
          </cell>
          <cell r="J1074">
            <v>-116207.45</v>
          </cell>
        </row>
        <row r="1075">
          <cell r="A1075" t="str">
            <v>1.1.1.5.01.00002</v>
          </cell>
          <cell r="B1075" t="str">
            <v>ISSQN</v>
          </cell>
          <cell r="C1075" t="str">
            <v>347.141,01</v>
          </cell>
          <cell r="D1075" t="str">
            <v>347.133,51</v>
          </cell>
          <cell r="E1075" t="str">
            <v>0,00</v>
          </cell>
          <cell r="F1075" t="str">
            <v>0,00</v>
          </cell>
          <cell r="G1075" t="str">
            <v>7,50</v>
          </cell>
          <cell r="H1075" t="str">
            <v>0,00</v>
          </cell>
          <cell r="I1075">
            <v>7.5</v>
          </cell>
          <cell r="J1075">
            <v>-7.5</v>
          </cell>
        </row>
        <row r="1076">
          <cell r="A1076" t="str">
            <v>1.1.1.5.01.00003</v>
          </cell>
          <cell r="B1076" t="str">
            <v>IRRF S/ PRESTACAO SERVICOS</v>
          </cell>
          <cell r="C1076" t="str">
            <v>248.756,24</v>
          </cell>
          <cell r="D1076" t="str">
            <v>248.287,20</v>
          </cell>
          <cell r="E1076" t="str">
            <v>0,00</v>
          </cell>
          <cell r="F1076" t="str">
            <v>0,00</v>
          </cell>
          <cell r="G1076" t="str">
            <v>469,04</v>
          </cell>
          <cell r="H1076" t="str">
            <v>0,00</v>
          </cell>
          <cell r="I1076">
            <v>469.04</v>
          </cell>
          <cell r="J1076">
            <v>-469.04</v>
          </cell>
        </row>
        <row r="1077">
          <cell r="A1077" t="str">
            <v>1.1.1.5.01.00005</v>
          </cell>
          <cell r="B1077" t="str">
            <v>ICMS</v>
          </cell>
          <cell r="C1077" t="str">
            <v>67.910.109,92</v>
          </cell>
          <cell r="D1077" t="str">
            <v>66.987.170,24</v>
          </cell>
          <cell r="E1077" t="str">
            <v>1.044.453,26</v>
          </cell>
          <cell r="F1077" t="str">
            <v>1.307.119,55</v>
          </cell>
          <cell r="G1077" t="str">
            <v>660.273,39</v>
          </cell>
          <cell r="H1077" t="str">
            <v>0,00</v>
          </cell>
          <cell r="I1077">
            <v>660273.39</v>
          </cell>
          <cell r="J1077">
            <v>-660273.39</v>
          </cell>
        </row>
        <row r="1078">
          <cell r="A1078" t="str">
            <v>1.1.1.5.01.00006</v>
          </cell>
          <cell r="B1078" t="str">
            <v>ICMS S/ REM. E DEMO.</v>
          </cell>
          <cell r="C1078" t="str">
            <v>467.856,37</v>
          </cell>
          <cell r="D1078" t="str">
            <v>437.413,98</v>
          </cell>
          <cell r="E1078" t="str">
            <v>1.938,14</v>
          </cell>
          <cell r="F1078" t="str">
            <v>2.081,91</v>
          </cell>
          <cell r="G1078" t="str">
            <v>30.298,62</v>
          </cell>
          <cell r="H1078" t="str">
            <v>0,00</v>
          </cell>
          <cell r="I1078">
            <v>30298.62</v>
          </cell>
          <cell r="J1078">
            <v>-30298.62</v>
          </cell>
        </row>
        <row r="1079">
          <cell r="A1079" t="str">
            <v>1.1.1.5.01.00007</v>
          </cell>
          <cell r="B1079" t="str">
            <v>IPI</v>
          </cell>
          <cell r="C1079" t="str">
            <v>9.000.779,00</v>
          </cell>
          <cell r="D1079" t="str">
            <v>8.867.284,47</v>
          </cell>
          <cell r="E1079" t="str">
            <v>117.319,68</v>
          </cell>
          <cell r="F1079" t="str">
            <v>67.609,47</v>
          </cell>
          <cell r="G1079" t="str">
            <v>183.204,74</v>
          </cell>
          <cell r="H1079" t="str">
            <v>0,00</v>
          </cell>
          <cell r="I1079">
            <v>183204.74</v>
          </cell>
          <cell r="J1079">
            <v>-183204.74</v>
          </cell>
        </row>
        <row r="1080">
          <cell r="A1080" t="str">
            <v>1.1.1.5.01.00008</v>
          </cell>
          <cell r="B1080" t="str">
            <v>ICMS ST</v>
          </cell>
          <cell r="C1080" t="str">
            <v>14.986,05</v>
          </cell>
          <cell r="D1080" t="str">
            <v>0,00</v>
          </cell>
          <cell r="E1080" t="str">
            <v>0,00</v>
          </cell>
          <cell r="F1080" t="str">
            <v>0,00</v>
          </cell>
          <cell r="G1080" t="str">
            <v>14.986,05</v>
          </cell>
          <cell r="H1080" t="str">
            <v>0,00</v>
          </cell>
          <cell r="I1080">
            <v>14986.05</v>
          </cell>
          <cell r="J1080">
            <v>-14986.05</v>
          </cell>
        </row>
        <row r="1081">
          <cell r="A1081" t="str">
            <v>1.1.1.5.01.00009</v>
          </cell>
          <cell r="B1081" t="str">
            <v>IPI S/ REM. E DEMO.</v>
          </cell>
          <cell r="C1081" t="str">
            <v>71.332,83</v>
          </cell>
          <cell r="D1081" t="str">
            <v>60.232,94</v>
          </cell>
          <cell r="E1081" t="str">
            <v>0,00</v>
          </cell>
          <cell r="F1081" t="str">
            <v>519,09</v>
          </cell>
          <cell r="G1081" t="str">
            <v>10.580,80</v>
          </cell>
          <cell r="H1081" t="str">
            <v>0,00</v>
          </cell>
          <cell r="I1081">
            <v>10580.8</v>
          </cell>
          <cell r="J1081">
            <v>-10580.8</v>
          </cell>
        </row>
        <row r="1082">
          <cell r="A1082" t="str">
            <v>1.1.1.5.01.00011</v>
          </cell>
          <cell r="B1082" t="str">
            <v>ICMS DESTINO</v>
          </cell>
          <cell r="C1082" t="str">
            <v>177.579,85</v>
          </cell>
          <cell r="D1082" t="str">
            <v>36.760,42</v>
          </cell>
          <cell r="E1082" t="str">
            <v>0,00</v>
          </cell>
          <cell r="F1082" t="str">
            <v>0,00</v>
          </cell>
          <cell r="G1082" t="str">
            <v>140.819,43</v>
          </cell>
          <cell r="H1082" t="str">
            <v>0,00</v>
          </cell>
          <cell r="I1082">
            <v>140819.43</v>
          </cell>
          <cell r="J1082">
            <v>-140819.43</v>
          </cell>
        </row>
        <row r="1083">
          <cell r="A1083" t="str">
            <v>1.1.1.5.01.00013</v>
          </cell>
          <cell r="B1083" t="str">
            <v>ICMS ANTECIPACAO PARCIAL</v>
          </cell>
          <cell r="C1083" t="str">
            <v>416.339,12</v>
          </cell>
          <cell r="D1083" t="str">
            <v>416.202,66</v>
          </cell>
          <cell r="E1083" t="str">
            <v>748,67</v>
          </cell>
          <cell r="F1083" t="str">
            <v>109,04</v>
          </cell>
          <cell r="G1083" t="str">
            <v>776,09</v>
          </cell>
          <cell r="H1083" t="str">
            <v>0,00</v>
          </cell>
          <cell r="I1083">
            <v>776.09</v>
          </cell>
          <cell r="J1083">
            <v>-776.09</v>
          </cell>
        </row>
        <row r="1084">
          <cell r="A1084" t="str">
            <v>1.1.1.5.01.00015</v>
          </cell>
          <cell r="B1084" t="str">
            <v>IRPJ RECOLHIDO ESTIMATIVA MENSAL</v>
          </cell>
          <cell r="C1084" t="str">
            <v>9.313.496,51</v>
          </cell>
          <cell r="D1084" t="str">
            <v>8.345.509,37</v>
          </cell>
          <cell r="E1084" t="str">
            <v>299.340,70</v>
          </cell>
          <cell r="F1084" t="str">
            <v>0,00</v>
          </cell>
          <cell r="G1084" t="str">
            <v>1.267.327,84</v>
          </cell>
          <cell r="H1084" t="str">
            <v>0,00</v>
          </cell>
          <cell r="I1084">
            <v>1267327.8400000001</v>
          </cell>
          <cell r="J1084">
            <v>-1267327.8400000001</v>
          </cell>
        </row>
        <row r="1085">
          <cell r="A1085" t="str">
            <v>1.1.1.5.02</v>
          </cell>
          <cell r="B1085" t="str">
            <v>CONTRIBUICOES A RECUPERAR</v>
          </cell>
          <cell r="C1085" t="str">
            <v>0,00</v>
          </cell>
          <cell r="D1085" t="str">
            <v>0,00</v>
          </cell>
          <cell r="E1085" t="str">
            <v>842.286,01</v>
          </cell>
          <cell r="F1085" t="str">
            <v>134.136,34</v>
          </cell>
          <cell r="G1085" t="str">
            <v>1.152.943,48</v>
          </cell>
          <cell r="H1085" t="str">
            <v>0,00</v>
          </cell>
          <cell r="I1085">
            <v>1152943.48</v>
          </cell>
          <cell r="J1085">
            <v>-1152943.48</v>
          </cell>
        </row>
        <row r="1086">
          <cell r="A1086" t="str">
            <v>1.1.1.5.02.00001</v>
          </cell>
          <cell r="B1086" t="str">
            <v>COFINS</v>
          </cell>
          <cell r="C1086" t="str">
            <v>26.288.699,99</v>
          </cell>
          <cell r="D1086" t="str">
            <v>26.288.699,99</v>
          </cell>
          <cell r="E1086" t="str">
            <v>568.010,49</v>
          </cell>
          <cell r="F1086" t="str">
            <v>10.745,20</v>
          </cell>
          <cell r="G1086" t="str">
            <v>557.265,29</v>
          </cell>
          <cell r="H1086" t="str">
            <v>0,00</v>
          </cell>
          <cell r="I1086">
            <v>557265.29</v>
          </cell>
          <cell r="J1086">
            <v>-557265.29</v>
          </cell>
        </row>
        <row r="1087">
          <cell r="A1087" t="str">
            <v>1.1.1.5.02.00002</v>
          </cell>
          <cell r="B1087" t="str">
            <v>PIS</v>
          </cell>
          <cell r="C1087" t="str">
            <v>5.632.215,52</v>
          </cell>
          <cell r="D1087" t="str">
            <v>5.632.215,52</v>
          </cell>
          <cell r="E1087" t="str">
            <v>123.391,14</v>
          </cell>
          <cell r="F1087" t="str">
            <v>123.391,14</v>
          </cell>
          <cell r="G1087" t="str">
            <v>0,00</v>
          </cell>
          <cell r="H1087" t="str">
            <v>0,00</v>
          </cell>
          <cell r="I1087">
            <v>0</v>
          </cell>
          <cell r="J1087">
            <v>0</v>
          </cell>
        </row>
        <row r="1088">
          <cell r="A1088" t="str">
            <v>1.1.1.5.02.00003</v>
          </cell>
          <cell r="B1088" t="str">
            <v>CSLL</v>
          </cell>
          <cell r="C1088" t="str">
            <v>170.115,90</v>
          </cell>
          <cell r="D1088" t="str">
            <v>170.115,92</v>
          </cell>
          <cell r="E1088" t="str">
            <v>0,00</v>
          </cell>
          <cell r="F1088" t="str">
            <v>0,00</v>
          </cell>
          <cell r="G1088" t="str">
            <v>0,00</v>
          </cell>
          <cell r="H1088" t="str">
            <v>0,02</v>
          </cell>
          <cell r="I1088">
            <v>-0.02</v>
          </cell>
          <cell r="J1088">
            <v>0.04</v>
          </cell>
        </row>
        <row r="1089">
          <cell r="A1089" t="str">
            <v>1.1.1.5.02.00011</v>
          </cell>
          <cell r="B1089" t="str">
            <v>FGTS</v>
          </cell>
          <cell r="C1089" t="str">
            <v>564,35</v>
          </cell>
          <cell r="D1089" t="str">
            <v>0,00</v>
          </cell>
          <cell r="E1089" t="str">
            <v>0,00</v>
          </cell>
          <cell r="F1089" t="str">
            <v>0,00</v>
          </cell>
          <cell r="G1089" t="str">
            <v>564,35</v>
          </cell>
          <cell r="H1089" t="str">
            <v>0,00</v>
          </cell>
          <cell r="I1089">
            <v>564.35</v>
          </cell>
          <cell r="J1089">
            <v>-564.35</v>
          </cell>
        </row>
        <row r="1090">
          <cell r="A1090" t="str">
            <v>1.1.1.5.02.00015</v>
          </cell>
          <cell r="B1090" t="str">
            <v>CSLL RECOLHIDO ESTIMATIVA MENSAL</v>
          </cell>
          <cell r="C1090" t="str">
            <v>4.671.149,53</v>
          </cell>
          <cell r="D1090" t="str">
            <v>4.226.920,05</v>
          </cell>
          <cell r="E1090" t="str">
            <v>150.884,38</v>
          </cell>
          <cell r="F1090" t="str">
            <v>0,00</v>
          </cell>
          <cell r="G1090" t="str">
            <v>595.113,86</v>
          </cell>
          <cell r="H1090" t="str">
            <v>0,00</v>
          </cell>
          <cell r="I1090">
            <v>595113.86</v>
          </cell>
          <cell r="J1090">
            <v>-595113.86</v>
          </cell>
        </row>
        <row r="1091">
          <cell r="A1091" t="str">
            <v>1.1.1.5.03</v>
          </cell>
          <cell r="B1091" t="str">
            <v>IMPOSTOS C/PEDIDO DE RESSARCIMENTO</v>
          </cell>
          <cell r="C1091" t="str">
            <v>0,00</v>
          </cell>
          <cell r="D1091" t="str">
            <v>0,00</v>
          </cell>
          <cell r="E1091" t="str">
            <v>0,00</v>
          </cell>
          <cell r="F1091" t="str">
            <v>27.841,87</v>
          </cell>
          <cell r="G1091" t="str">
            <v>1.461.558,96</v>
          </cell>
          <cell r="H1091" t="str">
            <v>0,00</v>
          </cell>
          <cell r="I1091">
            <v>1461558.96</v>
          </cell>
          <cell r="J1091">
            <v>-1461558.96</v>
          </cell>
        </row>
        <row r="1092">
          <cell r="A1092" t="str">
            <v>1.1.1.5.03.00001</v>
          </cell>
          <cell r="B1092" t="str">
            <v>RESSARCIMENTO IPI</v>
          </cell>
          <cell r="C1092" t="str">
            <v>2.809.313,34</v>
          </cell>
          <cell r="D1092" t="str">
            <v>2.568.937,35</v>
          </cell>
          <cell r="E1092" t="str">
            <v>0,00</v>
          </cell>
          <cell r="F1092" t="str">
            <v>0,00</v>
          </cell>
          <cell r="G1092" t="str">
            <v>240.375,99</v>
          </cell>
          <cell r="H1092" t="str">
            <v>0,00</v>
          </cell>
          <cell r="I1092">
            <v>240375.99</v>
          </cell>
          <cell r="J1092">
            <v>-240375.99</v>
          </cell>
        </row>
        <row r="1093">
          <cell r="A1093" t="str">
            <v>1.1.1.5.03.00002</v>
          </cell>
          <cell r="B1093" t="str">
            <v>RESSARCIMENTO CSLL</v>
          </cell>
          <cell r="C1093" t="str">
            <v>596.213,24</v>
          </cell>
          <cell r="D1093" t="str">
            <v>137.016,03</v>
          </cell>
          <cell r="E1093" t="str">
            <v>0,00</v>
          </cell>
          <cell r="F1093" t="str">
            <v>1.950,94</v>
          </cell>
          <cell r="G1093" t="str">
            <v>457.246,27</v>
          </cell>
          <cell r="H1093" t="str">
            <v>0,00</v>
          </cell>
          <cell r="I1093">
            <v>457246.27</v>
          </cell>
          <cell r="J1093">
            <v>-457246.27</v>
          </cell>
        </row>
        <row r="1094">
          <cell r="A1094" t="str">
            <v>1.1.1.5.03.00004</v>
          </cell>
          <cell r="B1094" t="str">
            <v>RESTITUICAO/COMPESACAO IRRF</v>
          </cell>
          <cell r="C1094" t="str">
            <v>49.257,79</v>
          </cell>
          <cell r="D1094" t="str">
            <v>49.170,79</v>
          </cell>
          <cell r="E1094" t="str">
            <v>0,00</v>
          </cell>
          <cell r="F1094" t="str">
            <v>0,00</v>
          </cell>
          <cell r="G1094" t="str">
            <v>87,00</v>
          </cell>
          <cell r="H1094" t="str">
            <v>0,00</v>
          </cell>
          <cell r="I1094">
            <v>87</v>
          </cell>
          <cell r="J1094">
            <v>-87</v>
          </cell>
        </row>
        <row r="1095">
          <cell r="A1095" t="str">
            <v>1.1.1.5.03.00007</v>
          </cell>
          <cell r="B1095" t="str">
            <v>RESTITUICAO/COMPENSACAO IRPJ</v>
          </cell>
          <cell r="C1095" t="str">
            <v>1.500.431,86</v>
          </cell>
          <cell r="D1095" t="str">
            <v>710.691,23</v>
          </cell>
          <cell r="E1095" t="str">
            <v>0,00</v>
          </cell>
          <cell r="F1095" t="str">
            <v>25.890,93</v>
          </cell>
          <cell r="G1095" t="str">
            <v>763.849,70</v>
          </cell>
          <cell r="H1095" t="str">
            <v>0,00</v>
          </cell>
          <cell r="I1095">
            <v>763849.7</v>
          </cell>
          <cell r="J1095">
            <v>-763849.7</v>
          </cell>
        </row>
        <row r="1096">
          <cell r="A1096" t="str">
            <v>1.1.1.5.04</v>
          </cell>
          <cell r="B1096" t="str">
            <v>ICMS A RECUP. S/ATIVO IMOBILIZADO</v>
          </cell>
          <cell r="C1096" t="str">
            <v>0,00</v>
          </cell>
          <cell r="D1096" t="str">
            <v>0,00</v>
          </cell>
          <cell r="E1096" t="str">
            <v>9.304,49</v>
          </cell>
          <cell r="F1096" t="str">
            <v>11.161,41</v>
          </cell>
          <cell r="G1096" t="str">
            <v>252.839,23</v>
          </cell>
          <cell r="H1096" t="str">
            <v>0,00</v>
          </cell>
          <cell r="I1096">
            <v>252839.23</v>
          </cell>
          <cell r="J1096">
            <v>-252839.23</v>
          </cell>
        </row>
        <row r="1097">
          <cell r="A1097" t="str">
            <v>1.1.1.5.04.00001</v>
          </cell>
          <cell r="B1097" t="str">
            <v>ICMS A RECUP. CAMINHAO TECTOR 9-190</v>
          </cell>
          <cell r="C1097" t="str">
            <v>33.022,10</v>
          </cell>
          <cell r="D1097" t="str">
            <v>34.176,39</v>
          </cell>
          <cell r="E1097" t="str">
            <v>0,00</v>
          </cell>
          <cell r="F1097" t="str">
            <v>0,00</v>
          </cell>
          <cell r="G1097" t="str">
            <v>0,00</v>
          </cell>
          <cell r="H1097" t="str">
            <v>1.154,29</v>
          </cell>
          <cell r="I1097">
            <v>-1154.29</v>
          </cell>
          <cell r="J1097">
            <v>2308.58</v>
          </cell>
        </row>
        <row r="1098">
          <cell r="A1098" t="str">
            <v>1.1.1.5.04.00002</v>
          </cell>
          <cell r="B1098" t="str">
            <v>ICMS A RECUP. CARROCERIA METALICA</v>
          </cell>
          <cell r="C1098" t="str">
            <v>3.036,00</v>
          </cell>
          <cell r="D1098" t="str">
            <v>3.146,83</v>
          </cell>
          <cell r="E1098" t="str">
            <v>0,00</v>
          </cell>
          <cell r="F1098" t="str">
            <v>0,00</v>
          </cell>
          <cell r="G1098" t="str">
            <v>0,00</v>
          </cell>
          <cell r="H1098" t="str">
            <v>110,83</v>
          </cell>
          <cell r="I1098">
            <v>-110.83</v>
          </cell>
          <cell r="J1098">
            <v>221.66</v>
          </cell>
        </row>
        <row r="1099">
          <cell r="A1099" t="str">
            <v>1.1.1.5.04.00003</v>
          </cell>
          <cell r="B1099" t="str">
            <v>ICMS A RECUP. TORNO 9900001777</v>
          </cell>
          <cell r="C1099" t="str">
            <v>18.562,38</v>
          </cell>
          <cell r="D1099" t="str">
            <v>19.279,30</v>
          </cell>
          <cell r="E1099" t="str">
            <v>0,00</v>
          </cell>
          <cell r="F1099" t="str">
            <v>0,00</v>
          </cell>
          <cell r="G1099" t="str">
            <v>0,00</v>
          </cell>
          <cell r="H1099" t="str">
            <v>716,92</v>
          </cell>
          <cell r="I1099">
            <v>-716.92</v>
          </cell>
          <cell r="J1099">
            <v>1433.84</v>
          </cell>
        </row>
        <row r="1100">
          <cell r="A1100" t="str">
            <v>1.1.1.5.04.00004</v>
          </cell>
          <cell r="B1100" t="str">
            <v>ICMS A RECUP. TORNO 9900001942</v>
          </cell>
          <cell r="C1100" t="str">
            <v>15.062,85</v>
          </cell>
          <cell r="D1100" t="str">
            <v>19.291,32</v>
          </cell>
          <cell r="E1100" t="str">
            <v>0,00</v>
          </cell>
          <cell r="F1100" t="str">
            <v>402,63</v>
          </cell>
          <cell r="G1100" t="str">
            <v>0,00</v>
          </cell>
          <cell r="H1100" t="str">
            <v>4.631,10</v>
          </cell>
          <cell r="I1100">
            <v>-4631.1000000000004</v>
          </cell>
          <cell r="J1100">
            <v>9262.2000000000007</v>
          </cell>
        </row>
        <row r="1101">
          <cell r="A1101" t="str">
            <v>1.1.1.5.04.00005</v>
          </cell>
          <cell r="B1101" t="str">
            <v>ICMS A RECUP. TORNO 9900002007</v>
          </cell>
          <cell r="C1101" t="str">
            <v>18.562,38</v>
          </cell>
          <cell r="D1101" t="str">
            <v>15.619,66</v>
          </cell>
          <cell r="E1101" t="str">
            <v>0,00</v>
          </cell>
          <cell r="F1101" t="str">
            <v>193,36</v>
          </cell>
          <cell r="G1101" t="str">
            <v>2.749,36</v>
          </cell>
          <cell r="H1101" t="str">
            <v>0,00</v>
          </cell>
          <cell r="I1101">
            <v>2749.36</v>
          </cell>
          <cell r="J1101">
            <v>-2749.36</v>
          </cell>
        </row>
        <row r="1102">
          <cell r="A1102" t="str">
            <v>1.1.1.5.04.00006</v>
          </cell>
          <cell r="B1102" t="str">
            <v>ICMS A RECUP. TALHA ELETRICA 3 TON</v>
          </cell>
          <cell r="C1102" t="str">
            <v>3.361,49</v>
          </cell>
          <cell r="D1102" t="str">
            <v>3.491,02</v>
          </cell>
          <cell r="E1102" t="str">
            <v>0,00</v>
          </cell>
          <cell r="F1102" t="str">
            <v>0,00</v>
          </cell>
          <cell r="G1102" t="str">
            <v>0,00</v>
          </cell>
          <cell r="H1102" t="str">
            <v>129,53</v>
          </cell>
          <cell r="I1102">
            <v>-129.53</v>
          </cell>
          <cell r="J1102">
            <v>259.06</v>
          </cell>
        </row>
        <row r="1103">
          <cell r="A1103" t="str">
            <v>1.1.1.5.04.00007</v>
          </cell>
          <cell r="B1103" t="str">
            <v>ICMS A RECUP. FURADEIRA 9900001943</v>
          </cell>
          <cell r="C1103" t="str">
            <v>16.043,11</v>
          </cell>
          <cell r="D1103" t="str">
            <v>15.000,65</v>
          </cell>
          <cell r="E1103" t="str">
            <v>0,00</v>
          </cell>
          <cell r="F1103" t="str">
            <v>334,23</v>
          </cell>
          <cell r="G1103" t="str">
            <v>708,23</v>
          </cell>
          <cell r="H1103" t="str">
            <v>0,00</v>
          </cell>
          <cell r="I1103">
            <v>708.23</v>
          </cell>
          <cell r="J1103">
            <v>-708.23</v>
          </cell>
        </row>
        <row r="1104">
          <cell r="A1104" t="str">
            <v>1.1.1.5.04.00008</v>
          </cell>
          <cell r="B1104" t="str">
            <v>ICMS A RECUP. FURADEIRA  9900001944</v>
          </cell>
          <cell r="C1104" t="str">
            <v>9.609,20</v>
          </cell>
          <cell r="D1104" t="str">
            <v>9.979,16</v>
          </cell>
          <cell r="E1104" t="str">
            <v>0,00</v>
          </cell>
          <cell r="F1104" t="str">
            <v>0,00</v>
          </cell>
          <cell r="G1104" t="str">
            <v>0,00</v>
          </cell>
          <cell r="H1104" t="str">
            <v>369,96</v>
          </cell>
          <cell r="I1104">
            <v>-369.96</v>
          </cell>
          <cell r="J1104">
            <v>739.92</v>
          </cell>
        </row>
        <row r="1105">
          <cell r="A1105" t="str">
            <v>1.1.1.5.04.00009</v>
          </cell>
          <cell r="B1105" t="str">
            <v>ICMS A RECUP. FURADEIRA 9900001945</v>
          </cell>
          <cell r="C1105" t="str">
            <v>9.406,80</v>
          </cell>
          <cell r="D1105" t="str">
            <v>9.380,45</v>
          </cell>
          <cell r="E1105" t="str">
            <v>0,00</v>
          </cell>
          <cell r="F1105" t="str">
            <v>97,99</v>
          </cell>
          <cell r="G1105" t="str">
            <v>0,00</v>
          </cell>
          <cell r="H1105" t="str">
            <v>71,64</v>
          </cell>
          <cell r="I1105">
            <v>-71.64</v>
          </cell>
          <cell r="J1105">
            <v>143.28</v>
          </cell>
        </row>
        <row r="1106">
          <cell r="A1106" t="str">
            <v>1.1.1.5.04.00010</v>
          </cell>
          <cell r="B1106" t="str">
            <v>ICMS A RECUP. FRESADORA 9900001946</v>
          </cell>
          <cell r="C1106" t="str">
            <v>23.745,89</v>
          </cell>
          <cell r="D1106" t="str">
            <v>14.244,64</v>
          </cell>
          <cell r="E1106" t="str">
            <v>0,00</v>
          </cell>
          <cell r="F1106" t="str">
            <v>216,21</v>
          </cell>
          <cell r="G1106" t="str">
            <v>9.285,04</v>
          </cell>
          <cell r="H1106" t="str">
            <v>0,00</v>
          </cell>
          <cell r="I1106">
            <v>9285.0400000000009</v>
          </cell>
          <cell r="J1106">
            <v>-9285.0400000000009</v>
          </cell>
        </row>
        <row r="1107">
          <cell r="A1107" t="str">
            <v>1.1.1.5.04.00011</v>
          </cell>
          <cell r="B1107" t="str">
            <v>ICMS A RECUP. TORNO 9900001947</v>
          </cell>
          <cell r="C1107" t="str">
            <v>4.514,71</v>
          </cell>
          <cell r="D1107" t="str">
            <v>3.875,76</v>
          </cell>
          <cell r="E1107" t="str">
            <v>0,00</v>
          </cell>
          <cell r="F1107" t="str">
            <v>62,70</v>
          </cell>
          <cell r="G1107" t="str">
            <v>576,25</v>
          </cell>
          <cell r="H1107" t="str">
            <v>0,00</v>
          </cell>
          <cell r="I1107">
            <v>576.25</v>
          </cell>
          <cell r="J1107">
            <v>-576.25</v>
          </cell>
        </row>
        <row r="1108">
          <cell r="A1108" t="str">
            <v>1.1.1.5.04.00012</v>
          </cell>
          <cell r="B1108" t="str">
            <v>ICMS A RECUP.CENTRO USINAGEM 9900002177</v>
          </cell>
          <cell r="C1108" t="str">
            <v>31.276,67</v>
          </cell>
          <cell r="D1108" t="str">
            <v>29.896,10</v>
          </cell>
          <cell r="E1108" t="str">
            <v>0,00</v>
          </cell>
          <cell r="F1108" t="str">
            <v>651,60</v>
          </cell>
          <cell r="G1108" t="str">
            <v>728,97</v>
          </cell>
          <cell r="H1108" t="str">
            <v>0,00</v>
          </cell>
          <cell r="I1108">
            <v>728.97</v>
          </cell>
          <cell r="J1108">
            <v>-728.97</v>
          </cell>
        </row>
        <row r="1109">
          <cell r="A1109" t="str">
            <v>1.1.1.5.04.00013</v>
          </cell>
          <cell r="B1109" t="str">
            <v>ICMS A RECUP. TORNO CNC 9900002178</v>
          </cell>
          <cell r="C1109" t="str">
            <v>19.407,63</v>
          </cell>
          <cell r="D1109" t="str">
            <v>18.550,42</v>
          </cell>
          <cell r="E1109" t="str">
            <v>0,00</v>
          </cell>
          <cell r="F1109" t="str">
            <v>404,33</v>
          </cell>
          <cell r="G1109" t="str">
            <v>452,88</v>
          </cell>
          <cell r="H1109" t="str">
            <v>0,00</v>
          </cell>
          <cell r="I1109">
            <v>452.88</v>
          </cell>
          <cell r="J1109">
            <v>-452.88</v>
          </cell>
        </row>
        <row r="1110">
          <cell r="A1110" t="str">
            <v>1.1.1.5.04.00014</v>
          </cell>
          <cell r="B1110" t="str">
            <v>ROSQUEADORA 22V 0-250RPM (MR-DS24)</v>
          </cell>
          <cell r="C1110" t="str">
            <v>761,31</v>
          </cell>
          <cell r="D1110" t="str">
            <v>604,09</v>
          </cell>
          <cell r="E1110" t="str">
            <v>0,00</v>
          </cell>
          <cell r="F1110" t="str">
            <v>15,57</v>
          </cell>
          <cell r="G1110" t="str">
            <v>141,65</v>
          </cell>
          <cell r="H1110" t="str">
            <v>0,00</v>
          </cell>
          <cell r="I1110">
            <v>141.65</v>
          </cell>
          <cell r="J1110">
            <v>-141.65</v>
          </cell>
        </row>
        <row r="1111">
          <cell r="A1111" t="str">
            <v>1.1.1.5.04.00015</v>
          </cell>
          <cell r="B1111" t="str">
            <v>BASE MAGNETICA 600KG P/ (PML-600)</v>
          </cell>
          <cell r="C1111" t="str">
            <v>642,52</v>
          </cell>
          <cell r="D1111" t="str">
            <v>496,02</v>
          </cell>
          <cell r="E1111" t="str">
            <v>0,00</v>
          </cell>
          <cell r="F1111" t="str">
            <v>13,39</v>
          </cell>
          <cell r="G1111" t="str">
            <v>133,11</v>
          </cell>
          <cell r="H1111" t="str">
            <v>0,00</v>
          </cell>
          <cell r="I1111">
            <v>133.11000000000001</v>
          </cell>
          <cell r="J1111">
            <v>-133.11000000000001</v>
          </cell>
        </row>
        <row r="1112">
          <cell r="A1112" t="str">
            <v>1.1.1.5.04.00016</v>
          </cell>
          <cell r="B1112" t="str">
            <v>LEVANTADOR MAGNETICO PML1000 9900003186</v>
          </cell>
          <cell r="C1112" t="str">
            <v>2.183,60</v>
          </cell>
          <cell r="D1112" t="str">
            <v>0,00</v>
          </cell>
          <cell r="E1112" t="str">
            <v>0,00</v>
          </cell>
          <cell r="F1112" t="str">
            <v>0,00</v>
          </cell>
          <cell r="G1112" t="str">
            <v>2.183,60</v>
          </cell>
          <cell r="H1112" t="str">
            <v>0,00</v>
          </cell>
          <cell r="I1112">
            <v>2183.6</v>
          </cell>
          <cell r="J1112">
            <v>-2183.6</v>
          </cell>
        </row>
        <row r="1113">
          <cell r="A1113" t="str">
            <v>1.1.1.5.04.00017</v>
          </cell>
          <cell r="B1113" t="str">
            <v>TORNO CNC SIEMENS808D CK6132 9900003099</v>
          </cell>
          <cell r="C1113" t="str">
            <v>9.775,47</v>
          </cell>
          <cell r="D1113" t="str">
            <v>5.483,95</v>
          </cell>
          <cell r="E1113" t="str">
            <v>0,00</v>
          </cell>
          <cell r="F1113" t="str">
            <v>203,66</v>
          </cell>
          <cell r="G1113" t="str">
            <v>4.087,86</v>
          </cell>
          <cell r="H1113" t="str">
            <v>0,00</v>
          </cell>
          <cell r="I1113">
            <v>4087.86</v>
          </cell>
          <cell r="J1113">
            <v>-4087.86</v>
          </cell>
        </row>
        <row r="1114">
          <cell r="A1114" t="str">
            <v>1.1.1.5.04.00018</v>
          </cell>
          <cell r="B1114" t="str">
            <v>CENTRO USINAGEM VMC850 SIEMENS808D</v>
          </cell>
          <cell r="C1114" t="str">
            <v>26.254,65</v>
          </cell>
          <cell r="D1114" t="str">
            <v>16.916,13</v>
          </cell>
          <cell r="E1114" t="str">
            <v>0,00</v>
          </cell>
          <cell r="F1114" t="str">
            <v>546,97</v>
          </cell>
          <cell r="G1114" t="str">
            <v>8.791,55</v>
          </cell>
          <cell r="H1114" t="str">
            <v>0,00</v>
          </cell>
          <cell r="I1114">
            <v>8791.5499999999993</v>
          </cell>
          <cell r="J1114">
            <v>-8791.5499999999993</v>
          </cell>
        </row>
        <row r="1115">
          <cell r="A1115" t="str">
            <v>1.1.1.5.04.00019</v>
          </cell>
          <cell r="B1115" t="str">
            <v>TALHA ELETRICA C/ TROLLEY 1T 9900001557</v>
          </cell>
          <cell r="C1115" t="str">
            <v>1.766,67</v>
          </cell>
          <cell r="D1115" t="str">
            <v>1.138,37</v>
          </cell>
          <cell r="E1115" t="str">
            <v>0,00</v>
          </cell>
          <cell r="F1115" t="str">
            <v>36,81</v>
          </cell>
          <cell r="G1115" t="str">
            <v>591,49</v>
          </cell>
          <cell r="H1115" t="str">
            <v>0,00</v>
          </cell>
          <cell r="I1115">
            <v>591.49</v>
          </cell>
          <cell r="J1115">
            <v>-591.49</v>
          </cell>
        </row>
        <row r="1116">
          <cell r="A1116" t="str">
            <v>1.1.1.5.04.00020</v>
          </cell>
          <cell r="B1116" t="str">
            <v>EMPILHADEIRA ELETRICA 2 TONEL</v>
          </cell>
          <cell r="C1116" t="str">
            <v>25.619,20</v>
          </cell>
          <cell r="D1116" t="str">
            <v>7.586,13</v>
          </cell>
          <cell r="E1116" t="str">
            <v>0,00</v>
          </cell>
          <cell r="F1116" t="str">
            <v>288,01</v>
          </cell>
          <cell r="G1116" t="str">
            <v>17.745,06</v>
          </cell>
          <cell r="H1116" t="str">
            <v>0,00</v>
          </cell>
          <cell r="I1116">
            <v>17745.060000000001</v>
          </cell>
          <cell r="J1116">
            <v>-17745.060000000001</v>
          </cell>
        </row>
        <row r="1117">
          <cell r="A1117" t="str">
            <v>1.1.1.5.04.00021</v>
          </cell>
          <cell r="B1117" t="str">
            <v>EMPILHADEIRA 2,5 TONELADAS</v>
          </cell>
          <cell r="C1117" t="str">
            <v>45.754,51</v>
          </cell>
          <cell r="D1117" t="str">
            <v>25.294,22</v>
          </cell>
          <cell r="E1117" t="str">
            <v>0,00</v>
          </cell>
          <cell r="F1117" t="str">
            <v>953,22</v>
          </cell>
          <cell r="G1117" t="str">
            <v>19.507,07</v>
          </cell>
          <cell r="H1117" t="str">
            <v>0,00</v>
          </cell>
          <cell r="I1117">
            <v>19507.07</v>
          </cell>
          <cell r="J1117">
            <v>-19507.07</v>
          </cell>
        </row>
        <row r="1118">
          <cell r="A1118" t="str">
            <v>1.1.1.5.04.00022</v>
          </cell>
          <cell r="B1118" t="str">
            <v>TORNO HORIZONTAL CNC CAK 125385</v>
          </cell>
          <cell r="C1118" t="str">
            <v>35.988,67</v>
          </cell>
          <cell r="D1118" t="str">
            <v>19.439,18</v>
          </cell>
          <cell r="E1118" t="str">
            <v>0,00</v>
          </cell>
          <cell r="F1118" t="str">
            <v>749,76</v>
          </cell>
          <cell r="G1118" t="str">
            <v>15.799,73</v>
          </cell>
          <cell r="H1118" t="str">
            <v>0,00</v>
          </cell>
          <cell r="I1118">
            <v>15799.73</v>
          </cell>
          <cell r="J1118">
            <v>-15799.73</v>
          </cell>
        </row>
        <row r="1119">
          <cell r="A1119" t="str">
            <v>1.1.1.5.04.00023</v>
          </cell>
          <cell r="B1119" t="str">
            <v>COMPRESSOR ELETRICO A PARAFUSO KRSD40-11</v>
          </cell>
          <cell r="C1119" t="str">
            <v>6.089,78</v>
          </cell>
          <cell r="D1119" t="str">
            <v>3.289,39</v>
          </cell>
          <cell r="E1119" t="str">
            <v>0,00</v>
          </cell>
          <cell r="F1119" t="str">
            <v>126,87</v>
          </cell>
          <cell r="G1119" t="str">
            <v>2.673,52</v>
          </cell>
          <cell r="H1119" t="str">
            <v>0,00</v>
          </cell>
          <cell r="I1119">
            <v>2673.52</v>
          </cell>
          <cell r="J1119">
            <v>-2673.52</v>
          </cell>
        </row>
        <row r="1120">
          <cell r="A1120" t="str">
            <v>1.1.1.5.04.00025</v>
          </cell>
          <cell r="B1120" t="str">
            <v>CAMINHAO TECTOR 24-280 IVECO</v>
          </cell>
          <cell r="C1120" t="str">
            <v>51.600,00</v>
          </cell>
          <cell r="D1120" t="str">
            <v>27.871,10</v>
          </cell>
          <cell r="E1120" t="str">
            <v>0,00</v>
          </cell>
          <cell r="F1120" t="str">
            <v>1.075,00</v>
          </cell>
          <cell r="G1120" t="str">
            <v>22.653,90</v>
          </cell>
          <cell r="H1120" t="str">
            <v>0,00</v>
          </cell>
          <cell r="I1120">
            <v>22653.9</v>
          </cell>
          <cell r="J1120">
            <v>-22653.9</v>
          </cell>
        </row>
        <row r="1121">
          <cell r="A1121" t="str">
            <v>1.1.1.5.04.00026</v>
          </cell>
          <cell r="B1121" t="str">
            <v>ICMS A RECUP.MAQUINA JATO CAM SIMPLES 35</v>
          </cell>
          <cell r="C1121" t="str">
            <v>1.166,25</v>
          </cell>
          <cell r="D1121" t="str">
            <v>605,71</v>
          </cell>
          <cell r="E1121" t="str">
            <v>0,00</v>
          </cell>
          <cell r="F1121" t="str">
            <v>24,30</v>
          </cell>
          <cell r="G1121" t="str">
            <v>536,24</v>
          </cell>
          <cell r="H1121" t="str">
            <v>0,00</v>
          </cell>
          <cell r="I1121">
            <v>536.24</v>
          </cell>
          <cell r="J1121">
            <v>-536.24</v>
          </cell>
        </row>
        <row r="1122">
          <cell r="A1122" t="str">
            <v>1.1.1.5.04.00027</v>
          </cell>
          <cell r="B1122" t="str">
            <v>ICMS A RECUP TORNO CNC SIEMENS808D CK616</v>
          </cell>
          <cell r="C1122" t="str">
            <v>10.174,56</v>
          </cell>
          <cell r="D1122" t="str">
            <v>5.071,86</v>
          </cell>
          <cell r="E1122" t="str">
            <v>0,00</v>
          </cell>
          <cell r="F1122" t="str">
            <v>211,97</v>
          </cell>
          <cell r="G1122" t="str">
            <v>4.890,73</v>
          </cell>
          <cell r="H1122" t="str">
            <v>0,00</v>
          </cell>
          <cell r="I1122">
            <v>4890.7299999999996</v>
          </cell>
          <cell r="J1122">
            <v>-4890.7299999999996</v>
          </cell>
        </row>
        <row r="1123">
          <cell r="A1123" t="str">
            <v>1.1.1.5.04.00028</v>
          </cell>
          <cell r="B1123" t="str">
            <v>ICMS A RECUP CENTRO DE USINAGEM CNC VMC5</v>
          </cell>
          <cell r="C1123" t="str">
            <v>9.775,05</v>
          </cell>
          <cell r="D1123" t="str">
            <v>4.872,75</v>
          </cell>
          <cell r="E1123" t="str">
            <v>0,00</v>
          </cell>
          <cell r="F1123" t="str">
            <v>203,65</v>
          </cell>
          <cell r="G1123" t="str">
            <v>4.698,65</v>
          </cell>
          <cell r="H1123" t="str">
            <v>0,00</v>
          </cell>
          <cell r="I1123">
            <v>4698.6499999999996</v>
          </cell>
          <cell r="J1123">
            <v>-4698.6499999999996</v>
          </cell>
        </row>
        <row r="1124">
          <cell r="A1124" t="str">
            <v>1.1.1.5.04.00029</v>
          </cell>
          <cell r="B1124" t="str">
            <v>ICMS A RECUP TORNO CNC SIEMENS808D A15 C</v>
          </cell>
          <cell r="C1124" t="str">
            <v>25.248,04</v>
          </cell>
          <cell r="D1124" t="str">
            <v>8.857,27</v>
          </cell>
          <cell r="E1124" t="str">
            <v>0,00</v>
          </cell>
          <cell r="F1124" t="str">
            <v>526,00</v>
          </cell>
          <cell r="G1124" t="str">
            <v>15.864,77</v>
          </cell>
          <cell r="H1124" t="str">
            <v>0,00</v>
          </cell>
          <cell r="I1124">
            <v>15864.77</v>
          </cell>
          <cell r="J1124">
            <v>-15864.77</v>
          </cell>
        </row>
        <row r="1125">
          <cell r="A1125" t="str">
            <v>1.1.1.5.04.00030</v>
          </cell>
          <cell r="B1125" t="str">
            <v>ICMS RECUP TORNO CNC SIEMENS808D CK61125</v>
          </cell>
          <cell r="C1125" t="str">
            <v>20.888,54</v>
          </cell>
          <cell r="D1125" t="str">
            <v>9.977,46</v>
          </cell>
          <cell r="E1125" t="str">
            <v>0,00</v>
          </cell>
          <cell r="F1125" t="str">
            <v>435,18</v>
          </cell>
          <cell r="G1125" t="str">
            <v>10.475,90</v>
          </cell>
          <cell r="H1125" t="str">
            <v>0,00</v>
          </cell>
          <cell r="I1125">
            <v>10475.9</v>
          </cell>
          <cell r="J1125">
            <v>-10475.9</v>
          </cell>
        </row>
        <row r="1126">
          <cell r="A1126" t="str">
            <v>1.1.1.5.04.00031</v>
          </cell>
          <cell r="B1126" t="str">
            <v>ICMS RECUP MAQUINA DE SERRA FITA  GZ42</v>
          </cell>
          <cell r="C1126" t="str">
            <v>5.800,79</v>
          </cell>
          <cell r="D1126" t="str">
            <v>2.770,76</v>
          </cell>
          <cell r="E1126" t="str">
            <v>0,00</v>
          </cell>
          <cell r="F1126" t="str">
            <v>120,85</v>
          </cell>
          <cell r="G1126" t="str">
            <v>2.909,18</v>
          </cell>
          <cell r="H1126" t="str">
            <v>0,00</v>
          </cell>
          <cell r="I1126">
            <v>2909.18</v>
          </cell>
          <cell r="J1126">
            <v>-2909.18</v>
          </cell>
        </row>
        <row r="1127">
          <cell r="A1127" t="str">
            <v>1.1.1.5.04.00032</v>
          </cell>
          <cell r="B1127" t="str">
            <v>ICMS A RECUP MANDRILHADORA CNC</v>
          </cell>
          <cell r="C1127" t="str">
            <v>46.632,15</v>
          </cell>
          <cell r="D1127" t="str">
            <v>22.273,85</v>
          </cell>
          <cell r="E1127" t="str">
            <v>0,00</v>
          </cell>
          <cell r="F1127" t="str">
            <v>971,50</v>
          </cell>
          <cell r="G1127" t="str">
            <v>23.386,80</v>
          </cell>
          <cell r="H1127" t="str">
            <v>0,00</v>
          </cell>
          <cell r="I1127">
            <v>23386.799999999999</v>
          </cell>
          <cell r="J1127">
            <v>-23386.799999999999</v>
          </cell>
        </row>
        <row r="1128">
          <cell r="A1128" t="str">
            <v>1.1.1.5.04.00033</v>
          </cell>
          <cell r="B1128" t="str">
            <v>ICMS A RECUP CENTRO DE USINAGEM CNC VMC1</v>
          </cell>
          <cell r="C1128" t="str">
            <v>20.446,47</v>
          </cell>
          <cell r="D1128" t="str">
            <v>5.515,98</v>
          </cell>
          <cell r="E1128" t="str">
            <v>0,00</v>
          </cell>
          <cell r="F1128" t="str">
            <v>425,97</v>
          </cell>
          <cell r="G1128" t="str">
            <v>14.504,52</v>
          </cell>
          <cell r="H1128" t="str">
            <v>0,00</v>
          </cell>
          <cell r="I1128">
            <v>14504.52</v>
          </cell>
          <cell r="J1128">
            <v>-14504.52</v>
          </cell>
        </row>
        <row r="1129">
          <cell r="A1129" t="str">
            <v>1.1.1.5.04.00034</v>
          </cell>
          <cell r="B1129" t="str">
            <v>ICMS A RECUP PRENSA HIDRAULICA WE67K 160</v>
          </cell>
          <cell r="C1129" t="str">
            <v>20.801,11</v>
          </cell>
          <cell r="D1129" t="str">
            <v>4.311,60</v>
          </cell>
          <cell r="E1129" t="str">
            <v>0,00</v>
          </cell>
          <cell r="F1129" t="str">
            <v>433,36</v>
          </cell>
          <cell r="G1129" t="str">
            <v>16.056,15</v>
          </cell>
          <cell r="H1129" t="str">
            <v>0,00</v>
          </cell>
          <cell r="I1129">
            <v>16056.15</v>
          </cell>
          <cell r="J1129">
            <v>-16056.15</v>
          </cell>
        </row>
        <row r="1130">
          <cell r="A1130" t="str">
            <v>1.1.1.5.04.00035</v>
          </cell>
          <cell r="B1130" t="str">
            <v>ICMS A RECUP MOLDE SUPERIOR - PESCOÇO AL</v>
          </cell>
          <cell r="C1130" t="str">
            <v>668,00</v>
          </cell>
          <cell r="D1130" t="str">
            <v>138,47</v>
          </cell>
          <cell r="E1130" t="str">
            <v>0,00</v>
          </cell>
          <cell r="F1130" t="str">
            <v>13,92</v>
          </cell>
          <cell r="G1130" t="str">
            <v>515,61</v>
          </cell>
          <cell r="H1130" t="str">
            <v>0,00</v>
          </cell>
          <cell r="I1130">
            <v>515.61</v>
          </cell>
          <cell r="J1130">
            <v>-515.61</v>
          </cell>
        </row>
        <row r="1131">
          <cell r="A1131" t="str">
            <v>1.1.1.5.04.00036</v>
          </cell>
          <cell r="B1131" t="str">
            <v>ICMS A RECUP MAQUINA DE CORTE A LASER </v>
          </cell>
          <cell r="C1131" t="str">
            <v>40.641,31</v>
          </cell>
          <cell r="D1131" t="str">
            <v>7.577,30</v>
          </cell>
          <cell r="E1131" t="str">
            <v>0,00</v>
          </cell>
          <cell r="F1131" t="str">
            <v>846,69</v>
          </cell>
          <cell r="G1131" t="str">
            <v>32.217,32</v>
          </cell>
          <cell r="H1131" t="str">
            <v>0,00</v>
          </cell>
          <cell r="I1131">
            <v>32217.32</v>
          </cell>
          <cell r="J1131">
            <v>-32217.32</v>
          </cell>
        </row>
        <row r="1132">
          <cell r="A1132" t="str">
            <v>1.1.1.5.04.00037</v>
          </cell>
          <cell r="B1132" t="str">
            <v>ICMS A RECUP TORNO CNC SIEMENS808D A15 CK6180</v>
          </cell>
          <cell r="C1132" t="str">
            <v>18.329,89</v>
          </cell>
          <cell r="D1132" t="str">
            <v>1.900,31</v>
          </cell>
          <cell r="E1132" t="str">
            <v>0,00</v>
          </cell>
          <cell r="F1132" t="str">
            <v>381,87</v>
          </cell>
          <cell r="G1132" t="str">
            <v>16.047,71</v>
          </cell>
          <cell r="H1132" t="str">
            <v>0,00</v>
          </cell>
          <cell r="I1132">
            <v>16047.71</v>
          </cell>
          <cell r="J1132">
            <v>-16047.71</v>
          </cell>
        </row>
        <row r="1133">
          <cell r="A1133" t="str">
            <v>1.1.1.5.04.00038</v>
          </cell>
          <cell r="B1133" t="str">
            <v>ICMS A RECUP TORNO CNC SIEMENS808D A15 CK6150X2000</v>
          </cell>
          <cell r="C1133" t="str">
            <v>0,00</v>
          </cell>
          <cell r="D1133" t="str">
            <v>0,00</v>
          </cell>
          <cell r="E1133" t="str">
            <v>9.304,49</v>
          </cell>
          <cell r="F1133" t="str">
            <v>193,84</v>
          </cell>
          <cell r="G1133" t="str">
            <v>9.110,65</v>
          </cell>
          <cell r="H1133" t="str">
            <v>0,00</v>
          </cell>
          <cell r="I1133">
            <v>9110.65</v>
          </cell>
          <cell r="J1133">
            <v>-9110.65</v>
          </cell>
        </row>
        <row r="1134">
          <cell r="A1134" t="str">
            <v>1.1.1.6</v>
          </cell>
          <cell r="B1134" t="str">
            <v>ESTOQUES</v>
          </cell>
          <cell r="C1134" t="str">
            <v>0,00</v>
          </cell>
          <cell r="D1134" t="str">
            <v>0,00</v>
          </cell>
          <cell r="E1134" t="str">
            <v>27.025.037,15</v>
          </cell>
          <cell r="F1134" t="str">
            <v>28.814.218,73</v>
          </cell>
          <cell r="G1134" t="str">
            <v>26.830.927,09</v>
          </cell>
          <cell r="H1134" t="str">
            <v>0,00</v>
          </cell>
          <cell r="I1134">
            <v>26830927.09</v>
          </cell>
          <cell r="J1134">
            <v>-26830927.09</v>
          </cell>
        </row>
        <row r="1135">
          <cell r="A1135" t="str">
            <v>1.1.1.6.01</v>
          </cell>
          <cell r="B1135" t="str">
            <v>INDUSTRIAL</v>
          </cell>
          <cell r="C1135" t="str">
            <v>0,00</v>
          </cell>
          <cell r="D1135" t="str">
            <v>0,00</v>
          </cell>
          <cell r="E1135" t="str">
            <v>23.187.898,29</v>
          </cell>
          <cell r="F1135" t="str">
            <v>25.038.508,67</v>
          </cell>
          <cell r="G1135" t="str">
            <v>15.569.609,00</v>
          </cell>
          <cell r="H1135" t="str">
            <v>0,00</v>
          </cell>
          <cell r="I1135">
            <v>15569609</v>
          </cell>
          <cell r="J1135">
            <v>-15569609</v>
          </cell>
        </row>
        <row r="1136">
          <cell r="A1136" t="str">
            <v>1.1.1.6.01.00001</v>
          </cell>
          <cell r="B1136" t="str">
            <v>MATERIAS- PRIMAS</v>
          </cell>
          <cell r="C1136" t="str">
            <v>335.170.887,90</v>
          </cell>
          <cell r="D1136" t="str">
            <v>321.306.113,03</v>
          </cell>
          <cell r="E1136" t="str">
            <v>5.041.021,78</v>
          </cell>
          <cell r="F1136" t="str">
            <v>5.067.846,69</v>
          </cell>
          <cell r="G1136" t="str">
            <v>13.837.949,96</v>
          </cell>
          <cell r="H1136" t="str">
            <v>0,00</v>
          </cell>
          <cell r="I1136">
            <v>13837949.960000001</v>
          </cell>
          <cell r="J1136">
            <v>-13837949.960000001</v>
          </cell>
        </row>
        <row r="1137">
          <cell r="A1137" t="str">
            <v>1.1.1.6.01.00002</v>
          </cell>
          <cell r="B1137" t="str">
            <v>MATERIAIS AUXILIARES</v>
          </cell>
          <cell r="C1137" t="str">
            <v>11.786,95</v>
          </cell>
          <cell r="D1137" t="str">
            <v>11.786,95</v>
          </cell>
          <cell r="E1137" t="str">
            <v>0,00</v>
          </cell>
          <cell r="F1137" t="str">
            <v>532.641,09</v>
          </cell>
          <cell r="G1137" t="str">
            <v>0,00</v>
          </cell>
          <cell r="H1137" t="str">
            <v>532.641,09</v>
          </cell>
          <cell r="I1137">
            <v>-532641.09</v>
          </cell>
          <cell r="J1137">
            <v>1065282.18</v>
          </cell>
        </row>
        <row r="1138">
          <cell r="A1138" t="str">
            <v>1.1.1.6.01.00003</v>
          </cell>
          <cell r="B1138" t="str">
            <v>PRODUTOS EM PROCESSO</v>
          </cell>
          <cell r="C1138" t="str">
            <v>327.719.800,49</v>
          </cell>
          <cell r="D1138" t="str">
            <v>326.991.637,33</v>
          </cell>
          <cell r="E1138" t="str">
            <v>7.220.285,78</v>
          </cell>
          <cell r="F1138" t="str">
            <v>7.346.639,10</v>
          </cell>
          <cell r="G1138" t="str">
            <v>601.809,84</v>
          </cell>
          <cell r="H1138" t="str">
            <v>0,00</v>
          </cell>
          <cell r="I1138">
            <v>601809.84</v>
          </cell>
          <cell r="J1138">
            <v>-601809.84</v>
          </cell>
        </row>
        <row r="1139">
          <cell r="A1139" t="str">
            <v>1.1.1.6.01.00004</v>
          </cell>
          <cell r="B1139" t="str">
            <v>PRODUTOS ACABADOS</v>
          </cell>
          <cell r="C1139" t="str">
            <v>393.157.805,45</v>
          </cell>
          <cell r="D1139" t="str">
            <v>390.914.366,01</v>
          </cell>
          <cell r="E1139" t="str">
            <v>10.713.447,81</v>
          </cell>
          <cell r="F1139" t="str">
            <v>11.752.870,23</v>
          </cell>
          <cell r="G1139" t="str">
            <v>1.204.017,02</v>
          </cell>
          <cell r="H1139" t="str">
            <v>0,00</v>
          </cell>
          <cell r="I1139">
            <v>1204017.02</v>
          </cell>
          <cell r="J1139">
            <v>-1204017.02</v>
          </cell>
        </row>
        <row r="1140">
          <cell r="A1140" t="str">
            <v>1.1.1.6.01.00005</v>
          </cell>
          <cell r="B1140" t="str">
            <v>MATERIA PRIMA EM PODER DE TERCEIROS</v>
          </cell>
          <cell r="C1140" t="str">
            <v>27.747.727,11</v>
          </cell>
          <cell r="D1140" t="str">
            <v>27.358.749,44</v>
          </cell>
          <cell r="E1140" t="str">
            <v>112.025,44</v>
          </cell>
          <cell r="F1140" t="str">
            <v>282.353,56</v>
          </cell>
          <cell r="G1140" t="str">
            <v>218.649,55</v>
          </cell>
          <cell r="H1140" t="str">
            <v>0,00</v>
          </cell>
          <cell r="I1140">
            <v>218649.55</v>
          </cell>
          <cell r="J1140">
            <v>-218649.55</v>
          </cell>
        </row>
        <row r="1141">
          <cell r="A1141" t="str">
            <v>1.1.1.6.01.00006</v>
          </cell>
          <cell r="B1141" t="str">
            <v>PRODUTOS ACABADOS PODER TERCEIRO</v>
          </cell>
          <cell r="C1141" t="str">
            <v>18.160.485,74</v>
          </cell>
          <cell r="D1141" t="str">
            <v>17.965.621,50</v>
          </cell>
          <cell r="E1141" t="str">
            <v>101.117,48</v>
          </cell>
          <cell r="F1141" t="str">
            <v>56.158,00</v>
          </cell>
          <cell r="G1141" t="str">
            <v>239.823,72</v>
          </cell>
          <cell r="H1141" t="str">
            <v>0,00</v>
          </cell>
          <cell r="I1141">
            <v>239823.72</v>
          </cell>
          <cell r="J1141">
            <v>-239823.72</v>
          </cell>
        </row>
        <row r="1142">
          <cell r="A1142" t="str">
            <v>1.1.1.6.02</v>
          </cell>
          <cell r="B1142" t="str">
            <v>COMERCIAL</v>
          </cell>
          <cell r="C1142" t="str">
            <v>0,00</v>
          </cell>
          <cell r="D1142" t="str">
            <v>0,00</v>
          </cell>
          <cell r="E1142" t="str">
            <v>2.415.205,81</v>
          </cell>
          <cell r="F1142" t="str">
            <v>2.618.989,00</v>
          </cell>
          <cell r="G1142" t="str">
            <v>10.877.887,09</v>
          </cell>
          <cell r="H1142" t="str">
            <v>0,00</v>
          </cell>
          <cell r="I1142">
            <v>10877887.09</v>
          </cell>
          <cell r="J1142">
            <v>-10877887.09</v>
          </cell>
        </row>
        <row r="1143">
          <cell r="A1143" t="str">
            <v>1.1.1.6.02.00001</v>
          </cell>
          <cell r="B1143" t="str">
            <v>MERCADORIAS DE REVENDA</v>
          </cell>
          <cell r="C1143" t="str">
            <v>266.022.777,39</v>
          </cell>
          <cell r="D1143" t="str">
            <v>255.018.862,51</v>
          </cell>
          <cell r="E1143" t="str">
            <v>2.318.074,69</v>
          </cell>
          <cell r="F1143" t="str">
            <v>2.602.634,93</v>
          </cell>
          <cell r="G1143" t="str">
            <v>10.719.354,64</v>
          </cell>
          <cell r="H1143" t="str">
            <v>0,00</v>
          </cell>
          <cell r="I1143">
            <v>10719354.640000001</v>
          </cell>
          <cell r="J1143">
            <v>-10719354.640000001</v>
          </cell>
        </row>
        <row r="1144">
          <cell r="A1144" t="str">
            <v>1.1.1.6.02.00002</v>
          </cell>
          <cell r="B1144" t="str">
            <v>MERCAD. P/ REVENDA EM PODER DE TERCEIROS</v>
          </cell>
          <cell r="C1144" t="str">
            <v>15.287.036,75</v>
          </cell>
          <cell r="D1144" t="str">
            <v>15.209.281,35</v>
          </cell>
          <cell r="E1144" t="str">
            <v>97.131,12</v>
          </cell>
          <cell r="F1144" t="str">
            <v>16.354,07</v>
          </cell>
          <cell r="G1144" t="str">
            <v>158.532,45</v>
          </cell>
          <cell r="H1144" t="str">
            <v>0,00</v>
          </cell>
          <cell r="I1144">
            <v>158532.45000000001</v>
          </cell>
          <cell r="J1144">
            <v>-158532.45000000001</v>
          </cell>
        </row>
        <row r="1145">
          <cell r="A1145" t="str">
            <v>1.1.1.6.90</v>
          </cell>
          <cell r="B1145" t="str">
            <v>TRANSFERENCIA ENTRE ESTABELECIMENTOS</v>
          </cell>
          <cell r="C1145" t="str">
            <v>0,00</v>
          </cell>
          <cell r="D1145" t="str">
            <v>0,00</v>
          </cell>
          <cell r="E1145" t="str">
            <v>1.421.933,05</v>
          </cell>
          <cell r="F1145" t="str">
            <v>1.156.721,06</v>
          </cell>
          <cell r="G1145" t="str">
            <v>383.431,00</v>
          </cell>
          <cell r="H1145" t="str">
            <v>0,00</v>
          </cell>
          <cell r="I1145">
            <v>383431</v>
          </cell>
          <cell r="J1145">
            <v>-383431</v>
          </cell>
        </row>
        <row r="1146">
          <cell r="A1146" t="str">
            <v>1.1.1.6.90.00001</v>
          </cell>
          <cell r="B1146" t="str">
            <v>TRANSFERENCIA ENTRE ESTABELECIMENTOS</v>
          </cell>
          <cell r="C1146" t="str">
            <v>123.668.255,81</v>
          </cell>
          <cell r="D1146" t="str">
            <v>123.550.036,80</v>
          </cell>
          <cell r="E1146" t="str">
            <v>1.421.933,05</v>
          </cell>
          <cell r="F1146" t="str">
            <v>1.156.721,06</v>
          </cell>
          <cell r="G1146" t="str">
            <v>383.431,00</v>
          </cell>
          <cell r="H1146" t="str">
            <v>0,00</v>
          </cell>
          <cell r="I1146">
            <v>383431</v>
          </cell>
          <cell r="J1146">
            <v>-383431</v>
          </cell>
        </row>
        <row r="1147">
          <cell r="A1147" t="str">
            <v>1.1.1.7</v>
          </cell>
          <cell r="B1147" t="str">
            <v>ADIANTAMENTOS</v>
          </cell>
          <cell r="C1147" t="str">
            <v>0,00</v>
          </cell>
          <cell r="D1147" t="str">
            <v>0,00</v>
          </cell>
          <cell r="E1147" t="str">
            <v>2.514.879,06</v>
          </cell>
          <cell r="F1147" t="str">
            <v>1.336.348,83</v>
          </cell>
          <cell r="G1147" t="str">
            <v>5.049.705,42</v>
          </cell>
          <cell r="H1147" t="str">
            <v>0,00</v>
          </cell>
          <cell r="I1147">
            <v>5049705.42</v>
          </cell>
          <cell r="J1147">
            <v>-5049705.42</v>
          </cell>
        </row>
        <row r="1148">
          <cell r="A1148" t="str">
            <v>1.1.1.7.01</v>
          </cell>
          <cell r="B1148" t="str">
            <v>ADIANTAMENTOS A FORNECEDORES</v>
          </cell>
          <cell r="C1148" t="str">
            <v>0,00</v>
          </cell>
          <cell r="D1148" t="str">
            <v>0,00</v>
          </cell>
          <cell r="E1148" t="str">
            <v>402.397,00</v>
          </cell>
          <cell r="F1148" t="str">
            <v>172.053,94</v>
          </cell>
          <cell r="G1148" t="str">
            <v>1.056.480,26</v>
          </cell>
          <cell r="H1148" t="str">
            <v>0,00</v>
          </cell>
          <cell r="I1148">
            <v>1056480.26</v>
          </cell>
          <cell r="J1148">
            <v>-1056480.26</v>
          </cell>
        </row>
        <row r="1149">
          <cell r="A1149" t="str">
            <v>1.1.1.7.01.00001</v>
          </cell>
          <cell r="B1149" t="str">
            <v>ADIANTAMENTOS A FORNECEDORES</v>
          </cell>
          <cell r="C1149" t="str">
            <v>29.236.711,36</v>
          </cell>
          <cell r="D1149" t="str">
            <v>28.410.574,16</v>
          </cell>
          <cell r="E1149" t="str">
            <v>402.397,00</v>
          </cell>
          <cell r="F1149" t="str">
            <v>172.053,94</v>
          </cell>
          <cell r="G1149" t="str">
            <v>1.056.480,26</v>
          </cell>
          <cell r="H1149" t="str">
            <v>0,00</v>
          </cell>
          <cell r="I1149">
            <v>1056480.26</v>
          </cell>
          <cell r="J1149">
            <v>-1056480.26</v>
          </cell>
        </row>
        <row r="1150">
          <cell r="A1150" t="str">
            <v>1.1.1.7.02</v>
          </cell>
          <cell r="B1150" t="str">
            <v>ADIANTAMENTOS A DESPACHANTE ADUANEIRO</v>
          </cell>
          <cell r="C1150" t="str">
            <v>0,00</v>
          </cell>
          <cell r="D1150" t="str">
            <v>0,00</v>
          </cell>
          <cell r="E1150" t="str">
            <v>0,00</v>
          </cell>
          <cell r="F1150" t="str">
            <v>0,00</v>
          </cell>
          <cell r="G1150" t="str">
            <v>71.521,27</v>
          </cell>
          <cell r="H1150" t="str">
            <v>0,00</v>
          </cell>
          <cell r="I1150">
            <v>71521.27</v>
          </cell>
          <cell r="J1150">
            <v>-71521.27</v>
          </cell>
        </row>
        <row r="1151">
          <cell r="A1151" t="str">
            <v>1.1.1.7.02.00001</v>
          </cell>
          <cell r="B1151" t="str">
            <v>ADIANTAMENTOS A DESPACHANTE ADUANEIRO</v>
          </cell>
          <cell r="C1151" t="str">
            <v>3.722.625,27</v>
          </cell>
          <cell r="D1151" t="str">
            <v>3.651.104,00</v>
          </cell>
          <cell r="E1151" t="str">
            <v>0,00</v>
          </cell>
          <cell r="F1151" t="str">
            <v>0,00</v>
          </cell>
          <cell r="G1151" t="str">
            <v>71.521,27</v>
          </cell>
          <cell r="H1151" t="str">
            <v>0,00</v>
          </cell>
          <cell r="I1151">
            <v>71521.27</v>
          </cell>
          <cell r="J1151">
            <v>-71521.27</v>
          </cell>
        </row>
        <row r="1152">
          <cell r="A1152" t="str">
            <v>1.1.1.7.03</v>
          </cell>
          <cell r="B1152" t="str">
            <v>ADIANTAMENTOS A FUNCIONARIOS</v>
          </cell>
          <cell r="C1152" t="str">
            <v>0,00</v>
          </cell>
          <cell r="D1152" t="str">
            <v>0,00</v>
          </cell>
          <cell r="E1152" t="str">
            <v>50,84</v>
          </cell>
          <cell r="F1152" t="str">
            <v>426,96</v>
          </cell>
          <cell r="G1152" t="str">
            <v>2.485,00</v>
          </cell>
          <cell r="H1152" t="str">
            <v>0,00</v>
          </cell>
          <cell r="I1152">
            <v>2485</v>
          </cell>
          <cell r="J1152">
            <v>-2485</v>
          </cell>
        </row>
        <row r="1153">
          <cell r="A1153" t="str">
            <v>1.1.1.7.03.00002</v>
          </cell>
          <cell r="B1153" t="str">
            <v>ADIANTAMENTO FUNCIONARIO</v>
          </cell>
          <cell r="C1153" t="str">
            <v>26.761,99</v>
          </cell>
          <cell r="D1153" t="str">
            <v>23.900,87</v>
          </cell>
          <cell r="E1153" t="str">
            <v>50,84</v>
          </cell>
          <cell r="F1153" t="str">
            <v>426,96</v>
          </cell>
          <cell r="G1153" t="str">
            <v>2.485,00</v>
          </cell>
          <cell r="H1153" t="str">
            <v>0,00</v>
          </cell>
          <cell r="I1153">
            <v>2485</v>
          </cell>
          <cell r="J1153">
            <v>-2485</v>
          </cell>
        </row>
        <row r="1154">
          <cell r="A1154" t="str">
            <v>1.1.1.7.04</v>
          </cell>
          <cell r="B1154" t="str">
            <v>ADIANTAMENTO DE VIAGEM</v>
          </cell>
          <cell r="C1154" t="str">
            <v>0,00</v>
          </cell>
          <cell r="D1154" t="str">
            <v>0,00</v>
          </cell>
          <cell r="E1154" t="str">
            <v>5.432,11</v>
          </cell>
          <cell r="F1154" t="str">
            <v>2.000,00</v>
          </cell>
          <cell r="G1154" t="str">
            <v>129.521,75</v>
          </cell>
          <cell r="H1154" t="str">
            <v>0,00</v>
          </cell>
          <cell r="I1154">
            <v>129521.75</v>
          </cell>
          <cell r="J1154">
            <v>-129521.75</v>
          </cell>
        </row>
        <row r="1155">
          <cell r="A1155" t="str">
            <v>1.1.1.7.04.00001</v>
          </cell>
          <cell r="B1155" t="str">
            <v>ADIANTAMENTO DE VIAGEM</v>
          </cell>
          <cell r="C1155" t="str">
            <v>7.883.303,98</v>
          </cell>
          <cell r="D1155" t="str">
            <v>7.757.214,34</v>
          </cell>
          <cell r="E1155" t="str">
            <v>5.432,11</v>
          </cell>
          <cell r="F1155" t="str">
            <v>2.000,00</v>
          </cell>
          <cell r="G1155" t="str">
            <v>129.521,75</v>
          </cell>
          <cell r="H1155" t="str">
            <v>0,00</v>
          </cell>
          <cell r="I1155">
            <v>129521.75</v>
          </cell>
          <cell r="J1155">
            <v>-129521.75</v>
          </cell>
        </row>
        <row r="1156">
          <cell r="A1156" t="str">
            <v>1.1.1.7.05</v>
          </cell>
          <cell r="B1156" t="str">
            <v>ADTO A FORNECEDORES EXTERIOR</v>
          </cell>
          <cell r="C1156" t="str">
            <v>0,00</v>
          </cell>
          <cell r="D1156" t="str">
            <v>0,00</v>
          </cell>
          <cell r="E1156" t="str">
            <v>2.106.999,11</v>
          </cell>
          <cell r="F1156" t="str">
            <v>1.161.867,93</v>
          </cell>
          <cell r="G1156" t="str">
            <v>3.756.918,65</v>
          </cell>
          <cell r="H1156" t="str">
            <v>0,00</v>
          </cell>
          <cell r="I1156">
            <v>3756918.65</v>
          </cell>
          <cell r="J1156">
            <v>-3756918.65</v>
          </cell>
        </row>
        <row r="1157">
          <cell r="A1157" t="str">
            <v>1.1.1.7.05.00004</v>
          </cell>
          <cell r="B1157" t="str">
            <v>YANTAI EDDIE PRECISION</v>
          </cell>
          <cell r="C1157" t="str">
            <v>27.822.030,39</v>
          </cell>
          <cell r="D1157" t="str">
            <v>27.822.030,39</v>
          </cell>
          <cell r="E1157" t="str">
            <v>733.178,57</v>
          </cell>
          <cell r="F1157" t="str">
            <v>732.143,25</v>
          </cell>
          <cell r="G1157" t="str">
            <v>1.035,32</v>
          </cell>
          <cell r="H1157" t="str">
            <v>0,00</v>
          </cell>
          <cell r="I1157">
            <v>1035.32</v>
          </cell>
          <cell r="J1157">
            <v>-1035.32</v>
          </cell>
        </row>
        <row r="1158">
          <cell r="A1158" t="str">
            <v>1.1.1.7.05.00009</v>
          </cell>
          <cell r="B1158" t="str">
            <v>EURO IMPLEMENTOS SL</v>
          </cell>
          <cell r="C1158" t="str">
            <v>153.928,11</v>
          </cell>
          <cell r="D1158" t="str">
            <v>153.928,07</v>
          </cell>
          <cell r="E1158" t="str">
            <v>0,00</v>
          </cell>
          <cell r="F1158" t="str">
            <v>0,00</v>
          </cell>
          <cell r="G1158" t="str">
            <v>0,04</v>
          </cell>
          <cell r="H1158" t="str">
            <v>0,00</v>
          </cell>
          <cell r="I1158">
            <v>0.04</v>
          </cell>
          <cell r="J1158">
            <v>-0.04</v>
          </cell>
        </row>
        <row r="1159">
          <cell r="A1159" t="str">
            <v>1.1.1.7.05.00019</v>
          </cell>
          <cell r="B1159" t="str">
            <v>RUDONG HONGXIN MACHINERY CO LTD</v>
          </cell>
          <cell r="C1159" t="str">
            <v>420.643,01</v>
          </cell>
          <cell r="D1159" t="str">
            <v>420.643,03</v>
          </cell>
          <cell r="E1159" t="str">
            <v>2.536,31</v>
          </cell>
          <cell r="F1159" t="str">
            <v>41,63</v>
          </cell>
          <cell r="G1159" t="str">
            <v>2.494,66</v>
          </cell>
          <cell r="H1159" t="str">
            <v>0,00</v>
          </cell>
          <cell r="I1159">
            <v>2494.66</v>
          </cell>
          <cell r="J1159">
            <v>-2494.66</v>
          </cell>
        </row>
        <row r="1160">
          <cell r="A1160" t="str">
            <v>1.1.1.7.05.000193</v>
          </cell>
          <cell r="B1160" t="str">
            <v>POP UP</v>
          </cell>
          <cell r="C1160" t="str">
            <v>84,06</v>
          </cell>
          <cell r="D1160" t="str">
            <v>0,00</v>
          </cell>
          <cell r="E1160" t="str">
            <v>0,00</v>
          </cell>
          <cell r="F1160" t="str">
            <v>0,00</v>
          </cell>
          <cell r="G1160" t="str">
            <v>84,06</v>
          </cell>
          <cell r="H1160" t="str">
            <v>0,00</v>
          </cell>
          <cell r="I1160">
            <v>84.06</v>
          </cell>
          <cell r="J1160">
            <v>-84.06</v>
          </cell>
        </row>
        <row r="1161">
          <cell r="A1161" t="str">
            <v>1.1.1.7.05.00021</v>
          </cell>
          <cell r="B1161" t="str">
            <v>MINDRILL SYSTEMS AND SOLUTIONS PVT LTD</v>
          </cell>
          <cell r="C1161" t="str">
            <v>1.276.120,96</v>
          </cell>
          <cell r="D1161" t="str">
            <v>1.276.121,02</v>
          </cell>
          <cell r="E1161" t="str">
            <v>0,00</v>
          </cell>
          <cell r="F1161" t="str">
            <v>0,00</v>
          </cell>
          <cell r="G1161" t="str">
            <v>0,00</v>
          </cell>
          <cell r="H1161" t="str">
            <v>0,06</v>
          </cell>
          <cell r="I1161">
            <v>-0.06</v>
          </cell>
          <cell r="J1161">
            <v>0.12</v>
          </cell>
        </row>
        <row r="1162">
          <cell r="A1162" t="str">
            <v>1.1.1.7.05.00025</v>
          </cell>
          <cell r="B1162" t="str">
            <v>G.F. GORDINI SRL</v>
          </cell>
          <cell r="C1162" t="str">
            <v>1.112,83</v>
          </cell>
          <cell r="D1162" t="str">
            <v>1.109,71</v>
          </cell>
          <cell r="E1162" t="str">
            <v>0,00</v>
          </cell>
          <cell r="F1162" t="str">
            <v>0,00</v>
          </cell>
          <cell r="G1162" t="str">
            <v>3,12</v>
          </cell>
          <cell r="H1162" t="str">
            <v>0,00</v>
          </cell>
          <cell r="I1162">
            <v>3.12</v>
          </cell>
          <cell r="J1162">
            <v>-3.12</v>
          </cell>
        </row>
        <row r="1163">
          <cell r="A1163" t="str">
            <v>1.1.1.7.05.00031</v>
          </cell>
          <cell r="B1163" t="str">
            <v>NINGBO EASTPOWER IMPORT &amp; EXPORT CO., LT</v>
          </cell>
          <cell r="C1163" t="str">
            <v>217.719,78</v>
          </cell>
          <cell r="D1163" t="str">
            <v>213.016,86</v>
          </cell>
          <cell r="E1163" t="str">
            <v>111,32</v>
          </cell>
          <cell r="F1163" t="str">
            <v>0,00</v>
          </cell>
          <cell r="G1163" t="str">
            <v>4.814,24</v>
          </cell>
          <cell r="H1163" t="str">
            <v>0,00</v>
          </cell>
          <cell r="I1163">
            <v>4814.24</v>
          </cell>
          <cell r="J1163">
            <v>-4814.24</v>
          </cell>
        </row>
        <row r="1164">
          <cell r="A1164" t="str">
            <v>1.1.1.7.05.00032</v>
          </cell>
          <cell r="B1164" t="str">
            <v>YUEQING ZHICHENG  ELECTRICAL EQUIPMENT C</v>
          </cell>
          <cell r="C1164" t="str">
            <v>278.929,07</v>
          </cell>
          <cell r="D1164" t="str">
            <v>261.781,12</v>
          </cell>
          <cell r="E1164" t="str">
            <v>93,03</v>
          </cell>
          <cell r="F1164" t="str">
            <v>16.935,56</v>
          </cell>
          <cell r="G1164" t="str">
            <v>305,42</v>
          </cell>
          <cell r="H1164" t="str">
            <v>0,00</v>
          </cell>
          <cell r="I1164">
            <v>305.42</v>
          </cell>
          <cell r="J1164">
            <v>-305.42</v>
          </cell>
        </row>
        <row r="1165">
          <cell r="A1165" t="str">
            <v>1.1.1.7.05.00035</v>
          </cell>
          <cell r="B1165" t="str">
            <v>XIAMEN BETOPPER MINING MACHINERY CO., LT</v>
          </cell>
          <cell r="C1165" t="str">
            <v>634.926,89</v>
          </cell>
          <cell r="D1165" t="str">
            <v>634.926,90</v>
          </cell>
          <cell r="E1165" t="str">
            <v>0,00</v>
          </cell>
          <cell r="F1165" t="str">
            <v>0,00</v>
          </cell>
          <cell r="G1165" t="str">
            <v>0,00</v>
          </cell>
          <cell r="H1165" t="str">
            <v>0,01</v>
          </cell>
          <cell r="I1165">
            <v>-0.01</v>
          </cell>
          <cell r="J1165">
            <v>0.02</v>
          </cell>
        </row>
        <row r="1166">
          <cell r="A1166" t="str">
            <v>1.1.1.7.05.00037</v>
          </cell>
          <cell r="B1166" t="str">
            <v>NINGBO OUKERUI CONNECTOR</v>
          </cell>
          <cell r="C1166" t="str">
            <v>374.732,68</v>
          </cell>
          <cell r="D1166" t="str">
            <v>374.732,67</v>
          </cell>
          <cell r="E1166" t="str">
            <v>0,00</v>
          </cell>
          <cell r="F1166" t="str">
            <v>0,00</v>
          </cell>
          <cell r="G1166" t="str">
            <v>0,01</v>
          </cell>
          <cell r="H1166" t="str">
            <v>0,00</v>
          </cell>
          <cell r="I1166">
            <v>0.01</v>
          </cell>
          <cell r="J1166">
            <v>-0.01</v>
          </cell>
        </row>
        <row r="1167">
          <cell r="A1167" t="str">
            <v>1.1.1.7.05.00038</v>
          </cell>
          <cell r="B1167" t="str">
            <v>POPULACE ELECTRONIC CO., LTD</v>
          </cell>
          <cell r="C1167" t="str">
            <v>16.303,68</v>
          </cell>
          <cell r="D1167" t="str">
            <v>16.303,68</v>
          </cell>
          <cell r="E1167" t="str">
            <v>2.101,71</v>
          </cell>
          <cell r="F1167" t="str">
            <v>0,00</v>
          </cell>
          <cell r="G1167" t="str">
            <v>2.101,71</v>
          </cell>
          <cell r="H1167" t="str">
            <v>0,00</v>
          </cell>
          <cell r="I1167">
            <v>2101.71</v>
          </cell>
          <cell r="J1167">
            <v>-2101.71</v>
          </cell>
        </row>
        <row r="1168">
          <cell r="A1168" t="str">
            <v>1.1.1.7.05.00041</v>
          </cell>
          <cell r="B1168" t="str">
            <v>NINGBO XINCHAO AUTOMATIZATION COMPONENT</v>
          </cell>
          <cell r="C1168" t="str">
            <v>119.629,62</v>
          </cell>
          <cell r="D1168" t="str">
            <v>99.370,92</v>
          </cell>
          <cell r="E1168" t="str">
            <v>479,54</v>
          </cell>
          <cell r="F1168" t="str">
            <v>0,00</v>
          </cell>
          <cell r="G1168" t="str">
            <v>20.738,24</v>
          </cell>
          <cell r="H1168" t="str">
            <v>0,00</v>
          </cell>
          <cell r="I1168">
            <v>20738.240000000002</v>
          </cell>
          <cell r="J1168">
            <v>-20738.240000000002</v>
          </cell>
        </row>
        <row r="1169">
          <cell r="A1169" t="str">
            <v>1.1.1.7.05.00043</v>
          </cell>
          <cell r="B1169" t="str">
            <v>NINGBO DIFFER IMP&amp;EXP CO LTD</v>
          </cell>
          <cell r="C1169" t="str">
            <v>234.641,69</v>
          </cell>
          <cell r="D1169" t="str">
            <v>234.641,67</v>
          </cell>
          <cell r="E1169" t="str">
            <v>17.941,82</v>
          </cell>
          <cell r="F1169" t="str">
            <v>25,61</v>
          </cell>
          <cell r="G1169" t="str">
            <v>17.916,23</v>
          </cell>
          <cell r="H1169" t="str">
            <v>0,00</v>
          </cell>
          <cell r="I1169">
            <v>17916.23</v>
          </cell>
          <cell r="J1169">
            <v>-17916.23</v>
          </cell>
        </row>
        <row r="1170">
          <cell r="A1170" t="str">
            <v>1.1.1.7.05.00046</v>
          </cell>
          <cell r="B1170" t="str">
            <v>SICHUAN MACHINERY I/E CORP.</v>
          </cell>
          <cell r="C1170" t="str">
            <v>225.240,39</v>
          </cell>
          <cell r="D1170" t="str">
            <v>200.287,08</v>
          </cell>
          <cell r="E1170" t="str">
            <v>590,66</v>
          </cell>
          <cell r="F1170" t="str">
            <v>0,00</v>
          </cell>
          <cell r="G1170" t="str">
            <v>25.543,97</v>
          </cell>
          <cell r="H1170" t="str">
            <v>0,00</v>
          </cell>
          <cell r="I1170">
            <v>25543.97</v>
          </cell>
          <cell r="J1170">
            <v>-25543.97</v>
          </cell>
        </row>
        <row r="1171">
          <cell r="A1171" t="str">
            <v>1.1.1.7.05.00051</v>
          </cell>
          <cell r="B1171" t="str">
            <v>FOSHAN NANHAI HAIYU ELECTROMECHANICAL IN</v>
          </cell>
          <cell r="C1171" t="str">
            <v>9.319,92</v>
          </cell>
          <cell r="D1171" t="str">
            <v>8.603,87</v>
          </cell>
          <cell r="E1171" t="str">
            <v>879,17</v>
          </cell>
          <cell r="F1171" t="str">
            <v>0,00</v>
          </cell>
          <cell r="G1171" t="str">
            <v>1.595,22</v>
          </cell>
          <cell r="H1171" t="str">
            <v>0,00</v>
          </cell>
          <cell r="I1171">
            <v>1595.22</v>
          </cell>
          <cell r="J1171">
            <v>-1595.22</v>
          </cell>
        </row>
        <row r="1172">
          <cell r="A1172" t="str">
            <v>1.1.1.7.05.00053</v>
          </cell>
          <cell r="B1172" t="str">
            <v>JIANGSU ZHONGYE HYDRAULIC COMPONENT CO.,</v>
          </cell>
          <cell r="C1172" t="str">
            <v>144.067,47</v>
          </cell>
          <cell r="D1172" t="str">
            <v>142.519,97</v>
          </cell>
          <cell r="E1172" t="str">
            <v>31,95</v>
          </cell>
          <cell r="F1172" t="str">
            <v>1.579,36</v>
          </cell>
          <cell r="G1172" t="str">
            <v>0,09</v>
          </cell>
          <cell r="H1172" t="str">
            <v>0,00</v>
          </cell>
          <cell r="I1172">
            <v>0.09</v>
          </cell>
          <cell r="J1172">
            <v>-0.09</v>
          </cell>
        </row>
        <row r="1173">
          <cell r="A1173" t="str">
            <v>1.1.1.7.05.00057</v>
          </cell>
          <cell r="B1173" t="str">
            <v>HANDAN ZHONGYE MACHINERY MANUFACTURE CO.</v>
          </cell>
          <cell r="C1173" t="str">
            <v>2.993.728,17</v>
          </cell>
          <cell r="D1173" t="str">
            <v>2.824.050,27</v>
          </cell>
          <cell r="E1173" t="str">
            <v>141.761,89</v>
          </cell>
          <cell r="F1173" t="str">
            <v>0,00</v>
          </cell>
          <cell r="G1173" t="str">
            <v>311.439,79</v>
          </cell>
          <cell r="H1173" t="str">
            <v>0,00</v>
          </cell>
          <cell r="I1173">
            <v>311439.78999999998</v>
          </cell>
          <cell r="J1173">
            <v>-311439.78999999998</v>
          </cell>
        </row>
        <row r="1174">
          <cell r="A1174" t="str">
            <v>1.1.1.7.05.00058</v>
          </cell>
          <cell r="B1174" t="str">
            <v>XUZHOU FENGHE SLEWING BEARING CO., LTD</v>
          </cell>
          <cell r="C1174" t="str">
            <v>232.693,34</v>
          </cell>
          <cell r="D1174" t="str">
            <v>220.663,12</v>
          </cell>
          <cell r="E1174" t="str">
            <v>284,77</v>
          </cell>
          <cell r="F1174" t="str">
            <v>0,00</v>
          </cell>
          <cell r="G1174" t="str">
            <v>12.314,99</v>
          </cell>
          <cell r="H1174" t="str">
            <v>0,00</v>
          </cell>
          <cell r="I1174">
            <v>12314.99</v>
          </cell>
          <cell r="J1174">
            <v>-12314.99</v>
          </cell>
        </row>
        <row r="1175">
          <cell r="A1175" t="str">
            <v>1.1.1.7.05.00061</v>
          </cell>
          <cell r="B1175" t="str">
            <v>YANTAI HAETE HYDRAULIC MACHINERY CO., LT</v>
          </cell>
          <cell r="C1175" t="str">
            <v>599.870,33</v>
          </cell>
          <cell r="D1175" t="str">
            <v>522.474,48</v>
          </cell>
          <cell r="E1175" t="str">
            <v>1.832,01</v>
          </cell>
          <cell r="F1175" t="str">
            <v>0,00</v>
          </cell>
          <cell r="G1175" t="str">
            <v>79.227,86</v>
          </cell>
          <cell r="H1175" t="str">
            <v>0,00</v>
          </cell>
          <cell r="I1175">
            <v>79227.86</v>
          </cell>
          <cell r="J1175">
            <v>-79227.86</v>
          </cell>
        </row>
        <row r="1176">
          <cell r="A1176" t="str">
            <v>1.1.1.7.05.00066</v>
          </cell>
          <cell r="B1176" t="str">
            <v>ESTI S.R.L</v>
          </cell>
          <cell r="C1176" t="str">
            <v>125.779,33</v>
          </cell>
          <cell r="D1176" t="str">
            <v>125.779,25</v>
          </cell>
          <cell r="E1176" t="str">
            <v>0,00</v>
          </cell>
          <cell r="F1176" t="str">
            <v>0,00</v>
          </cell>
          <cell r="G1176" t="str">
            <v>0,08</v>
          </cell>
          <cell r="H1176" t="str">
            <v>0,00</v>
          </cell>
          <cell r="I1176">
            <v>0.08</v>
          </cell>
          <cell r="J1176">
            <v>-0.08</v>
          </cell>
        </row>
        <row r="1177">
          <cell r="A1177" t="str">
            <v>1.1.1.7.05.00067</v>
          </cell>
          <cell r="B1177" t="str">
            <v>XIAN HEAVEN ABUNDANT MINING EQUIPMENT CO</v>
          </cell>
          <cell r="C1177" t="str">
            <v>121.150,53</v>
          </cell>
          <cell r="D1177" t="str">
            <v>108.002,59</v>
          </cell>
          <cell r="E1177" t="str">
            <v>13.695,50</v>
          </cell>
          <cell r="F1177" t="str">
            <v>13.384,28</v>
          </cell>
          <cell r="G1177" t="str">
            <v>13.459,16</v>
          </cell>
          <cell r="H1177" t="str">
            <v>0,00</v>
          </cell>
          <cell r="I1177">
            <v>13459.16</v>
          </cell>
          <cell r="J1177">
            <v>-13459.16</v>
          </cell>
        </row>
        <row r="1178">
          <cell r="A1178" t="str">
            <v>1.1.1.7.05.00068</v>
          </cell>
          <cell r="B1178" t="str">
            <v>KAISHAN COMPRESSOR (HONGKONG) CO., LIMIT</v>
          </cell>
          <cell r="C1178" t="str">
            <v>15.419.126,11</v>
          </cell>
          <cell r="D1178" t="str">
            <v>14.594.100,23</v>
          </cell>
          <cell r="E1178" t="str">
            <v>386.930,63</v>
          </cell>
          <cell r="F1178" t="str">
            <v>0,00</v>
          </cell>
          <cell r="G1178" t="str">
            <v>1.211.956,51</v>
          </cell>
          <cell r="H1178" t="str">
            <v>0,00</v>
          </cell>
          <cell r="I1178">
            <v>1211956.51</v>
          </cell>
          <cell r="J1178">
            <v>-1211956.51</v>
          </cell>
        </row>
        <row r="1179">
          <cell r="A1179" t="str">
            <v>1.1.1.7.05.00075</v>
          </cell>
          <cell r="B1179" t="str">
            <v>HANGZHOU FIXEDSTAR IMPORT &amp; EXPORT CO.,</v>
          </cell>
          <cell r="C1179" t="str">
            <v>3.077.100,10</v>
          </cell>
          <cell r="D1179" t="str">
            <v>3.033.031,34</v>
          </cell>
          <cell r="E1179" t="str">
            <v>1.043,14</v>
          </cell>
          <cell r="F1179" t="str">
            <v>0,00</v>
          </cell>
          <cell r="G1179" t="str">
            <v>45.111,90</v>
          </cell>
          <cell r="H1179" t="str">
            <v>0,00</v>
          </cell>
          <cell r="I1179">
            <v>45111.9</v>
          </cell>
          <cell r="J1179">
            <v>-45111.9</v>
          </cell>
        </row>
        <row r="1180">
          <cell r="A1180" t="str">
            <v>1.1.1.7.05.00076</v>
          </cell>
          <cell r="B1180" t="str">
            <v>JINAN SHENGLEI BEARING CO.,LTD</v>
          </cell>
          <cell r="C1180" t="str">
            <v>780.543,33</v>
          </cell>
          <cell r="D1180" t="str">
            <v>780.330,94</v>
          </cell>
          <cell r="E1180" t="str">
            <v>5,03</v>
          </cell>
          <cell r="F1180" t="str">
            <v>0,00</v>
          </cell>
          <cell r="G1180" t="str">
            <v>217,42</v>
          </cell>
          <cell r="H1180" t="str">
            <v>0,00</v>
          </cell>
          <cell r="I1180">
            <v>217.42</v>
          </cell>
          <cell r="J1180">
            <v>-217.42</v>
          </cell>
        </row>
        <row r="1181">
          <cell r="A1181" t="str">
            <v>1.1.1.7.05.00077</v>
          </cell>
          <cell r="B1181" t="str">
            <v>WENZHOU GIANT ELEC. APPLIANCES CO., LTD</v>
          </cell>
          <cell r="C1181" t="str">
            <v>54.491,21</v>
          </cell>
          <cell r="D1181" t="str">
            <v>51.679,55</v>
          </cell>
          <cell r="E1181" t="str">
            <v>2.251,08</v>
          </cell>
          <cell r="F1181" t="str">
            <v>0,00</v>
          </cell>
          <cell r="G1181" t="str">
            <v>5.062,74</v>
          </cell>
          <cell r="H1181" t="str">
            <v>0,00</v>
          </cell>
          <cell r="I1181">
            <v>5062.74</v>
          </cell>
          <cell r="J1181">
            <v>-5062.74</v>
          </cell>
        </row>
        <row r="1182">
          <cell r="A1182" t="str">
            <v>1.1.1.7.05.00079</v>
          </cell>
          <cell r="B1182" t="str">
            <v>NINGBO BOWENTE AUTO PARTS CO.,LTD</v>
          </cell>
          <cell r="C1182" t="str">
            <v>81.265,50</v>
          </cell>
          <cell r="D1182" t="str">
            <v>71.707,96</v>
          </cell>
          <cell r="E1182" t="str">
            <v>226,23</v>
          </cell>
          <cell r="F1182" t="str">
            <v>0,00</v>
          </cell>
          <cell r="G1182" t="str">
            <v>9.783,77</v>
          </cell>
          <cell r="H1182" t="str">
            <v>0,00</v>
          </cell>
          <cell r="I1182">
            <v>9783.77</v>
          </cell>
          <cell r="J1182">
            <v>-9783.77</v>
          </cell>
        </row>
        <row r="1183">
          <cell r="A1183" t="str">
            <v>1.1.1.7.05.00082</v>
          </cell>
          <cell r="B1183" t="str">
            <v>GENERAL TECH. GROUP DALIAN MACHINE TOOLS</v>
          </cell>
          <cell r="C1183" t="str">
            <v>767.895,33</v>
          </cell>
          <cell r="D1183" t="str">
            <v>760.512,23</v>
          </cell>
          <cell r="E1183" t="str">
            <v>174,76</v>
          </cell>
          <cell r="F1183" t="str">
            <v>0,00</v>
          </cell>
          <cell r="G1183" t="str">
            <v>7.557,86</v>
          </cell>
          <cell r="H1183" t="str">
            <v>0,00</v>
          </cell>
          <cell r="I1183">
            <v>7557.86</v>
          </cell>
          <cell r="J1183">
            <v>-7557.86</v>
          </cell>
        </row>
        <row r="1184">
          <cell r="A1184" t="str">
            <v>1.1.1.7.05.00085</v>
          </cell>
          <cell r="B1184" t="str">
            <v>ANHUI CHIZHOU HOUSEHOLD MACHINE TOOL CO.</v>
          </cell>
          <cell r="C1184" t="str">
            <v>329.248,63</v>
          </cell>
          <cell r="D1184" t="str">
            <v>321.410,52</v>
          </cell>
          <cell r="E1184" t="str">
            <v>185,54</v>
          </cell>
          <cell r="F1184" t="str">
            <v>0,00</v>
          </cell>
          <cell r="G1184" t="str">
            <v>8.023,65</v>
          </cell>
          <cell r="H1184" t="str">
            <v>0,00</v>
          </cell>
          <cell r="I1184">
            <v>8023.65</v>
          </cell>
          <cell r="J1184">
            <v>-8023.65</v>
          </cell>
        </row>
        <row r="1185">
          <cell r="A1185" t="str">
            <v>1.1.1.7.05.00089</v>
          </cell>
          <cell r="B1185" t="str">
            <v>NINGBO TOSION INTERNATIONAL TRADE CO.,L</v>
          </cell>
          <cell r="C1185" t="str">
            <v>989.260,83</v>
          </cell>
          <cell r="D1185" t="str">
            <v>974.595,85</v>
          </cell>
          <cell r="E1185" t="str">
            <v>263,61</v>
          </cell>
          <cell r="F1185" t="str">
            <v>14.928,62</v>
          </cell>
          <cell r="G1185" t="str">
            <v>0,00</v>
          </cell>
          <cell r="H1185" t="str">
            <v>0,03</v>
          </cell>
          <cell r="I1185">
            <v>-0.03</v>
          </cell>
          <cell r="J1185">
            <v>0.06</v>
          </cell>
        </row>
        <row r="1186">
          <cell r="A1186" t="str">
            <v>1.1.1.7.05.00091</v>
          </cell>
          <cell r="B1186" t="str">
            <v>ALA OFFICINE SPA</v>
          </cell>
          <cell r="C1186" t="str">
            <v>186.663,65</v>
          </cell>
          <cell r="D1186" t="str">
            <v>185.954,91</v>
          </cell>
          <cell r="E1186" t="str">
            <v>0,55</v>
          </cell>
          <cell r="F1186" t="str">
            <v>0,00</v>
          </cell>
          <cell r="G1186" t="str">
            <v>709,29</v>
          </cell>
          <cell r="H1186" t="str">
            <v>0,00</v>
          </cell>
          <cell r="I1186">
            <v>709.29</v>
          </cell>
          <cell r="J1186">
            <v>-709.29</v>
          </cell>
        </row>
        <row r="1187">
          <cell r="A1187" t="str">
            <v>1.1.1.7.05.00096</v>
          </cell>
          <cell r="B1187" t="str">
            <v>SHANDONG MINGDE MACHINERY CO., LTD.</v>
          </cell>
          <cell r="C1187" t="str">
            <v>2.796.006,91</v>
          </cell>
          <cell r="D1187" t="str">
            <v>2.792.467,08</v>
          </cell>
          <cell r="E1187" t="str">
            <v>429.228,76</v>
          </cell>
          <cell r="F1187" t="str">
            <v>1.402,51</v>
          </cell>
          <cell r="G1187" t="str">
            <v>431.366,08</v>
          </cell>
          <cell r="H1187" t="str">
            <v>0,00</v>
          </cell>
          <cell r="I1187">
            <v>431366.08</v>
          </cell>
          <cell r="J1187">
            <v>-431366.08</v>
          </cell>
        </row>
        <row r="1188">
          <cell r="A1188" t="str">
            <v>1.1.1.7.05.00098</v>
          </cell>
          <cell r="B1188" t="str">
            <v>SHANGHAI JINGPENG MACHINERY &amp; EQUIPMENT</v>
          </cell>
          <cell r="C1188" t="str">
            <v>340.414,30</v>
          </cell>
          <cell r="D1188" t="str">
            <v>325.678,49</v>
          </cell>
          <cell r="E1188" t="str">
            <v>348,81</v>
          </cell>
          <cell r="F1188" t="str">
            <v>0,00</v>
          </cell>
          <cell r="G1188" t="str">
            <v>15.084,62</v>
          </cell>
          <cell r="H1188" t="str">
            <v>0,00</v>
          </cell>
          <cell r="I1188">
            <v>15084.62</v>
          </cell>
          <cell r="J1188">
            <v>-15084.62</v>
          </cell>
        </row>
        <row r="1189">
          <cell r="A1189" t="str">
            <v>1.1.1.7.05.00100</v>
          </cell>
          <cell r="B1189" t="str">
            <v>ZHUOLU HIGH PRESSURE VESSEL CO LTD</v>
          </cell>
          <cell r="C1189" t="str">
            <v>90.198,51</v>
          </cell>
          <cell r="D1189" t="str">
            <v>80.299,60</v>
          </cell>
          <cell r="E1189" t="str">
            <v>234,31</v>
          </cell>
          <cell r="F1189" t="str">
            <v>0,00</v>
          </cell>
          <cell r="G1189" t="str">
            <v>10.133,22</v>
          </cell>
          <cell r="H1189" t="str">
            <v>0,00</v>
          </cell>
          <cell r="I1189">
            <v>10133.219999999999</v>
          </cell>
          <cell r="J1189">
            <v>-10133.219999999999</v>
          </cell>
        </row>
        <row r="1190">
          <cell r="A1190" t="str">
            <v>1.1.1.7.05.00101</v>
          </cell>
          <cell r="B1190" t="str">
            <v>ZHEJIANG FANGDUN INSTRUMENT VALVE CO.,LT</v>
          </cell>
          <cell r="C1190" t="str">
            <v>177.744,26</v>
          </cell>
          <cell r="D1190" t="str">
            <v>177.744,27</v>
          </cell>
          <cell r="E1190" t="str">
            <v>0,00</v>
          </cell>
          <cell r="F1190" t="str">
            <v>0,00</v>
          </cell>
          <cell r="G1190" t="str">
            <v>0,00</v>
          </cell>
          <cell r="H1190" t="str">
            <v>0,01</v>
          </cell>
          <cell r="I1190">
            <v>-0.01</v>
          </cell>
          <cell r="J1190">
            <v>0.02</v>
          </cell>
        </row>
        <row r="1191">
          <cell r="A1191" t="str">
            <v>1.1.1.7.05.00103</v>
          </cell>
          <cell r="B1191" t="str">
            <v>OSMAR FERREIRA</v>
          </cell>
          <cell r="C1191" t="str">
            <v>10.731,04</v>
          </cell>
          <cell r="D1191" t="str">
            <v>10.478,84</v>
          </cell>
          <cell r="E1191" t="str">
            <v>0,20</v>
          </cell>
          <cell r="F1191" t="str">
            <v>0,00</v>
          </cell>
          <cell r="G1191" t="str">
            <v>252,40</v>
          </cell>
          <cell r="H1191" t="str">
            <v>0,00</v>
          </cell>
          <cell r="I1191">
            <v>252.4</v>
          </cell>
          <cell r="J1191">
            <v>-252.4</v>
          </cell>
        </row>
        <row r="1192">
          <cell r="A1192" t="str">
            <v>1.1.1.7.05.00104</v>
          </cell>
          <cell r="B1192" t="str">
            <v>JOAO BATISTA DE OLIVEIRA</v>
          </cell>
          <cell r="C1192" t="str">
            <v>12.485,29</v>
          </cell>
          <cell r="D1192" t="str">
            <v>11.205,59</v>
          </cell>
          <cell r="E1192" t="str">
            <v>30,28</v>
          </cell>
          <cell r="F1192" t="str">
            <v>0,00</v>
          </cell>
          <cell r="G1192" t="str">
            <v>1.309,98</v>
          </cell>
          <cell r="H1192" t="str">
            <v>0,00</v>
          </cell>
          <cell r="I1192">
            <v>1309.98</v>
          </cell>
          <cell r="J1192">
            <v>-1309.98</v>
          </cell>
        </row>
        <row r="1193">
          <cell r="A1193" t="str">
            <v>1.1.1.7.05.00116</v>
          </cell>
          <cell r="B1193" t="str">
            <v>WENZHOU LIANZHONG CONNECTOR CO., LTD</v>
          </cell>
          <cell r="C1193" t="str">
            <v>116.001,90</v>
          </cell>
          <cell r="D1193" t="str">
            <v>84.575,81</v>
          </cell>
          <cell r="E1193" t="str">
            <v>648,79</v>
          </cell>
          <cell r="F1193" t="str">
            <v>32.074,90</v>
          </cell>
          <cell r="G1193" t="str">
            <v>0,00</v>
          </cell>
          <cell r="H1193" t="str">
            <v>0,02</v>
          </cell>
          <cell r="I1193">
            <v>-0.02</v>
          </cell>
          <cell r="J1193">
            <v>0.04</v>
          </cell>
        </row>
        <row r="1194">
          <cell r="A1194" t="str">
            <v>1.1.1.7.05.00121</v>
          </cell>
          <cell r="B1194" t="str">
            <v>JIANGXI JARULAN INDUSTRIAL BELT CO.,LTD</v>
          </cell>
          <cell r="C1194" t="str">
            <v>442.615,21</v>
          </cell>
          <cell r="D1194" t="str">
            <v>428.542,86</v>
          </cell>
          <cell r="E1194" t="str">
            <v>187,84</v>
          </cell>
          <cell r="F1194" t="str">
            <v>14.260,18</v>
          </cell>
          <cell r="G1194" t="str">
            <v>0,01</v>
          </cell>
          <cell r="H1194" t="str">
            <v>0,00</v>
          </cell>
          <cell r="I1194">
            <v>0.01</v>
          </cell>
          <cell r="J1194">
            <v>-0.01</v>
          </cell>
        </row>
        <row r="1195">
          <cell r="A1195" t="str">
            <v>1.1.1.7.05.00124</v>
          </cell>
          <cell r="B1195" t="str">
            <v>TAIAN TAIZHUO MACHINERY MANUFACTURING CO</v>
          </cell>
          <cell r="C1195" t="str">
            <v>1.178.359,18</v>
          </cell>
          <cell r="D1195" t="str">
            <v>1.086.027,77</v>
          </cell>
          <cell r="E1195" t="str">
            <v>866,25</v>
          </cell>
          <cell r="F1195" t="str">
            <v>71.411,93</v>
          </cell>
          <cell r="G1195" t="str">
            <v>21.785,73</v>
          </cell>
          <cell r="H1195" t="str">
            <v>0,00</v>
          </cell>
          <cell r="I1195">
            <v>21785.73</v>
          </cell>
          <cell r="J1195">
            <v>-21785.73</v>
          </cell>
        </row>
        <row r="1196">
          <cell r="A1196" t="str">
            <v>1.1.1.7.05.00158</v>
          </cell>
          <cell r="B1196" t="str">
            <v>YANTAI FUSHUN PU PRODUCTS CO., LTD.</v>
          </cell>
          <cell r="C1196" t="str">
            <v>104.604,31</v>
          </cell>
          <cell r="D1196" t="str">
            <v>82.354,04</v>
          </cell>
          <cell r="E1196" t="str">
            <v>526,68</v>
          </cell>
          <cell r="F1196" t="str">
            <v>0,00</v>
          </cell>
          <cell r="G1196" t="str">
            <v>22.776,95</v>
          </cell>
          <cell r="H1196" t="str">
            <v>0,00</v>
          </cell>
          <cell r="I1196">
            <v>22776.95</v>
          </cell>
          <cell r="J1196">
            <v>-22776.95</v>
          </cell>
        </row>
        <row r="1197">
          <cell r="A1197" t="str">
            <v>1.1.1.7.05.00159</v>
          </cell>
          <cell r="B1197" t="str">
            <v>NINGDE CONTEMPORARY ELECTRIC TECHNOLOGY</v>
          </cell>
          <cell r="C1197" t="str">
            <v>4.411.563,52</v>
          </cell>
          <cell r="D1197" t="str">
            <v>3.904.857,07</v>
          </cell>
          <cell r="E1197" t="str">
            <v>227.197,30</v>
          </cell>
          <cell r="F1197" t="str">
            <v>170.447,48</v>
          </cell>
          <cell r="G1197" t="str">
            <v>563.456,27</v>
          </cell>
          <cell r="H1197" t="str">
            <v>0,00</v>
          </cell>
          <cell r="I1197">
            <v>563456.27</v>
          </cell>
          <cell r="J1197">
            <v>-563456.27</v>
          </cell>
        </row>
        <row r="1198">
          <cell r="A1198" t="str">
            <v>1.1.1.7.05.00160</v>
          </cell>
          <cell r="B1198" t="str">
            <v>CHI HARDWARE CORPORATION LIMITED</v>
          </cell>
          <cell r="C1198" t="str">
            <v>3.450,53</v>
          </cell>
          <cell r="D1198" t="str">
            <v>3.450,54</v>
          </cell>
          <cell r="E1198" t="str">
            <v>0,00</v>
          </cell>
          <cell r="F1198" t="str">
            <v>0,00</v>
          </cell>
          <cell r="G1198" t="str">
            <v>0,00</v>
          </cell>
          <cell r="H1198" t="str">
            <v>0,01</v>
          </cell>
          <cell r="I1198">
            <v>-0.01</v>
          </cell>
          <cell r="J1198">
            <v>0.02</v>
          </cell>
        </row>
        <row r="1199">
          <cell r="A1199" t="str">
            <v>1.1.1.7.05.00164</v>
          </cell>
          <cell r="B1199" t="str">
            <v>WONKE ELECTRIC CO.,LTD.</v>
          </cell>
          <cell r="C1199" t="str">
            <v>32.065,80</v>
          </cell>
          <cell r="D1199" t="str">
            <v>32.065,96</v>
          </cell>
          <cell r="E1199" t="str">
            <v>0,00</v>
          </cell>
          <cell r="F1199" t="str">
            <v>0,00</v>
          </cell>
          <cell r="G1199" t="str">
            <v>0,00</v>
          </cell>
          <cell r="H1199" t="str">
            <v>0,16</v>
          </cell>
          <cell r="I1199">
            <v>-0.16</v>
          </cell>
          <cell r="J1199">
            <v>0.32</v>
          </cell>
        </row>
        <row r="1200">
          <cell r="A1200" t="str">
            <v>1.1.1.7.05.00167</v>
          </cell>
          <cell r="B1200" t="str">
            <v>SHANGHAI HENGXIANG OPTICAL ELECTRONICS</v>
          </cell>
          <cell r="C1200" t="str">
            <v>7.931,18</v>
          </cell>
          <cell r="D1200" t="str">
            <v>7.931,19</v>
          </cell>
          <cell r="E1200" t="str">
            <v>0,00</v>
          </cell>
          <cell r="F1200" t="str">
            <v>0,00</v>
          </cell>
          <cell r="G1200" t="str">
            <v>0,00</v>
          </cell>
          <cell r="H1200" t="str">
            <v>0,01</v>
          </cell>
          <cell r="I1200">
            <v>-0.01</v>
          </cell>
          <cell r="J1200">
            <v>0.02</v>
          </cell>
        </row>
        <row r="1201">
          <cell r="A1201" t="str">
            <v>1.1.1.7.05.00169</v>
          </cell>
          <cell r="B1201" t="str">
            <v>DONG GUAN SHI XIN JI TONG CO.,LTD</v>
          </cell>
          <cell r="C1201" t="str">
            <v>17.100,61</v>
          </cell>
          <cell r="D1201" t="str">
            <v>17.100,62</v>
          </cell>
          <cell r="E1201" t="str">
            <v>0,00</v>
          </cell>
          <cell r="F1201" t="str">
            <v>0,00</v>
          </cell>
          <cell r="G1201" t="str">
            <v>0,00</v>
          </cell>
          <cell r="H1201" t="str">
            <v>0,01</v>
          </cell>
          <cell r="I1201">
            <v>-0.01</v>
          </cell>
          <cell r="J1201">
            <v>0.02</v>
          </cell>
        </row>
        <row r="1202">
          <cell r="A1202" t="str">
            <v>1.1.1.7.05.00171</v>
          </cell>
          <cell r="B1202" t="str">
            <v>NORD MACHINERY CO.,LIMITED</v>
          </cell>
          <cell r="C1202" t="str">
            <v>13.501,31</v>
          </cell>
          <cell r="D1202" t="str">
            <v>11.358,40</v>
          </cell>
          <cell r="E1202" t="str">
            <v>50,72</v>
          </cell>
          <cell r="F1202" t="str">
            <v>0,00</v>
          </cell>
          <cell r="G1202" t="str">
            <v>2.193,63</v>
          </cell>
          <cell r="H1202" t="str">
            <v>0,00</v>
          </cell>
          <cell r="I1202">
            <v>2193.63</v>
          </cell>
          <cell r="J1202">
            <v>-2193.63</v>
          </cell>
        </row>
        <row r="1203">
          <cell r="A1203" t="str">
            <v>1.1.1.7.05.00178</v>
          </cell>
          <cell r="B1203" t="str">
            <v>CIXI JVB BEARING CO.,LTD</v>
          </cell>
          <cell r="C1203" t="str">
            <v>63.851,41</v>
          </cell>
          <cell r="D1203" t="str">
            <v>41.348,21</v>
          </cell>
          <cell r="E1203" t="str">
            <v>73.595,20</v>
          </cell>
          <cell r="F1203" t="str">
            <v>0,00</v>
          </cell>
          <cell r="G1203" t="str">
            <v>96.098,40</v>
          </cell>
          <cell r="H1203" t="str">
            <v>0,00</v>
          </cell>
          <cell r="I1203">
            <v>96098.4</v>
          </cell>
          <cell r="J1203">
            <v>-96098.4</v>
          </cell>
        </row>
        <row r="1204">
          <cell r="A1204" t="str">
            <v>1.1.1.7.05.00183</v>
          </cell>
          <cell r="B1204" t="str">
            <v>YANTAI RIMA MACHINERY CO LTD</v>
          </cell>
          <cell r="C1204" t="str">
            <v>4.968,37</v>
          </cell>
          <cell r="D1204" t="str">
            <v>4.968,38</v>
          </cell>
          <cell r="E1204" t="str">
            <v>0,00</v>
          </cell>
          <cell r="F1204" t="str">
            <v>0,00</v>
          </cell>
          <cell r="G1204" t="str">
            <v>0,00</v>
          </cell>
          <cell r="H1204" t="str">
            <v>0,01</v>
          </cell>
          <cell r="I1204">
            <v>-0.01</v>
          </cell>
          <cell r="J1204">
            <v>0.02</v>
          </cell>
        </row>
        <row r="1205">
          <cell r="A1205" t="str">
            <v>1.1.1.7.05.00186</v>
          </cell>
          <cell r="B1205" t="str">
            <v>NINGBO BRIDGES IMPORT E EXPORT CO LTD</v>
          </cell>
          <cell r="C1205" t="str">
            <v>190.629,71</v>
          </cell>
          <cell r="D1205" t="str">
            <v>185.853,98</v>
          </cell>
          <cell r="E1205" t="str">
            <v>113,04</v>
          </cell>
          <cell r="F1205" t="str">
            <v>0,00</v>
          </cell>
          <cell r="G1205" t="str">
            <v>4.888,77</v>
          </cell>
          <cell r="H1205" t="str">
            <v>0,00</v>
          </cell>
          <cell r="I1205">
            <v>4888.7700000000004</v>
          </cell>
          <cell r="J1205">
            <v>-4888.7700000000004</v>
          </cell>
        </row>
        <row r="1206">
          <cell r="A1206" t="str">
            <v>1.1.1.7.05.00188</v>
          </cell>
          <cell r="B1206" t="str">
            <v>ZHONGHAI TRANSMISSION TECHNOLOGY  GUANGZ</v>
          </cell>
          <cell r="C1206" t="str">
            <v>2.601,11</v>
          </cell>
          <cell r="D1206" t="str">
            <v>2.601,12</v>
          </cell>
          <cell r="E1206" t="str">
            <v>0,00</v>
          </cell>
          <cell r="F1206" t="str">
            <v>0,00</v>
          </cell>
          <cell r="G1206" t="str">
            <v>0,00</v>
          </cell>
          <cell r="H1206" t="str">
            <v>0,01</v>
          </cell>
          <cell r="I1206">
            <v>-0.01</v>
          </cell>
          <cell r="J1206">
            <v>0.02</v>
          </cell>
        </row>
        <row r="1207">
          <cell r="A1207" t="str">
            <v>1.1.1.7.05.00193</v>
          </cell>
          <cell r="B1207" t="str">
            <v>HXH-GLOBAL COMPANY LIMITED</v>
          </cell>
          <cell r="C1207" t="str">
            <v>10.783,00</v>
          </cell>
          <cell r="D1207" t="str">
            <v>4.558,97</v>
          </cell>
          <cell r="E1207" t="str">
            <v>17,11</v>
          </cell>
          <cell r="F1207" t="str">
            <v>6.206,92</v>
          </cell>
          <cell r="G1207" t="str">
            <v>34,22</v>
          </cell>
          <cell r="H1207" t="str">
            <v>0,00</v>
          </cell>
          <cell r="I1207">
            <v>34.22</v>
          </cell>
          <cell r="J1207">
            <v>-34.22</v>
          </cell>
        </row>
        <row r="1208">
          <cell r="A1208" t="str">
            <v>1.1.1.7.05.00197</v>
          </cell>
          <cell r="B1208" t="str">
            <v>JINAN TIANCHEN LASERTECHNOLOGY</v>
          </cell>
          <cell r="C1208" t="str">
            <v>254.634,19</v>
          </cell>
          <cell r="D1208" t="str">
            <v>254.634,20</v>
          </cell>
          <cell r="E1208" t="str">
            <v>0,00</v>
          </cell>
          <cell r="F1208" t="str">
            <v>0,00</v>
          </cell>
          <cell r="G1208" t="str">
            <v>0,00</v>
          </cell>
          <cell r="H1208" t="str">
            <v>0,01</v>
          </cell>
          <cell r="I1208">
            <v>-0.01</v>
          </cell>
          <cell r="J1208">
            <v>0.02</v>
          </cell>
        </row>
        <row r="1209">
          <cell r="A1209" t="str">
            <v>1.1.1.7.05.00200</v>
          </cell>
          <cell r="B1209" t="str">
            <v>SHANDONG ROADWAY CONSTRUCTION MACHINERY</v>
          </cell>
          <cell r="C1209" t="str">
            <v>1.078.529,91</v>
          </cell>
          <cell r="D1209" t="str">
            <v>552.581,96</v>
          </cell>
          <cell r="E1209" t="str">
            <v>12.449,52</v>
          </cell>
          <cell r="F1209" t="str">
            <v>0,00</v>
          </cell>
          <cell r="G1209" t="str">
            <v>538.397,47</v>
          </cell>
          <cell r="H1209" t="str">
            <v>0,00</v>
          </cell>
          <cell r="I1209">
            <v>538397.47</v>
          </cell>
          <cell r="J1209">
            <v>-538397.47</v>
          </cell>
        </row>
        <row r="1210">
          <cell r="A1210" t="str">
            <v>1.1.1.7.05.00202</v>
          </cell>
          <cell r="B1210" t="str">
            <v>HANGZHOU YIDING TRANSMISSION MACHINERY C</v>
          </cell>
          <cell r="C1210" t="str">
            <v>297.033,01</v>
          </cell>
          <cell r="D1210" t="str">
            <v>223.570,03</v>
          </cell>
          <cell r="E1210" t="str">
            <v>28.557,32</v>
          </cell>
          <cell r="F1210" t="str">
            <v>74.802,35</v>
          </cell>
          <cell r="G1210" t="str">
            <v>27.217,95</v>
          </cell>
          <cell r="H1210" t="str">
            <v>0,00</v>
          </cell>
          <cell r="I1210">
            <v>27217.95</v>
          </cell>
          <cell r="J1210">
            <v>-27217.95</v>
          </cell>
        </row>
        <row r="1211">
          <cell r="A1211" t="str">
            <v>1.1.1.7.05.00203</v>
          </cell>
          <cell r="B1211" t="str">
            <v>YANTAI DONGHONG CONSTRUCTION MACHINERY CO., LTD</v>
          </cell>
          <cell r="C1211" t="str">
            <v>133.171,84</v>
          </cell>
          <cell r="D1211" t="str">
            <v>99.391,74</v>
          </cell>
          <cell r="E1211" t="str">
            <v>799,60</v>
          </cell>
          <cell r="F1211" t="str">
            <v>0,00</v>
          </cell>
          <cell r="G1211" t="str">
            <v>34.579,70</v>
          </cell>
          <cell r="H1211" t="str">
            <v>0,00</v>
          </cell>
          <cell r="I1211">
            <v>34579.699999999997</v>
          </cell>
          <cell r="J1211">
            <v>-34579.699999999997</v>
          </cell>
        </row>
        <row r="1212">
          <cell r="A1212" t="str">
            <v>1.1.1.7.05.00204</v>
          </cell>
          <cell r="B1212" t="str">
            <v>CHUEN CHARNG CO LTD</v>
          </cell>
          <cell r="C1212" t="str">
            <v>2.108,62</v>
          </cell>
          <cell r="D1212" t="str">
            <v>1.754,64</v>
          </cell>
          <cell r="E1212" t="str">
            <v>8,38</v>
          </cell>
          <cell r="F1212" t="str">
            <v>0,00</v>
          </cell>
          <cell r="G1212" t="str">
            <v>362,36</v>
          </cell>
          <cell r="H1212" t="str">
            <v>0,00</v>
          </cell>
          <cell r="I1212">
            <v>362.36</v>
          </cell>
          <cell r="J1212">
            <v>-362.36</v>
          </cell>
        </row>
        <row r="1213">
          <cell r="A1213" t="str">
            <v>1.1.1.7.05.00205</v>
          </cell>
          <cell r="B1213" t="str">
            <v>DCH RADIO LIMITED COMPANY</v>
          </cell>
          <cell r="C1213" t="str">
            <v>36.674,98</v>
          </cell>
          <cell r="D1213" t="str">
            <v>32.781,18</v>
          </cell>
          <cell r="E1213" t="str">
            <v>92,17</v>
          </cell>
          <cell r="F1213" t="str">
            <v>0,00</v>
          </cell>
          <cell r="G1213" t="str">
            <v>3.985,97</v>
          </cell>
          <cell r="H1213" t="str">
            <v>0,00</v>
          </cell>
          <cell r="I1213">
            <v>3985.97</v>
          </cell>
          <cell r="J1213">
            <v>-3985.97</v>
          </cell>
        </row>
        <row r="1214">
          <cell r="A1214" t="str">
            <v>1.1.1.7.05.00207</v>
          </cell>
          <cell r="B1214" t="str">
            <v>JIA HAO TECHNOLOGY CO., LTD.</v>
          </cell>
          <cell r="C1214" t="str">
            <v>8.534,92</v>
          </cell>
          <cell r="D1214" t="str">
            <v>2.355,90</v>
          </cell>
          <cell r="E1214" t="str">
            <v>9.331,52</v>
          </cell>
          <cell r="F1214" t="str">
            <v>4.172,77</v>
          </cell>
          <cell r="G1214" t="str">
            <v>11.337,77</v>
          </cell>
          <cell r="H1214" t="str">
            <v>0,00</v>
          </cell>
          <cell r="I1214">
            <v>11337.77</v>
          </cell>
          <cell r="J1214">
            <v>-11337.77</v>
          </cell>
        </row>
        <row r="1215">
          <cell r="A1215" t="str">
            <v>1.1.1.7.05.00208</v>
          </cell>
          <cell r="B1215" t="str">
            <v>JINING JINJIA HYDRAULIC CO., LTD</v>
          </cell>
          <cell r="C1215" t="str">
            <v>347.209,07</v>
          </cell>
          <cell r="D1215" t="str">
            <v>217.130,43</v>
          </cell>
          <cell r="E1215" t="str">
            <v>15.075,81</v>
          </cell>
          <cell r="F1215" t="str">
            <v>0,00</v>
          </cell>
          <cell r="G1215" t="str">
            <v>145.154,45</v>
          </cell>
          <cell r="H1215" t="str">
            <v>0,00</v>
          </cell>
          <cell r="I1215">
            <v>145154.45000000001</v>
          </cell>
          <cell r="J1215">
            <v>-145154.45000000001</v>
          </cell>
        </row>
        <row r="1216">
          <cell r="A1216" t="str">
            <v>1.1.1.7.05.00209</v>
          </cell>
          <cell r="B1216" t="str">
            <v>YUEQING TIANEN ELECTRIC FACTORY</v>
          </cell>
          <cell r="C1216" t="str">
            <v>3.801,96</v>
          </cell>
          <cell r="D1216" t="str">
            <v>186,28</v>
          </cell>
          <cell r="E1216" t="str">
            <v>85,59</v>
          </cell>
          <cell r="F1216" t="str">
            <v>0,00</v>
          </cell>
          <cell r="G1216" t="str">
            <v>3.701,27</v>
          </cell>
          <cell r="H1216" t="str">
            <v>0,00</v>
          </cell>
          <cell r="I1216">
            <v>3701.27</v>
          </cell>
          <cell r="J1216">
            <v>-3701.27</v>
          </cell>
        </row>
        <row r="1217">
          <cell r="A1217" t="str">
            <v>1.1.1.7.05.00210</v>
          </cell>
          <cell r="B1217" t="str">
            <v>GUANGDONG SHANGKUN INDUSTRIAL TECHNOLOGY</v>
          </cell>
          <cell r="C1217" t="str">
            <v>9.845,22</v>
          </cell>
          <cell r="D1217" t="str">
            <v>1.794,45</v>
          </cell>
          <cell r="E1217" t="str">
            <v>0,00</v>
          </cell>
          <cell r="F1217" t="str">
            <v>8.050,58</v>
          </cell>
          <cell r="G1217" t="str">
            <v>0,19</v>
          </cell>
          <cell r="H1217" t="str">
            <v>0,00</v>
          </cell>
          <cell r="I1217">
            <v>0.19</v>
          </cell>
          <cell r="J1217">
            <v>-0.19</v>
          </cell>
        </row>
        <row r="1218">
          <cell r="A1218" t="str">
            <v>1.1.1.7.05.00211</v>
          </cell>
          <cell r="B1218" t="str">
            <v>HENGFENG WELDING</v>
          </cell>
          <cell r="C1218" t="str">
            <v>42.906,43</v>
          </cell>
          <cell r="D1218" t="str">
            <v>2.557,28</v>
          </cell>
          <cell r="E1218" t="str">
            <v>955,09</v>
          </cell>
          <cell r="F1218" t="str">
            <v>0,00</v>
          </cell>
          <cell r="G1218" t="str">
            <v>41.304,24</v>
          </cell>
          <cell r="H1218" t="str">
            <v>0,00</v>
          </cell>
          <cell r="I1218">
            <v>41304.239999999998</v>
          </cell>
          <cell r="J1218">
            <v>-41304.239999999998</v>
          </cell>
        </row>
        <row r="1219">
          <cell r="A1219" t="str">
            <v>1.1.1.7.07</v>
          </cell>
          <cell r="B1219" t="str">
            <v>COMPRA - ENTREGA FUTURA</v>
          </cell>
          <cell r="C1219" t="str">
            <v>0,00</v>
          </cell>
          <cell r="D1219" t="str">
            <v>0,00</v>
          </cell>
          <cell r="E1219" t="str">
            <v>0,00</v>
          </cell>
          <cell r="F1219" t="str">
            <v>0,00</v>
          </cell>
          <cell r="G1219" t="str">
            <v>30.652,81</v>
          </cell>
          <cell r="H1219" t="str">
            <v>0,00</v>
          </cell>
          <cell r="I1219">
            <v>30652.81</v>
          </cell>
          <cell r="J1219">
            <v>-30652.81</v>
          </cell>
        </row>
        <row r="1220">
          <cell r="A1220" t="str">
            <v>1.1.1.7.07.00001</v>
          </cell>
          <cell r="B1220" t="str">
            <v>FORNECEDOR - COMPRA P/ ENTREGA FUTURA</v>
          </cell>
          <cell r="C1220" t="str">
            <v>200.351,91</v>
          </cell>
          <cell r="D1220" t="str">
            <v>169.699,10</v>
          </cell>
          <cell r="E1220" t="str">
            <v>0,00</v>
          </cell>
          <cell r="F1220" t="str">
            <v>0,00</v>
          </cell>
          <cell r="G1220" t="str">
            <v>30.652,81</v>
          </cell>
          <cell r="H1220" t="str">
            <v>0,00</v>
          </cell>
          <cell r="I1220">
            <v>30652.81</v>
          </cell>
          <cell r="J1220">
            <v>-30652.81</v>
          </cell>
        </row>
        <row r="1221">
          <cell r="A1221" t="str">
            <v>1.1.1.7.08</v>
          </cell>
          <cell r="B1221" t="str">
            <v>PROGRAMA - AGF APOIO AO EMPREENDEDOR</v>
          </cell>
          <cell r="C1221" t="str">
            <v>0,00</v>
          </cell>
          <cell r="D1221" t="str">
            <v>0,00</v>
          </cell>
          <cell r="E1221" t="str">
            <v>0,00</v>
          </cell>
          <cell r="F1221" t="str">
            <v>0,00</v>
          </cell>
          <cell r="G1221" t="str">
            <v>2.125,68</v>
          </cell>
          <cell r="H1221" t="str">
            <v>0,00</v>
          </cell>
          <cell r="I1221">
            <v>2125.6799999999998</v>
          </cell>
          <cell r="J1221">
            <v>-2125.6799999999998</v>
          </cell>
        </row>
        <row r="1222">
          <cell r="A1222" t="str">
            <v>1.1.1.7.08.000001</v>
          </cell>
          <cell r="B1222" t="str">
            <v>LILIANE CAMILO DE LIMA - DL PANIFICACOE</v>
          </cell>
          <cell r="C1222" t="str">
            <v>17.000,00</v>
          </cell>
          <cell r="D1222" t="str">
            <v>14.874,32</v>
          </cell>
          <cell r="E1222" t="str">
            <v>0,00</v>
          </cell>
          <cell r="F1222" t="str">
            <v>0,00</v>
          </cell>
          <cell r="G1222" t="str">
            <v>2.125,68</v>
          </cell>
          <cell r="H1222" t="str">
            <v>0,00</v>
          </cell>
          <cell r="I1222">
            <v>2125.6799999999998</v>
          </cell>
          <cell r="J1222">
            <v>-2125.6799999999998</v>
          </cell>
        </row>
        <row r="1223">
          <cell r="A1223" t="str">
            <v>1.1.1.8</v>
          </cell>
          <cell r="B1223" t="str">
            <v>OUTROS RECEBIVEIS</v>
          </cell>
          <cell r="C1223" t="str">
            <v>0,00</v>
          </cell>
          <cell r="D1223" t="str">
            <v>0,00</v>
          </cell>
          <cell r="E1223" t="str">
            <v>0,00</v>
          </cell>
          <cell r="F1223" t="str">
            <v>0,00</v>
          </cell>
          <cell r="G1223" t="str">
            <v>11.880,18</v>
          </cell>
          <cell r="H1223" t="str">
            <v>0,00</v>
          </cell>
          <cell r="I1223">
            <v>11880.18</v>
          </cell>
          <cell r="J1223">
            <v>-11880.18</v>
          </cell>
        </row>
        <row r="1224">
          <cell r="A1224" t="str">
            <v>1.1.1.8.01</v>
          </cell>
          <cell r="B1224" t="str">
            <v>OUTROS RECEBIVEIS</v>
          </cell>
          <cell r="C1224" t="str">
            <v>0,00</v>
          </cell>
          <cell r="D1224" t="str">
            <v>0,00</v>
          </cell>
          <cell r="E1224" t="str">
            <v>0,00</v>
          </cell>
          <cell r="F1224" t="str">
            <v>0,00</v>
          </cell>
          <cell r="G1224" t="str">
            <v>11.880,18</v>
          </cell>
          <cell r="H1224" t="str">
            <v>0,00</v>
          </cell>
          <cell r="I1224">
            <v>11880.18</v>
          </cell>
          <cell r="J1224">
            <v>-11880.18</v>
          </cell>
        </row>
        <row r="1225">
          <cell r="A1225" t="str">
            <v>1.1.1.8.01.00003</v>
          </cell>
          <cell r="B1225" t="str">
            <v>VALORES A CLASSIFICAR</v>
          </cell>
          <cell r="C1225" t="str">
            <v>32.167,66</v>
          </cell>
          <cell r="D1225" t="str">
            <v>20.287,48</v>
          </cell>
          <cell r="E1225" t="str">
            <v>0,00</v>
          </cell>
          <cell r="F1225" t="str">
            <v>0,00</v>
          </cell>
          <cell r="G1225" t="str">
            <v>11.880,18</v>
          </cell>
          <cell r="H1225" t="str">
            <v>0,00</v>
          </cell>
          <cell r="I1225">
            <v>11880.18</v>
          </cell>
          <cell r="J1225">
            <v>-11880.18</v>
          </cell>
        </row>
        <row r="1226">
          <cell r="A1226" t="str">
            <v>1.1.1.9</v>
          </cell>
          <cell r="B1226" t="str">
            <v>DESPESAS EXERCICIO SEGUINTE</v>
          </cell>
          <cell r="C1226" t="str">
            <v>0,00</v>
          </cell>
          <cell r="D1226" t="str">
            <v>0,00</v>
          </cell>
          <cell r="E1226" t="str">
            <v>73.039,22</v>
          </cell>
          <cell r="F1226" t="str">
            <v>165.331,36</v>
          </cell>
          <cell r="G1226" t="str">
            <v>1.998.642,50</v>
          </cell>
          <cell r="H1226" t="str">
            <v>0,00</v>
          </cell>
          <cell r="I1226">
            <v>1998642.5</v>
          </cell>
          <cell r="J1226">
            <v>-1998642.5</v>
          </cell>
        </row>
        <row r="1227">
          <cell r="A1227" t="str">
            <v>1.1.1.9.01</v>
          </cell>
          <cell r="B1227" t="str">
            <v>DESPESAS ANTECIPADAS</v>
          </cell>
          <cell r="C1227" t="str">
            <v>0,00</v>
          </cell>
          <cell r="D1227" t="str">
            <v>0,00</v>
          </cell>
          <cell r="E1227" t="str">
            <v>73.039,22</v>
          </cell>
          <cell r="F1227" t="str">
            <v>165.331,36</v>
          </cell>
          <cell r="G1227" t="str">
            <v>1.998.642,50</v>
          </cell>
          <cell r="H1227" t="str">
            <v>0,00</v>
          </cell>
          <cell r="I1227">
            <v>1998642.5</v>
          </cell>
          <cell r="J1227">
            <v>-1998642.5</v>
          </cell>
        </row>
        <row r="1228">
          <cell r="A1228" t="str">
            <v>1.1.1.9.01.00001</v>
          </cell>
          <cell r="B1228" t="str">
            <v>SEGUROS</v>
          </cell>
          <cell r="C1228" t="str">
            <v>85.155,22</v>
          </cell>
          <cell r="D1228" t="str">
            <v>93.292,47</v>
          </cell>
          <cell r="E1228" t="str">
            <v>0,00</v>
          </cell>
          <cell r="F1228" t="str">
            <v>1.531,89</v>
          </cell>
          <cell r="G1228" t="str">
            <v>0,00</v>
          </cell>
          <cell r="H1228" t="str">
            <v>9.669,14</v>
          </cell>
          <cell r="I1228">
            <v>-9669.14</v>
          </cell>
          <cell r="J1228">
            <v>19338.28</v>
          </cell>
        </row>
        <row r="1229">
          <cell r="A1229" t="str">
            <v>1.1.1.9.01.00002</v>
          </cell>
          <cell r="B1229" t="str">
            <v>IPVA</v>
          </cell>
          <cell r="C1229" t="str">
            <v>344.778,23</v>
          </cell>
          <cell r="D1229" t="str">
            <v>290.172,11</v>
          </cell>
          <cell r="E1229" t="str">
            <v>0,00</v>
          </cell>
          <cell r="F1229" t="str">
            <v>4.367,26</v>
          </cell>
          <cell r="G1229" t="str">
            <v>50.238,86</v>
          </cell>
          <cell r="H1229" t="str">
            <v>0,00</v>
          </cell>
          <cell r="I1229">
            <v>50238.86</v>
          </cell>
          <cell r="J1229">
            <v>-50238.86</v>
          </cell>
        </row>
        <row r="1230">
          <cell r="A1230" t="str">
            <v>1.1.1.9.01.00003</v>
          </cell>
          <cell r="B1230" t="str">
            <v>ENCARGOS FINANCEIROS A TRANSCORRER</v>
          </cell>
          <cell r="C1230" t="str">
            <v>6.843.278,57</v>
          </cell>
          <cell r="D1230" t="str">
            <v>4.798.812,80</v>
          </cell>
          <cell r="E1230" t="str">
            <v>73.039,22</v>
          </cell>
          <cell r="F1230" t="str">
            <v>159.432,21</v>
          </cell>
          <cell r="G1230" t="str">
            <v>1.958.072,78</v>
          </cell>
          <cell r="H1230" t="str">
            <v>0,00</v>
          </cell>
          <cell r="I1230">
            <v>1958072.78</v>
          </cell>
          <cell r="J1230">
            <v>-1958072.78</v>
          </cell>
        </row>
        <row r="1231">
          <cell r="A1231" t="str">
            <v>1.3</v>
          </cell>
          <cell r="B1231" t="str">
            <v>NAO CIRCULANTE</v>
          </cell>
          <cell r="C1231" t="str">
            <v>0,00</v>
          </cell>
          <cell r="D1231" t="str">
            <v>0,00</v>
          </cell>
          <cell r="E1231" t="str">
            <v>116.114,73</v>
          </cell>
          <cell r="F1231" t="str">
            <v>243.402,98</v>
          </cell>
          <cell r="G1231" t="str">
            <v>15.160.892,49</v>
          </cell>
          <cell r="H1231" t="str">
            <v>0,00</v>
          </cell>
          <cell r="I1231">
            <v>15160892.49</v>
          </cell>
          <cell r="J1231">
            <v>-15160892.49</v>
          </cell>
        </row>
        <row r="1232">
          <cell r="A1232" t="str">
            <v>1.3.1</v>
          </cell>
          <cell r="B1232" t="str">
            <v>REALIZAVEL A LONGO PRAZO</v>
          </cell>
          <cell r="C1232" t="str">
            <v>0,00</v>
          </cell>
          <cell r="D1232" t="str">
            <v>0,00</v>
          </cell>
          <cell r="E1232" t="str">
            <v>0,00</v>
          </cell>
          <cell r="F1232" t="str">
            <v>0,00</v>
          </cell>
          <cell r="G1232" t="str">
            <v>3.203.302,51</v>
          </cell>
          <cell r="H1232" t="str">
            <v>0,00</v>
          </cell>
          <cell r="I1232">
            <v>3203302.51</v>
          </cell>
          <cell r="J1232">
            <v>-3203302.51</v>
          </cell>
        </row>
        <row r="1233">
          <cell r="A1233" t="str">
            <v>1.3.1.1</v>
          </cell>
          <cell r="B1233" t="str">
            <v>DEPOSITOS E CAUCOES</v>
          </cell>
          <cell r="C1233" t="str">
            <v>0,00</v>
          </cell>
          <cell r="D1233" t="str">
            <v>0,00</v>
          </cell>
          <cell r="E1233" t="str">
            <v>0,00</v>
          </cell>
          <cell r="F1233" t="str">
            <v>0,00</v>
          </cell>
          <cell r="G1233" t="str">
            <v>63.741,69</v>
          </cell>
          <cell r="H1233" t="str">
            <v>0,00</v>
          </cell>
          <cell r="I1233">
            <v>63741.69</v>
          </cell>
          <cell r="J1233">
            <v>-63741.69</v>
          </cell>
        </row>
        <row r="1234">
          <cell r="A1234" t="str">
            <v>1.3.1.1.01</v>
          </cell>
          <cell r="B1234" t="str">
            <v>DEPOSITOS JUDICIAIS</v>
          </cell>
          <cell r="C1234" t="str">
            <v>0,00</v>
          </cell>
          <cell r="D1234" t="str">
            <v>0,00</v>
          </cell>
          <cell r="E1234" t="str">
            <v>0,00</v>
          </cell>
          <cell r="F1234" t="str">
            <v>0,00</v>
          </cell>
          <cell r="G1234" t="str">
            <v>63.741,69</v>
          </cell>
          <cell r="H1234" t="str">
            <v>0,00</v>
          </cell>
          <cell r="I1234">
            <v>63741.69</v>
          </cell>
          <cell r="J1234">
            <v>-63741.69</v>
          </cell>
        </row>
        <row r="1235">
          <cell r="A1235" t="str">
            <v>1.3.1.1.01.00003</v>
          </cell>
          <cell r="B1235" t="str">
            <v>DEPOSITO JUDICIAL VIVO</v>
          </cell>
          <cell r="C1235" t="str">
            <v>46.886,19</v>
          </cell>
          <cell r="D1235" t="str">
            <v>0,00</v>
          </cell>
          <cell r="E1235" t="str">
            <v>0,00</v>
          </cell>
          <cell r="F1235" t="str">
            <v>0,00</v>
          </cell>
          <cell r="G1235" t="str">
            <v>46.886,19</v>
          </cell>
          <cell r="H1235" t="str">
            <v>0,00</v>
          </cell>
          <cell r="I1235">
            <v>46886.19</v>
          </cell>
          <cell r="J1235">
            <v>-46886.19</v>
          </cell>
        </row>
        <row r="1236">
          <cell r="A1236" t="str">
            <v>1.3.1.1.01.00004</v>
          </cell>
          <cell r="B1236" t="str">
            <v>DEPOSITO ADMINISTRATIVO</v>
          </cell>
          <cell r="C1236" t="str">
            <v>16.855,50</v>
          </cell>
          <cell r="D1236" t="str">
            <v>0,00</v>
          </cell>
          <cell r="E1236" t="str">
            <v>0,00</v>
          </cell>
          <cell r="F1236" t="str">
            <v>0,00</v>
          </cell>
          <cell r="G1236" t="str">
            <v>16.855,50</v>
          </cell>
          <cell r="H1236" t="str">
            <v>0,00</v>
          </cell>
          <cell r="I1236">
            <v>16855.5</v>
          </cell>
          <cell r="J1236">
            <v>-16855.5</v>
          </cell>
        </row>
        <row r="1237">
          <cell r="A1237" t="str">
            <v>1.3.1.3</v>
          </cell>
          <cell r="B1237" t="str">
            <v>CLIENTES LONGO PRAZO</v>
          </cell>
          <cell r="C1237" t="str">
            <v>0,00</v>
          </cell>
          <cell r="D1237" t="str">
            <v>0,00</v>
          </cell>
          <cell r="E1237" t="str">
            <v>0,00</v>
          </cell>
          <cell r="F1237" t="str">
            <v>0,00</v>
          </cell>
          <cell r="G1237" t="str">
            <v>3.139.560,82</v>
          </cell>
          <cell r="H1237" t="str">
            <v>0,00</v>
          </cell>
          <cell r="I1237">
            <v>3139560.82</v>
          </cell>
          <cell r="J1237">
            <v>-3139560.82</v>
          </cell>
        </row>
        <row r="1238">
          <cell r="A1238" t="str">
            <v>1.3.1.3.01.00001</v>
          </cell>
          <cell r="B1238" t="str">
            <v>AGF PARTICIPACOES</v>
          </cell>
          <cell r="C1238" t="str">
            <v>3.139.560,82</v>
          </cell>
          <cell r="D1238" t="str">
            <v>0,00</v>
          </cell>
          <cell r="E1238" t="str">
            <v>0,00</v>
          </cell>
          <cell r="F1238" t="str">
            <v>0,00</v>
          </cell>
          <cell r="G1238" t="str">
            <v>3.139.560,82</v>
          </cell>
          <cell r="H1238" t="str">
            <v>0,00</v>
          </cell>
          <cell r="I1238">
            <v>3139560.82</v>
          </cell>
          <cell r="J1238">
            <v>-3139560.82</v>
          </cell>
        </row>
        <row r="1239">
          <cell r="A1239" t="str">
            <v>1.3.3</v>
          </cell>
          <cell r="B1239" t="str">
            <v>IMOBILIZADO TECNICO</v>
          </cell>
          <cell r="C1239" t="str">
            <v>0,00</v>
          </cell>
          <cell r="D1239" t="str">
            <v>0,00</v>
          </cell>
          <cell r="E1239" t="str">
            <v>116.114,73</v>
          </cell>
          <cell r="F1239" t="str">
            <v>216.955,48</v>
          </cell>
          <cell r="G1239" t="str">
            <v>11.181.763,35</v>
          </cell>
          <cell r="H1239" t="str">
            <v>0,00</v>
          </cell>
          <cell r="I1239">
            <v>11181763.35</v>
          </cell>
          <cell r="J1239">
            <v>-11181763.35</v>
          </cell>
        </row>
        <row r="1240">
          <cell r="A1240" t="str">
            <v>1.3.3.1</v>
          </cell>
          <cell r="B1240" t="str">
            <v>IMOBILIZADO TECNICO</v>
          </cell>
          <cell r="C1240" t="str">
            <v>0,00</v>
          </cell>
          <cell r="D1240" t="str">
            <v>0,00</v>
          </cell>
          <cell r="E1240" t="str">
            <v>116.114,73</v>
          </cell>
          <cell r="F1240" t="str">
            <v>216.955,48</v>
          </cell>
          <cell r="G1240" t="str">
            <v>11.181.763,35</v>
          </cell>
          <cell r="H1240" t="str">
            <v>0,00</v>
          </cell>
          <cell r="I1240">
            <v>11181763.35</v>
          </cell>
          <cell r="J1240">
            <v>-11181763.35</v>
          </cell>
        </row>
        <row r="1241">
          <cell r="A1241" t="str">
            <v>1.3.3.1.01</v>
          </cell>
          <cell r="B1241" t="str">
            <v>CUSTO</v>
          </cell>
          <cell r="C1241" t="str">
            <v>0,00</v>
          </cell>
          <cell r="D1241" t="str">
            <v>0,00</v>
          </cell>
          <cell r="E1241" t="str">
            <v>116.114,73</v>
          </cell>
          <cell r="F1241" t="str">
            <v>658,60</v>
          </cell>
          <cell r="G1241" t="str">
            <v>19.644.297,61</v>
          </cell>
          <cell r="H1241" t="str">
            <v>0,00</v>
          </cell>
          <cell r="I1241">
            <v>19644297.609999999</v>
          </cell>
          <cell r="J1241">
            <v>-19644297.609999999</v>
          </cell>
        </row>
        <row r="1242">
          <cell r="A1242" t="str">
            <v>1.3.3.1.01.00002</v>
          </cell>
          <cell r="B1242" t="str">
            <v>EDIFICIOS</v>
          </cell>
          <cell r="C1242" t="str">
            <v>344.443,50</v>
          </cell>
          <cell r="D1242" t="str">
            <v>1.898,13</v>
          </cell>
          <cell r="E1242" t="str">
            <v>0,00</v>
          </cell>
          <cell r="F1242" t="str">
            <v>0,00</v>
          </cell>
          <cell r="G1242" t="str">
            <v>342.545,37</v>
          </cell>
          <cell r="H1242" t="str">
            <v>0,00</v>
          </cell>
          <cell r="I1242">
            <v>342545.37</v>
          </cell>
          <cell r="J1242">
            <v>-342545.37</v>
          </cell>
        </row>
        <row r="1243">
          <cell r="A1243" t="str">
            <v>1.3.3.1.01.00003</v>
          </cell>
          <cell r="B1243" t="str">
            <v>MOVEIS E UTENSILIOS</v>
          </cell>
          <cell r="C1243" t="str">
            <v>348.715,68</v>
          </cell>
          <cell r="D1243" t="str">
            <v>31.057,13</v>
          </cell>
          <cell r="E1243" t="str">
            <v>7.409,04</v>
          </cell>
          <cell r="F1243" t="str">
            <v>0,00</v>
          </cell>
          <cell r="G1243" t="str">
            <v>325.067,59</v>
          </cell>
          <cell r="H1243" t="str">
            <v>0,00</v>
          </cell>
          <cell r="I1243">
            <v>325067.59000000003</v>
          </cell>
          <cell r="J1243">
            <v>-325067.59000000003</v>
          </cell>
        </row>
        <row r="1244">
          <cell r="A1244" t="str">
            <v>1.3.3.1.01.00005</v>
          </cell>
          <cell r="B1244" t="str">
            <v>EQUIPAMENTOS DE INFORMATICA</v>
          </cell>
          <cell r="C1244" t="str">
            <v>664.095,87</v>
          </cell>
          <cell r="D1244" t="str">
            <v>2.947,71</v>
          </cell>
          <cell r="E1244" t="str">
            <v>6.365,27</v>
          </cell>
          <cell r="F1244" t="str">
            <v>364,39</v>
          </cell>
          <cell r="G1244" t="str">
            <v>667.149,04</v>
          </cell>
          <cell r="H1244" t="str">
            <v>0,00</v>
          </cell>
          <cell r="I1244">
            <v>667149.04</v>
          </cell>
          <cell r="J1244">
            <v>-667149.04</v>
          </cell>
        </row>
        <row r="1245">
          <cell r="A1245" t="str">
            <v>1.3.3.1.01.00006</v>
          </cell>
          <cell r="B1245" t="str">
            <v>MAQUINAS E EQUIPAMENTOS</v>
          </cell>
          <cell r="C1245" t="str">
            <v>12.346.380,20</v>
          </cell>
          <cell r="D1245" t="str">
            <v>4.786.178,69</v>
          </cell>
          <cell r="E1245" t="str">
            <v>91.119,37</v>
          </cell>
          <cell r="F1245" t="str">
            <v>294,21</v>
          </cell>
          <cell r="G1245" t="str">
            <v>7.651.026,67</v>
          </cell>
          <cell r="H1245" t="str">
            <v>0,00</v>
          </cell>
          <cell r="I1245">
            <v>7651026.6699999999</v>
          </cell>
          <cell r="J1245">
            <v>-7651026.6699999999</v>
          </cell>
        </row>
        <row r="1246">
          <cell r="A1246" t="str">
            <v>1.3.3.1.01.00007</v>
          </cell>
          <cell r="B1246" t="str">
            <v>INSTALACOES</v>
          </cell>
          <cell r="C1246" t="str">
            <v>2.401.485,61</v>
          </cell>
          <cell r="D1246" t="str">
            <v>133.237,81</v>
          </cell>
          <cell r="E1246" t="str">
            <v>3.320,30</v>
          </cell>
          <cell r="F1246" t="str">
            <v>0,00</v>
          </cell>
          <cell r="G1246" t="str">
            <v>2.271.568,10</v>
          </cell>
          <cell r="H1246" t="str">
            <v>0,00</v>
          </cell>
          <cell r="I1246">
            <v>2271568.1</v>
          </cell>
          <cell r="J1246">
            <v>-2271568.1</v>
          </cell>
        </row>
        <row r="1247">
          <cell r="A1247" t="str">
            <v>1.3.3.1.01.00008</v>
          </cell>
          <cell r="B1247" t="str">
            <v>FERRAMENTAS / MOLDES</v>
          </cell>
          <cell r="C1247" t="str">
            <v>1.054.106,41</v>
          </cell>
          <cell r="D1247" t="str">
            <v>59.562,25</v>
          </cell>
          <cell r="E1247" t="str">
            <v>4.900,75</v>
          </cell>
          <cell r="F1247" t="str">
            <v>0,00</v>
          </cell>
          <cell r="G1247" t="str">
            <v>999.444,91</v>
          </cell>
          <cell r="H1247" t="str">
            <v>0,00</v>
          </cell>
          <cell r="I1247">
            <v>999444.91</v>
          </cell>
          <cell r="J1247">
            <v>-999444.91</v>
          </cell>
        </row>
        <row r="1248">
          <cell r="A1248" t="str">
            <v>1.3.3.1.01.00009</v>
          </cell>
          <cell r="B1248" t="str">
            <v>VEICULOS</v>
          </cell>
          <cell r="C1248" t="str">
            <v>8.807.229,60</v>
          </cell>
          <cell r="D1248" t="str">
            <v>1.840.522,98</v>
          </cell>
          <cell r="E1248" t="str">
            <v>0,00</v>
          </cell>
          <cell r="F1248" t="str">
            <v>0,00</v>
          </cell>
          <cell r="G1248" t="str">
            <v>6.966.706,62</v>
          </cell>
          <cell r="H1248" t="str">
            <v>0,00</v>
          </cell>
          <cell r="I1248">
            <v>6966706.6200000001</v>
          </cell>
          <cell r="J1248">
            <v>-6966706.6200000001</v>
          </cell>
        </row>
        <row r="1249">
          <cell r="A1249" t="str">
            <v>1.3.3.1.01.00010</v>
          </cell>
          <cell r="B1249" t="str">
            <v>APARELHOS DE TELEFONIA</v>
          </cell>
          <cell r="C1249" t="str">
            <v>16.350,23</v>
          </cell>
          <cell r="D1249" t="str">
            <v>5.928,43</v>
          </cell>
          <cell r="E1249" t="str">
            <v>0,00</v>
          </cell>
          <cell r="F1249" t="str">
            <v>0,00</v>
          </cell>
          <cell r="G1249" t="str">
            <v>10.421,80</v>
          </cell>
          <cell r="H1249" t="str">
            <v>0,00</v>
          </cell>
          <cell r="I1249">
            <v>10421.799999999999</v>
          </cell>
          <cell r="J1249">
            <v>-10421.799999999999</v>
          </cell>
        </row>
        <row r="1250">
          <cell r="A1250" t="str">
            <v>1.3.3.1.01.00012</v>
          </cell>
          <cell r="B1250" t="str">
            <v>BENFEITORIAS EM IMOVEIS DE TERCEIROS</v>
          </cell>
          <cell r="C1250" t="str">
            <v>884.590,12</v>
          </cell>
          <cell r="D1250" t="str">
            <v>477.222,61</v>
          </cell>
          <cell r="E1250" t="str">
            <v>3.000,00</v>
          </cell>
          <cell r="F1250" t="str">
            <v>0,00</v>
          </cell>
          <cell r="G1250" t="str">
            <v>410.367,51</v>
          </cell>
          <cell r="H1250" t="str">
            <v>0,00</v>
          </cell>
          <cell r="I1250">
            <v>410367.51</v>
          </cell>
          <cell r="J1250">
            <v>-410367.51</v>
          </cell>
        </row>
        <row r="1251">
          <cell r="A1251" t="str">
            <v>1.3.3.1.99</v>
          </cell>
          <cell r="B1251" t="str">
            <v>DEPRECIACAO/AMORTIZACAO ACUMULADA</v>
          </cell>
          <cell r="C1251" t="str">
            <v>0,00</v>
          </cell>
          <cell r="D1251" t="str">
            <v>0,00</v>
          </cell>
          <cell r="E1251" t="str">
            <v>0,00</v>
          </cell>
          <cell r="F1251" t="str">
            <v>216.296,88</v>
          </cell>
          <cell r="G1251" t="str">
            <v>0,00</v>
          </cell>
          <cell r="H1251" t="str">
            <v>8.462.534,26</v>
          </cell>
          <cell r="I1251">
            <v>-8462534.2599999998</v>
          </cell>
          <cell r="J1251">
            <v>16925068.52</v>
          </cell>
        </row>
        <row r="1252">
          <cell r="A1252" t="str">
            <v>1.3.3.1.99.00002</v>
          </cell>
          <cell r="B1252" t="str">
            <v>EDIFICIOS</v>
          </cell>
          <cell r="C1252" t="str">
            <v>0,11</v>
          </cell>
          <cell r="D1252" t="str">
            <v>88.862,74</v>
          </cell>
          <cell r="E1252" t="str">
            <v>0,00</v>
          </cell>
          <cell r="F1252" t="str">
            <v>1.141,82</v>
          </cell>
          <cell r="G1252" t="str">
            <v>0,00</v>
          </cell>
          <cell r="H1252" t="str">
            <v>90.004,45</v>
          </cell>
          <cell r="I1252">
            <v>-90004.45</v>
          </cell>
          <cell r="J1252">
            <v>180008.9</v>
          </cell>
        </row>
        <row r="1253">
          <cell r="A1253" t="str">
            <v>1.3.3.1.99.00003</v>
          </cell>
          <cell r="B1253" t="str">
            <v>MOVEIS E UTENSILIOS</v>
          </cell>
          <cell r="C1253" t="str">
            <v>2.552,41</v>
          </cell>
          <cell r="D1253" t="str">
            <v>168.196,99</v>
          </cell>
          <cell r="E1253" t="str">
            <v>0,00</v>
          </cell>
          <cell r="F1253" t="str">
            <v>1.973,74</v>
          </cell>
          <cell r="G1253" t="str">
            <v>0,00</v>
          </cell>
          <cell r="H1253" t="str">
            <v>167.618,32</v>
          </cell>
          <cell r="I1253">
            <v>-167618.32</v>
          </cell>
          <cell r="J1253">
            <v>335236.64</v>
          </cell>
        </row>
        <row r="1254">
          <cell r="A1254" t="str">
            <v>1.3.3.1.99.00005</v>
          </cell>
          <cell r="B1254" t="str">
            <v>EQUIPAMENTOS DE INFORMATICA</v>
          </cell>
          <cell r="C1254" t="str">
            <v>14.895,29</v>
          </cell>
          <cell r="D1254" t="str">
            <v>476.321,83</v>
          </cell>
          <cell r="E1254" t="str">
            <v>0,00</v>
          </cell>
          <cell r="F1254" t="str">
            <v>7.200,78</v>
          </cell>
          <cell r="G1254" t="str">
            <v>0,00</v>
          </cell>
          <cell r="H1254" t="str">
            <v>468.627,32</v>
          </cell>
          <cell r="I1254">
            <v>-468627.32</v>
          </cell>
          <cell r="J1254">
            <v>937254.64</v>
          </cell>
        </row>
        <row r="1255">
          <cell r="A1255" t="str">
            <v>1.3.3.1.99.00006</v>
          </cell>
          <cell r="B1255" t="str">
            <v>MAQUINAS E EQUIPAMENTOS</v>
          </cell>
          <cell r="C1255" t="str">
            <v>2.422.561,43</v>
          </cell>
          <cell r="D1255" t="str">
            <v>5.317.391,87</v>
          </cell>
          <cell r="E1255" t="str">
            <v>0,00</v>
          </cell>
          <cell r="F1255" t="str">
            <v>67.044,79</v>
          </cell>
          <cell r="G1255" t="str">
            <v>0,00</v>
          </cell>
          <cell r="H1255" t="str">
            <v>2.961.875,23</v>
          </cell>
          <cell r="I1255">
            <v>-2961875.23</v>
          </cell>
          <cell r="J1255">
            <v>5923750.46</v>
          </cell>
        </row>
        <row r="1256">
          <cell r="A1256" t="str">
            <v>1.3.3.1.99.00007</v>
          </cell>
          <cell r="B1256" t="str">
            <v>INSTALACOES</v>
          </cell>
          <cell r="C1256" t="str">
            <v>58.454,15</v>
          </cell>
          <cell r="D1256" t="str">
            <v>1.037.223,13</v>
          </cell>
          <cell r="E1256" t="str">
            <v>0,00</v>
          </cell>
          <cell r="F1256" t="str">
            <v>18.897,51</v>
          </cell>
          <cell r="G1256" t="str">
            <v>0,00</v>
          </cell>
          <cell r="H1256" t="str">
            <v>997.666,49</v>
          </cell>
          <cell r="I1256">
            <v>-997666.49</v>
          </cell>
          <cell r="J1256">
            <v>1995332.98</v>
          </cell>
        </row>
        <row r="1257">
          <cell r="A1257" t="str">
            <v>1.3.3.1.99.00008</v>
          </cell>
          <cell r="B1257" t="str">
            <v>FERRAMENTAS / MOLDES</v>
          </cell>
          <cell r="C1257" t="str">
            <v>651,12</v>
          </cell>
          <cell r="D1257" t="str">
            <v>313.041,09</v>
          </cell>
          <cell r="E1257" t="str">
            <v>0,00</v>
          </cell>
          <cell r="F1257" t="str">
            <v>8.197,23</v>
          </cell>
          <cell r="G1257" t="str">
            <v>0,00</v>
          </cell>
          <cell r="H1257" t="str">
            <v>320.587,20</v>
          </cell>
          <cell r="I1257">
            <v>-320587.2</v>
          </cell>
          <cell r="J1257">
            <v>641174.4</v>
          </cell>
        </row>
        <row r="1258">
          <cell r="A1258" t="str">
            <v>1.3.3.1.99.00009</v>
          </cell>
          <cell r="B1258" t="str">
            <v>VEICULOS</v>
          </cell>
          <cell r="C1258" t="str">
            <v>1.042.947,52</v>
          </cell>
          <cell r="D1258" t="str">
            <v>4.294.079,32</v>
          </cell>
          <cell r="E1258" t="str">
            <v>0,00</v>
          </cell>
          <cell r="F1258" t="str">
            <v>108.414,75</v>
          </cell>
          <cell r="G1258" t="str">
            <v>0,00</v>
          </cell>
          <cell r="H1258" t="str">
            <v>3.359.546,55</v>
          </cell>
          <cell r="I1258">
            <v>-3359546.55</v>
          </cell>
          <cell r="J1258">
            <v>6719093.0999999996</v>
          </cell>
        </row>
        <row r="1259">
          <cell r="A1259" t="str">
            <v>1.3.3.1.99.00010</v>
          </cell>
          <cell r="B1259" t="str">
            <v>APARELHOS DE TELEFONIA</v>
          </cell>
          <cell r="C1259" t="str">
            <v>2.958,27</v>
          </cell>
          <cell r="D1259" t="str">
            <v>12.707,49</v>
          </cell>
          <cell r="E1259" t="str">
            <v>0,00</v>
          </cell>
          <cell r="F1259" t="str">
            <v>31,53</v>
          </cell>
          <cell r="G1259" t="str">
            <v>0,00</v>
          </cell>
          <cell r="H1259" t="str">
            <v>9.780,75</v>
          </cell>
          <cell r="I1259">
            <v>-9780.75</v>
          </cell>
          <cell r="J1259">
            <v>19561.5</v>
          </cell>
        </row>
        <row r="1260">
          <cell r="A1260" t="str">
            <v>1.3.3.1.99.00012</v>
          </cell>
          <cell r="B1260" t="str">
            <v>BENFEITORIAS EM IMOVEIS DE TERCEIROS</v>
          </cell>
          <cell r="C1260" t="str">
            <v>7.755,18</v>
          </cell>
          <cell r="D1260" t="str">
            <v>91.188,40</v>
          </cell>
          <cell r="E1260" t="str">
            <v>0,00</v>
          </cell>
          <cell r="F1260" t="str">
            <v>3.394,73</v>
          </cell>
          <cell r="G1260" t="str">
            <v>0,00</v>
          </cell>
          <cell r="H1260" t="str">
            <v>86.827,95</v>
          </cell>
          <cell r="I1260">
            <v>-86827.95</v>
          </cell>
          <cell r="J1260">
            <v>173655.9</v>
          </cell>
        </row>
        <row r="1261">
          <cell r="A1261" t="str">
            <v>1.3.4</v>
          </cell>
          <cell r="B1261" t="str">
            <v>INTANGIVEL</v>
          </cell>
          <cell r="C1261" t="str">
            <v>0,00</v>
          </cell>
          <cell r="D1261" t="str">
            <v>0,00</v>
          </cell>
          <cell r="E1261" t="str">
            <v>0,00</v>
          </cell>
          <cell r="F1261" t="str">
            <v>26.447,50</v>
          </cell>
          <cell r="G1261" t="str">
            <v>775.826,63</v>
          </cell>
          <cell r="H1261" t="str">
            <v>0,00</v>
          </cell>
          <cell r="I1261">
            <v>775826.63</v>
          </cell>
          <cell r="J1261">
            <v>-775826.63</v>
          </cell>
        </row>
        <row r="1262">
          <cell r="A1262" t="str">
            <v>1.3.4.1</v>
          </cell>
          <cell r="B1262" t="str">
            <v>INTANGIVEL</v>
          </cell>
          <cell r="C1262" t="str">
            <v>0,00</v>
          </cell>
          <cell r="D1262" t="str">
            <v>0,00</v>
          </cell>
          <cell r="E1262" t="str">
            <v>0,00</v>
          </cell>
          <cell r="F1262" t="str">
            <v>26.447,50</v>
          </cell>
          <cell r="G1262" t="str">
            <v>775.826,63</v>
          </cell>
          <cell r="H1262" t="str">
            <v>0,00</v>
          </cell>
          <cell r="I1262">
            <v>775826.63</v>
          </cell>
          <cell r="J1262">
            <v>-775826.63</v>
          </cell>
        </row>
        <row r="1263">
          <cell r="A1263" t="str">
            <v>1.3.4.1.01</v>
          </cell>
          <cell r="B1263" t="str">
            <v>INTANGIVEL</v>
          </cell>
          <cell r="C1263" t="str">
            <v>0,00</v>
          </cell>
          <cell r="D1263" t="str">
            <v>0,00</v>
          </cell>
          <cell r="E1263" t="str">
            <v>0,00</v>
          </cell>
          <cell r="F1263" t="str">
            <v>0,00</v>
          </cell>
          <cell r="G1263" t="str">
            <v>2.090.679,41</v>
          </cell>
          <cell r="H1263" t="str">
            <v>0,00</v>
          </cell>
          <cell r="I1263">
            <v>2090679.41</v>
          </cell>
          <cell r="J1263">
            <v>-2090679.41</v>
          </cell>
        </row>
        <row r="1264">
          <cell r="A1264" t="str">
            <v>1.3.4.1.01.00001</v>
          </cell>
          <cell r="B1264" t="str">
            <v>DIREITO USO SOFTWARE</v>
          </cell>
          <cell r="C1264" t="str">
            <v>724.405,81</v>
          </cell>
          <cell r="D1264" t="str">
            <v>81,40</v>
          </cell>
          <cell r="E1264" t="str">
            <v>0,00</v>
          </cell>
          <cell r="F1264" t="str">
            <v>0,00</v>
          </cell>
          <cell r="G1264" t="str">
            <v>724.324,41</v>
          </cell>
          <cell r="H1264" t="str">
            <v>0,00</v>
          </cell>
          <cell r="I1264">
            <v>724324.41</v>
          </cell>
          <cell r="J1264">
            <v>-724324.41</v>
          </cell>
        </row>
        <row r="1265">
          <cell r="A1265" t="str">
            <v>1.3.4.1.01.00002</v>
          </cell>
          <cell r="B1265" t="str">
            <v>MARCAS E PATENTES</v>
          </cell>
          <cell r="C1265" t="str">
            <v>355,00</v>
          </cell>
          <cell r="D1265" t="str">
            <v>0,00</v>
          </cell>
          <cell r="E1265" t="str">
            <v>0,00</v>
          </cell>
          <cell r="F1265" t="str">
            <v>0,00</v>
          </cell>
          <cell r="G1265" t="str">
            <v>355,00</v>
          </cell>
          <cell r="H1265" t="str">
            <v>0,00</v>
          </cell>
          <cell r="I1265">
            <v>355</v>
          </cell>
          <cell r="J1265">
            <v>-355</v>
          </cell>
        </row>
        <row r="1266">
          <cell r="A1266" t="str">
            <v>1.3.4.1.01.00003</v>
          </cell>
          <cell r="B1266" t="str">
            <v>PAGINAS DE INTERNET / SITES</v>
          </cell>
          <cell r="C1266" t="str">
            <v>6.000,00</v>
          </cell>
          <cell r="D1266" t="str">
            <v>0,00</v>
          </cell>
          <cell r="E1266" t="str">
            <v>0,00</v>
          </cell>
          <cell r="F1266" t="str">
            <v>0,00</v>
          </cell>
          <cell r="G1266" t="str">
            <v>6.000,00</v>
          </cell>
          <cell r="H1266" t="str">
            <v>0,00</v>
          </cell>
          <cell r="I1266">
            <v>6000</v>
          </cell>
          <cell r="J1266">
            <v>-6000</v>
          </cell>
        </row>
        <row r="1267">
          <cell r="A1267" t="str">
            <v>1.3.4.1.01.00004</v>
          </cell>
          <cell r="B1267" t="str">
            <v>MODELOS, PROJETOS E PROTOTIPOS</v>
          </cell>
          <cell r="C1267" t="str">
            <v>1.360.000,00</v>
          </cell>
          <cell r="D1267" t="str">
            <v>0,00</v>
          </cell>
          <cell r="E1267" t="str">
            <v>0,00</v>
          </cell>
          <cell r="F1267" t="str">
            <v>0,00</v>
          </cell>
          <cell r="G1267" t="str">
            <v>1.360.000,00</v>
          </cell>
          <cell r="H1267" t="str">
            <v>0,00</v>
          </cell>
          <cell r="I1267">
            <v>1360000</v>
          </cell>
          <cell r="J1267">
            <v>-1360000</v>
          </cell>
        </row>
        <row r="1268">
          <cell r="A1268" t="str">
            <v>1.3.4.1.99</v>
          </cell>
          <cell r="B1268" t="str">
            <v>AMORTIZACAO ACUMULADA</v>
          </cell>
          <cell r="C1268" t="str">
            <v>0,00</v>
          </cell>
          <cell r="D1268" t="str">
            <v>0,00</v>
          </cell>
          <cell r="E1268" t="str">
            <v>0,00</v>
          </cell>
          <cell r="F1268" t="str">
            <v>26.447,50</v>
          </cell>
          <cell r="G1268" t="str">
            <v>0,00</v>
          </cell>
          <cell r="H1268" t="str">
            <v>1.314.852,78</v>
          </cell>
          <cell r="I1268">
            <v>-1314852.78</v>
          </cell>
          <cell r="J1268">
            <v>2629705.56</v>
          </cell>
        </row>
        <row r="1269">
          <cell r="A1269" t="str">
            <v>1.3.4.1.99.00001</v>
          </cell>
          <cell r="B1269" t="str">
            <v>DIREITO USO SOFTWARE</v>
          </cell>
          <cell r="C1269" t="str">
            <v>6.012,16</v>
          </cell>
          <cell r="D1269" t="str">
            <v>457.417,44</v>
          </cell>
          <cell r="E1269" t="str">
            <v>0,00</v>
          </cell>
          <cell r="F1269" t="str">
            <v>8.780,83</v>
          </cell>
          <cell r="G1269" t="str">
            <v>0,00</v>
          </cell>
          <cell r="H1269" t="str">
            <v>460.186,11</v>
          </cell>
          <cell r="I1269">
            <v>-460186.11</v>
          </cell>
          <cell r="J1269">
            <v>920372.22</v>
          </cell>
        </row>
        <row r="1270">
          <cell r="A1270" t="str">
            <v>1.3.4.1.99.00004</v>
          </cell>
          <cell r="B1270" t="str">
            <v>MODELOS, PROJETOS E PROTOTIPOS</v>
          </cell>
          <cell r="C1270" t="str">
            <v>0,00</v>
          </cell>
          <cell r="D1270" t="str">
            <v>837.000,00</v>
          </cell>
          <cell r="E1270" t="str">
            <v>0,00</v>
          </cell>
          <cell r="F1270" t="str">
            <v>17.666,67</v>
          </cell>
          <cell r="G1270" t="str">
            <v>0,00</v>
          </cell>
          <cell r="H1270" t="str">
            <v>854.666,67</v>
          </cell>
          <cell r="I1270">
            <v>-854666.67</v>
          </cell>
          <cell r="J1270">
            <v>1709333.34</v>
          </cell>
        </row>
        <row r="1271">
          <cell r="A1271" t="str">
            <v>2</v>
          </cell>
          <cell r="B1271" t="str">
            <v>PASSIVO</v>
          </cell>
          <cell r="C1271" t="str">
            <v>0,00</v>
          </cell>
          <cell r="D1271" t="str">
            <v>0,00</v>
          </cell>
          <cell r="E1271" t="str">
            <v>19.898.390,93</v>
          </cell>
          <cell r="F1271" t="str">
            <v>19.627.253,80</v>
          </cell>
          <cell r="G1271" t="str">
            <v>0,00</v>
          </cell>
          <cell r="H1271" t="str">
            <v>122.792.642,26</v>
          </cell>
          <cell r="I1271">
            <v>122792642.26000001</v>
          </cell>
          <cell r="J1271" t="str">
            <v>VERIFICAR</v>
          </cell>
        </row>
        <row r="1272">
          <cell r="A1272" t="str">
            <v>2.1</v>
          </cell>
          <cell r="B1272" t="str">
            <v>CIRCULANTE</v>
          </cell>
          <cell r="C1272" t="str">
            <v>0,00</v>
          </cell>
          <cell r="D1272" t="str">
            <v>0,00</v>
          </cell>
          <cell r="E1272" t="str">
            <v>18.415.413,72</v>
          </cell>
          <cell r="F1272" t="str">
            <v>19.418.278,63</v>
          </cell>
          <cell r="G1272" t="str">
            <v>0,00</v>
          </cell>
          <cell r="H1272" t="str">
            <v>36.326.125,23</v>
          </cell>
          <cell r="I1272">
            <v>36326125.229999997</v>
          </cell>
          <cell r="J1272" t="str">
            <v>VERIFICAR</v>
          </cell>
        </row>
        <row r="1273">
          <cell r="A1273" t="str">
            <v>2.1.1</v>
          </cell>
          <cell r="B1273" t="str">
            <v>CIRCULANTE</v>
          </cell>
          <cell r="C1273" t="str">
            <v>0,00</v>
          </cell>
          <cell r="D1273" t="str">
            <v>0,00</v>
          </cell>
          <cell r="E1273" t="str">
            <v>18.415.413,72</v>
          </cell>
          <cell r="F1273" t="str">
            <v>19.418.278,63</v>
          </cell>
          <cell r="G1273" t="str">
            <v>0,00</v>
          </cell>
          <cell r="H1273" t="str">
            <v>36.326.125,23</v>
          </cell>
          <cell r="I1273">
            <v>36326125.229999997</v>
          </cell>
          <cell r="J1273" t="str">
            <v>VERIFICAR</v>
          </cell>
        </row>
        <row r="1274">
          <cell r="A1274" t="str">
            <v>2.1.1.1</v>
          </cell>
          <cell r="B1274" t="str">
            <v>FORNECEDORES</v>
          </cell>
          <cell r="C1274" t="str">
            <v>0,00</v>
          </cell>
          <cell r="D1274" t="str">
            <v>0,00</v>
          </cell>
          <cell r="E1274" t="str">
            <v>9.138.586,98</v>
          </cell>
          <cell r="F1274" t="str">
            <v>8.799.108,98</v>
          </cell>
          <cell r="G1274" t="str">
            <v>0,00</v>
          </cell>
          <cell r="H1274" t="str">
            <v>6.429.926,08</v>
          </cell>
          <cell r="I1274">
            <v>6429926.0800000001</v>
          </cell>
          <cell r="J1274" t="str">
            <v>VERIFICAR</v>
          </cell>
        </row>
        <row r="1275">
          <cell r="A1275" t="str">
            <v>2.1.1.1.01</v>
          </cell>
          <cell r="B1275" t="str">
            <v>FORNECEDORES NACIONAIS</v>
          </cell>
          <cell r="C1275" t="str">
            <v>0,00</v>
          </cell>
          <cell r="D1275" t="str">
            <v>0,00</v>
          </cell>
          <cell r="E1275" t="str">
            <v>7.435.398,69</v>
          </cell>
          <cell r="F1275" t="str">
            <v>7.210.793,28</v>
          </cell>
          <cell r="G1275" t="str">
            <v>0,00</v>
          </cell>
          <cell r="H1275" t="str">
            <v>6.030.791,05</v>
          </cell>
          <cell r="I1275">
            <v>6030791.0499999998</v>
          </cell>
          <cell r="J1275" t="str">
            <v>VERIFICAR</v>
          </cell>
        </row>
        <row r="1276">
          <cell r="A1276" t="str">
            <v>2.1.1.1.01.000015</v>
          </cell>
          <cell r="B1276" t="str">
            <v>ALEXANDRE FERNANDES DE SOUZA</v>
          </cell>
          <cell r="C1276" t="str">
            <v>369.140,61</v>
          </cell>
          <cell r="D1276" t="str">
            <v>369.140,61</v>
          </cell>
          <cell r="E1276" t="str">
            <v>8.184,10</v>
          </cell>
          <cell r="F1276" t="str">
            <v>8.184,10</v>
          </cell>
          <cell r="G1276" t="str">
            <v>0,00</v>
          </cell>
          <cell r="H1276" t="str">
            <v>0,00</v>
          </cell>
          <cell r="I1276">
            <v>0</v>
          </cell>
          <cell r="J1276" t="str">
            <v>VERIFICAR</v>
          </cell>
        </row>
        <row r="1277">
          <cell r="A1277" t="str">
            <v>2.1.1.1.01.000025</v>
          </cell>
          <cell r="B1277" t="str">
            <v>ANDRE GARCIA DE SOUSA FILHO</v>
          </cell>
          <cell r="C1277" t="str">
            <v>210.470,85</v>
          </cell>
          <cell r="D1277" t="str">
            <v>207.269,82</v>
          </cell>
          <cell r="E1277" t="str">
            <v>758,00</v>
          </cell>
          <cell r="F1277" t="str">
            <v>758,00</v>
          </cell>
          <cell r="G1277" t="str">
            <v>3.201,03</v>
          </cell>
          <cell r="H1277" t="str">
            <v>0,00</v>
          </cell>
          <cell r="I1277">
            <v>-3201.03</v>
          </cell>
          <cell r="J1277" t="str">
            <v>VERIFICAR</v>
          </cell>
        </row>
        <row r="1278">
          <cell r="A1278" t="str">
            <v>2.1.1.1.01.000026</v>
          </cell>
          <cell r="B1278" t="str">
            <v>ANHANGUERA COM FERRAMENTAS LTDA</v>
          </cell>
          <cell r="C1278" t="str">
            <v>258.369,05</v>
          </cell>
          <cell r="D1278" t="str">
            <v>259.449,88</v>
          </cell>
          <cell r="E1278" t="str">
            <v>1.080,83</v>
          </cell>
          <cell r="F1278" t="str">
            <v>0,00</v>
          </cell>
          <cell r="G1278" t="str">
            <v>0,00</v>
          </cell>
          <cell r="H1278" t="str">
            <v>0,00</v>
          </cell>
          <cell r="I1278">
            <v>0</v>
          </cell>
          <cell r="J1278" t="str">
            <v>VERIFICAR</v>
          </cell>
        </row>
        <row r="1279">
          <cell r="A1279" t="str">
            <v>2.1.1.1.01.000039</v>
          </cell>
          <cell r="B1279" t="str">
            <v>ASSOCIACAO PAULISTA DO EMPREITEIROS</v>
          </cell>
          <cell r="C1279" t="str">
            <v>58.860,00</v>
          </cell>
          <cell r="D1279" t="str">
            <v>59.280,00</v>
          </cell>
          <cell r="E1279" t="str">
            <v>420,00</v>
          </cell>
          <cell r="F1279" t="str">
            <v>0,00</v>
          </cell>
          <cell r="G1279" t="str">
            <v>0,00</v>
          </cell>
          <cell r="H1279" t="str">
            <v>0,00</v>
          </cell>
          <cell r="I1279">
            <v>0</v>
          </cell>
          <cell r="J1279" t="str">
            <v>VERIFICAR</v>
          </cell>
        </row>
        <row r="1280">
          <cell r="A1280" t="str">
            <v>2.1.1.1.01.000064</v>
          </cell>
          <cell r="B1280" t="str">
            <v>BRASIF S/A EXPORTACAO IMPORTACAO</v>
          </cell>
          <cell r="C1280" t="str">
            <v>1.762.752,94</v>
          </cell>
          <cell r="D1280" t="str">
            <v>1.765.647,96</v>
          </cell>
          <cell r="E1280" t="str">
            <v>4.175,02</v>
          </cell>
          <cell r="F1280" t="str">
            <v>1.280,00</v>
          </cell>
          <cell r="G1280" t="str">
            <v>0,00</v>
          </cell>
          <cell r="H1280" t="str">
            <v>0,00</v>
          </cell>
          <cell r="I1280">
            <v>0</v>
          </cell>
          <cell r="J1280" t="str">
            <v>VERIFICAR</v>
          </cell>
        </row>
        <row r="1281">
          <cell r="A1281" t="str">
            <v>2.1.1.1.01.000081</v>
          </cell>
          <cell r="B1281" t="str">
            <v>CARTAO DE CREDITO MASTER CARD</v>
          </cell>
          <cell r="C1281" t="str">
            <v>1.656.986,31</v>
          </cell>
          <cell r="D1281" t="str">
            <v>1.610.388,95</v>
          </cell>
          <cell r="E1281" t="str">
            <v>46.692,05</v>
          </cell>
          <cell r="F1281" t="str">
            <v>46.692,05</v>
          </cell>
          <cell r="G1281" t="str">
            <v>46.597,36</v>
          </cell>
          <cell r="H1281" t="str">
            <v>0,00</v>
          </cell>
          <cell r="I1281">
            <v>-46597.36</v>
          </cell>
          <cell r="J1281" t="str">
            <v>VERIFICAR</v>
          </cell>
        </row>
        <row r="1282">
          <cell r="A1282" t="str">
            <v>2.1.1.1.01.000090</v>
          </cell>
          <cell r="B1282" t="str">
            <v>CENTRO DE GESTAO DE MEIOS DE PAGTO SA</v>
          </cell>
          <cell r="C1282" t="str">
            <v>1.009.730,39</v>
          </cell>
          <cell r="D1282" t="str">
            <v>1.009.730,39</v>
          </cell>
          <cell r="E1282" t="str">
            <v>21.041,65</v>
          </cell>
          <cell r="F1282" t="str">
            <v>21.041,65</v>
          </cell>
          <cell r="G1282" t="str">
            <v>0,00</v>
          </cell>
          <cell r="H1282" t="str">
            <v>0,00</v>
          </cell>
          <cell r="I1282">
            <v>0</v>
          </cell>
          <cell r="J1282" t="str">
            <v>VERIFICAR</v>
          </cell>
        </row>
        <row r="1283">
          <cell r="A1283" t="str">
            <v>2.1.1.1.01.000108</v>
          </cell>
          <cell r="B1283" t="str">
            <v>COMPANHIA PAULISTA DE FORCA E LUZ</v>
          </cell>
          <cell r="C1283" t="str">
            <v>1.871.362,59</v>
          </cell>
          <cell r="D1283" t="str">
            <v>1.871.362,59</v>
          </cell>
          <cell r="E1283" t="str">
            <v>9.422,21</v>
          </cell>
          <cell r="F1283" t="str">
            <v>9.422,21</v>
          </cell>
          <cell r="G1283" t="str">
            <v>0,00</v>
          </cell>
          <cell r="H1283" t="str">
            <v>0,00</v>
          </cell>
          <cell r="I1283">
            <v>0</v>
          </cell>
          <cell r="J1283" t="str">
            <v>VERIFICAR</v>
          </cell>
        </row>
        <row r="1284">
          <cell r="A1284" t="str">
            <v>2.1.1.1.01.000150</v>
          </cell>
          <cell r="B1284" t="str">
            <v>TICKET SOLUCOES HDFGT S/A</v>
          </cell>
          <cell r="C1284" t="str">
            <v>5.373.152,62</v>
          </cell>
          <cell r="D1284" t="str">
            <v>5.373.152,62</v>
          </cell>
          <cell r="E1284" t="str">
            <v>120.900,41</v>
          </cell>
          <cell r="F1284" t="str">
            <v>120.900,41</v>
          </cell>
          <cell r="G1284" t="str">
            <v>0,00</v>
          </cell>
          <cell r="H1284" t="str">
            <v>0,00</v>
          </cell>
          <cell r="I1284">
            <v>0</v>
          </cell>
          <cell r="J1284" t="str">
            <v>VERIFICAR</v>
          </cell>
        </row>
        <row r="1285">
          <cell r="A1285" t="str">
            <v>2.1.1.1.01.000152</v>
          </cell>
          <cell r="B1285" t="str">
            <v>EMPRESA BRASILEI CORREIOS E TELEGRAF</v>
          </cell>
          <cell r="C1285" t="str">
            <v>85.084,21</v>
          </cell>
          <cell r="D1285" t="str">
            <v>85.084,21</v>
          </cell>
          <cell r="E1285" t="str">
            <v>389,59</v>
          </cell>
          <cell r="F1285" t="str">
            <v>389,59</v>
          </cell>
          <cell r="G1285" t="str">
            <v>0,00</v>
          </cell>
          <cell r="H1285" t="str">
            <v>0,00</v>
          </cell>
          <cell r="I1285">
            <v>0</v>
          </cell>
          <cell r="J1285" t="str">
            <v>VERIFICAR</v>
          </cell>
        </row>
        <row r="1286">
          <cell r="A1286" t="str">
            <v>2.1.1.1.01.000176</v>
          </cell>
          <cell r="B1286" t="str">
            <v>FERNANDO FERNANDES DE SOUZA</v>
          </cell>
          <cell r="C1286" t="str">
            <v>490.310,98</v>
          </cell>
          <cell r="D1286" t="str">
            <v>490.310,98</v>
          </cell>
          <cell r="E1286" t="str">
            <v>8.694,15</v>
          </cell>
          <cell r="F1286" t="str">
            <v>8.694,15</v>
          </cell>
          <cell r="G1286" t="str">
            <v>0,00</v>
          </cell>
          <cell r="H1286" t="str">
            <v>0,00</v>
          </cell>
          <cell r="I1286">
            <v>0</v>
          </cell>
          <cell r="J1286" t="str">
            <v>VERIFICAR</v>
          </cell>
        </row>
        <row r="1287">
          <cell r="A1287" t="str">
            <v>2.1.1.1.01.000208</v>
          </cell>
          <cell r="B1287" t="str">
            <v>HANSA FLEX DO BRASIL LTDA</v>
          </cell>
          <cell r="C1287" t="str">
            <v>350.190,84</v>
          </cell>
          <cell r="D1287" t="str">
            <v>350.190,85</v>
          </cell>
          <cell r="E1287" t="str">
            <v>0,00</v>
          </cell>
          <cell r="F1287" t="str">
            <v>0,00</v>
          </cell>
          <cell r="G1287" t="str">
            <v>0,00</v>
          </cell>
          <cell r="H1287" t="str">
            <v>0,01</v>
          </cell>
          <cell r="I1287">
            <v>0.01</v>
          </cell>
          <cell r="J1287" t="str">
            <v>VERIFICAR</v>
          </cell>
        </row>
        <row r="1288">
          <cell r="A1288" t="str">
            <v>2.1.1.1.01.000230</v>
          </cell>
          <cell r="B1288" t="str">
            <v>ICOMNET - TECNOLOGIA DA INFORMACAO LT</v>
          </cell>
          <cell r="C1288" t="str">
            <v>830.885,86</v>
          </cell>
          <cell r="D1288" t="str">
            <v>830.885,86</v>
          </cell>
          <cell r="E1288" t="str">
            <v>7.584,88</v>
          </cell>
          <cell r="F1288" t="str">
            <v>7.584,88</v>
          </cell>
          <cell r="G1288" t="str">
            <v>0,00</v>
          </cell>
          <cell r="H1288" t="str">
            <v>0,00</v>
          </cell>
          <cell r="I1288">
            <v>0</v>
          </cell>
          <cell r="J1288" t="str">
            <v>VERIFICAR</v>
          </cell>
        </row>
        <row r="1289">
          <cell r="A1289" t="str">
            <v>2.1.1.1.01.000246</v>
          </cell>
          <cell r="B1289" t="str">
            <v>IPVA-GOVERNO DO ESTADO DE SP</v>
          </cell>
          <cell r="C1289" t="str">
            <v>137.150,88</v>
          </cell>
          <cell r="D1289" t="str">
            <v>136.129,31</v>
          </cell>
          <cell r="E1289" t="str">
            <v>0,00</v>
          </cell>
          <cell r="F1289" t="str">
            <v>0,00</v>
          </cell>
          <cell r="G1289" t="str">
            <v>1.021,57</v>
          </cell>
          <cell r="H1289" t="str">
            <v>0,00</v>
          </cell>
          <cell r="I1289">
            <v>-1021.57</v>
          </cell>
          <cell r="J1289" t="str">
            <v>VERIFICAR</v>
          </cell>
        </row>
        <row r="1290">
          <cell r="A1290" t="str">
            <v>2.1.1.1.01.000276</v>
          </cell>
          <cell r="B1290" t="str">
            <v>JOHN DEERE EQUIP DO BRASIL LTDA</v>
          </cell>
          <cell r="C1290" t="str">
            <v>183.694,91</v>
          </cell>
          <cell r="D1290" t="str">
            <v>183.694,91</v>
          </cell>
          <cell r="E1290" t="str">
            <v>0,00</v>
          </cell>
          <cell r="F1290" t="str">
            <v>7.264,35</v>
          </cell>
          <cell r="G1290" t="str">
            <v>0,00</v>
          </cell>
          <cell r="H1290" t="str">
            <v>7.264,35</v>
          </cell>
          <cell r="I1290">
            <v>7264.35</v>
          </cell>
          <cell r="J1290" t="str">
            <v>VERIFICAR</v>
          </cell>
        </row>
        <row r="1291">
          <cell r="A1291" t="str">
            <v>2.1.1.1.01.000280</v>
          </cell>
          <cell r="B1291" t="str">
            <v>KABUM COMERCIO ELETRONICO S.A</v>
          </cell>
          <cell r="C1291" t="str">
            <v>304.450,46</v>
          </cell>
          <cell r="D1291" t="str">
            <v>304.450,46</v>
          </cell>
          <cell r="E1291" t="str">
            <v>1.373,07</v>
          </cell>
          <cell r="F1291" t="str">
            <v>1.373,07</v>
          </cell>
          <cell r="G1291" t="str">
            <v>0,00</v>
          </cell>
          <cell r="H1291" t="str">
            <v>0,00</v>
          </cell>
          <cell r="I1291">
            <v>0</v>
          </cell>
          <cell r="J1291" t="str">
            <v>VERIFICAR</v>
          </cell>
        </row>
        <row r="1292">
          <cell r="A1292" t="str">
            <v>2.1.1.1.01.000281</v>
          </cell>
          <cell r="B1292" t="str">
            <v>KAP COMPONENTES ELETRICOS LTDA</v>
          </cell>
          <cell r="C1292" t="str">
            <v>352.378,24</v>
          </cell>
          <cell r="D1292" t="str">
            <v>357.708,58</v>
          </cell>
          <cell r="E1292" t="str">
            <v>5.330,34</v>
          </cell>
          <cell r="F1292" t="str">
            <v>0,00</v>
          </cell>
          <cell r="G1292" t="str">
            <v>0,00</v>
          </cell>
          <cell r="H1292" t="str">
            <v>0,00</v>
          </cell>
          <cell r="I1292">
            <v>0</v>
          </cell>
          <cell r="J1292" t="str">
            <v>VERIFICAR</v>
          </cell>
        </row>
        <row r="1293">
          <cell r="A1293" t="str">
            <v>2.1.1.1.01.000283</v>
          </cell>
          <cell r="B1293" t="str">
            <v>KENNAMETAL DO BRASIL LTDA</v>
          </cell>
          <cell r="C1293" t="str">
            <v>182.918,73</v>
          </cell>
          <cell r="D1293" t="str">
            <v>182.918,73</v>
          </cell>
          <cell r="E1293" t="str">
            <v>30.801,23</v>
          </cell>
          <cell r="F1293" t="str">
            <v>81.227,67</v>
          </cell>
          <cell r="G1293" t="str">
            <v>0,00</v>
          </cell>
          <cell r="H1293" t="str">
            <v>50.426,44</v>
          </cell>
          <cell r="I1293">
            <v>50426.44</v>
          </cell>
          <cell r="J1293" t="str">
            <v>VERIFICAR</v>
          </cell>
        </row>
        <row r="1294">
          <cell r="A1294" t="str">
            <v>2.1.1.1.01.000320</v>
          </cell>
          <cell r="B1294" t="str">
            <v>SYLCAR COMERCIO DE PNEUS LTDA</v>
          </cell>
          <cell r="C1294" t="str">
            <v>152.519,28</v>
          </cell>
          <cell r="D1294" t="str">
            <v>152.521,68</v>
          </cell>
          <cell r="E1294" t="str">
            <v>0,00</v>
          </cell>
          <cell r="F1294" t="str">
            <v>0,00</v>
          </cell>
          <cell r="G1294" t="str">
            <v>0,00</v>
          </cell>
          <cell r="H1294" t="str">
            <v>2,40</v>
          </cell>
          <cell r="I1294">
            <v>2.4</v>
          </cell>
          <cell r="J1294" t="str">
            <v>VERIFICAR</v>
          </cell>
        </row>
        <row r="1295">
          <cell r="A1295" t="str">
            <v>2.1.1.1.01.000337</v>
          </cell>
          <cell r="B1295" t="str">
            <v>MILANEZ E MILANEZ S/A</v>
          </cell>
          <cell r="C1295" t="str">
            <v>1.372.368,49</v>
          </cell>
          <cell r="D1295" t="str">
            <v>1.374.202,96</v>
          </cell>
          <cell r="E1295" t="str">
            <v>0,00</v>
          </cell>
          <cell r="F1295" t="str">
            <v>0,00</v>
          </cell>
          <cell r="G1295" t="str">
            <v>0,00</v>
          </cell>
          <cell r="H1295" t="str">
            <v>1.834,47</v>
          </cell>
          <cell r="I1295">
            <v>1834.47</v>
          </cell>
          <cell r="J1295" t="str">
            <v>VERIFICAR</v>
          </cell>
        </row>
        <row r="1296">
          <cell r="A1296" t="str">
            <v>2.1.1.1.01.000355</v>
          </cell>
          <cell r="B1296" t="str">
            <v>N.A.V. INDUSTRIA E COMERCIO DE PRODUTOS</v>
          </cell>
          <cell r="C1296" t="str">
            <v>453.258,37</v>
          </cell>
          <cell r="D1296" t="str">
            <v>454.706,37</v>
          </cell>
          <cell r="E1296" t="str">
            <v>2.202,00</v>
          </cell>
          <cell r="F1296" t="str">
            <v>754,00</v>
          </cell>
          <cell r="G1296" t="str">
            <v>0,00</v>
          </cell>
          <cell r="H1296" t="str">
            <v>0,00</v>
          </cell>
          <cell r="I1296">
            <v>0</v>
          </cell>
          <cell r="J1296" t="str">
            <v>VERIFICAR</v>
          </cell>
        </row>
        <row r="1297">
          <cell r="A1297" t="str">
            <v>2.1.1.1.01.000356</v>
          </cell>
          <cell r="B1297" t="str">
            <v>BASSI &amp; BASSI COMERCIO DE ESTOPAS LTDA</v>
          </cell>
          <cell r="C1297" t="str">
            <v>120.638,50</v>
          </cell>
          <cell r="D1297" t="str">
            <v>124.238,50</v>
          </cell>
          <cell r="E1297" t="str">
            <v>3.600,00</v>
          </cell>
          <cell r="F1297" t="str">
            <v>3.600,00</v>
          </cell>
          <cell r="G1297" t="str">
            <v>0,00</v>
          </cell>
          <cell r="H1297" t="str">
            <v>3.600,00</v>
          </cell>
          <cell r="I1297">
            <v>3600</v>
          </cell>
          <cell r="J1297" t="str">
            <v>VERIFICAR</v>
          </cell>
        </row>
        <row r="1298">
          <cell r="A1298" t="str">
            <v>2.1.1.1.01.000397</v>
          </cell>
          <cell r="B1298" t="str">
            <v>PORTO SEGURO</v>
          </cell>
          <cell r="C1298" t="str">
            <v>175,51</v>
          </cell>
          <cell r="D1298" t="str">
            <v>87,55</v>
          </cell>
          <cell r="E1298" t="str">
            <v>0,00</v>
          </cell>
          <cell r="F1298" t="str">
            <v>0,00</v>
          </cell>
          <cell r="G1298" t="str">
            <v>87,96</v>
          </cell>
          <cell r="H1298" t="str">
            <v>0,00</v>
          </cell>
          <cell r="I1298">
            <v>-87.96</v>
          </cell>
          <cell r="J1298" t="str">
            <v>VERIFICAR</v>
          </cell>
        </row>
        <row r="1299">
          <cell r="A1299" t="str">
            <v>2.1.1.1.01.000415</v>
          </cell>
          <cell r="B1299" t="str">
            <v>RETENTORES SOROCABA COMERCIO LTDA</v>
          </cell>
          <cell r="C1299" t="str">
            <v>212.495,10</v>
          </cell>
          <cell r="D1299" t="str">
            <v>217.165,60</v>
          </cell>
          <cell r="E1299" t="str">
            <v>7.920,50</v>
          </cell>
          <cell r="F1299" t="str">
            <v>3.250,00</v>
          </cell>
          <cell r="G1299" t="str">
            <v>0,00</v>
          </cell>
          <cell r="H1299" t="str">
            <v>0,00</v>
          </cell>
          <cell r="I1299">
            <v>0</v>
          </cell>
          <cell r="J1299" t="str">
            <v>VERIFICAR</v>
          </cell>
        </row>
        <row r="1300">
          <cell r="A1300" t="str">
            <v>2.1.1.1.01.000418</v>
          </cell>
          <cell r="B1300" t="str">
            <v>RICARDO AUGUSTO CARDOSO CALADO</v>
          </cell>
          <cell r="C1300" t="str">
            <v>399.425,57</v>
          </cell>
          <cell r="D1300" t="str">
            <v>399.425,57</v>
          </cell>
          <cell r="E1300" t="str">
            <v>5.535,73</v>
          </cell>
          <cell r="F1300" t="str">
            <v>5.535,73</v>
          </cell>
          <cell r="G1300" t="str">
            <v>0,00</v>
          </cell>
          <cell r="H1300" t="str">
            <v>0,00</v>
          </cell>
          <cell r="I1300">
            <v>0</v>
          </cell>
          <cell r="J1300" t="str">
            <v>VERIFICAR</v>
          </cell>
        </row>
        <row r="1301">
          <cell r="A1301" t="str">
            <v>2.1.1.1.01.000481</v>
          </cell>
          <cell r="B1301" t="str">
            <v>TELEFONICA BRASIL S.A</v>
          </cell>
          <cell r="C1301" t="str">
            <v>112.441,85</v>
          </cell>
          <cell r="D1301" t="str">
            <v>149.042,80</v>
          </cell>
          <cell r="E1301" t="str">
            <v>4.758,03</v>
          </cell>
          <cell r="F1301" t="str">
            <v>4.758,03</v>
          </cell>
          <cell r="G1301" t="str">
            <v>0,00</v>
          </cell>
          <cell r="H1301" t="str">
            <v>36.600,95</v>
          </cell>
          <cell r="I1301">
            <v>36600.949999999997</v>
          </cell>
          <cell r="J1301" t="str">
            <v>VERIFICAR</v>
          </cell>
        </row>
        <row r="1302">
          <cell r="A1302" t="str">
            <v>2.1.1.1.01.000494</v>
          </cell>
          <cell r="B1302" t="str">
            <v>TOTVS SA</v>
          </cell>
          <cell r="C1302" t="str">
            <v>506.180,14</v>
          </cell>
          <cell r="D1302" t="str">
            <v>506.181,49</v>
          </cell>
          <cell r="E1302" t="str">
            <v>6.074,35</v>
          </cell>
          <cell r="F1302" t="str">
            <v>8.008,93</v>
          </cell>
          <cell r="G1302" t="str">
            <v>0,00</v>
          </cell>
          <cell r="H1302" t="str">
            <v>1.935,93</v>
          </cell>
          <cell r="I1302">
            <v>1935.93</v>
          </cell>
          <cell r="J1302" t="str">
            <v>VERIFICAR</v>
          </cell>
        </row>
        <row r="1303">
          <cell r="A1303" t="str">
            <v>2.1.1.1.01.000501</v>
          </cell>
          <cell r="B1303" t="str">
            <v>TRANSJOI TRANSPORTES LTDA</v>
          </cell>
          <cell r="C1303" t="str">
            <v>36.881,75</v>
          </cell>
          <cell r="D1303" t="str">
            <v>36.881,75</v>
          </cell>
          <cell r="E1303" t="str">
            <v>0,00</v>
          </cell>
          <cell r="F1303" t="str">
            <v>153,74</v>
          </cell>
          <cell r="G1303" t="str">
            <v>0,00</v>
          </cell>
          <cell r="H1303" t="str">
            <v>153,74</v>
          </cell>
          <cell r="I1303">
            <v>153.74</v>
          </cell>
          <cell r="J1303" t="str">
            <v>VERIFICAR</v>
          </cell>
        </row>
        <row r="1304">
          <cell r="A1304" t="str">
            <v>2.1.1.1.01.000530</v>
          </cell>
          <cell r="B1304" t="str">
            <v>VEDACOES MAKITA ACESS IND LTDA</v>
          </cell>
          <cell r="C1304" t="str">
            <v>212.110,67</v>
          </cell>
          <cell r="D1304" t="str">
            <v>212.110,63</v>
          </cell>
          <cell r="E1304" t="str">
            <v>0,00</v>
          </cell>
          <cell r="F1304" t="str">
            <v>10.660,66</v>
          </cell>
          <cell r="G1304" t="str">
            <v>0,00</v>
          </cell>
          <cell r="H1304" t="str">
            <v>10.660,62</v>
          </cell>
          <cell r="I1304">
            <v>10660.62</v>
          </cell>
          <cell r="J1304" t="str">
            <v>VERIFICAR</v>
          </cell>
        </row>
        <row r="1305">
          <cell r="A1305" t="str">
            <v>2.1.1.1.01.000532</v>
          </cell>
          <cell r="B1305" t="str">
            <v>VERION OLEOHIDRAULICA LTDA</v>
          </cell>
          <cell r="C1305" t="str">
            <v>196.760,58</v>
          </cell>
          <cell r="D1305" t="str">
            <v>196.760,58</v>
          </cell>
          <cell r="E1305" t="str">
            <v>10.467,63</v>
          </cell>
          <cell r="F1305" t="str">
            <v>26.855,35</v>
          </cell>
          <cell r="G1305" t="str">
            <v>0,00</v>
          </cell>
          <cell r="H1305" t="str">
            <v>16.387,72</v>
          </cell>
          <cell r="I1305">
            <v>16387.72</v>
          </cell>
          <cell r="J1305" t="str">
            <v>VERIFICAR</v>
          </cell>
        </row>
        <row r="1306">
          <cell r="A1306" t="str">
            <v>2.1.1.1.01.000552</v>
          </cell>
          <cell r="B1306" t="str">
            <v>WEG EQUIPAMENTOS ELETRICOS SA</v>
          </cell>
          <cell r="C1306" t="str">
            <v>27.217.416,41</v>
          </cell>
          <cell r="D1306" t="str">
            <v>27.383.163,07</v>
          </cell>
          <cell r="E1306" t="str">
            <v>276.614,32</v>
          </cell>
          <cell r="F1306" t="str">
            <v>435.425,43</v>
          </cell>
          <cell r="G1306" t="str">
            <v>0,00</v>
          </cell>
          <cell r="H1306" t="str">
            <v>324.557,77</v>
          </cell>
          <cell r="I1306">
            <v>324557.77</v>
          </cell>
          <cell r="J1306" t="str">
            <v>VERIFICAR</v>
          </cell>
        </row>
        <row r="1307">
          <cell r="A1307" t="str">
            <v>2.1.1.1.01.000554</v>
          </cell>
          <cell r="B1307" t="str">
            <v>MAURICIO MARCONDES FARIA DOS SANTOS</v>
          </cell>
          <cell r="C1307" t="str">
            <v>2.363.834,08</v>
          </cell>
          <cell r="D1307" t="str">
            <v>2.363.834,08</v>
          </cell>
          <cell r="E1307" t="str">
            <v>11.212,76</v>
          </cell>
          <cell r="F1307" t="str">
            <v>11.212,76</v>
          </cell>
          <cell r="G1307" t="str">
            <v>0,00</v>
          </cell>
          <cell r="H1307" t="str">
            <v>0,00</v>
          </cell>
          <cell r="I1307">
            <v>0</v>
          </cell>
          <cell r="J1307" t="str">
            <v>VERIFICAR</v>
          </cell>
        </row>
        <row r="1308">
          <cell r="A1308" t="str">
            <v>2.1.1.1.01.000567</v>
          </cell>
          <cell r="B1308" t="str">
            <v>JOAO BATISTA DE OLIVEIRA</v>
          </cell>
          <cell r="C1308" t="str">
            <v>435.080,72</v>
          </cell>
          <cell r="D1308" t="str">
            <v>435.080,72</v>
          </cell>
          <cell r="E1308" t="str">
            <v>9.616,18</v>
          </cell>
          <cell r="F1308" t="str">
            <v>9.616,18</v>
          </cell>
          <cell r="G1308" t="str">
            <v>0,00</v>
          </cell>
          <cell r="H1308" t="str">
            <v>0,00</v>
          </cell>
          <cell r="I1308">
            <v>0</v>
          </cell>
          <cell r="J1308" t="str">
            <v>VERIFICAR</v>
          </cell>
        </row>
        <row r="1309">
          <cell r="A1309" t="str">
            <v>2.1.1.1.01.000586</v>
          </cell>
          <cell r="B1309" t="str">
            <v>JOINING COMERCIO ELETRO-ELETRICOS LTDA</v>
          </cell>
          <cell r="C1309" t="str">
            <v>617.293,02</v>
          </cell>
          <cell r="D1309" t="str">
            <v>619.617,98</v>
          </cell>
          <cell r="E1309" t="str">
            <v>7.714,91</v>
          </cell>
          <cell r="F1309" t="str">
            <v>9.993,60</v>
          </cell>
          <cell r="G1309" t="str">
            <v>0,00</v>
          </cell>
          <cell r="H1309" t="str">
            <v>4.603,65</v>
          </cell>
          <cell r="I1309">
            <v>4603.6499999999996</v>
          </cell>
          <cell r="J1309" t="str">
            <v>VERIFICAR</v>
          </cell>
        </row>
        <row r="1310">
          <cell r="A1310" t="str">
            <v>2.1.1.1.01.000590</v>
          </cell>
          <cell r="B1310" t="str">
            <v>CRIMPER DO BRASIL, INDUSTRIA E COMERCIO</v>
          </cell>
          <cell r="C1310" t="str">
            <v>231.850,78</v>
          </cell>
          <cell r="D1310" t="str">
            <v>241.505,36</v>
          </cell>
          <cell r="E1310" t="str">
            <v>6.980,94</v>
          </cell>
          <cell r="F1310" t="str">
            <v>0,00</v>
          </cell>
          <cell r="G1310" t="str">
            <v>0,00</v>
          </cell>
          <cell r="H1310" t="str">
            <v>2.673,64</v>
          </cell>
          <cell r="I1310">
            <v>2673.64</v>
          </cell>
          <cell r="J1310" t="str">
            <v>VERIFICAR</v>
          </cell>
        </row>
        <row r="1311">
          <cell r="A1311" t="str">
            <v>2.1.1.1.01.000593</v>
          </cell>
          <cell r="B1311" t="str">
            <v>TASCO LTDA</v>
          </cell>
          <cell r="C1311" t="str">
            <v>1.282.952,96</v>
          </cell>
          <cell r="D1311" t="str">
            <v>1.299.387,70</v>
          </cell>
          <cell r="E1311" t="str">
            <v>15.113,96</v>
          </cell>
          <cell r="F1311" t="str">
            <v>4.690,90</v>
          </cell>
          <cell r="G1311" t="str">
            <v>0,00</v>
          </cell>
          <cell r="H1311" t="str">
            <v>6.011,68</v>
          </cell>
          <cell r="I1311">
            <v>6011.68</v>
          </cell>
          <cell r="J1311" t="str">
            <v>VERIFICAR</v>
          </cell>
        </row>
        <row r="1312">
          <cell r="A1312" t="str">
            <v>2.1.1.1.01.000594</v>
          </cell>
          <cell r="B1312" t="str">
            <v>FRONTEC INDUSTRIA DE COMPONENTES DE FIXA</v>
          </cell>
          <cell r="C1312" t="str">
            <v>224.056,24</v>
          </cell>
          <cell r="D1312" t="str">
            <v>224.056,24</v>
          </cell>
          <cell r="E1312" t="str">
            <v>2.050,77</v>
          </cell>
          <cell r="F1312" t="str">
            <v>2.965,50</v>
          </cell>
          <cell r="G1312" t="str">
            <v>0,00</v>
          </cell>
          <cell r="H1312" t="str">
            <v>914,73</v>
          </cell>
          <cell r="I1312">
            <v>914.73</v>
          </cell>
          <cell r="J1312" t="str">
            <v>VERIFICAR</v>
          </cell>
        </row>
        <row r="1313">
          <cell r="A1313" t="str">
            <v>2.1.1.1.01.000599</v>
          </cell>
          <cell r="B1313" t="str">
            <v>PROAUTO PRODUTOS DE AUTOMACAO LTDA</v>
          </cell>
          <cell r="C1313" t="str">
            <v>1.239.685,06</v>
          </cell>
          <cell r="D1313" t="str">
            <v>1.243.911,55</v>
          </cell>
          <cell r="E1313" t="str">
            <v>8.804,28</v>
          </cell>
          <cell r="F1313" t="str">
            <v>15.997,90</v>
          </cell>
          <cell r="G1313" t="str">
            <v>0,00</v>
          </cell>
          <cell r="H1313" t="str">
            <v>11.420,11</v>
          </cell>
          <cell r="I1313">
            <v>11420.11</v>
          </cell>
          <cell r="J1313" t="str">
            <v>VERIFICAR</v>
          </cell>
        </row>
        <row r="1314">
          <cell r="A1314" t="str">
            <v>2.1.1.1.01.000602</v>
          </cell>
          <cell r="B1314" t="str">
            <v>LUCIOS ROLAMENTOS COMERCIO E IMPORTACAO</v>
          </cell>
          <cell r="C1314" t="str">
            <v>287.160,82</v>
          </cell>
          <cell r="D1314" t="str">
            <v>287.160,82</v>
          </cell>
          <cell r="E1314" t="str">
            <v>270,45</v>
          </cell>
          <cell r="F1314" t="str">
            <v>1.448,27</v>
          </cell>
          <cell r="G1314" t="str">
            <v>0,00</v>
          </cell>
          <cell r="H1314" t="str">
            <v>1.177,82</v>
          </cell>
          <cell r="I1314">
            <v>1177.82</v>
          </cell>
          <cell r="J1314" t="str">
            <v>VERIFICAR</v>
          </cell>
        </row>
        <row r="1315">
          <cell r="A1315" t="str">
            <v>2.1.1.1.01.000612</v>
          </cell>
          <cell r="B1315" t="str">
            <v>MULTICORES COM DE TINTAS LTDA ME</v>
          </cell>
          <cell r="C1315" t="str">
            <v>138.574,02</v>
          </cell>
          <cell r="D1315" t="str">
            <v>138.574,01</v>
          </cell>
          <cell r="E1315" t="str">
            <v>0,00</v>
          </cell>
          <cell r="F1315" t="str">
            <v>216,00</v>
          </cell>
          <cell r="G1315" t="str">
            <v>0,00</v>
          </cell>
          <cell r="H1315" t="str">
            <v>215,99</v>
          </cell>
          <cell r="I1315">
            <v>215.99</v>
          </cell>
          <cell r="J1315" t="str">
            <v>VERIFICAR</v>
          </cell>
        </row>
        <row r="1316">
          <cell r="A1316" t="str">
            <v>2.1.1.1.01.000621</v>
          </cell>
          <cell r="B1316" t="str">
            <v>ARTOLE PARAFUSOS LT</v>
          </cell>
          <cell r="C1316" t="str">
            <v>50.972,66</v>
          </cell>
          <cell r="D1316" t="str">
            <v>51.425,66</v>
          </cell>
          <cell r="E1316" t="str">
            <v>769,25</v>
          </cell>
          <cell r="F1316" t="str">
            <v>316,25</v>
          </cell>
          <cell r="G1316" t="str">
            <v>0,00</v>
          </cell>
          <cell r="H1316" t="str">
            <v>0,00</v>
          </cell>
          <cell r="I1316">
            <v>0</v>
          </cell>
          <cell r="J1316" t="str">
            <v>VERIFICAR</v>
          </cell>
        </row>
        <row r="1317">
          <cell r="A1317" t="str">
            <v>2.1.1.1.01.000622</v>
          </cell>
          <cell r="B1317" t="str">
            <v>HINE DO BRASIL INDUSTRIA E COMERCIO DE H</v>
          </cell>
          <cell r="C1317" t="str">
            <v>639.949,26</v>
          </cell>
          <cell r="D1317" t="str">
            <v>653.825,41</v>
          </cell>
          <cell r="E1317" t="str">
            <v>9.566,45</v>
          </cell>
          <cell r="F1317" t="str">
            <v>0,00</v>
          </cell>
          <cell r="G1317" t="str">
            <v>0,00</v>
          </cell>
          <cell r="H1317" t="str">
            <v>4.309,70</v>
          </cell>
          <cell r="I1317">
            <v>4309.7</v>
          </cell>
          <cell r="J1317" t="str">
            <v>VERIFICAR</v>
          </cell>
        </row>
        <row r="1318">
          <cell r="A1318" t="str">
            <v>2.1.1.1.01.000632</v>
          </cell>
          <cell r="B1318" t="str">
            <v>CAIXINHA</v>
          </cell>
          <cell r="C1318" t="str">
            <v>100.363,60</v>
          </cell>
          <cell r="D1318" t="str">
            <v>100.413,60</v>
          </cell>
          <cell r="E1318" t="str">
            <v>1.080,00</v>
          </cell>
          <cell r="F1318" t="str">
            <v>1.080,00</v>
          </cell>
          <cell r="G1318" t="str">
            <v>0,00</v>
          </cell>
          <cell r="H1318" t="str">
            <v>50,00</v>
          </cell>
          <cell r="I1318">
            <v>50</v>
          </cell>
          <cell r="J1318" t="str">
            <v>VERIFICAR</v>
          </cell>
        </row>
        <row r="1319">
          <cell r="A1319" t="str">
            <v>2.1.1.1.01.000643</v>
          </cell>
          <cell r="B1319" t="str">
            <v>CIRCUIT EQUIPAMENTOS ESPORTIVOS LTDA</v>
          </cell>
          <cell r="C1319" t="str">
            <v>145.355,39</v>
          </cell>
          <cell r="D1319" t="str">
            <v>145.355,42</v>
          </cell>
          <cell r="E1319" t="str">
            <v>0,00</v>
          </cell>
          <cell r="F1319" t="str">
            <v>0,00</v>
          </cell>
          <cell r="G1319" t="str">
            <v>0,00</v>
          </cell>
          <cell r="H1319" t="str">
            <v>0,03</v>
          </cell>
          <cell r="I1319">
            <v>0.03</v>
          </cell>
          <cell r="J1319" t="str">
            <v>VERIFICAR</v>
          </cell>
        </row>
        <row r="1320">
          <cell r="A1320" t="str">
            <v>2.1.1.1.01.000659</v>
          </cell>
          <cell r="B1320" t="str">
            <v>WEG DRYVES &amp; CONTROLS AUTOMACAO LTDA</v>
          </cell>
          <cell r="C1320" t="str">
            <v>27.269.044,58</v>
          </cell>
          <cell r="D1320" t="str">
            <v>27.802.225,47</v>
          </cell>
          <cell r="E1320" t="str">
            <v>464.384,28</v>
          </cell>
          <cell r="F1320" t="str">
            <v>373.676,23</v>
          </cell>
          <cell r="G1320" t="str">
            <v>0,00</v>
          </cell>
          <cell r="H1320" t="str">
            <v>442.472,84</v>
          </cell>
          <cell r="I1320">
            <v>442472.84</v>
          </cell>
          <cell r="J1320" t="str">
            <v>VERIFICAR</v>
          </cell>
        </row>
        <row r="1321">
          <cell r="A1321" t="str">
            <v>2.1.1.1.01.000662</v>
          </cell>
          <cell r="B1321" t="str">
            <v>ESPIRITO SANTO CENTRAIS ELETRICAS SA</v>
          </cell>
          <cell r="C1321" t="str">
            <v>121.891,45</v>
          </cell>
          <cell r="D1321" t="str">
            <v>123.209,80</v>
          </cell>
          <cell r="E1321" t="str">
            <v>1.318,35</v>
          </cell>
          <cell r="F1321" t="str">
            <v>1.204,87</v>
          </cell>
          <cell r="G1321" t="str">
            <v>0,00</v>
          </cell>
          <cell r="H1321" t="str">
            <v>1.204,87</v>
          </cell>
          <cell r="I1321">
            <v>1204.8699999999999</v>
          </cell>
          <cell r="J1321" t="str">
            <v>VERIFICAR</v>
          </cell>
        </row>
        <row r="1322">
          <cell r="A1322" t="str">
            <v>2.1.1.1.01.000673</v>
          </cell>
          <cell r="B1322" t="str">
            <v>OSMAR FERREIRA</v>
          </cell>
          <cell r="C1322" t="str">
            <v>192.518,25</v>
          </cell>
          <cell r="D1322" t="str">
            <v>192.518,25</v>
          </cell>
          <cell r="E1322" t="str">
            <v>2.742,27</v>
          </cell>
          <cell r="F1322" t="str">
            <v>2.742,27</v>
          </cell>
          <cell r="G1322" t="str">
            <v>0,00</v>
          </cell>
          <cell r="H1322" t="str">
            <v>0,00</v>
          </cell>
          <cell r="I1322">
            <v>0</v>
          </cell>
          <cell r="J1322" t="str">
            <v>VERIFICAR</v>
          </cell>
        </row>
        <row r="1323">
          <cell r="A1323" t="str">
            <v>2.1.1.1.01.000675</v>
          </cell>
          <cell r="B1323" t="str">
            <v>MERCADO PAGO COM REPRESENTACOES LTDA</v>
          </cell>
          <cell r="C1323" t="str">
            <v>2.713,18</v>
          </cell>
          <cell r="D1323" t="str">
            <v>2.704,76</v>
          </cell>
          <cell r="E1323" t="str">
            <v>0,00</v>
          </cell>
          <cell r="F1323" t="str">
            <v>0,00</v>
          </cell>
          <cell r="G1323" t="str">
            <v>8,42</v>
          </cell>
          <cell r="H1323" t="str">
            <v>0,00</v>
          </cell>
          <cell r="I1323">
            <v>-8.42</v>
          </cell>
          <cell r="J1323" t="str">
            <v>VERIFICAR</v>
          </cell>
        </row>
        <row r="1324">
          <cell r="A1324" t="str">
            <v>2.1.1.1.01.000700</v>
          </cell>
          <cell r="B1324" t="str">
            <v>TUBOS IPIRANGA INDUSTRIA E COMERCIO LTDA</v>
          </cell>
          <cell r="C1324" t="str">
            <v>1.430.329,88</v>
          </cell>
          <cell r="D1324" t="str">
            <v>1.430.329,90</v>
          </cell>
          <cell r="E1324" t="str">
            <v>0,00</v>
          </cell>
          <cell r="F1324" t="str">
            <v>17.087,26</v>
          </cell>
          <cell r="G1324" t="str">
            <v>0,00</v>
          </cell>
          <cell r="H1324" t="str">
            <v>17.087,28</v>
          </cell>
          <cell r="I1324">
            <v>17087.28</v>
          </cell>
          <cell r="J1324" t="str">
            <v>VERIFICAR</v>
          </cell>
        </row>
        <row r="1325">
          <cell r="A1325" t="str">
            <v>2.1.1.1.01.000708</v>
          </cell>
          <cell r="B1325" t="str">
            <v>DYNAMIC COMERCIO DE HIDRAULICA E PNEUMAT</v>
          </cell>
          <cell r="C1325" t="str">
            <v>5.470.877,53</v>
          </cell>
          <cell r="D1325" t="str">
            <v>5.594.050,91</v>
          </cell>
          <cell r="E1325" t="str">
            <v>149.389,61</v>
          </cell>
          <cell r="F1325" t="str">
            <v>127.392,94</v>
          </cell>
          <cell r="G1325" t="str">
            <v>0,00</v>
          </cell>
          <cell r="H1325" t="str">
            <v>101.176,71</v>
          </cell>
          <cell r="I1325">
            <v>101176.71</v>
          </cell>
          <cell r="J1325" t="str">
            <v>VERIFICAR</v>
          </cell>
        </row>
        <row r="1326">
          <cell r="A1326" t="str">
            <v>2.1.1.1.01.000711</v>
          </cell>
          <cell r="B1326" t="str">
            <v>V. B. TEIXEIRA LTDA</v>
          </cell>
          <cell r="C1326" t="str">
            <v>3.084,00</v>
          </cell>
          <cell r="D1326" t="str">
            <v>3.434,00</v>
          </cell>
          <cell r="E1326" t="str">
            <v>0,00</v>
          </cell>
          <cell r="F1326" t="str">
            <v>0,00</v>
          </cell>
          <cell r="G1326" t="str">
            <v>0,00</v>
          </cell>
          <cell r="H1326" t="str">
            <v>350,00</v>
          </cell>
          <cell r="I1326">
            <v>350</v>
          </cell>
          <cell r="J1326" t="str">
            <v>VERIFICAR</v>
          </cell>
        </row>
        <row r="1327">
          <cell r="A1327" t="str">
            <v>2.1.1.1.01.000716</v>
          </cell>
          <cell r="B1327" t="str">
            <v>AZUL LINHAS AEREAS BRASILEIRAS S.A.</v>
          </cell>
          <cell r="C1327" t="str">
            <v>554.669,81</v>
          </cell>
          <cell r="D1327" t="str">
            <v>558.845,99</v>
          </cell>
          <cell r="E1327" t="str">
            <v>6.588,03</v>
          </cell>
          <cell r="F1327" t="str">
            <v>3.566,00</v>
          </cell>
          <cell r="G1327" t="str">
            <v>0,00</v>
          </cell>
          <cell r="H1327" t="str">
            <v>1.154,15</v>
          </cell>
          <cell r="I1327">
            <v>1154.1500000000001</v>
          </cell>
          <cell r="J1327" t="str">
            <v>VERIFICAR</v>
          </cell>
        </row>
        <row r="1328">
          <cell r="A1328" t="str">
            <v>2.1.1.1.01.000717</v>
          </cell>
          <cell r="B1328" t="str">
            <v>COELMATIC LTDA.</v>
          </cell>
          <cell r="C1328" t="str">
            <v>750.707,15</v>
          </cell>
          <cell r="D1328" t="str">
            <v>756.801,15</v>
          </cell>
          <cell r="E1328" t="str">
            <v>6.094,00</v>
          </cell>
          <cell r="F1328" t="str">
            <v>0,00</v>
          </cell>
          <cell r="G1328" t="str">
            <v>0,00</v>
          </cell>
          <cell r="H1328" t="str">
            <v>0,00</v>
          </cell>
          <cell r="I1328">
            <v>0</v>
          </cell>
          <cell r="J1328" t="str">
            <v>VERIFICAR</v>
          </cell>
        </row>
        <row r="1329">
          <cell r="A1329" t="str">
            <v>2.1.1.1.01.000727</v>
          </cell>
          <cell r="B1329" t="str">
            <v>COFORJA CORRENTES E ACESSORIOS BRASIL LT</v>
          </cell>
          <cell r="C1329" t="str">
            <v>124.914,03</v>
          </cell>
          <cell r="D1329" t="str">
            <v>125.300,43</v>
          </cell>
          <cell r="E1329" t="str">
            <v>772,80</v>
          </cell>
          <cell r="F1329" t="str">
            <v>3.209,25</v>
          </cell>
          <cell r="G1329" t="str">
            <v>0,00</v>
          </cell>
          <cell r="H1329" t="str">
            <v>2.822,85</v>
          </cell>
          <cell r="I1329">
            <v>2822.85</v>
          </cell>
          <cell r="J1329" t="str">
            <v>VERIFICAR</v>
          </cell>
        </row>
        <row r="1330">
          <cell r="A1330" t="str">
            <v>2.1.1.1.01.000728</v>
          </cell>
          <cell r="B1330" t="str">
            <v>DISMOTOR COMERCIO DE MOTORES ELETRICOS L</v>
          </cell>
          <cell r="C1330" t="str">
            <v>211.609,82</v>
          </cell>
          <cell r="D1330" t="str">
            <v>211.609,83</v>
          </cell>
          <cell r="E1330" t="str">
            <v>1.487,08</v>
          </cell>
          <cell r="F1330" t="str">
            <v>5.088,61</v>
          </cell>
          <cell r="G1330" t="str">
            <v>0,00</v>
          </cell>
          <cell r="H1330" t="str">
            <v>3.601,54</v>
          </cell>
          <cell r="I1330">
            <v>3601.54</v>
          </cell>
          <cell r="J1330" t="str">
            <v>VERIFICAR</v>
          </cell>
        </row>
        <row r="1331">
          <cell r="A1331" t="str">
            <v>2.1.1.1.01.000730</v>
          </cell>
          <cell r="B1331" t="str">
            <v>APICE ELETRICA LTDA</v>
          </cell>
          <cell r="C1331" t="str">
            <v>82.336,75</v>
          </cell>
          <cell r="D1331" t="str">
            <v>82.336,75</v>
          </cell>
          <cell r="E1331" t="str">
            <v>59,45</v>
          </cell>
          <cell r="F1331" t="str">
            <v>59,45</v>
          </cell>
          <cell r="G1331" t="str">
            <v>0,00</v>
          </cell>
          <cell r="H1331" t="str">
            <v>0,00</v>
          </cell>
          <cell r="I1331">
            <v>0</v>
          </cell>
          <cell r="J1331" t="str">
            <v>VERIFICAR</v>
          </cell>
        </row>
        <row r="1332">
          <cell r="A1332" t="str">
            <v>2.1.1.1.01.000736</v>
          </cell>
          <cell r="B1332" t="str">
            <v>PW HIDROPNEUMATICA LTDA</v>
          </cell>
          <cell r="C1332" t="str">
            <v>12.453.178,29</v>
          </cell>
          <cell r="D1332" t="str">
            <v>12.728.549,30</v>
          </cell>
          <cell r="E1332" t="str">
            <v>140.773,34</v>
          </cell>
          <cell r="F1332" t="str">
            <v>201.896,70</v>
          </cell>
          <cell r="G1332" t="str">
            <v>0,00</v>
          </cell>
          <cell r="H1332" t="str">
            <v>336.494,37</v>
          </cell>
          <cell r="I1332">
            <v>336494.37</v>
          </cell>
          <cell r="J1332" t="str">
            <v>VERIFICAR</v>
          </cell>
        </row>
        <row r="1333">
          <cell r="A1333" t="str">
            <v>2.1.1.1.01.000763</v>
          </cell>
          <cell r="B1333" t="str">
            <v>RODONAVES TRANSPORTES E ENCOMENDAS LTDA</v>
          </cell>
          <cell r="C1333" t="str">
            <v>464.556,72</v>
          </cell>
          <cell r="D1333" t="str">
            <v>466.862,56</v>
          </cell>
          <cell r="E1333" t="str">
            <v>5.680,99</v>
          </cell>
          <cell r="F1333" t="str">
            <v>3.466,21</v>
          </cell>
          <cell r="G1333" t="str">
            <v>0,00</v>
          </cell>
          <cell r="H1333" t="str">
            <v>91,06</v>
          </cell>
          <cell r="I1333">
            <v>91.06</v>
          </cell>
          <cell r="J1333" t="str">
            <v>VERIFICAR</v>
          </cell>
        </row>
        <row r="1334">
          <cell r="A1334" t="str">
            <v>2.1.1.1.01.000797</v>
          </cell>
          <cell r="B1334" t="str">
            <v>JADLOG LOGISTICA LTDA</v>
          </cell>
          <cell r="C1334" t="str">
            <v>35.497,99</v>
          </cell>
          <cell r="D1334" t="str">
            <v>35.993,16</v>
          </cell>
          <cell r="E1334" t="str">
            <v>587,37</v>
          </cell>
          <cell r="F1334" t="str">
            <v>92,20</v>
          </cell>
          <cell r="G1334" t="str">
            <v>0,00</v>
          </cell>
          <cell r="H1334" t="str">
            <v>0,00</v>
          </cell>
          <cell r="I1334">
            <v>0</v>
          </cell>
          <cell r="J1334" t="str">
            <v>VERIFICAR</v>
          </cell>
        </row>
        <row r="1335">
          <cell r="A1335" t="str">
            <v>2.1.1.1.01.000815</v>
          </cell>
          <cell r="B1335" t="str">
            <v>RODONAVES TRANSPORTES E ENCOMENDAS LTDA</v>
          </cell>
          <cell r="C1335" t="str">
            <v>138.182,96</v>
          </cell>
          <cell r="D1335" t="str">
            <v>138.543,52</v>
          </cell>
          <cell r="E1335" t="str">
            <v>360,56</v>
          </cell>
          <cell r="F1335" t="str">
            <v>278,04</v>
          </cell>
          <cell r="G1335" t="str">
            <v>0,00</v>
          </cell>
          <cell r="H1335" t="str">
            <v>278,04</v>
          </cell>
          <cell r="I1335">
            <v>278.04000000000002</v>
          </cell>
          <cell r="J1335" t="str">
            <v>VERIFICAR</v>
          </cell>
        </row>
        <row r="1336">
          <cell r="A1336" t="str">
            <v>2.1.1.1.01.000819</v>
          </cell>
          <cell r="B1336" t="str">
            <v>PAGANI E FILHO LTDA</v>
          </cell>
          <cell r="C1336" t="str">
            <v>54.138,87</v>
          </cell>
          <cell r="D1336" t="str">
            <v>54.138,87</v>
          </cell>
          <cell r="E1336" t="str">
            <v>0,00</v>
          </cell>
          <cell r="F1336" t="str">
            <v>828,07</v>
          </cell>
          <cell r="G1336" t="str">
            <v>0,00</v>
          </cell>
          <cell r="H1336" t="str">
            <v>828,07</v>
          </cell>
          <cell r="I1336">
            <v>828.07</v>
          </cell>
          <cell r="J1336" t="str">
            <v>VERIFICAR</v>
          </cell>
        </row>
        <row r="1337">
          <cell r="A1337" t="str">
            <v>2.1.1.1.01.000828</v>
          </cell>
          <cell r="B1337" t="str">
            <v>CASA DAS ENGRENAGENS E CORRENTES LT</v>
          </cell>
          <cell r="C1337" t="str">
            <v>29.951,03</v>
          </cell>
          <cell r="D1337" t="str">
            <v>30.629,86</v>
          </cell>
          <cell r="E1337" t="str">
            <v>1.548,94</v>
          </cell>
          <cell r="F1337" t="str">
            <v>870,11</v>
          </cell>
          <cell r="G1337" t="str">
            <v>0,00</v>
          </cell>
          <cell r="H1337" t="str">
            <v>0,00</v>
          </cell>
          <cell r="I1337">
            <v>0</v>
          </cell>
          <cell r="J1337" t="str">
            <v>VERIFICAR</v>
          </cell>
        </row>
        <row r="1338">
          <cell r="A1338" t="str">
            <v>2.1.1.1.01.000887</v>
          </cell>
          <cell r="B1338" t="str">
            <v>AÇOTUBO INDÚSTRIA E COMÉRCIO LTDA</v>
          </cell>
          <cell r="C1338" t="str">
            <v>3.726.074,86</v>
          </cell>
          <cell r="D1338" t="str">
            <v>3.726.074,85</v>
          </cell>
          <cell r="E1338" t="str">
            <v>0,00</v>
          </cell>
          <cell r="F1338" t="str">
            <v>0,00</v>
          </cell>
          <cell r="G1338" t="str">
            <v>0,01</v>
          </cell>
          <cell r="H1338" t="str">
            <v>0,00</v>
          </cell>
          <cell r="I1338">
            <v>-0.01</v>
          </cell>
          <cell r="J1338" t="str">
            <v>VERIFICAR</v>
          </cell>
        </row>
        <row r="1339">
          <cell r="A1339" t="str">
            <v>2.1.1.1.01.000895</v>
          </cell>
          <cell r="B1339" t="str">
            <v>FER-ALVAREZ PRODUTOS SIDERURGICOS IND.E</v>
          </cell>
          <cell r="C1339" t="str">
            <v>827.609,79</v>
          </cell>
          <cell r="D1339" t="str">
            <v>895.846,25</v>
          </cell>
          <cell r="E1339" t="str">
            <v>0,00</v>
          </cell>
          <cell r="F1339" t="str">
            <v>24.384,42</v>
          </cell>
          <cell r="G1339" t="str">
            <v>0,00</v>
          </cell>
          <cell r="H1339" t="str">
            <v>92.620,88</v>
          </cell>
          <cell r="I1339">
            <v>92620.88</v>
          </cell>
          <cell r="J1339" t="str">
            <v>VERIFICAR</v>
          </cell>
        </row>
        <row r="1340">
          <cell r="A1340" t="str">
            <v>2.1.1.1.01.000897</v>
          </cell>
          <cell r="B1340" t="str">
            <v>ITAFER COMERCIO LTDA EPP</v>
          </cell>
          <cell r="C1340" t="str">
            <v>215.705,83</v>
          </cell>
          <cell r="D1340" t="str">
            <v>218.998,85</v>
          </cell>
          <cell r="E1340" t="str">
            <v>4.220,15</v>
          </cell>
          <cell r="F1340" t="str">
            <v>2.687,15</v>
          </cell>
          <cell r="G1340" t="str">
            <v>0,00</v>
          </cell>
          <cell r="H1340" t="str">
            <v>1.760,02</v>
          </cell>
          <cell r="I1340">
            <v>1760.02</v>
          </cell>
          <cell r="J1340" t="str">
            <v>VERIFICAR</v>
          </cell>
        </row>
        <row r="1341">
          <cell r="A1341" t="str">
            <v>2.1.1.1.01.000901</v>
          </cell>
          <cell r="B1341" t="str">
            <v>GOVERNO DO ESTADO DE SAO PAULO</v>
          </cell>
          <cell r="C1341" t="str">
            <v>1.818,12</v>
          </cell>
          <cell r="D1341" t="str">
            <v>520,61</v>
          </cell>
          <cell r="E1341" t="str">
            <v>510,60</v>
          </cell>
          <cell r="F1341" t="str">
            <v>0,00</v>
          </cell>
          <cell r="G1341" t="str">
            <v>1.808,11</v>
          </cell>
          <cell r="H1341" t="str">
            <v>0,00</v>
          </cell>
          <cell r="I1341">
            <v>-1808.11</v>
          </cell>
          <cell r="J1341" t="str">
            <v>VERIFICAR</v>
          </cell>
        </row>
        <row r="1342">
          <cell r="A1342" t="str">
            <v>2.1.1.1.01.000907</v>
          </cell>
          <cell r="B1342" t="str">
            <v>LOGITHINK TECNOLOGIA DA INFORMACAO LTDA</v>
          </cell>
          <cell r="C1342" t="str">
            <v>93.266,76</v>
          </cell>
          <cell r="D1342" t="str">
            <v>93.697,60</v>
          </cell>
          <cell r="E1342" t="str">
            <v>430,84</v>
          </cell>
          <cell r="F1342" t="str">
            <v>430,84</v>
          </cell>
          <cell r="G1342" t="str">
            <v>0,00</v>
          </cell>
          <cell r="H1342" t="str">
            <v>430,84</v>
          </cell>
          <cell r="I1342">
            <v>430.84</v>
          </cell>
          <cell r="J1342" t="str">
            <v>VERIFICAR</v>
          </cell>
        </row>
        <row r="1343">
          <cell r="A1343" t="str">
            <v>2.1.1.1.01.000908</v>
          </cell>
          <cell r="B1343" t="str">
            <v>CEDISA CENTRAL DE ACO S A</v>
          </cell>
          <cell r="C1343" t="str">
            <v>2.386.729,33</v>
          </cell>
          <cell r="D1343" t="str">
            <v>2.386.729,32</v>
          </cell>
          <cell r="E1343" t="str">
            <v>0,00</v>
          </cell>
          <cell r="F1343" t="str">
            <v>0,00</v>
          </cell>
          <cell r="G1343" t="str">
            <v>0,01</v>
          </cell>
          <cell r="H1343" t="str">
            <v>0,00</v>
          </cell>
          <cell r="I1343">
            <v>-0.01</v>
          </cell>
          <cell r="J1343" t="str">
            <v>VERIFICAR</v>
          </cell>
        </row>
        <row r="1344">
          <cell r="A1344" t="str">
            <v>2.1.1.1.01.000959</v>
          </cell>
          <cell r="B1344" t="str">
            <v>BANDEIRANTES DEICMAR LOGISTICA INTEGRADA</v>
          </cell>
          <cell r="C1344" t="str">
            <v>654.787,12</v>
          </cell>
          <cell r="D1344" t="str">
            <v>658.936,43</v>
          </cell>
          <cell r="E1344" t="str">
            <v>5.392,23</v>
          </cell>
          <cell r="F1344" t="str">
            <v>19.667,91</v>
          </cell>
          <cell r="G1344" t="str">
            <v>0,00</v>
          </cell>
          <cell r="H1344" t="str">
            <v>18.424,99</v>
          </cell>
          <cell r="I1344">
            <v>18424.990000000002</v>
          </cell>
          <cell r="J1344" t="str">
            <v>VERIFICAR</v>
          </cell>
        </row>
        <row r="1345">
          <cell r="A1345" t="str">
            <v>2.1.1.1.01.000963</v>
          </cell>
          <cell r="B1345" t="str">
            <v>INSTITUTO NACIONAL DA PROPRIEDADE INDUST</v>
          </cell>
          <cell r="C1345" t="str">
            <v>3.230,00</v>
          </cell>
          <cell r="D1345" t="str">
            <v>140,00</v>
          </cell>
          <cell r="E1345" t="str">
            <v>0,00</v>
          </cell>
          <cell r="F1345" t="str">
            <v>0,00</v>
          </cell>
          <cell r="G1345" t="str">
            <v>3.090,00</v>
          </cell>
          <cell r="H1345" t="str">
            <v>0,00</v>
          </cell>
          <cell r="I1345">
            <v>-3090</v>
          </cell>
          <cell r="J1345" t="str">
            <v>VERIFICAR</v>
          </cell>
        </row>
        <row r="1346">
          <cell r="A1346" t="str">
            <v>2.1.1.1.01.000985</v>
          </cell>
          <cell r="B1346" t="str">
            <v>LUBRIL LUBRIFICANTES LTDA EPP</v>
          </cell>
          <cell r="C1346" t="str">
            <v>30.030,23</v>
          </cell>
          <cell r="D1346" t="str">
            <v>30.030,23</v>
          </cell>
          <cell r="E1346" t="str">
            <v>0,00</v>
          </cell>
          <cell r="F1346" t="str">
            <v>4.275,00</v>
          </cell>
          <cell r="G1346" t="str">
            <v>0,00</v>
          </cell>
          <cell r="H1346" t="str">
            <v>4.275,00</v>
          </cell>
          <cell r="I1346">
            <v>4275</v>
          </cell>
          <cell r="J1346" t="str">
            <v>VERIFICAR</v>
          </cell>
        </row>
        <row r="1347">
          <cell r="A1347" t="str">
            <v>2.1.1.1.01.000986</v>
          </cell>
          <cell r="B1347" t="str">
            <v>CARLOS HENRIQUE FERREIRA RODRIGUES</v>
          </cell>
          <cell r="C1347" t="str">
            <v>491.453,45</v>
          </cell>
          <cell r="D1347" t="str">
            <v>491.782,20</v>
          </cell>
          <cell r="E1347" t="str">
            <v>1.494,90</v>
          </cell>
          <cell r="F1347" t="str">
            <v>1.494,90</v>
          </cell>
          <cell r="G1347" t="str">
            <v>0,00</v>
          </cell>
          <cell r="H1347" t="str">
            <v>328,75</v>
          </cell>
          <cell r="I1347">
            <v>328.75</v>
          </cell>
          <cell r="J1347" t="str">
            <v>VERIFICAR</v>
          </cell>
        </row>
        <row r="1348">
          <cell r="A1348" t="str">
            <v>2.1.1.1.01.000989</v>
          </cell>
          <cell r="B1348" t="str">
            <v>WENIS DA COSTA SILVA</v>
          </cell>
          <cell r="C1348" t="str">
            <v>341.214,74</v>
          </cell>
          <cell r="D1348" t="str">
            <v>340.714,74</v>
          </cell>
          <cell r="E1348" t="str">
            <v>5.012,53</v>
          </cell>
          <cell r="F1348" t="str">
            <v>5.012,53</v>
          </cell>
          <cell r="G1348" t="str">
            <v>500,00</v>
          </cell>
          <cell r="H1348" t="str">
            <v>0,00</v>
          </cell>
          <cell r="I1348">
            <v>-500</v>
          </cell>
          <cell r="J1348" t="str">
            <v>VERIFICAR</v>
          </cell>
        </row>
        <row r="1349">
          <cell r="A1349" t="str">
            <v>2.1.1.1.01.001036</v>
          </cell>
          <cell r="B1349" t="str">
            <v>MOZART RODRIGUES PEDROTI</v>
          </cell>
          <cell r="C1349" t="str">
            <v>392.263,43</v>
          </cell>
          <cell r="D1349" t="str">
            <v>392.263,43</v>
          </cell>
          <cell r="E1349" t="str">
            <v>5.118,58</v>
          </cell>
          <cell r="F1349" t="str">
            <v>5.118,58</v>
          </cell>
          <cell r="G1349" t="str">
            <v>0,00</v>
          </cell>
          <cell r="H1349" t="str">
            <v>0,00</v>
          </cell>
          <cell r="I1349">
            <v>0</v>
          </cell>
          <cell r="J1349" t="str">
            <v>VERIFICAR</v>
          </cell>
        </row>
        <row r="1350">
          <cell r="A1350" t="str">
            <v>2.1.1.1.01.001043</v>
          </cell>
          <cell r="B1350" t="str">
            <v>ORLEANS VIAGENS E TURISMO LTDA ME</v>
          </cell>
          <cell r="C1350" t="str">
            <v>3.722.289,39</v>
          </cell>
          <cell r="D1350" t="str">
            <v>3.722.289,37</v>
          </cell>
          <cell r="E1350" t="str">
            <v>58.572,90</v>
          </cell>
          <cell r="F1350" t="str">
            <v>58.572,90</v>
          </cell>
          <cell r="G1350" t="str">
            <v>0,02</v>
          </cell>
          <cell r="H1350" t="str">
            <v>0,00</v>
          </cell>
          <cell r="I1350">
            <v>-0.02</v>
          </cell>
          <cell r="J1350" t="str">
            <v>VERIFICAR</v>
          </cell>
        </row>
        <row r="1351">
          <cell r="A1351" t="str">
            <v>2.1.1.1.01.001053</v>
          </cell>
          <cell r="B1351" t="str">
            <v>TRIBUNAL DE JUSTICA DE SAO PAULO</v>
          </cell>
          <cell r="C1351" t="str">
            <v>41.830,47</v>
          </cell>
          <cell r="D1351" t="str">
            <v>41.784,60</v>
          </cell>
          <cell r="E1351" t="str">
            <v>11.413,86</v>
          </cell>
          <cell r="F1351" t="str">
            <v>0,00</v>
          </cell>
          <cell r="G1351" t="str">
            <v>11.459,73</v>
          </cell>
          <cell r="H1351" t="str">
            <v>0,00</v>
          </cell>
          <cell r="I1351">
            <v>-11459.73</v>
          </cell>
          <cell r="J1351" t="str">
            <v>VERIFICAR</v>
          </cell>
        </row>
        <row r="1352">
          <cell r="A1352" t="str">
            <v>2.1.1.1.01.001066</v>
          </cell>
          <cell r="B1352" t="str">
            <v>DHL EXPRESS BRAZIL LTDA</v>
          </cell>
          <cell r="C1352" t="str">
            <v>330.073,85</v>
          </cell>
          <cell r="D1352" t="str">
            <v>330.073,85</v>
          </cell>
          <cell r="E1352" t="str">
            <v>4.097,44</v>
          </cell>
          <cell r="F1352" t="str">
            <v>6.007,87</v>
          </cell>
          <cell r="G1352" t="str">
            <v>0,00</v>
          </cell>
          <cell r="H1352" t="str">
            <v>1.910,43</v>
          </cell>
          <cell r="I1352">
            <v>1910.43</v>
          </cell>
          <cell r="J1352" t="str">
            <v>VERIFICAR</v>
          </cell>
        </row>
        <row r="1353">
          <cell r="A1353" t="str">
            <v>2.1.1.1.01.001067</v>
          </cell>
          <cell r="B1353" t="str">
            <v>GIOVANI BABISKI LOBATO</v>
          </cell>
          <cell r="C1353" t="str">
            <v>365.164,42</v>
          </cell>
          <cell r="D1353" t="str">
            <v>365.164,42</v>
          </cell>
          <cell r="E1353" t="str">
            <v>4.217,38</v>
          </cell>
          <cell r="F1353" t="str">
            <v>4.217,38</v>
          </cell>
          <cell r="G1353" t="str">
            <v>0,00</v>
          </cell>
          <cell r="H1353" t="str">
            <v>0,00</v>
          </cell>
          <cell r="I1353">
            <v>0</v>
          </cell>
          <cell r="J1353" t="str">
            <v>VERIFICAR</v>
          </cell>
        </row>
        <row r="1354">
          <cell r="A1354" t="str">
            <v>2.1.1.1.01.001074</v>
          </cell>
          <cell r="B1354" t="str">
            <v>EQUITRONIC EQUIPAMENTOS ELETRONICOS LTDA</v>
          </cell>
          <cell r="C1354" t="str">
            <v>8.320,61</v>
          </cell>
          <cell r="D1354" t="str">
            <v>8.320,61</v>
          </cell>
          <cell r="E1354" t="str">
            <v>149,96</v>
          </cell>
          <cell r="F1354" t="str">
            <v>149,96</v>
          </cell>
          <cell r="G1354" t="str">
            <v>0,00</v>
          </cell>
          <cell r="H1354" t="str">
            <v>0,00</v>
          </cell>
          <cell r="I1354">
            <v>0</v>
          </cell>
          <cell r="J1354" t="str">
            <v>VERIFICAR</v>
          </cell>
        </row>
        <row r="1355">
          <cell r="A1355" t="str">
            <v>2.1.1.1.01.001105</v>
          </cell>
          <cell r="B1355" t="str">
            <v>RODONAVES TRANSP E ENCOMENDAS</v>
          </cell>
          <cell r="C1355" t="str">
            <v>45.866,66</v>
          </cell>
          <cell r="D1355" t="str">
            <v>46.210,52</v>
          </cell>
          <cell r="E1355" t="str">
            <v>343,86</v>
          </cell>
          <cell r="F1355" t="str">
            <v>0,00</v>
          </cell>
          <cell r="G1355" t="str">
            <v>0,00</v>
          </cell>
          <cell r="H1355" t="str">
            <v>0,00</v>
          </cell>
          <cell r="I1355">
            <v>0</v>
          </cell>
          <cell r="J1355" t="str">
            <v>VERIFICAR</v>
          </cell>
        </row>
        <row r="1356">
          <cell r="A1356" t="str">
            <v>2.1.1.1.01.001134</v>
          </cell>
          <cell r="B1356" t="str">
            <v>DHL EXPRESS BRAZIL LTDA</v>
          </cell>
          <cell r="C1356" t="str">
            <v>134.032,05</v>
          </cell>
          <cell r="D1356" t="str">
            <v>134.549,02</v>
          </cell>
          <cell r="E1356" t="str">
            <v>12.848,89</v>
          </cell>
          <cell r="F1356" t="str">
            <v>12.331,92</v>
          </cell>
          <cell r="G1356" t="str">
            <v>0,00</v>
          </cell>
          <cell r="H1356" t="str">
            <v>0,00</v>
          </cell>
          <cell r="I1356">
            <v>0</v>
          </cell>
          <cell r="J1356" t="str">
            <v>VERIFICAR</v>
          </cell>
        </row>
        <row r="1357">
          <cell r="A1357" t="str">
            <v>2.1.1.1.01.001145</v>
          </cell>
          <cell r="B1357" t="str">
            <v>HERMES DO AMARAL PACHECO</v>
          </cell>
          <cell r="C1357" t="str">
            <v>25.235,41</v>
          </cell>
          <cell r="D1357" t="str">
            <v>25.235,41</v>
          </cell>
          <cell r="E1357" t="str">
            <v>1.070,56</v>
          </cell>
          <cell r="F1357" t="str">
            <v>1.070,56</v>
          </cell>
          <cell r="G1357" t="str">
            <v>0,00</v>
          </cell>
          <cell r="H1357" t="str">
            <v>0,00</v>
          </cell>
          <cell r="I1357">
            <v>0</v>
          </cell>
          <cell r="J1357" t="str">
            <v>VERIFICAR</v>
          </cell>
        </row>
        <row r="1358">
          <cell r="A1358" t="str">
            <v>2.1.1.1.01.001151</v>
          </cell>
          <cell r="B1358" t="str">
            <v>DJM INDUSTRIA E COMERCIO LTDA</v>
          </cell>
          <cell r="C1358" t="str">
            <v>1.308.876,86</v>
          </cell>
          <cell r="D1358" t="str">
            <v>1.308.876,86</v>
          </cell>
          <cell r="E1358" t="str">
            <v>13.162,00</v>
          </cell>
          <cell r="F1358" t="str">
            <v>13.162,00</v>
          </cell>
          <cell r="G1358" t="str">
            <v>0,00</v>
          </cell>
          <cell r="H1358" t="str">
            <v>0,00</v>
          </cell>
          <cell r="I1358">
            <v>0</v>
          </cell>
          <cell r="J1358" t="str">
            <v>VERIFICAR</v>
          </cell>
        </row>
        <row r="1359">
          <cell r="A1359" t="str">
            <v>2.1.1.1.01.001166</v>
          </cell>
          <cell r="B1359" t="str">
            <v>INDUSTRIA DE AMORTECEDORES DE VIBRACAO V</v>
          </cell>
          <cell r="C1359" t="str">
            <v>163.783,74</v>
          </cell>
          <cell r="D1359" t="str">
            <v>163.783,74</v>
          </cell>
          <cell r="E1359" t="str">
            <v>7.563,00</v>
          </cell>
          <cell r="F1359" t="str">
            <v>7.563,00</v>
          </cell>
          <cell r="G1359" t="str">
            <v>0,00</v>
          </cell>
          <cell r="H1359" t="str">
            <v>0,00</v>
          </cell>
          <cell r="I1359">
            <v>0</v>
          </cell>
          <cell r="J1359" t="str">
            <v>VERIFICAR</v>
          </cell>
        </row>
        <row r="1360">
          <cell r="A1360" t="str">
            <v>2.1.1.1.01.001172</v>
          </cell>
          <cell r="B1360" t="str">
            <v>LUITEX MAQUINAS E FERRAMENTAS LTDA.</v>
          </cell>
          <cell r="C1360" t="str">
            <v>1.109.601,73</v>
          </cell>
          <cell r="D1360" t="str">
            <v>1.138.948,14</v>
          </cell>
          <cell r="E1360" t="str">
            <v>30.100,85</v>
          </cell>
          <cell r="F1360" t="str">
            <v>23.150,55</v>
          </cell>
          <cell r="G1360" t="str">
            <v>0,00</v>
          </cell>
          <cell r="H1360" t="str">
            <v>22.396,11</v>
          </cell>
          <cell r="I1360">
            <v>22396.11</v>
          </cell>
          <cell r="J1360" t="str">
            <v>VERIFICAR</v>
          </cell>
        </row>
        <row r="1361">
          <cell r="A1361" t="str">
            <v>2.1.1.1.01.001175</v>
          </cell>
          <cell r="B1361" t="str">
            <v>SCANI BENZ PECAS DIESEL LTDA</v>
          </cell>
          <cell r="C1361" t="str">
            <v>80.461,00</v>
          </cell>
          <cell r="D1361" t="str">
            <v>82.711,00</v>
          </cell>
          <cell r="E1361" t="str">
            <v>2.250,00</v>
          </cell>
          <cell r="F1361" t="str">
            <v>0,00</v>
          </cell>
          <cell r="G1361" t="str">
            <v>0,00</v>
          </cell>
          <cell r="H1361" t="str">
            <v>0,00</v>
          </cell>
          <cell r="I1361">
            <v>0</v>
          </cell>
          <cell r="J1361" t="str">
            <v>VERIFICAR</v>
          </cell>
        </row>
        <row r="1362">
          <cell r="A1362" t="str">
            <v>2.1.1.1.01.001194</v>
          </cell>
          <cell r="B1362" t="str">
            <v>SULDMAR IZIDRO DA SILVA</v>
          </cell>
          <cell r="C1362" t="str">
            <v>40.096,75</v>
          </cell>
          <cell r="D1362" t="str">
            <v>41.027,75</v>
          </cell>
          <cell r="E1362" t="str">
            <v>931,00</v>
          </cell>
          <cell r="F1362" t="str">
            <v>0,00</v>
          </cell>
          <cell r="G1362" t="str">
            <v>0,00</v>
          </cell>
          <cell r="H1362" t="str">
            <v>0,00</v>
          </cell>
          <cell r="I1362">
            <v>0</v>
          </cell>
          <cell r="J1362" t="str">
            <v>VERIFICAR</v>
          </cell>
        </row>
        <row r="1363">
          <cell r="A1363" t="str">
            <v>2.1.1.1.01.001218</v>
          </cell>
          <cell r="B1363" t="str">
            <v>IRMAOS PEREIRA COMERCIO E EXPORTACAO DE</v>
          </cell>
          <cell r="C1363" t="str">
            <v>2.769.894,18</v>
          </cell>
          <cell r="D1363" t="str">
            <v>2.769.894,18</v>
          </cell>
          <cell r="E1363" t="str">
            <v>31.533,00</v>
          </cell>
          <cell r="F1363" t="str">
            <v>31.533,00</v>
          </cell>
          <cell r="G1363" t="str">
            <v>0,00</v>
          </cell>
          <cell r="H1363" t="str">
            <v>0,00</v>
          </cell>
          <cell r="I1363">
            <v>0</v>
          </cell>
          <cell r="J1363" t="str">
            <v>VERIFICAR</v>
          </cell>
        </row>
        <row r="1364">
          <cell r="A1364" t="str">
            <v>2.1.1.1.01.001223</v>
          </cell>
          <cell r="B1364" t="str">
            <v>CONTATO TELECOMUNICACOES LTDA</v>
          </cell>
          <cell r="C1364" t="str">
            <v>19.333,40</v>
          </cell>
          <cell r="D1364" t="str">
            <v>19.333,40</v>
          </cell>
          <cell r="E1364" t="str">
            <v>200,46</v>
          </cell>
          <cell r="F1364" t="str">
            <v>234,44</v>
          </cell>
          <cell r="G1364" t="str">
            <v>0,00</v>
          </cell>
          <cell r="H1364" t="str">
            <v>33,98</v>
          </cell>
          <cell r="I1364">
            <v>33.979999999999997</v>
          </cell>
          <cell r="J1364" t="str">
            <v>VERIFICAR</v>
          </cell>
        </row>
        <row r="1365">
          <cell r="A1365" t="str">
            <v>2.1.1.1.01.001225</v>
          </cell>
          <cell r="B1365" t="str">
            <v>TGA TECH GESTAO AMBIENTAL LIMITADA</v>
          </cell>
          <cell r="C1365" t="str">
            <v>155.738,85</v>
          </cell>
          <cell r="D1365" t="str">
            <v>155.738,85</v>
          </cell>
          <cell r="E1365" t="str">
            <v>2.407,04</v>
          </cell>
          <cell r="F1365" t="str">
            <v>2.407,04</v>
          </cell>
          <cell r="G1365" t="str">
            <v>0,00</v>
          </cell>
          <cell r="H1365" t="str">
            <v>0,00</v>
          </cell>
          <cell r="I1365">
            <v>0</v>
          </cell>
          <cell r="J1365" t="str">
            <v>VERIFICAR</v>
          </cell>
        </row>
        <row r="1366">
          <cell r="A1366" t="str">
            <v>2.1.1.1.01.001230</v>
          </cell>
          <cell r="B1366" t="str">
            <v>PLASTIRUBBER HORTOBOR LTDA</v>
          </cell>
          <cell r="C1366" t="str">
            <v>39.864,63</v>
          </cell>
          <cell r="D1366" t="str">
            <v>39.864,62</v>
          </cell>
          <cell r="E1366" t="str">
            <v>0,00</v>
          </cell>
          <cell r="F1366" t="str">
            <v>0,00</v>
          </cell>
          <cell r="G1366" t="str">
            <v>0,01</v>
          </cell>
          <cell r="H1366" t="str">
            <v>0,00</v>
          </cell>
          <cell r="I1366">
            <v>-0.01</v>
          </cell>
          <cell r="J1366" t="str">
            <v>VERIFICAR</v>
          </cell>
        </row>
        <row r="1367">
          <cell r="A1367" t="str">
            <v>2.1.1.1.01.001235</v>
          </cell>
          <cell r="B1367" t="str">
            <v>AMARILDO PEREIRA - COMUNICACAO VISUAL</v>
          </cell>
          <cell r="C1367" t="str">
            <v>32.631,80</v>
          </cell>
          <cell r="D1367" t="str">
            <v>34.955,05</v>
          </cell>
          <cell r="E1367" t="str">
            <v>2.940,61</v>
          </cell>
          <cell r="F1367" t="str">
            <v>714,73</v>
          </cell>
          <cell r="G1367" t="str">
            <v>0,00</v>
          </cell>
          <cell r="H1367" t="str">
            <v>97,37</v>
          </cell>
          <cell r="I1367">
            <v>97.37</v>
          </cell>
          <cell r="J1367" t="str">
            <v>VERIFICAR</v>
          </cell>
        </row>
        <row r="1368">
          <cell r="A1368" t="str">
            <v>2.1.1.1.01.001236</v>
          </cell>
          <cell r="B1368" t="str">
            <v>SUPERMERCADO BIAZOTO LTDA</v>
          </cell>
          <cell r="C1368" t="str">
            <v>330.065,94</v>
          </cell>
          <cell r="D1368" t="str">
            <v>330.413,97</v>
          </cell>
          <cell r="E1368" t="str">
            <v>348,03</v>
          </cell>
          <cell r="F1368" t="str">
            <v>0,00</v>
          </cell>
          <cell r="G1368" t="str">
            <v>0,00</v>
          </cell>
          <cell r="H1368" t="str">
            <v>0,00</v>
          </cell>
          <cell r="I1368">
            <v>0</v>
          </cell>
          <cell r="J1368" t="str">
            <v>VERIFICAR</v>
          </cell>
        </row>
        <row r="1369">
          <cell r="A1369" t="str">
            <v>2.1.1.1.01.001253</v>
          </cell>
          <cell r="B1369" t="str">
            <v>ANDRE PAVESI VUOLO &amp; CIA.LTDA</v>
          </cell>
          <cell r="C1369" t="str">
            <v>38.658,70</v>
          </cell>
          <cell r="D1369" t="str">
            <v>38.658,70</v>
          </cell>
          <cell r="E1369" t="str">
            <v>495,00</v>
          </cell>
          <cell r="F1369" t="str">
            <v>495,00</v>
          </cell>
          <cell r="G1369" t="str">
            <v>0,00</v>
          </cell>
          <cell r="H1369" t="str">
            <v>0,00</v>
          </cell>
          <cell r="I1369">
            <v>0</v>
          </cell>
          <cell r="J1369" t="str">
            <v>VERIFICAR</v>
          </cell>
        </row>
        <row r="1370">
          <cell r="A1370" t="str">
            <v>2.1.1.1.01.001254</v>
          </cell>
          <cell r="B1370" t="str">
            <v>DEOLINDO GABRIEL ARCANJO</v>
          </cell>
          <cell r="C1370" t="str">
            <v>62.401,08</v>
          </cell>
          <cell r="D1370" t="str">
            <v>62.401,08</v>
          </cell>
          <cell r="E1370" t="str">
            <v>2.074,27</v>
          </cell>
          <cell r="F1370" t="str">
            <v>2.074,27</v>
          </cell>
          <cell r="G1370" t="str">
            <v>0,00</v>
          </cell>
          <cell r="H1370" t="str">
            <v>0,00</v>
          </cell>
          <cell r="I1370">
            <v>0</v>
          </cell>
          <cell r="J1370" t="str">
            <v>VERIFICAR</v>
          </cell>
        </row>
        <row r="1371">
          <cell r="A1371" t="str">
            <v>2.1.1.1.01.001257</v>
          </cell>
          <cell r="B1371" t="str">
            <v>POLAR MAQUINAS E MOTORES LTDA. E P P</v>
          </cell>
          <cell r="C1371" t="str">
            <v>423.945,56</v>
          </cell>
          <cell r="D1371" t="str">
            <v>426.243,36</v>
          </cell>
          <cell r="E1371" t="str">
            <v>2.297,76</v>
          </cell>
          <cell r="F1371" t="str">
            <v>0,00</v>
          </cell>
          <cell r="G1371" t="str">
            <v>0,00</v>
          </cell>
          <cell r="H1371" t="str">
            <v>0,04</v>
          </cell>
          <cell r="I1371">
            <v>0.04</v>
          </cell>
          <cell r="J1371" t="str">
            <v>VERIFICAR</v>
          </cell>
        </row>
        <row r="1372">
          <cell r="A1372" t="str">
            <v>2.1.1.1.01.001291</v>
          </cell>
          <cell r="B1372" t="str">
            <v>C. DE ASSIS SELEGATO AUTO PECAS</v>
          </cell>
          <cell r="C1372" t="str">
            <v>50.332,17</v>
          </cell>
          <cell r="D1372" t="str">
            <v>50.628,33</v>
          </cell>
          <cell r="E1372" t="str">
            <v>296,16</v>
          </cell>
          <cell r="F1372" t="str">
            <v>73,96</v>
          </cell>
          <cell r="G1372" t="str">
            <v>0,00</v>
          </cell>
          <cell r="H1372" t="str">
            <v>73,96</v>
          </cell>
          <cell r="I1372">
            <v>73.959999999999994</v>
          </cell>
          <cell r="J1372" t="str">
            <v>VERIFICAR</v>
          </cell>
        </row>
        <row r="1373">
          <cell r="A1373" t="str">
            <v>2.1.1.1.01.001296</v>
          </cell>
          <cell r="B1373" t="str">
            <v>FERROS E ACOS GUACU LTDA</v>
          </cell>
          <cell r="C1373" t="str">
            <v>124.074,29</v>
          </cell>
          <cell r="D1373" t="str">
            <v>124.074,26</v>
          </cell>
          <cell r="E1373" t="str">
            <v>0,00</v>
          </cell>
          <cell r="F1373" t="str">
            <v>0,00</v>
          </cell>
          <cell r="G1373" t="str">
            <v>0,03</v>
          </cell>
          <cell r="H1373" t="str">
            <v>0,00</v>
          </cell>
          <cell r="I1373">
            <v>-0.03</v>
          </cell>
          <cell r="J1373" t="str">
            <v>VERIFICAR</v>
          </cell>
        </row>
        <row r="1374">
          <cell r="A1374" t="str">
            <v>2.1.1.1.01.001297</v>
          </cell>
          <cell r="B1374" t="str">
            <v>PREFEITURA MUNICIPAL DE CACHOEIRO DE ITA</v>
          </cell>
          <cell r="C1374" t="str">
            <v>18.685,29</v>
          </cell>
          <cell r="D1374" t="str">
            <v>4.227,28</v>
          </cell>
          <cell r="E1374" t="str">
            <v>527,73</v>
          </cell>
          <cell r="F1374" t="str">
            <v>0,00</v>
          </cell>
          <cell r="G1374" t="str">
            <v>14.985,74</v>
          </cell>
          <cell r="H1374" t="str">
            <v>0,00</v>
          </cell>
          <cell r="I1374">
            <v>-14985.74</v>
          </cell>
          <cell r="J1374" t="str">
            <v>VERIFICAR</v>
          </cell>
        </row>
        <row r="1375">
          <cell r="A1375" t="str">
            <v>2.1.1.1.01.001305</v>
          </cell>
          <cell r="B1375" t="str">
            <v>LUBTOLL PRODUTOS QUIMICOS INDUSTRIAIS EI</v>
          </cell>
          <cell r="C1375" t="str">
            <v>229.214,93</v>
          </cell>
          <cell r="D1375" t="str">
            <v>234.054,13</v>
          </cell>
          <cell r="E1375" t="str">
            <v>4.839,20</v>
          </cell>
          <cell r="F1375" t="str">
            <v>11.570,00</v>
          </cell>
          <cell r="G1375" t="str">
            <v>0,00</v>
          </cell>
          <cell r="H1375" t="str">
            <v>11.570,00</v>
          </cell>
          <cell r="I1375">
            <v>11570</v>
          </cell>
          <cell r="J1375" t="str">
            <v>VERIFICAR</v>
          </cell>
        </row>
        <row r="1376">
          <cell r="A1376" t="str">
            <v>2.1.1.1.01.001310</v>
          </cell>
          <cell r="B1376" t="str">
            <v>RICAMBI COMERCIO DE PECAS PARA TRATORES</v>
          </cell>
          <cell r="C1376" t="str">
            <v>96.695,66</v>
          </cell>
          <cell r="D1376" t="str">
            <v>97.190,42</v>
          </cell>
          <cell r="E1376" t="str">
            <v>494,76</v>
          </cell>
          <cell r="F1376" t="str">
            <v>0,00</v>
          </cell>
          <cell r="G1376" t="str">
            <v>0,00</v>
          </cell>
          <cell r="H1376" t="str">
            <v>0,00</v>
          </cell>
          <cell r="I1376">
            <v>0</v>
          </cell>
          <cell r="J1376" t="str">
            <v>VERIFICAR</v>
          </cell>
        </row>
        <row r="1377">
          <cell r="A1377" t="str">
            <v>2.1.1.1.01.001316</v>
          </cell>
          <cell r="B1377" t="str">
            <v>ELESYS SISTEMAS ELETRICOS LTDA</v>
          </cell>
          <cell r="C1377" t="str">
            <v>40.222,36</v>
          </cell>
          <cell r="D1377" t="str">
            <v>40.222,35</v>
          </cell>
          <cell r="E1377" t="str">
            <v>0,00</v>
          </cell>
          <cell r="F1377" t="str">
            <v>0,00</v>
          </cell>
          <cell r="G1377" t="str">
            <v>0,01</v>
          </cell>
          <cell r="H1377" t="str">
            <v>0,00</v>
          </cell>
          <cell r="I1377">
            <v>-0.01</v>
          </cell>
          <cell r="J1377" t="str">
            <v>VERIFICAR</v>
          </cell>
        </row>
        <row r="1378">
          <cell r="A1378" t="str">
            <v>2.1.1.1.01.001328</v>
          </cell>
          <cell r="B1378" t="str">
            <v>JEFFERSON DOUGLAS SILVA GOMES</v>
          </cell>
          <cell r="C1378" t="str">
            <v>336.845,56</v>
          </cell>
          <cell r="D1378" t="str">
            <v>334.432,83</v>
          </cell>
          <cell r="E1378" t="str">
            <v>3.359,73</v>
          </cell>
          <cell r="F1378" t="str">
            <v>3.359,73</v>
          </cell>
          <cell r="G1378" t="str">
            <v>2.412,73</v>
          </cell>
          <cell r="H1378" t="str">
            <v>0,00</v>
          </cell>
          <cell r="I1378">
            <v>-2412.73</v>
          </cell>
          <cell r="J1378" t="str">
            <v>VERIFICAR</v>
          </cell>
        </row>
        <row r="1379">
          <cell r="A1379" t="str">
            <v>2.1.1.1.01.001333</v>
          </cell>
          <cell r="B1379" t="str">
            <v>CONSELHO REGIONAL DE ENGENHARIA E AGRONO</v>
          </cell>
          <cell r="C1379" t="str">
            <v>1.149,13</v>
          </cell>
          <cell r="D1379" t="str">
            <v>0,00</v>
          </cell>
          <cell r="E1379" t="str">
            <v>108,39</v>
          </cell>
          <cell r="F1379" t="str">
            <v>0,00</v>
          </cell>
          <cell r="G1379" t="str">
            <v>1.257,52</v>
          </cell>
          <cell r="H1379" t="str">
            <v>0,00</v>
          </cell>
          <cell r="I1379">
            <v>-1257.52</v>
          </cell>
          <cell r="J1379" t="str">
            <v>VERIFICAR</v>
          </cell>
        </row>
        <row r="1380">
          <cell r="A1380" t="str">
            <v>2.1.1.1.01.001338</v>
          </cell>
          <cell r="B1380" t="str">
            <v>IMPOSTOS IMPORTACAO</v>
          </cell>
          <cell r="C1380" t="str">
            <v>15.190.430,48</v>
          </cell>
          <cell r="D1380" t="str">
            <v>14.926.217,60</v>
          </cell>
          <cell r="E1380" t="str">
            <v>259.932,53</v>
          </cell>
          <cell r="F1380" t="str">
            <v>259.932,53</v>
          </cell>
          <cell r="G1380" t="str">
            <v>264.212,88</v>
          </cell>
          <cell r="H1380" t="str">
            <v>0,00</v>
          </cell>
          <cell r="I1380">
            <v>-264212.88</v>
          </cell>
          <cell r="J1380" t="str">
            <v>VERIFICAR</v>
          </cell>
        </row>
        <row r="1381">
          <cell r="A1381" t="str">
            <v>2.1.1.1.01.001370</v>
          </cell>
          <cell r="B1381" t="str">
            <v>SOUFER INDUSTRIAL LTDA.</v>
          </cell>
          <cell r="C1381" t="str">
            <v>2.374.298,12</v>
          </cell>
          <cell r="D1381" t="str">
            <v>2.381.728,80</v>
          </cell>
          <cell r="E1381" t="str">
            <v>7.430,65</v>
          </cell>
          <cell r="F1381" t="str">
            <v>50.568,76</v>
          </cell>
          <cell r="G1381" t="str">
            <v>0,00</v>
          </cell>
          <cell r="H1381" t="str">
            <v>50.568,79</v>
          </cell>
          <cell r="I1381">
            <v>50568.79</v>
          </cell>
          <cell r="J1381" t="str">
            <v>VERIFICAR</v>
          </cell>
        </row>
        <row r="1382">
          <cell r="A1382" t="str">
            <v>2.1.1.1.01.001372</v>
          </cell>
          <cell r="B1382" t="str">
            <v>MONTEJANI &amp; FILHOS LTDA</v>
          </cell>
          <cell r="C1382" t="str">
            <v>353.063,31</v>
          </cell>
          <cell r="D1382" t="str">
            <v>355.937,71</v>
          </cell>
          <cell r="E1382" t="str">
            <v>11.499,88</v>
          </cell>
          <cell r="F1382" t="str">
            <v>8.625,48</v>
          </cell>
          <cell r="G1382" t="str">
            <v>0,00</v>
          </cell>
          <cell r="H1382" t="str">
            <v>0,00</v>
          </cell>
          <cell r="I1382">
            <v>0</v>
          </cell>
          <cell r="J1382" t="str">
            <v>VERIFICAR</v>
          </cell>
        </row>
        <row r="1383">
          <cell r="A1383" t="str">
            <v>2.1.1.1.01.001380</v>
          </cell>
          <cell r="B1383" t="str">
            <v>PREFEITURA MUNICIPAL DE ESPIRITO SANTO D</v>
          </cell>
          <cell r="C1383" t="str">
            <v>125.531,72</v>
          </cell>
          <cell r="D1383" t="str">
            <v>47.676,16</v>
          </cell>
          <cell r="E1383" t="str">
            <v>0,00</v>
          </cell>
          <cell r="F1383" t="str">
            <v>0,00</v>
          </cell>
          <cell r="G1383" t="str">
            <v>77.855,56</v>
          </cell>
          <cell r="H1383" t="str">
            <v>0,00</v>
          </cell>
          <cell r="I1383">
            <v>-77855.56</v>
          </cell>
          <cell r="J1383" t="str">
            <v>VERIFICAR</v>
          </cell>
        </row>
        <row r="1384">
          <cell r="A1384" t="str">
            <v>2.1.1.1.01.001399</v>
          </cell>
          <cell r="B1384" t="str">
            <v>CLAUDIO R.NORONHA &amp; CIA. LTDA</v>
          </cell>
          <cell r="C1384" t="str">
            <v>264.358,13</v>
          </cell>
          <cell r="D1384" t="str">
            <v>267.703,60</v>
          </cell>
          <cell r="E1384" t="str">
            <v>6.554,13</v>
          </cell>
          <cell r="F1384" t="str">
            <v>3.208,66</v>
          </cell>
          <cell r="G1384" t="str">
            <v>0,00</v>
          </cell>
          <cell r="H1384" t="str">
            <v>0,00</v>
          </cell>
          <cell r="I1384">
            <v>0</v>
          </cell>
          <cell r="J1384" t="str">
            <v>VERIFICAR</v>
          </cell>
        </row>
        <row r="1385">
          <cell r="A1385" t="str">
            <v>2.1.1.1.01.001414</v>
          </cell>
          <cell r="B1385" t="str">
            <v>SILVA &amp; MORGAO LTDA</v>
          </cell>
          <cell r="C1385" t="str">
            <v>168.735,50</v>
          </cell>
          <cell r="D1385" t="str">
            <v>169.373,00</v>
          </cell>
          <cell r="E1385" t="str">
            <v>637,50</v>
          </cell>
          <cell r="F1385" t="str">
            <v>0,00</v>
          </cell>
          <cell r="G1385" t="str">
            <v>0,00</v>
          </cell>
          <cell r="H1385" t="str">
            <v>0,00</v>
          </cell>
          <cell r="I1385">
            <v>0</v>
          </cell>
          <cell r="J1385" t="str">
            <v>VERIFICAR</v>
          </cell>
        </row>
        <row r="1386">
          <cell r="A1386" t="str">
            <v>2.1.1.1.01.001417</v>
          </cell>
          <cell r="B1386" t="str">
            <v>ACT - SISTEMAS HIDRAULICOS LTDA</v>
          </cell>
          <cell r="C1386" t="str">
            <v>746.619,18</v>
          </cell>
          <cell r="D1386" t="str">
            <v>752.134,55</v>
          </cell>
          <cell r="E1386" t="str">
            <v>5.515,37</v>
          </cell>
          <cell r="F1386" t="str">
            <v>0,00</v>
          </cell>
          <cell r="G1386" t="str">
            <v>0,00</v>
          </cell>
          <cell r="H1386" t="str">
            <v>0,00</v>
          </cell>
          <cell r="I1386">
            <v>0</v>
          </cell>
          <cell r="J1386" t="str">
            <v>VERIFICAR</v>
          </cell>
        </row>
        <row r="1387">
          <cell r="A1387" t="str">
            <v>2.1.1.1.01.001418</v>
          </cell>
          <cell r="B1387" t="str">
            <v>ROGERIO LEAL ARAUJO</v>
          </cell>
          <cell r="C1387" t="str">
            <v>8.234,28</v>
          </cell>
          <cell r="D1387" t="str">
            <v>8.234,28</v>
          </cell>
          <cell r="E1387" t="str">
            <v>53,88</v>
          </cell>
          <cell r="F1387" t="str">
            <v>53,88</v>
          </cell>
          <cell r="G1387" t="str">
            <v>0,00</v>
          </cell>
          <cell r="H1387" t="str">
            <v>0,00</v>
          </cell>
          <cell r="I1387">
            <v>0</v>
          </cell>
          <cell r="J1387" t="str">
            <v>VERIFICAR</v>
          </cell>
        </row>
        <row r="1388">
          <cell r="A1388" t="str">
            <v>2.1.1.1.01.001422</v>
          </cell>
          <cell r="B1388" t="str">
            <v>TELEMIDIA SISTEMA DE TELECOMUNICACAO</v>
          </cell>
          <cell r="C1388" t="str">
            <v>170.855,79</v>
          </cell>
          <cell r="D1388" t="str">
            <v>170.855,79</v>
          </cell>
          <cell r="E1388" t="str">
            <v>2.000,00</v>
          </cell>
          <cell r="F1388" t="str">
            <v>2.000,00</v>
          </cell>
          <cell r="G1388" t="str">
            <v>0,00</v>
          </cell>
          <cell r="H1388" t="str">
            <v>0,00</v>
          </cell>
          <cell r="I1388">
            <v>0</v>
          </cell>
          <cell r="J1388" t="str">
            <v>VERIFICAR</v>
          </cell>
        </row>
        <row r="1389">
          <cell r="A1389" t="str">
            <v>2.1.1.1.01.001431</v>
          </cell>
          <cell r="B1389" t="str">
            <v>BRK AMBIENTAL - CACHOEIRO DE ITAPEMIRIM</v>
          </cell>
          <cell r="C1389" t="str">
            <v>27.722,73</v>
          </cell>
          <cell r="D1389" t="str">
            <v>27.722,73</v>
          </cell>
          <cell r="E1389" t="str">
            <v>213,60</v>
          </cell>
          <cell r="F1389" t="str">
            <v>213,60</v>
          </cell>
          <cell r="G1389" t="str">
            <v>0,00</v>
          </cell>
          <cell r="H1389" t="str">
            <v>0,00</v>
          </cell>
          <cell r="I1389">
            <v>0</v>
          </cell>
          <cell r="J1389" t="str">
            <v>VERIFICAR</v>
          </cell>
        </row>
        <row r="1390">
          <cell r="A1390" t="str">
            <v>2.1.1.1.01.001436</v>
          </cell>
          <cell r="B1390" t="str">
            <v>MEGAROL ROLAMENTOS E PECAS LTDA</v>
          </cell>
          <cell r="C1390" t="str">
            <v>14.709,00</v>
          </cell>
          <cell r="D1390" t="str">
            <v>14.959,00</v>
          </cell>
          <cell r="E1390" t="str">
            <v>250,00</v>
          </cell>
          <cell r="F1390" t="str">
            <v>0,00</v>
          </cell>
          <cell r="G1390" t="str">
            <v>0,00</v>
          </cell>
          <cell r="H1390" t="str">
            <v>0,00</v>
          </cell>
          <cell r="I1390">
            <v>0</v>
          </cell>
          <cell r="J1390" t="str">
            <v>VERIFICAR</v>
          </cell>
        </row>
        <row r="1391">
          <cell r="A1391" t="str">
            <v>2.1.1.1.01.001461</v>
          </cell>
          <cell r="B1391" t="str">
            <v>GUMAPLASTIC-ARTEF BORRACHA PLASTICOS LT</v>
          </cell>
          <cell r="C1391" t="str">
            <v>169.130,50</v>
          </cell>
          <cell r="D1391" t="str">
            <v>181.603,01</v>
          </cell>
          <cell r="E1391" t="str">
            <v>12.472,51</v>
          </cell>
          <cell r="F1391" t="str">
            <v>0,00</v>
          </cell>
          <cell r="G1391" t="str">
            <v>0,00</v>
          </cell>
          <cell r="H1391" t="str">
            <v>0,00</v>
          </cell>
          <cell r="I1391">
            <v>0</v>
          </cell>
          <cell r="J1391" t="str">
            <v>VERIFICAR</v>
          </cell>
        </row>
        <row r="1392">
          <cell r="A1392" t="str">
            <v>2.1.1.1.01.001469</v>
          </cell>
          <cell r="B1392" t="str">
            <v>R L ARAUJO - ME</v>
          </cell>
          <cell r="C1392" t="str">
            <v>488.875,89</v>
          </cell>
          <cell r="D1392" t="str">
            <v>488.875,89</v>
          </cell>
          <cell r="E1392" t="str">
            <v>13.000,00</v>
          </cell>
          <cell r="F1392" t="str">
            <v>13.000,00</v>
          </cell>
          <cell r="G1392" t="str">
            <v>0,00</v>
          </cell>
          <cell r="H1392" t="str">
            <v>0,00</v>
          </cell>
          <cell r="I1392">
            <v>0</v>
          </cell>
          <cell r="J1392" t="str">
            <v>VERIFICAR</v>
          </cell>
        </row>
        <row r="1393">
          <cell r="A1393" t="str">
            <v>2.1.1.1.01.001473</v>
          </cell>
          <cell r="B1393" t="str">
            <v>LUCIANA CRISTINA RUOCCO</v>
          </cell>
          <cell r="C1393" t="str">
            <v>105.712,22</v>
          </cell>
          <cell r="D1393" t="str">
            <v>106.440,88</v>
          </cell>
          <cell r="E1393" t="str">
            <v>1.136,86</v>
          </cell>
          <cell r="F1393" t="str">
            <v>1.016,01</v>
          </cell>
          <cell r="G1393" t="str">
            <v>0,00</v>
          </cell>
          <cell r="H1393" t="str">
            <v>607,81</v>
          </cell>
          <cell r="I1393">
            <v>607.80999999999995</v>
          </cell>
          <cell r="J1393" t="str">
            <v>VERIFICAR</v>
          </cell>
        </row>
        <row r="1394">
          <cell r="A1394" t="str">
            <v>2.1.1.1.01.001476</v>
          </cell>
          <cell r="B1394" t="str">
            <v>FUNDICAO MADEMIL LTDA</v>
          </cell>
          <cell r="C1394" t="str">
            <v>1.060.605,44</v>
          </cell>
          <cell r="D1394" t="str">
            <v>1.081.694,50</v>
          </cell>
          <cell r="E1394" t="str">
            <v>21.088,95</v>
          </cell>
          <cell r="F1394" t="str">
            <v>0,00</v>
          </cell>
          <cell r="G1394" t="str">
            <v>0,00</v>
          </cell>
          <cell r="H1394" t="str">
            <v>0,11</v>
          </cell>
          <cell r="I1394">
            <v>0.11</v>
          </cell>
          <cell r="J1394" t="str">
            <v>VERIFICAR</v>
          </cell>
        </row>
        <row r="1395">
          <cell r="A1395" t="str">
            <v>2.1.1.1.01.001478</v>
          </cell>
          <cell r="B1395" t="str">
            <v>TRANSFORMADORES MINUZZI LTDA</v>
          </cell>
          <cell r="C1395" t="str">
            <v>482.792,29</v>
          </cell>
          <cell r="D1395" t="str">
            <v>494.330,29</v>
          </cell>
          <cell r="E1395" t="str">
            <v>12.906,78</v>
          </cell>
          <cell r="F1395" t="str">
            <v>3.126,03</v>
          </cell>
          <cell r="G1395" t="str">
            <v>0,00</v>
          </cell>
          <cell r="H1395" t="str">
            <v>1.757,25</v>
          </cell>
          <cell r="I1395">
            <v>1757.25</v>
          </cell>
          <cell r="J1395" t="str">
            <v>VERIFICAR</v>
          </cell>
        </row>
        <row r="1396">
          <cell r="A1396" t="str">
            <v>2.1.1.1.01.001503</v>
          </cell>
          <cell r="B1396" t="str">
            <v>KAIO ROCHA DOS SANTOS</v>
          </cell>
          <cell r="C1396" t="str">
            <v>48.956,23</v>
          </cell>
          <cell r="D1396" t="str">
            <v>48.956,23</v>
          </cell>
          <cell r="E1396" t="str">
            <v>999,46</v>
          </cell>
          <cell r="F1396" t="str">
            <v>999,46</v>
          </cell>
          <cell r="G1396" t="str">
            <v>0,00</v>
          </cell>
          <cell r="H1396" t="str">
            <v>0,00</v>
          </cell>
          <cell r="I1396">
            <v>0</v>
          </cell>
          <cell r="J1396" t="str">
            <v>VERIFICAR</v>
          </cell>
        </row>
        <row r="1397">
          <cell r="A1397" t="str">
            <v>2.1.1.1.01.001521</v>
          </cell>
          <cell r="B1397" t="str">
            <v>JOSE OSVALDO LOPES</v>
          </cell>
          <cell r="C1397" t="str">
            <v>18.850,00</v>
          </cell>
          <cell r="D1397" t="str">
            <v>19.030,00</v>
          </cell>
          <cell r="E1397" t="str">
            <v>180,00</v>
          </cell>
          <cell r="F1397" t="str">
            <v>0,00</v>
          </cell>
          <cell r="G1397" t="str">
            <v>0,00</v>
          </cell>
          <cell r="H1397" t="str">
            <v>0,00</v>
          </cell>
          <cell r="I1397">
            <v>0</v>
          </cell>
          <cell r="J1397" t="str">
            <v>VERIFICAR</v>
          </cell>
        </row>
        <row r="1398">
          <cell r="A1398" t="str">
            <v>2.1.1.1.01.001522</v>
          </cell>
          <cell r="B1398" t="str">
            <v>MAQUINAS AGRICOLAS JACTO S/A</v>
          </cell>
          <cell r="C1398" t="str">
            <v>197.812,37</v>
          </cell>
          <cell r="D1398" t="str">
            <v>197.812,39</v>
          </cell>
          <cell r="E1398" t="str">
            <v>5.484,91</v>
          </cell>
          <cell r="F1398" t="str">
            <v>9.872,04</v>
          </cell>
          <cell r="G1398" t="str">
            <v>0,00</v>
          </cell>
          <cell r="H1398" t="str">
            <v>4.387,15</v>
          </cell>
          <cell r="I1398">
            <v>4387.1499999999996</v>
          </cell>
          <cell r="J1398" t="str">
            <v>VERIFICAR</v>
          </cell>
        </row>
        <row r="1399">
          <cell r="A1399" t="str">
            <v>2.1.1.1.01.001552</v>
          </cell>
          <cell r="B1399" t="str">
            <v>ZOBE ASSISTENCIA TECNICA LTDA.</v>
          </cell>
          <cell r="C1399" t="str">
            <v>16.697,55</v>
          </cell>
          <cell r="D1399" t="str">
            <v>16.697,55</v>
          </cell>
          <cell r="E1399" t="str">
            <v>0,00</v>
          </cell>
          <cell r="F1399" t="str">
            <v>401,70</v>
          </cell>
          <cell r="G1399" t="str">
            <v>0,00</v>
          </cell>
          <cell r="H1399" t="str">
            <v>401,70</v>
          </cell>
          <cell r="I1399">
            <v>401.7</v>
          </cell>
          <cell r="J1399" t="str">
            <v>VERIFICAR</v>
          </cell>
        </row>
        <row r="1400">
          <cell r="A1400" t="str">
            <v>2.1.1.1.01.001553</v>
          </cell>
          <cell r="B1400" t="str">
            <v>BORLEME COMERCIAL LTDA</v>
          </cell>
          <cell r="C1400" t="str">
            <v>172.092,56</v>
          </cell>
          <cell r="D1400" t="str">
            <v>172.092,56</v>
          </cell>
          <cell r="E1400" t="str">
            <v>0,00</v>
          </cell>
          <cell r="F1400" t="str">
            <v>150,00</v>
          </cell>
          <cell r="G1400" t="str">
            <v>0,00</v>
          </cell>
          <cell r="H1400" t="str">
            <v>150,00</v>
          </cell>
          <cell r="I1400">
            <v>150</v>
          </cell>
          <cell r="J1400" t="str">
            <v>VERIFICAR</v>
          </cell>
        </row>
        <row r="1401">
          <cell r="A1401" t="str">
            <v>2.1.1.1.01.001566</v>
          </cell>
          <cell r="B1401" t="str">
            <v>EDSON COMERCIO DE PECAS LTDA</v>
          </cell>
          <cell r="C1401" t="str">
            <v>36.429,64</v>
          </cell>
          <cell r="D1401" t="str">
            <v>36.429,64</v>
          </cell>
          <cell r="E1401" t="str">
            <v>1.061,60</v>
          </cell>
          <cell r="F1401" t="str">
            <v>1.061,60</v>
          </cell>
          <cell r="G1401" t="str">
            <v>0,00</v>
          </cell>
          <cell r="H1401" t="str">
            <v>0,00</v>
          </cell>
          <cell r="I1401">
            <v>0</v>
          </cell>
          <cell r="J1401" t="str">
            <v>VERIFICAR</v>
          </cell>
        </row>
        <row r="1402">
          <cell r="A1402" t="str">
            <v>2.1.1.1.01.001607</v>
          </cell>
          <cell r="B1402" t="str">
            <v>FW  DISTRIBUIDORA LTDA</v>
          </cell>
          <cell r="C1402" t="str">
            <v>60.884,02</v>
          </cell>
          <cell r="D1402" t="str">
            <v>62.141,30</v>
          </cell>
          <cell r="E1402" t="str">
            <v>3.300,94</v>
          </cell>
          <cell r="F1402" t="str">
            <v>2.043,66</v>
          </cell>
          <cell r="G1402" t="str">
            <v>0,00</v>
          </cell>
          <cell r="H1402" t="str">
            <v>0,00</v>
          </cell>
          <cell r="I1402">
            <v>0</v>
          </cell>
          <cell r="J1402" t="str">
            <v>VERIFICAR</v>
          </cell>
        </row>
        <row r="1403">
          <cell r="A1403" t="str">
            <v>2.1.1.1.01.001609</v>
          </cell>
          <cell r="B1403" t="str">
            <v>BELTON AUTOMACAO PNEUMATICA LTDA</v>
          </cell>
          <cell r="C1403" t="str">
            <v>58.197,28</v>
          </cell>
          <cell r="D1403" t="str">
            <v>59.491,04</v>
          </cell>
          <cell r="E1403" t="str">
            <v>1.293,76</v>
          </cell>
          <cell r="F1403" t="str">
            <v>0,00</v>
          </cell>
          <cell r="G1403" t="str">
            <v>0,00</v>
          </cell>
          <cell r="H1403" t="str">
            <v>0,00</v>
          </cell>
          <cell r="I1403">
            <v>0</v>
          </cell>
          <cell r="J1403" t="str">
            <v>VERIFICAR</v>
          </cell>
        </row>
        <row r="1404">
          <cell r="A1404" t="str">
            <v>2.1.1.1.01.001623</v>
          </cell>
          <cell r="B1404" t="str">
            <v>EMPRESA BRASILEIRA DE CORREIOS E TELEGRA</v>
          </cell>
          <cell r="C1404" t="str">
            <v>14.405,43</v>
          </cell>
          <cell r="D1404" t="str">
            <v>14.405,43</v>
          </cell>
          <cell r="E1404" t="str">
            <v>100,00</v>
          </cell>
          <cell r="F1404" t="str">
            <v>100,00</v>
          </cell>
          <cell r="G1404" t="str">
            <v>0,00</v>
          </cell>
          <cell r="H1404" t="str">
            <v>0,00</v>
          </cell>
          <cell r="I1404">
            <v>0</v>
          </cell>
          <cell r="J1404" t="str">
            <v>VERIFICAR</v>
          </cell>
        </row>
        <row r="1405">
          <cell r="A1405" t="str">
            <v>2.1.1.1.01.001624</v>
          </cell>
          <cell r="B1405" t="str">
            <v>DOBRE - EIXO PECAS E SERVICOS EIRELI - M</v>
          </cell>
          <cell r="C1405" t="str">
            <v>8.418,00</v>
          </cell>
          <cell r="D1405" t="str">
            <v>8.418,00</v>
          </cell>
          <cell r="E1405" t="str">
            <v>840,00</v>
          </cell>
          <cell r="F1405" t="str">
            <v>840,00</v>
          </cell>
          <cell r="G1405" t="str">
            <v>0,00</v>
          </cell>
          <cell r="H1405" t="str">
            <v>0,00</v>
          </cell>
          <cell r="I1405">
            <v>0</v>
          </cell>
          <cell r="J1405" t="str">
            <v>VERIFICAR</v>
          </cell>
        </row>
        <row r="1406">
          <cell r="A1406" t="str">
            <v>2.1.1.1.01.001646</v>
          </cell>
          <cell r="B1406" t="str">
            <v>AZUL LINHAS AEREAS BRASILEIRAS S.A</v>
          </cell>
          <cell r="C1406" t="str">
            <v>4.421,29</v>
          </cell>
          <cell r="D1406" t="str">
            <v>4.421,29</v>
          </cell>
          <cell r="E1406" t="str">
            <v>401,41</v>
          </cell>
          <cell r="F1406" t="str">
            <v>401,41</v>
          </cell>
          <cell r="G1406" t="str">
            <v>0,00</v>
          </cell>
          <cell r="H1406" t="str">
            <v>0,00</v>
          </cell>
          <cell r="I1406">
            <v>0</v>
          </cell>
          <cell r="J1406" t="str">
            <v>VERIFICAR</v>
          </cell>
        </row>
        <row r="1407">
          <cell r="A1407" t="str">
            <v>2.1.1.1.01.001652</v>
          </cell>
          <cell r="B1407" t="str">
            <v>IMPORTADORA DE ROLAMENTOS RADIAL LTDA</v>
          </cell>
          <cell r="C1407" t="str">
            <v>488.768,91</v>
          </cell>
          <cell r="D1407" t="str">
            <v>495.120,33</v>
          </cell>
          <cell r="E1407" t="str">
            <v>11.739,18</v>
          </cell>
          <cell r="F1407" t="str">
            <v>16.640,02</v>
          </cell>
          <cell r="G1407" t="str">
            <v>0,00</v>
          </cell>
          <cell r="H1407" t="str">
            <v>11.252,26</v>
          </cell>
          <cell r="I1407">
            <v>11252.26</v>
          </cell>
          <cell r="J1407" t="str">
            <v>VERIFICAR</v>
          </cell>
        </row>
        <row r="1408">
          <cell r="A1408" t="str">
            <v>2.1.1.1.01.001666</v>
          </cell>
          <cell r="B1408" t="str">
            <v>MAYARA CORREA DEMARCHI</v>
          </cell>
          <cell r="C1408" t="str">
            <v>37.870,37</v>
          </cell>
          <cell r="D1408" t="str">
            <v>37.870,37</v>
          </cell>
          <cell r="E1408" t="str">
            <v>204,15</v>
          </cell>
          <cell r="F1408" t="str">
            <v>204,15</v>
          </cell>
          <cell r="G1408" t="str">
            <v>0,00</v>
          </cell>
          <cell r="H1408" t="str">
            <v>0,00</v>
          </cell>
          <cell r="I1408">
            <v>0</v>
          </cell>
          <cell r="J1408" t="str">
            <v>VERIFICAR</v>
          </cell>
        </row>
        <row r="1409">
          <cell r="A1409" t="str">
            <v>2.1.1.1.01.001670</v>
          </cell>
          <cell r="B1409" t="str">
            <v>SAO SEBASTIAO MATERIAIS PARA CONSTRUCAO</v>
          </cell>
          <cell r="C1409" t="str">
            <v>253.209,83</v>
          </cell>
          <cell r="D1409" t="str">
            <v>254.280,83</v>
          </cell>
          <cell r="E1409" t="str">
            <v>1.071,00</v>
          </cell>
          <cell r="F1409" t="str">
            <v>3.320,30</v>
          </cell>
          <cell r="G1409" t="str">
            <v>0,00</v>
          </cell>
          <cell r="H1409" t="str">
            <v>3.320,30</v>
          </cell>
          <cell r="I1409">
            <v>3320.3</v>
          </cell>
          <cell r="J1409" t="str">
            <v>VERIFICAR</v>
          </cell>
        </row>
        <row r="1410">
          <cell r="A1410" t="str">
            <v>2.1.1.1.01.001688</v>
          </cell>
          <cell r="B1410" t="str">
            <v>SULPECAS COMERCIO E REPRESENTACOES LTDA</v>
          </cell>
          <cell r="C1410" t="str">
            <v>175.706,54</v>
          </cell>
          <cell r="D1410" t="str">
            <v>214.211,54</v>
          </cell>
          <cell r="E1410" t="str">
            <v>12.833,72</v>
          </cell>
          <cell r="F1410" t="str">
            <v>0,00</v>
          </cell>
          <cell r="G1410" t="str">
            <v>0,00</v>
          </cell>
          <cell r="H1410" t="str">
            <v>25.671,28</v>
          </cell>
          <cell r="I1410">
            <v>25671.279999999999</v>
          </cell>
          <cell r="J1410" t="str">
            <v>VERIFICAR</v>
          </cell>
        </row>
        <row r="1411">
          <cell r="A1411" t="str">
            <v>2.1.1.1.01.001690</v>
          </cell>
          <cell r="B1411" t="str">
            <v>RIOFER METAIS TECNOLOGIA EM ACO LTDA.</v>
          </cell>
          <cell r="C1411" t="str">
            <v>9.828.961,80</v>
          </cell>
          <cell r="D1411" t="str">
            <v>10.037.778,50</v>
          </cell>
          <cell r="E1411" t="str">
            <v>207.380,14</v>
          </cell>
          <cell r="F1411" t="str">
            <v>78.719,19</v>
          </cell>
          <cell r="G1411" t="str">
            <v>0,00</v>
          </cell>
          <cell r="H1411" t="str">
            <v>80.155,75</v>
          </cell>
          <cell r="I1411">
            <v>80155.75</v>
          </cell>
          <cell r="J1411" t="str">
            <v>VERIFICAR</v>
          </cell>
        </row>
        <row r="1412">
          <cell r="A1412" t="str">
            <v>2.1.1.1.01.001692</v>
          </cell>
          <cell r="B1412" t="str">
            <v>PORTA CABOS INDUSTRIA E COMERCIO LTDA.</v>
          </cell>
          <cell r="C1412" t="str">
            <v>173.130,33</v>
          </cell>
          <cell r="D1412" t="str">
            <v>173.130,33</v>
          </cell>
          <cell r="E1412" t="str">
            <v>7.011,92</v>
          </cell>
          <cell r="F1412" t="str">
            <v>20.623,30</v>
          </cell>
          <cell r="G1412" t="str">
            <v>0,00</v>
          </cell>
          <cell r="H1412" t="str">
            <v>13.611,38</v>
          </cell>
          <cell r="I1412">
            <v>13611.38</v>
          </cell>
          <cell r="J1412" t="str">
            <v>VERIFICAR</v>
          </cell>
        </row>
        <row r="1413">
          <cell r="A1413" t="str">
            <v>2.1.1.1.01.001693</v>
          </cell>
          <cell r="B1413" t="str">
            <v>PARANA GRANITOS LTDA</v>
          </cell>
          <cell r="C1413" t="str">
            <v>35.000,00</v>
          </cell>
          <cell r="D1413" t="str">
            <v>45.000,00</v>
          </cell>
          <cell r="E1413" t="str">
            <v>0,00</v>
          </cell>
          <cell r="F1413" t="str">
            <v>0,00</v>
          </cell>
          <cell r="G1413" t="str">
            <v>0,00</v>
          </cell>
          <cell r="H1413" t="str">
            <v>10.000,00</v>
          </cell>
          <cell r="I1413">
            <v>10000</v>
          </cell>
          <cell r="J1413" t="str">
            <v>VERIFICAR</v>
          </cell>
        </row>
        <row r="1414">
          <cell r="A1414" t="str">
            <v>2.1.1.1.01.001696</v>
          </cell>
          <cell r="B1414" t="str">
            <v>KS EQUIPAMENTOS DE ACO EIRELI-EPP</v>
          </cell>
          <cell r="C1414" t="str">
            <v>956.158,02</v>
          </cell>
          <cell r="D1414" t="str">
            <v>956.158,02</v>
          </cell>
          <cell r="E1414" t="str">
            <v>2.684,50</v>
          </cell>
          <cell r="F1414" t="str">
            <v>2.684,50</v>
          </cell>
          <cell r="G1414" t="str">
            <v>0,00</v>
          </cell>
          <cell r="H1414" t="str">
            <v>0,00</v>
          </cell>
          <cell r="I1414">
            <v>0</v>
          </cell>
          <cell r="J1414" t="str">
            <v>VERIFICAR</v>
          </cell>
        </row>
        <row r="1415">
          <cell r="A1415" t="str">
            <v>2.1.1.1.01.001708</v>
          </cell>
          <cell r="B1415" t="str">
            <v>CLINICA RADIOLOGICA PINHALENSE LTDA</v>
          </cell>
          <cell r="C1415" t="str">
            <v>14.912,80</v>
          </cell>
          <cell r="D1415" t="str">
            <v>14.912,80</v>
          </cell>
          <cell r="E1415" t="str">
            <v>116,40</v>
          </cell>
          <cell r="F1415" t="str">
            <v>116,40</v>
          </cell>
          <cell r="G1415" t="str">
            <v>0,00</v>
          </cell>
          <cell r="H1415" t="str">
            <v>0,00</v>
          </cell>
          <cell r="I1415">
            <v>0</v>
          </cell>
          <cell r="J1415" t="str">
            <v>VERIFICAR</v>
          </cell>
        </row>
        <row r="1416">
          <cell r="A1416" t="str">
            <v>2.1.1.1.01.001728</v>
          </cell>
          <cell r="B1416" t="str">
            <v>ELETRO METALURGICA BRUM LT</v>
          </cell>
          <cell r="C1416" t="str">
            <v>538.770,71</v>
          </cell>
          <cell r="D1416" t="str">
            <v>558.155,11</v>
          </cell>
          <cell r="E1416" t="str">
            <v>27.503,69</v>
          </cell>
          <cell r="F1416" t="str">
            <v>25.326,48</v>
          </cell>
          <cell r="G1416" t="str">
            <v>0,00</v>
          </cell>
          <cell r="H1416" t="str">
            <v>17.207,19</v>
          </cell>
          <cell r="I1416">
            <v>17207.189999999999</v>
          </cell>
          <cell r="J1416" t="str">
            <v>VERIFICAR</v>
          </cell>
        </row>
        <row r="1417">
          <cell r="A1417" t="str">
            <v>2.1.1.1.01.001748</v>
          </cell>
          <cell r="B1417" t="str">
            <v>LUCIANA FRANCO FAQUINETI BENEDITO</v>
          </cell>
          <cell r="C1417" t="str">
            <v>85.924,28</v>
          </cell>
          <cell r="D1417" t="str">
            <v>85.924,28</v>
          </cell>
          <cell r="E1417" t="str">
            <v>44,00</v>
          </cell>
          <cell r="F1417" t="str">
            <v>44,00</v>
          </cell>
          <cell r="G1417" t="str">
            <v>0,00</v>
          </cell>
          <cell r="H1417" t="str">
            <v>0,00</v>
          </cell>
          <cell r="I1417">
            <v>0</v>
          </cell>
          <cell r="J1417" t="str">
            <v>VERIFICAR</v>
          </cell>
        </row>
        <row r="1418">
          <cell r="A1418" t="str">
            <v>2.1.1.1.01.001755</v>
          </cell>
          <cell r="B1418" t="str">
            <v>ASTREA COMERCIO DE ESCOVAS E PECAS LTDA</v>
          </cell>
          <cell r="C1418" t="str">
            <v>40.474,50</v>
          </cell>
          <cell r="D1418" t="str">
            <v>45.674,50</v>
          </cell>
          <cell r="E1418" t="str">
            <v>5.430,00</v>
          </cell>
          <cell r="F1418" t="str">
            <v>9.790,00</v>
          </cell>
          <cell r="G1418" t="str">
            <v>0,00</v>
          </cell>
          <cell r="H1418" t="str">
            <v>9.560,00</v>
          </cell>
          <cell r="I1418">
            <v>9560</v>
          </cell>
          <cell r="J1418" t="str">
            <v>VERIFICAR</v>
          </cell>
        </row>
        <row r="1419">
          <cell r="A1419" t="str">
            <v>2.1.1.1.01.001767</v>
          </cell>
          <cell r="B1419" t="str">
            <v>THIAGO DA SILVA DA COSTA EXP E IMP</v>
          </cell>
          <cell r="C1419" t="str">
            <v>14.383,00</v>
          </cell>
          <cell r="D1419" t="str">
            <v>14.455,00</v>
          </cell>
          <cell r="E1419" t="str">
            <v>72,00</v>
          </cell>
          <cell r="F1419" t="str">
            <v>79,90</v>
          </cell>
          <cell r="G1419" t="str">
            <v>0,00</v>
          </cell>
          <cell r="H1419" t="str">
            <v>79,90</v>
          </cell>
          <cell r="I1419">
            <v>79.900000000000006</v>
          </cell>
          <cell r="J1419" t="str">
            <v>VERIFICAR</v>
          </cell>
        </row>
        <row r="1420">
          <cell r="A1420" t="str">
            <v>2.1.1.1.01.001841</v>
          </cell>
          <cell r="B1420" t="str">
            <v>MOBILANZA INDUSTRIA E COMERCIO DE MOVEIS</v>
          </cell>
          <cell r="C1420" t="str">
            <v>15.151,84</v>
          </cell>
          <cell r="D1420" t="str">
            <v>15.151,84</v>
          </cell>
          <cell r="E1420" t="str">
            <v>1.326,67</v>
          </cell>
          <cell r="F1420" t="str">
            <v>1.326,67</v>
          </cell>
          <cell r="G1420" t="str">
            <v>0,00</v>
          </cell>
          <cell r="H1420" t="str">
            <v>0,00</v>
          </cell>
          <cell r="I1420">
            <v>0</v>
          </cell>
          <cell r="J1420" t="str">
            <v>VERIFICAR</v>
          </cell>
        </row>
        <row r="1421">
          <cell r="A1421" t="str">
            <v>2.1.1.1.01.001845</v>
          </cell>
          <cell r="B1421" t="str">
            <v>LABORATORIO DE ANALISES CLINICAS PINHAL</v>
          </cell>
          <cell r="C1421" t="str">
            <v>43.553,38</v>
          </cell>
          <cell r="D1421" t="str">
            <v>43.553,38</v>
          </cell>
          <cell r="E1421" t="str">
            <v>387,60</v>
          </cell>
          <cell r="F1421" t="str">
            <v>387,60</v>
          </cell>
          <cell r="G1421" t="str">
            <v>0,00</v>
          </cell>
          <cell r="H1421" t="str">
            <v>0,00</v>
          </cell>
          <cell r="I1421">
            <v>0</v>
          </cell>
          <cell r="J1421" t="str">
            <v>VERIFICAR</v>
          </cell>
        </row>
        <row r="1422">
          <cell r="A1422" t="str">
            <v>2.1.1.1.01.001846</v>
          </cell>
          <cell r="B1422" t="str">
            <v>ARCELORMITTAL BRASIL S.A.</v>
          </cell>
          <cell r="C1422" t="str">
            <v>720.864,77</v>
          </cell>
          <cell r="D1422" t="str">
            <v>722.376,35</v>
          </cell>
          <cell r="E1422" t="str">
            <v>503,85</v>
          </cell>
          <cell r="F1422" t="str">
            <v>0,00</v>
          </cell>
          <cell r="G1422" t="str">
            <v>0,00</v>
          </cell>
          <cell r="H1422" t="str">
            <v>1.007,73</v>
          </cell>
          <cell r="I1422">
            <v>1007.73</v>
          </cell>
          <cell r="J1422" t="str">
            <v>VERIFICAR</v>
          </cell>
        </row>
        <row r="1423">
          <cell r="A1423" t="str">
            <v>2.1.1.1.01.001857</v>
          </cell>
          <cell r="B1423" t="str">
            <v>MAGAZINE LUIZA  SA</v>
          </cell>
          <cell r="C1423" t="str">
            <v>54.862,16</v>
          </cell>
          <cell r="D1423" t="str">
            <v>54.862,16</v>
          </cell>
          <cell r="E1423" t="str">
            <v>606,30</v>
          </cell>
          <cell r="F1423" t="str">
            <v>606,30</v>
          </cell>
          <cell r="G1423" t="str">
            <v>0,00</v>
          </cell>
          <cell r="H1423" t="str">
            <v>0,00</v>
          </cell>
          <cell r="I1423">
            <v>0</v>
          </cell>
          <cell r="J1423" t="str">
            <v>VERIFICAR</v>
          </cell>
        </row>
        <row r="1424">
          <cell r="A1424" t="str">
            <v>2.1.1.1.01.001860</v>
          </cell>
          <cell r="B1424" t="str">
            <v>HENNINGS VEDACAO HIDRAULICAS LTDA</v>
          </cell>
          <cell r="C1424" t="str">
            <v>906.416,60</v>
          </cell>
          <cell r="D1424" t="str">
            <v>907.074,64</v>
          </cell>
          <cell r="E1424" t="str">
            <v>4.272,62</v>
          </cell>
          <cell r="F1424" t="str">
            <v>9.027,51</v>
          </cell>
          <cell r="G1424" t="str">
            <v>0,00</v>
          </cell>
          <cell r="H1424" t="str">
            <v>5.412,93</v>
          </cell>
          <cell r="I1424">
            <v>5412.93</v>
          </cell>
          <cell r="J1424" t="str">
            <v>VERIFICAR</v>
          </cell>
        </row>
        <row r="1425">
          <cell r="A1425" t="str">
            <v>2.1.1.1.01.001875</v>
          </cell>
          <cell r="B1425" t="str">
            <v>AQUARIUS COM DE DERIV DE PETROLEO LT</v>
          </cell>
          <cell r="C1425" t="str">
            <v>128.494,72</v>
          </cell>
          <cell r="D1425" t="str">
            <v>131.785,72</v>
          </cell>
          <cell r="E1425" t="str">
            <v>3.291,00</v>
          </cell>
          <cell r="F1425" t="str">
            <v>1.316,00</v>
          </cell>
          <cell r="G1425" t="str">
            <v>0,00</v>
          </cell>
          <cell r="H1425" t="str">
            <v>1.316,00</v>
          </cell>
          <cell r="I1425">
            <v>1316</v>
          </cell>
          <cell r="J1425" t="str">
            <v>VERIFICAR</v>
          </cell>
        </row>
        <row r="1426">
          <cell r="A1426" t="str">
            <v>2.1.1.1.01.001926</v>
          </cell>
          <cell r="B1426" t="str">
            <v>MARCIELE GONCALVES SCHISLER</v>
          </cell>
          <cell r="C1426" t="str">
            <v>56.470,29</v>
          </cell>
          <cell r="D1426" t="str">
            <v>55.470,29</v>
          </cell>
          <cell r="E1426" t="str">
            <v>1.492,08</v>
          </cell>
          <cell r="F1426" t="str">
            <v>1.492,08</v>
          </cell>
          <cell r="G1426" t="str">
            <v>1.000,00</v>
          </cell>
          <cell r="H1426" t="str">
            <v>0,00</v>
          </cell>
          <cell r="I1426">
            <v>-1000</v>
          </cell>
          <cell r="J1426" t="str">
            <v>VERIFICAR</v>
          </cell>
        </row>
        <row r="1427">
          <cell r="A1427" t="str">
            <v>2.1.1.1.01.001936</v>
          </cell>
          <cell r="B1427" t="str">
            <v>DIGIMEC CONTROLES E SISTEMAS LTDA</v>
          </cell>
          <cell r="C1427" t="str">
            <v>50.302,86</v>
          </cell>
          <cell r="D1427" t="str">
            <v>55.310,73</v>
          </cell>
          <cell r="E1427" t="str">
            <v>14.397,63</v>
          </cell>
          <cell r="F1427" t="str">
            <v>9.389,76</v>
          </cell>
          <cell r="G1427" t="str">
            <v>0,00</v>
          </cell>
          <cell r="H1427" t="str">
            <v>0,00</v>
          </cell>
          <cell r="I1427">
            <v>0</v>
          </cell>
          <cell r="J1427" t="str">
            <v>VERIFICAR</v>
          </cell>
        </row>
        <row r="1428">
          <cell r="A1428" t="str">
            <v>2.1.1.1.01.001943</v>
          </cell>
          <cell r="B1428" t="str">
            <v>ARTHUR TOTOLA PEDROTI</v>
          </cell>
          <cell r="C1428" t="str">
            <v>70.604,43</v>
          </cell>
          <cell r="D1428" t="str">
            <v>70.604,43</v>
          </cell>
          <cell r="E1428" t="str">
            <v>1.254,64</v>
          </cell>
          <cell r="F1428" t="str">
            <v>1.254,64</v>
          </cell>
          <cell r="G1428" t="str">
            <v>0,00</v>
          </cell>
          <cell r="H1428" t="str">
            <v>0,00</v>
          </cell>
          <cell r="I1428">
            <v>0</v>
          </cell>
          <cell r="J1428" t="str">
            <v>VERIFICAR</v>
          </cell>
        </row>
        <row r="1429">
          <cell r="A1429" t="str">
            <v>2.1.1.1.01.002000</v>
          </cell>
          <cell r="B1429" t="str">
            <v>AUTO ELETRICA AVENIDA LTDA ME</v>
          </cell>
          <cell r="C1429" t="str">
            <v>8.101,64</v>
          </cell>
          <cell r="D1429" t="str">
            <v>12.224,49</v>
          </cell>
          <cell r="E1429" t="str">
            <v>2.061,43</v>
          </cell>
          <cell r="F1429" t="str">
            <v>0,00</v>
          </cell>
          <cell r="G1429" t="str">
            <v>0,00</v>
          </cell>
          <cell r="H1429" t="str">
            <v>2.061,42</v>
          </cell>
          <cell r="I1429">
            <v>2061.42</v>
          </cell>
          <cell r="J1429" t="str">
            <v>VERIFICAR</v>
          </cell>
        </row>
        <row r="1430">
          <cell r="A1430" t="str">
            <v>2.1.1.1.01.002036</v>
          </cell>
          <cell r="B1430" t="str">
            <v>MULT COMERCIAL LTDA</v>
          </cell>
          <cell r="C1430" t="str">
            <v>11.775,79</v>
          </cell>
          <cell r="D1430" t="str">
            <v>12.357,79</v>
          </cell>
          <cell r="E1430" t="str">
            <v>582,00</v>
          </cell>
          <cell r="F1430" t="str">
            <v>0,00</v>
          </cell>
          <cell r="G1430" t="str">
            <v>0,00</v>
          </cell>
          <cell r="H1430" t="str">
            <v>0,00</v>
          </cell>
          <cell r="I1430">
            <v>0</v>
          </cell>
          <cell r="J1430" t="str">
            <v>VERIFICAR</v>
          </cell>
        </row>
        <row r="1431">
          <cell r="A1431" t="str">
            <v>2.1.1.1.01.002042</v>
          </cell>
          <cell r="B1431" t="str">
            <v>HIDROTEC HIDRAULICA INDL LT</v>
          </cell>
          <cell r="C1431" t="str">
            <v>1.516,56</v>
          </cell>
          <cell r="D1431" t="str">
            <v>1.516,56</v>
          </cell>
          <cell r="E1431" t="str">
            <v>0,00</v>
          </cell>
          <cell r="F1431" t="str">
            <v>2.184,37</v>
          </cell>
          <cell r="G1431" t="str">
            <v>0,00</v>
          </cell>
          <cell r="H1431" t="str">
            <v>2.184,37</v>
          </cell>
          <cell r="I1431">
            <v>2184.37</v>
          </cell>
          <cell r="J1431" t="str">
            <v>VERIFICAR</v>
          </cell>
        </row>
        <row r="1432">
          <cell r="A1432" t="str">
            <v>2.1.1.1.01.002067</v>
          </cell>
          <cell r="B1432" t="str">
            <v>SAO SEBASTIAO TERRAPLENAGEM E CACAMBAS L</v>
          </cell>
          <cell r="C1432" t="str">
            <v>35.365,39</v>
          </cell>
          <cell r="D1432" t="str">
            <v>35.365,39</v>
          </cell>
          <cell r="E1432" t="str">
            <v>1.539,00</v>
          </cell>
          <cell r="F1432" t="str">
            <v>1.539,00</v>
          </cell>
          <cell r="G1432" t="str">
            <v>0,00</v>
          </cell>
          <cell r="H1432" t="str">
            <v>0,00</v>
          </cell>
          <cell r="I1432">
            <v>0</v>
          </cell>
          <cell r="J1432" t="str">
            <v>VERIFICAR</v>
          </cell>
        </row>
        <row r="1433">
          <cell r="A1433" t="str">
            <v>2.1.1.1.01.002068</v>
          </cell>
          <cell r="B1433" t="str">
            <v>MESSE MUENCHEN DO BRASIL FEIRAS LTDA</v>
          </cell>
          <cell r="C1433" t="str">
            <v>565.070,32</v>
          </cell>
          <cell r="D1433" t="str">
            <v>565.070,31</v>
          </cell>
          <cell r="E1433" t="str">
            <v>0,00</v>
          </cell>
          <cell r="F1433" t="str">
            <v>0,00</v>
          </cell>
          <cell r="G1433" t="str">
            <v>0,01</v>
          </cell>
          <cell r="H1433" t="str">
            <v>0,00</v>
          </cell>
          <cell r="I1433">
            <v>-0.01</v>
          </cell>
          <cell r="J1433" t="str">
            <v>VERIFICAR</v>
          </cell>
        </row>
        <row r="1434">
          <cell r="A1434" t="str">
            <v>2.1.1.1.01.002088</v>
          </cell>
          <cell r="B1434" t="str">
            <v>LINE APARECIDA DE ALMEIDA VIEIRA</v>
          </cell>
          <cell r="C1434" t="str">
            <v>99.962,71</v>
          </cell>
          <cell r="D1434" t="str">
            <v>98.475,92</v>
          </cell>
          <cell r="E1434" t="str">
            <v>804,69</v>
          </cell>
          <cell r="F1434" t="str">
            <v>804,69</v>
          </cell>
          <cell r="G1434" t="str">
            <v>1.486,79</v>
          </cell>
          <cell r="H1434" t="str">
            <v>0,00</v>
          </cell>
          <cell r="I1434">
            <v>-1486.79</v>
          </cell>
          <cell r="J1434" t="str">
            <v>VERIFICAR</v>
          </cell>
        </row>
        <row r="1435">
          <cell r="A1435" t="str">
            <v>2.1.1.1.01.002093</v>
          </cell>
          <cell r="B1435" t="str">
            <v>IMAPMED SERVICOS MEDICOS LTDA</v>
          </cell>
          <cell r="C1435" t="str">
            <v>192.866,79</v>
          </cell>
          <cell r="D1435" t="str">
            <v>192.866,79</v>
          </cell>
          <cell r="E1435" t="str">
            <v>4.466,46</v>
          </cell>
          <cell r="F1435" t="str">
            <v>4.466,46</v>
          </cell>
          <cell r="G1435" t="str">
            <v>0,00</v>
          </cell>
          <cell r="H1435" t="str">
            <v>0,00</v>
          </cell>
          <cell r="I1435">
            <v>0</v>
          </cell>
          <cell r="J1435" t="str">
            <v>VERIFICAR</v>
          </cell>
        </row>
        <row r="1436">
          <cell r="A1436" t="str">
            <v>2.1.1.1.01.002126</v>
          </cell>
          <cell r="B1436" t="str">
            <v>TOP FILM SOLUCOES EM EMBALAGENS EIRELI M</v>
          </cell>
          <cell r="C1436" t="str">
            <v>63.562,30</v>
          </cell>
          <cell r="D1436" t="str">
            <v>63.562,30</v>
          </cell>
          <cell r="E1436" t="str">
            <v>6.500,00</v>
          </cell>
          <cell r="F1436" t="str">
            <v>9.750,00</v>
          </cell>
          <cell r="G1436" t="str">
            <v>0,00</v>
          </cell>
          <cell r="H1436" t="str">
            <v>3.250,00</v>
          </cell>
          <cell r="I1436">
            <v>3250</v>
          </cell>
          <cell r="J1436" t="str">
            <v>VERIFICAR</v>
          </cell>
        </row>
        <row r="1437">
          <cell r="A1437" t="str">
            <v>2.1.1.1.01.002139</v>
          </cell>
          <cell r="B1437" t="str">
            <v>ASESA ASSESSORIA, SEGURANCA E SAUDE LTDA</v>
          </cell>
          <cell r="C1437" t="str">
            <v>21.972,74</v>
          </cell>
          <cell r="D1437" t="str">
            <v>21.972,74</v>
          </cell>
          <cell r="E1437" t="str">
            <v>92,00</v>
          </cell>
          <cell r="F1437" t="str">
            <v>92,00</v>
          </cell>
          <cell r="G1437" t="str">
            <v>0,00</v>
          </cell>
          <cell r="H1437" t="str">
            <v>0,00</v>
          </cell>
          <cell r="I1437">
            <v>0</v>
          </cell>
          <cell r="J1437" t="str">
            <v>VERIFICAR</v>
          </cell>
        </row>
        <row r="1438">
          <cell r="A1438" t="str">
            <v>2.1.1.1.01.002144</v>
          </cell>
          <cell r="B1438" t="str">
            <v>TERMOMECANICA SAO PAULO SA</v>
          </cell>
          <cell r="C1438" t="str">
            <v>241.731,64</v>
          </cell>
          <cell r="D1438" t="str">
            <v>241.731,64</v>
          </cell>
          <cell r="E1438" t="str">
            <v>0,00</v>
          </cell>
          <cell r="F1438" t="str">
            <v>26.909,84</v>
          </cell>
          <cell r="G1438" t="str">
            <v>0,00</v>
          </cell>
          <cell r="H1438" t="str">
            <v>26.909,84</v>
          </cell>
          <cell r="I1438">
            <v>26909.84</v>
          </cell>
          <cell r="J1438" t="str">
            <v>VERIFICAR</v>
          </cell>
        </row>
        <row r="1439">
          <cell r="A1439" t="str">
            <v>2.1.1.1.01.002145</v>
          </cell>
          <cell r="B1439" t="str">
            <v>SARZI COMERCIO EXTERIOR LTDA</v>
          </cell>
          <cell r="C1439" t="str">
            <v>54.394,61</v>
          </cell>
          <cell r="D1439" t="str">
            <v>55.586,27</v>
          </cell>
          <cell r="E1439" t="str">
            <v>1.191,66</v>
          </cell>
          <cell r="F1439" t="str">
            <v>0,00</v>
          </cell>
          <cell r="G1439" t="str">
            <v>0,00</v>
          </cell>
          <cell r="H1439" t="str">
            <v>0,00</v>
          </cell>
          <cell r="I1439">
            <v>0</v>
          </cell>
          <cell r="J1439" t="str">
            <v>VERIFICAR</v>
          </cell>
        </row>
        <row r="1440">
          <cell r="A1440" t="str">
            <v>2.1.1.1.01.002156</v>
          </cell>
          <cell r="B1440" t="str">
            <v>J C DA SILVA SUL LTDA</v>
          </cell>
          <cell r="C1440" t="str">
            <v>1.313,00</v>
          </cell>
          <cell r="D1440" t="str">
            <v>1.313,00</v>
          </cell>
          <cell r="E1440" t="str">
            <v>968,00</v>
          </cell>
          <cell r="F1440" t="str">
            <v>968,00</v>
          </cell>
          <cell r="G1440" t="str">
            <v>0,00</v>
          </cell>
          <cell r="H1440" t="str">
            <v>0,00</v>
          </cell>
          <cell r="I1440">
            <v>0</v>
          </cell>
          <cell r="J1440" t="str">
            <v>VERIFICAR</v>
          </cell>
        </row>
        <row r="1441">
          <cell r="A1441" t="str">
            <v>2.1.1.1.01.002165</v>
          </cell>
          <cell r="B1441" t="str">
            <v>MULT TEMPERA COAT TECNOLOGIA</v>
          </cell>
          <cell r="C1441" t="str">
            <v>273.370,71</v>
          </cell>
          <cell r="D1441" t="str">
            <v>273.973,36</v>
          </cell>
          <cell r="E1441" t="str">
            <v>602,63</v>
          </cell>
          <cell r="F1441" t="str">
            <v>0,00</v>
          </cell>
          <cell r="G1441" t="str">
            <v>0,00</v>
          </cell>
          <cell r="H1441" t="str">
            <v>0,02</v>
          </cell>
          <cell r="I1441">
            <v>0.02</v>
          </cell>
          <cell r="J1441" t="str">
            <v>VERIFICAR</v>
          </cell>
        </row>
        <row r="1442">
          <cell r="A1442" t="str">
            <v>2.1.1.1.01.002171</v>
          </cell>
          <cell r="B1442" t="str">
            <v>P.S. MARETO - ME</v>
          </cell>
          <cell r="C1442" t="str">
            <v>4.990,00</v>
          </cell>
          <cell r="D1442" t="str">
            <v>4.990,00</v>
          </cell>
          <cell r="E1442" t="str">
            <v>840,00</v>
          </cell>
          <cell r="F1442" t="str">
            <v>840,00</v>
          </cell>
          <cell r="G1442" t="str">
            <v>0,00</v>
          </cell>
          <cell r="H1442" t="str">
            <v>0,00</v>
          </cell>
          <cell r="I1442">
            <v>0</v>
          </cell>
          <cell r="J1442" t="str">
            <v>VERIFICAR</v>
          </cell>
        </row>
        <row r="1443">
          <cell r="A1443" t="str">
            <v>2.1.1.1.01.002188</v>
          </cell>
          <cell r="B1443" t="str">
            <v>MAISA GARCIA MIRANDA</v>
          </cell>
          <cell r="C1443" t="str">
            <v>47.880,13</v>
          </cell>
          <cell r="D1443" t="str">
            <v>47.380,13</v>
          </cell>
          <cell r="E1443" t="str">
            <v>500,00</v>
          </cell>
          <cell r="F1443" t="str">
            <v>500,00</v>
          </cell>
          <cell r="G1443" t="str">
            <v>500,00</v>
          </cell>
          <cell r="H1443" t="str">
            <v>0,00</v>
          </cell>
          <cell r="I1443">
            <v>-500</v>
          </cell>
          <cell r="J1443" t="str">
            <v>VERIFICAR</v>
          </cell>
        </row>
        <row r="1444">
          <cell r="A1444" t="str">
            <v>2.1.1.1.01.002208</v>
          </cell>
          <cell r="B1444" t="str">
            <v>SUPERMERCADO BIAZOTO LTDA</v>
          </cell>
          <cell r="C1444" t="str">
            <v>216.147,20</v>
          </cell>
          <cell r="D1444" t="str">
            <v>221.081,16</v>
          </cell>
          <cell r="E1444" t="str">
            <v>4.933,96</v>
          </cell>
          <cell r="F1444" t="str">
            <v>5.148,77</v>
          </cell>
          <cell r="G1444" t="str">
            <v>0,00</v>
          </cell>
          <cell r="H1444" t="str">
            <v>5.148,77</v>
          </cell>
          <cell r="I1444">
            <v>5148.7700000000004</v>
          </cell>
          <cell r="J1444" t="str">
            <v>VERIFICAR</v>
          </cell>
        </row>
        <row r="1445">
          <cell r="A1445" t="str">
            <v>2.1.1.1.01.002211</v>
          </cell>
          <cell r="B1445" t="str">
            <v>CONCRELONGO SERVICOS DE CONCRETAGEM LTDA</v>
          </cell>
          <cell r="C1445" t="str">
            <v>371.413,00</v>
          </cell>
          <cell r="D1445" t="str">
            <v>371.413,00</v>
          </cell>
          <cell r="E1445" t="str">
            <v>1.542,30</v>
          </cell>
          <cell r="F1445" t="str">
            <v>1.542,30</v>
          </cell>
          <cell r="G1445" t="str">
            <v>0,00</v>
          </cell>
          <cell r="H1445" t="str">
            <v>0,00</v>
          </cell>
          <cell r="I1445">
            <v>0</v>
          </cell>
          <cell r="J1445" t="str">
            <v>VERIFICAR</v>
          </cell>
        </row>
        <row r="1446">
          <cell r="A1446" t="str">
            <v>2.1.1.1.01.002212</v>
          </cell>
          <cell r="B1446" t="str">
            <v>EPFER COMERCIO DE FERRO E ACO LTDA</v>
          </cell>
          <cell r="C1446" t="str">
            <v>155.147,28</v>
          </cell>
          <cell r="D1446" t="str">
            <v>155.147,29</v>
          </cell>
          <cell r="E1446" t="str">
            <v>0,00</v>
          </cell>
          <cell r="F1446" t="str">
            <v>0,00</v>
          </cell>
          <cell r="G1446" t="str">
            <v>0,00</v>
          </cell>
          <cell r="H1446" t="str">
            <v>0,01</v>
          </cell>
          <cell r="I1446">
            <v>0.01</v>
          </cell>
          <cell r="J1446" t="str">
            <v>VERIFICAR</v>
          </cell>
        </row>
        <row r="1447">
          <cell r="A1447" t="str">
            <v>2.1.1.1.01.002238</v>
          </cell>
          <cell r="B1447" t="str">
            <v>MOACIR APARECIDO BRETAGANI ME</v>
          </cell>
          <cell r="C1447" t="str">
            <v>45.122,00</v>
          </cell>
          <cell r="D1447" t="str">
            <v>45.122,00</v>
          </cell>
          <cell r="E1447" t="str">
            <v>550,00</v>
          </cell>
          <cell r="F1447" t="str">
            <v>550,00</v>
          </cell>
          <cell r="G1447" t="str">
            <v>0,00</v>
          </cell>
          <cell r="H1447" t="str">
            <v>0,00</v>
          </cell>
          <cell r="I1447">
            <v>0</v>
          </cell>
          <cell r="J1447" t="str">
            <v>VERIFICAR</v>
          </cell>
        </row>
        <row r="1448">
          <cell r="A1448" t="str">
            <v>2.1.1.1.01.002259</v>
          </cell>
          <cell r="B1448" t="str">
            <v>MERCOBRONZE METAIS LTDA</v>
          </cell>
          <cell r="C1448" t="str">
            <v>175.005,63</v>
          </cell>
          <cell r="D1448" t="str">
            <v>175.005,63</v>
          </cell>
          <cell r="E1448" t="str">
            <v>0,00</v>
          </cell>
          <cell r="F1448" t="str">
            <v>13.288,53</v>
          </cell>
          <cell r="G1448" t="str">
            <v>0,00</v>
          </cell>
          <cell r="H1448" t="str">
            <v>13.288,53</v>
          </cell>
          <cell r="I1448">
            <v>13288.53</v>
          </cell>
          <cell r="J1448" t="str">
            <v>VERIFICAR</v>
          </cell>
        </row>
        <row r="1449">
          <cell r="A1449" t="str">
            <v>2.1.1.1.01.002289</v>
          </cell>
          <cell r="B1449" t="str">
            <v>MULTI INST. CONTROLES ELETRICOS LTDA</v>
          </cell>
          <cell r="C1449" t="str">
            <v>66.828,94</v>
          </cell>
          <cell r="D1449" t="str">
            <v>66.828,94</v>
          </cell>
          <cell r="E1449" t="str">
            <v>1.403,17</v>
          </cell>
          <cell r="F1449" t="str">
            <v>1.403,17</v>
          </cell>
          <cell r="G1449" t="str">
            <v>0,00</v>
          </cell>
          <cell r="H1449" t="str">
            <v>0,00</v>
          </cell>
          <cell r="I1449">
            <v>0</v>
          </cell>
          <cell r="J1449" t="str">
            <v>VERIFICAR</v>
          </cell>
        </row>
        <row r="1450">
          <cell r="A1450" t="str">
            <v>2.1.1.1.01.002304</v>
          </cell>
          <cell r="B1450" t="str">
            <v>VERTICE CORTES DEMOLICOES E LOCACOES LTD</v>
          </cell>
          <cell r="C1450" t="str">
            <v>161.490,65</v>
          </cell>
          <cell r="D1450" t="str">
            <v>161.490,65</v>
          </cell>
          <cell r="E1450" t="str">
            <v>4.050,00</v>
          </cell>
          <cell r="F1450" t="str">
            <v>4.050,00</v>
          </cell>
          <cell r="G1450" t="str">
            <v>0,00</v>
          </cell>
          <cell r="H1450" t="str">
            <v>0,00</v>
          </cell>
          <cell r="I1450">
            <v>0</v>
          </cell>
          <cell r="J1450" t="str">
            <v>VERIFICAR</v>
          </cell>
        </row>
        <row r="1451">
          <cell r="A1451" t="str">
            <v>2.1.1.1.01.002311</v>
          </cell>
          <cell r="B1451" t="str">
            <v>GELSON DE OLIVEIRA VASCONSELO</v>
          </cell>
          <cell r="C1451" t="str">
            <v>188.786,05</v>
          </cell>
          <cell r="D1451" t="str">
            <v>188.786,05</v>
          </cell>
          <cell r="E1451" t="str">
            <v>3.464,43</v>
          </cell>
          <cell r="F1451" t="str">
            <v>3.464,43</v>
          </cell>
          <cell r="G1451" t="str">
            <v>0,00</v>
          </cell>
          <cell r="H1451" t="str">
            <v>0,00</v>
          </cell>
          <cell r="I1451">
            <v>0</v>
          </cell>
          <cell r="J1451" t="str">
            <v>VERIFICAR</v>
          </cell>
        </row>
        <row r="1452">
          <cell r="A1452" t="str">
            <v>2.1.1.1.01.002315</v>
          </cell>
          <cell r="B1452" t="str">
            <v>AGRO PESCA SAO LUIS LTDA</v>
          </cell>
          <cell r="C1452" t="str">
            <v>6.342,30</v>
          </cell>
          <cell r="D1452" t="str">
            <v>6.498,00</v>
          </cell>
          <cell r="E1452" t="str">
            <v>363,30</v>
          </cell>
          <cell r="F1452" t="str">
            <v>207,60</v>
          </cell>
          <cell r="G1452" t="str">
            <v>0,00</v>
          </cell>
          <cell r="H1452" t="str">
            <v>0,00</v>
          </cell>
          <cell r="I1452">
            <v>0</v>
          </cell>
          <cell r="J1452" t="str">
            <v>VERIFICAR</v>
          </cell>
        </row>
        <row r="1453">
          <cell r="A1453" t="str">
            <v>2.1.1.1.01.002317</v>
          </cell>
          <cell r="B1453" t="str">
            <v>MARCELO MARQUES FERREIRA</v>
          </cell>
          <cell r="C1453" t="str">
            <v>498.231,59</v>
          </cell>
          <cell r="D1453" t="str">
            <v>513.342,19</v>
          </cell>
          <cell r="E1453" t="str">
            <v>29.841,19</v>
          </cell>
          <cell r="F1453" t="str">
            <v>21.005,54</v>
          </cell>
          <cell r="G1453" t="str">
            <v>0,00</v>
          </cell>
          <cell r="H1453" t="str">
            <v>6.274,95</v>
          </cell>
          <cell r="I1453">
            <v>6274.95</v>
          </cell>
          <cell r="J1453" t="str">
            <v>VERIFICAR</v>
          </cell>
        </row>
        <row r="1454">
          <cell r="A1454" t="str">
            <v>2.1.1.1.01.002325</v>
          </cell>
          <cell r="B1454" t="str">
            <v>MARCEGAGIA DO BRASIL LTDA</v>
          </cell>
          <cell r="C1454" t="str">
            <v>747.627,34</v>
          </cell>
          <cell r="D1454" t="str">
            <v>747.627,34</v>
          </cell>
          <cell r="E1454" t="str">
            <v>0,00</v>
          </cell>
          <cell r="F1454" t="str">
            <v>7.949,08</v>
          </cell>
          <cell r="G1454" t="str">
            <v>0,00</v>
          </cell>
          <cell r="H1454" t="str">
            <v>7.949,08</v>
          </cell>
          <cell r="I1454">
            <v>7949.08</v>
          </cell>
          <cell r="J1454" t="str">
            <v>VERIFICAR</v>
          </cell>
        </row>
        <row r="1455">
          <cell r="A1455" t="str">
            <v>2.1.1.1.01.002328</v>
          </cell>
          <cell r="B1455" t="str">
            <v>CENTRO DAS IND DO EST DE SAO PAULO</v>
          </cell>
          <cell r="C1455" t="str">
            <v>2.782,00</v>
          </cell>
          <cell r="D1455" t="str">
            <v>1.391,00</v>
          </cell>
          <cell r="E1455" t="str">
            <v>214,00</v>
          </cell>
          <cell r="F1455" t="str">
            <v>0,00</v>
          </cell>
          <cell r="G1455" t="str">
            <v>1.605,00</v>
          </cell>
          <cell r="H1455" t="str">
            <v>0,00</v>
          </cell>
          <cell r="I1455">
            <v>-1605</v>
          </cell>
          <cell r="J1455" t="str">
            <v>VERIFICAR</v>
          </cell>
        </row>
        <row r="1456">
          <cell r="A1456" t="str">
            <v>2.1.1.1.01.002332</v>
          </cell>
          <cell r="B1456" t="str">
            <v>YURI VITOR DE MELO RITA</v>
          </cell>
          <cell r="C1456" t="str">
            <v>325.087,77</v>
          </cell>
          <cell r="D1456" t="str">
            <v>325.087,77</v>
          </cell>
          <cell r="E1456" t="str">
            <v>9.665,67</v>
          </cell>
          <cell r="F1456" t="str">
            <v>9.665,67</v>
          </cell>
          <cell r="G1456" t="str">
            <v>0,00</v>
          </cell>
          <cell r="H1456" t="str">
            <v>0,00</v>
          </cell>
          <cell r="I1456">
            <v>0</v>
          </cell>
          <cell r="J1456" t="str">
            <v>VERIFICAR</v>
          </cell>
        </row>
        <row r="1457">
          <cell r="A1457" t="str">
            <v>2.1.1.1.01.002340</v>
          </cell>
          <cell r="B1457" t="str">
            <v>E2E INDUSTRIA E COMERCIO DE COMPONENTES</v>
          </cell>
          <cell r="C1457" t="str">
            <v>88.632,25</v>
          </cell>
          <cell r="D1457" t="str">
            <v>90.530,65</v>
          </cell>
          <cell r="E1457" t="str">
            <v>2.619,21</v>
          </cell>
          <cell r="F1457" t="str">
            <v>720,82</v>
          </cell>
          <cell r="G1457" t="str">
            <v>0,00</v>
          </cell>
          <cell r="H1457" t="str">
            <v>0,01</v>
          </cell>
          <cell r="I1457">
            <v>0.01</v>
          </cell>
          <cell r="J1457" t="str">
            <v>VERIFICAR</v>
          </cell>
        </row>
        <row r="1458">
          <cell r="A1458" t="str">
            <v>2.1.1.1.01.002380</v>
          </cell>
          <cell r="B1458" t="str">
            <v>KVA INDUSTRIA E COMERCIO LTDA</v>
          </cell>
          <cell r="C1458" t="str">
            <v>15.030,54</v>
          </cell>
          <cell r="D1458" t="str">
            <v>15.030,54</v>
          </cell>
          <cell r="E1458" t="str">
            <v>1.442,60</v>
          </cell>
          <cell r="F1458" t="str">
            <v>1.442,60</v>
          </cell>
          <cell r="G1458" t="str">
            <v>0,00</v>
          </cell>
          <cell r="H1458" t="str">
            <v>0,00</v>
          </cell>
          <cell r="I1458">
            <v>0</v>
          </cell>
          <cell r="J1458" t="str">
            <v>VERIFICAR</v>
          </cell>
        </row>
        <row r="1459">
          <cell r="A1459" t="str">
            <v>2.1.1.1.01.002407</v>
          </cell>
          <cell r="B1459" t="str">
            <v>PAUMAR S/A- INDUSTRIA E COMERCIO</v>
          </cell>
          <cell r="C1459" t="str">
            <v>4.343.790,18</v>
          </cell>
          <cell r="D1459" t="str">
            <v>4.459.340,50</v>
          </cell>
          <cell r="E1459" t="str">
            <v>94.352,80</v>
          </cell>
          <cell r="F1459" t="str">
            <v>82.357,28</v>
          </cell>
          <cell r="G1459" t="str">
            <v>0,00</v>
          </cell>
          <cell r="H1459" t="str">
            <v>103.554,80</v>
          </cell>
          <cell r="I1459">
            <v>103554.8</v>
          </cell>
          <cell r="J1459" t="str">
            <v>VERIFICAR</v>
          </cell>
        </row>
        <row r="1460">
          <cell r="A1460" t="str">
            <v>2.1.1.1.01.002417</v>
          </cell>
          <cell r="B1460" t="str">
            <v>VALFORTE ACESSORIOS INDUSTRIAIS LTDA</v>
          </cell>
          <cell r="C1460" t="str">
            <v>41.221,84</v>
          </cell>
          <cell r="D1460" t="str">
            <v>42.421,84</v>
          </cell>
          <cell r="E1460" t="str">
            <v>2.145,00</v>
          </cell>
          <cell r="F1460" t="str">
            <v>1.200,00</v>
          </cell>
          <cell r="G1460" t="str">
            <v>0,00</v>
          </cell>
          <cell r="H1460" t="str">
            <v>255,00</v>
          </cell>
          <cell r="I1460">
            <v>255</v>
          </cell>
          <cell r="J1460" t="str">
            <v>VERIFICAR</v>
          </cell>
        </row>
        <row r="1461">
          <cell r="A1461" t="str">
            <v>2.1.1.1.01.002418</v>
          </cell>
          <cell r="B1461" t="str">
            <v>ANA RITA BASTONI ELIAS</v>
          </cell>
          <cell r="C1461" t="str">
            <v>98.731,90</v>
          </cell>
          <cell r="D1461" t="str">
            <v>98.731,90</v>
          </cell>
          <cell r="E1461" t="str">
            <v>13.072,29</v>
          </cell>
          <cell r="F1461" t="str">
            <v>19.608,44</v>
          </cell>
          <cell r="G1461" t="str">
            <v>0,00</v>
          </cell>
          <cell r="H1461" t="str">
            <v>6.536,15</v>
          </cell>
          <cell r="I1461">
            <v>6536.15</v>
          </cell>
          <cell r="J1461" t="str">
            <v>VERIFICAR</v>
          </cell>
        </row>
        <row r="1462">
          <cell r="A1462" t="str">
            <v>2.1.1.1.01.002420</v>
          </cell>
          <cell r="B1462" t="str">
            <v>INDUCHAMA TRATAMENTO TERMICO LTDA</v>
          </cell>
          <cell r="C1462" t="str">
            <v>97.762,18</v>
          </cell>
          <cell r="D1462" t="str">
            <v>102.681,14</v>
          </cell>
          <cell r="E1462" t="str">
            <v>4.918,96</v>
          </cell>
          <cell r="F1462" t="str">
            <v>398,00</v>
          </cell>
          <cell r="G1462" t="str">
            <v>0,00</v>
          </cell>
          <cell r="H1462" t="str">
            <v>398,00</v>
          </cell>
          <cell r="I1462">
            <v>398</v>
          </cell>
          <cell r="J1462" t="str">
            <v>VERIFICAR</v>
          </cell>
        </row>
        <row r="1463">
          <cell r="A1463" t="str">
            <v>2.1.1.1.01.002424</v>
          </cell>
          <cell r="B1463" t="str">
            <v>IGUS DO BRASIL LTDA</v>
          </cell>
          <cell r="C1463" t="str">
            <v>20.364,44</v>
          </cell>
          <cell r="D1463" t="str">
            <v>22.792,26</v>
          </cell>
          <cell r="E1463" t="str">
            <v>2.427,82</v>
          </cell>
          <cell r="F1463" t="str">
            <v>0,00</v>
          </cell>
          <cell r="G1463" t="str">
            <v>0,00</v>
          </cell>
          <cell r="H1463" t="str">
            <v>0,00</v>
          </cell>
          <cell r="I1463">
            <v>0</v>
          </cell>
          <cell r="J1463" t="str">
            <v>VERIFICAR</v>
          </cell>
        </row>
        <row r="1464">
          <cell r="A1464" t="str">
            <v>2.1.1.1.01.002425</v>
          </cell>
          <cell r="B1464" t="str">
            <v>FABEL INNECCO ENGENHARIA E COMERCIO</v>
          </cell>
          <cell r="C1464" t="str">
            <v>76.459,23</v>
          </cell>
          <cell r="D1464" t="str">
            <v>76.459,23</v>
          </cell>
          <cell r="E1464" t="str">
            <v>2.922,69</v>
          </cell>
          <cell r="F1464" t="str">
            <v>2.922,69</v>
          </cell>
          <cell r="G1464" t="str">
            <v>0,00</v>
          </cell>
          <cell r="H1464" t="str">
            <v>0,00</v>
          </cell>
          <cell r="I1464">
            <v>0</v>
          </cell>
          <cell r="J1464" t="str">
            <v>VERIFICAR</v>
          </cell>
        </row>
        <row r="1465">
          <cell r="A1465" t="str">
            <v>2.1.1.1.01.002440</v>
          </cell>
          <cell r="B1465" t="str">
            <v>CRV INDUSTRIAL PARAFUSOS</v>
          </cell>
          <cell r="C1465" t="str">
            <v>1.450.115,00</v>
          </cell>
          <cell r="D1465" t="str">
            <v>1.516.147,04</v>
          </cell>
          <cell r="E1465" t="str">
            <v>32.628,23</v>
          </cell>
          <cell r="F1465" t="str">
            <v>17.667,86</v>
          </cell>
          <cell r="G1465" t="str">
            <v>0,00</v>
          </cell>
          <cell r="H1465" t="str">
            <v>51.071,67</v>
          </cell>
          <cell r="I1465">
            <v>51071.67</v>
          </cell>
          <cell r="J1465" t="str">
            <v>VERIFICAR</v>
          </cell>
        </row>
        <row r="1466">
          <cell r="A1466" t="str">
            <v>2.1.1.1.01.002451</v>
          </cell>
          <cell r="B1466" t="str">
            <v>SERGIO ANTONIO PEZOTTI 10207062870</v>
          </cell>
          <cell r="C1466" t="str">
            <v>1.823,75</v>
          </cell>
          <cell r="D1466" t="str">
            <v>1.823,75</v>
          </cell>
          <cell r="E1466" t="str">
            <v>180,00</v>
          </cell>
          <cell r="F1466" t="str">
            <v>180,00</v>
          </cell>
          <cell r="G1466" t="str">
            <v>0,00</v>
          </cell>
          <cell r="H1466" t="str">
            <v>0,00</v>
          </cell>
          <cell r="I1466">
            <v>0</v>
          </cell>
          <cell r="J1466" t="str">
            <v>VERIFICAR</v>
          </cell>
        </row>
        <row r="1467">
          <cell r="A1467" t="str">
            <v>2.1.1.1.01.002511</v>
          </cell>
          <cell r="B1467" t="str">
            <v>GOVERNO DO ESTADO DA BAHIA</v>
          </cell>
          <cell r="C1467" t="str">
            <v>5.476,66</v>
          </cell>
          <cell r="D1467" t="str">
            <v>5.436,66</v>
          </cell>
          <cell r="E1467" t="str">
            <v>0,00</v>
          </cell>
          <cell r="F1467" t="str">
            <v>0,00</v>
          </cell>
          <cell r="G1467" t="str">
            <v>40,00</v>
          </cell>
          <cell r="H1467" t="str">
            <v>0,00</v>
          </cell>
          <cell r="I1467">
            <v>-40</v>
          </cell>
          <cell r="J1467" t="str">
            <v>VERIFICAR</v>
          </cell>
        </row>
        <row r="1468">
          <cell r="A1468" t="str">
            <v>2.1.1.1.01.002519</v>
          </cell>
          <cell r="B1468" t="str">
            <v>SYNDEX COMERCIO EXTERIOR E TRANSPORTES L</v>
          </cell>
          <cell r="C1468" t="str">
            <v>11.984.011,20</v>
          </cell>
          <cell r="D1468" t="str">
            <v>11.996.824,16</v>
          </cell>
          <cell r="E1468" t="str">
            <v>23.315,54</v>
          </cell>
          <cell r="F1468" t="str">
            <v>50.646,76</v>
          </cell>
          <cell r="G1468" t="str">
            <v>0,00</v>
          </cell>
          <cell r="H1468" t="str">
            <v>40.144,18</v>
          </cell>
          <cell r="I1468">
            <v>40144.18</v>
          </cell>
          <cell r="J1468" t="str">
            <v>VERIFICAR</v>
          </cell>
        </row>
        <row r="1469">
          <cell r="A1469" t="str">
            <v>2.1.1.1.01.002525</v>
          </cell>
          <cell r="B1469" t="str">
            <v>HOTEL CRUZEIRO DO SUL LTDA</v>
          </cell>
          <cell r="C1469" t="str">
            <v>81.024,83</v>
          </cell>
          <cell r="D1469" t="str">
            <v>81.024,83</v>
          </cell>
          <cell r="E1469" t="str">
            <v>0,00</v>
          </cell>
          <cell r="F1469" t="str">
            <v>4.954,25</v>
          </cell>
          <cell r="G1469" t="str">
            <v>0,00</v>
          </cell>
          <cell r="H1469" t="str">
            <v>4.954,25</v>
          </cell>
          <cell r="I1469">
            <v>4954.25</v>
          </cell>
          <cell r="J1469" t="str">
            <v>VERIFICAR</v>
          </cell>
        </row>
        <row r="1470">
          <cell r="A1470" t="str">
            <v>2.1.1.1.01.002529</v>
          </cell>
          <cell r="B1470" t="str">
            <v>D A DOS SANTOS LTDA</v>
          </cell>
          <cell r="C1470" t="str">
            <v>79.682,78</v>
          </cell>
          <cell r="D1470" t="str">
            <v>79.682,78</v>
          </cell>
          <cell r="E1470" t="str">
            <v>2.132,14</v>
          </cell>
          <cell r="F1470" t="str">
            <v>2.132,14</v>
          </cell>
          <cell r="G1470" t="str">
            <v>0,00</v>
          </cell>
          <cell r="H1470" t="str">
            <v>0,00</v>
          </cell>
          <cell r="I1470">
            <v>0</v>
          </cell>
          <cell r="J1470" t="str">
            <v>VERIFICAR</v>
          </cell>
        </row>
        <row r="1471">
          <cell r="A1471" t="str">
            <v>2.1.1.1.01.002539</v>
          </cell>
          <cell r="B1471" t="str">
            <v>RODELTA AUTOMACAO LTDA</v>
          </cell>
          <cell r="C1471" t="str">
            <v>251.453,88</v>
          </cell>
          <cell r="D1471" t="str">
            <v>253.983,88</v>
          </cell>
          <cell r="E1471" t="str">
            <v>2.530,00</v>
          </cell>
          <cell r="F1471" t="str">
            <v>0,00</v>
          </cell>
          <cell r="G1471" t="str">
            <v>0,00</v>
          </cell>
          <cell r="H1471" t="str">
            <v>0,00</v>
          </cell>
          <cell r="I1471">
            <v>0</v>
          </cell>
          <cell r="J1471" t="str">
            <v>VERIFICAR</v>
          </cell>
        </row>
        <row r="1472">
          <cell r="A1472" t="str">
            <v>2.1.1.1.01.002548</v>
          </cell>
          <cell r="B1472" t="str">
            <v>PAULO CESAR DE OLIVEIRA - BATERIAS</v>
          </cell>
          <cell r="C1472" t="str">
            <v>66.745,70</v>
          </cell>
          <cell r="D1472" t="str">
            <v>66.745,70</v>
          </cell>
          <cell r="E1472" t="str">
            <v>457,60</v>
          </cell>
          <cell r="F1472" t="str">
            <v>457,60</v>
          </cell>
          <cell r="G1472" t="str">
            <v>0,00</v>
          </cell>
          <cell r="H1472" t="str">
            <v>0,00</v>
          </cell>
          <cell r="I1472">
            <v>0</v>
          </cell>
          <cell r="J1472" t="str">
            <v>VERIFICAR</v>
          </cell>
        </row>
        <row r="1473">
          <cell r="A1473" t="str">
            <v>2.1.1.1.01.002550</v>
          </cell>
          <cell r="B1473" t="str">
            <v>METALURGICA TGB LTDA</v>
          </cell>
          <cell r="C1473" t="str">
            <v>1.197.096,29</v>
          </cell>
          <cell r="D1473" t="str">
            <v>1.197.096,29</v>
          </cell>
          <cell r="E1473" t="str">
            <v>25.000,00</v>
          </cell>
          <cell r="F1473" t="str">
            <v>25.000,00</v>
          </cell>
          <cell r="G1473" t="str">
            <v>0,00</v>
          </cell>
          <cell r="H1473" t="str">
            <v>0,00</v>
          </cell>
          <cell r="I1473">
            <v>0</v>
          </cell>
          <cell r="J1473" t="str">
            <v>VERIFICAR</v>
          </cell>
        </row>
        <row r="1474">
          <cell r="A1474" t="str">
            <v>2.1.1.1.01.002553</v>
          </cell>
          <cell r="B1474" t="str">
            <v>SIND TRAB NAS IND MET MEC E DE MAT ELETR</v>
          </cell>
          <cell r="C1474" t="str">
            <v>1.002,50</v>
          </cell>
          <cell r="D1474" t="str">
            <v>40,00</v>
          </cell>
          <cell r="E1474" t="str">
            <v>385,00</v>
          </cell>
          <cell r="F1474" t="str">
            <v>0,00</v>
          </cell>
          <cell r="G1474" t="str">
            <v>1.347,50</v>
          </cell>
          <cell r="H1474" t="str">
            <v>0,00</v>
          </cell>
          <cell r="I1474">
            <v>-1347.5</v>
          </cell>
          <cell r="J1474" t="str">
            <v>VERIFICAR</v>
          </cell>
        </row>
        <row r="1475">
          <cell r="A1475" t="str">
            <v>2.1.1.1.01.002596</v>
          </cell>
          <cell r="B1475" t="str">
            <v>PONTES &amp; PONTES-COMERCIO DE FERRAMENTAS</v>
          </cell>
          <cell r="C1475" t="str">
            <v>9.961,00</v>
          </cell>
          <cell r="D1475" t="str">
            <v>11.791,00</v>
          </cell>
          <cell r="E1475" t="str">
            <v>1.830,00</v>
          </cell>
          <cell r="F1475" t="str">
            <v>0,00</v>
          </cell>
          <cell r="G1475" t="str">
            <v>0,00</v>
          </cell>
          <cell r="H1475" t="str">
            <v>0,00</v>
          </cell>
          <cell r="I1475">
            <v>0</v>
          </cell>
          <cell r="J1475" t="str">
            <v>VERIFICAR</v>
          </cell>
        </row>
        <row r="1476">
          <cell r="A1476" t="str">
            <v>2.1.1.1.01.002605</v>
          </cell>
          <cell r="B1476" t="str">
            <v>POLYTUBOS PRODUTOS SIDERURGICOS LTDA</v>
          </cell>
          <cell r="C1476" t="str">
            <v>298.583,00</v>
          </cell>
          <cell r="D1476" t="str">
            <v>298.582,99</v>
          </cell>
          <cell r="E1476" t="str">
            <v>0,00</v>
          </cell>
          <cell r="F1476" t="str">
            <v>0,00</v>
          </cell>
          <cell r="G1476" t="str">
            <v>0,01</v>
          </cell>
          <cell r="H1476" t="str">
            <v>0,00</v>
          </cell>
          <cell r="I1476">
            <v>-0.01</v>
          </cell>
          <cell r="J1476" t="str">
            <v>VERIFICAR</v>
          </cell>
        </row>
        <row r="1477">
          <cell r="A1477" t="str">
            <v>2.1.1.1.01.002627</v>
          </cell>
          <cell r="B1477" t="str">
            <v>OESTE COMERCIAL DE FERRO E ACO LTDA</v>
          </cell>
          <cell r="C1477" t="str">
            <v>626.903,29</v>
          </cell>
          <cell r="D1477" t="str">
            <v>626.859,19</v>
          </cell>
          <cell r="E1477" t="str">
            <v>1.171,58</v>
          </cell>
          <cell r="F1477" t="str">
            <v>31.437,19</v>
          </cell>
          <cell r="G1477" t="str">
            <v>0,00</v>
          </cell>
          <cell r="H1477" t="str">
            <v>30.221,51</v>
          </cell>
          <cell r="I1477">
            <v>30221.51</v>
          </cell>
          <cell r="J1477" t="str">
            <v>VERIFICAR</v>
          </cell>
        </row>
        <row r="1478">
          <cell r="A1478" t="str">
            <v>2.1.1.1.01.002653</v>
          </cell>
          <cell r="B1478" t="str">
            <v>RTF IMPORTACAO E COMERCIO DE COMPONENTES</v>
          </cell>
          <cell r="C1478" t="str">
            <v>5.955,92</v>
          </cell>
          <cell r="D1478" t="str">
            <v>5.955,91</v>
          </cell>
          <cell r="E1478" t="str">
            <v>469,27</v>
          </cell>
          <cell r="F1478" t="str">
            <v>1.603,47</v>
          </cell>
          <cell r="G1478" t="str">
            <v>0,00</v>
          </cell>
          <cell r="H1478" t="str">
            <v>1.134,19</v>
          </cell>
          <cell r="I1478">
            <v>1134.19</v>
          </cell>
          <cell r="J1478" t="str">
            <v>VERIFICAR</v>
          </cell>
        </row>
        <row r="1479">
          <cell r="A1479" t="str">
            <v>2.1.1.1.01.002668</v>
          </cell>
          <cell r="B1479" t="str">
            <v>BODIPASA BOMBAS DIESEL PAULISTA LTDA</v>
          </cell>
          <cell r="C1479" t="str">
            <v>192.632,70</v>
          </cell>
          <cell r="D1479" t="str">
            <v>192.632,70</v>
          </cell>
          <cell r="E1479" t="str">
            <v>6.300,00</v>
          </cell>
          <cell r="F1479" t="str">
            <v>6.300,00</v>
          </cell>
          <cell r="G1479" t="str">
            <v>0,00</v>
          </cell>
          <cell r="H1479" t="str">
            <v>0,00</v>
          </cell>
          <cell r="I1479">
            <v>0</v>
          </cell>
          <cell r="J1479" t="str">
            <v>VERIFICAR</v>
          </cell>
        </row>
        <row r="1480">
          <cell r="A1480" t="str">
            <v>2.1.1.1.01.002689</v>
          </cell>
          <cell r="B1480" t="str">
            <v>VEDER DO BRASIL EIRELI</v>
          </cell>
          <cell r="C1480" t="str">
            <v>168.824,16</v>
          </cell>
          <cell r="D1480" t="str">
            <v>176.439,76</v>
          </cell>
          <cell r="E1480" t="str">
            <v>10.248,51</v>
          </cell>
          <cell r="F1480" t="str">
            <v>4.050,00</v>
          </cell>
          <cell r="G1480" t="str">
            <v>0,00</v>
          </cell>
          <cell r="H1480" t="str">
            <v>1.417,09</v>
          </cell>
          <cell r="I1480">
            <v>1417.09</v>
          </cell>
          <cell r="J1480" t="str">
            <v>VERIFICAR</v>
          </cell>
        </row>
        <row r="1481">
          <cell r="A1481" t="str">
            <v>2.1.1.1.01.002693</v>
          </cell>
          <cell r="B1481" t="str">
            <v>METALURGICA BELA ALIANCA LTDA</v>
          </cell>
          <cell r="C1481" t="str">
            <v>1.006.564,00</v>
          </cell>
          <cell r="D1481" t="str">
            <v>1.006.564,00</v>
          </cell>
          <cell r="E1481" t="str">
            <v>0,00</v>
          </cell>
          <cell r="F1481" t="str">
            <v>14.900,00</v>
          </cell>
          <cell r="G1481" t="str">
            <v>0,00</v>
          </cell>
          <cell r="H1481" t="str">
            <v>14.900,00</v>
          </cell>
          <cell r="I1481">
            <v>14900</v>
          </cell>
          <cell r="J1481" t="str">
            <v>VERIFICAR</v>
          </cell>
        </row>
        <row r="1482">
          <cell r="A1482" t="str">
            <v>2.1.1.1.01.002702</v>
          </cell>
          <cell r="B1482" t="str">
            <v>AUTO POSTO ANTONIETA DE PINHAL LTDA</v>
          </cell>
          <cell r="C1482" t="str">
            <v>46.181,37</v>
          </cell>
          <cell r="D1482" t="str">
            <v>46.181,37</v>
          </cell>
          <cell r="E1482" t="str">
            <v>3.938,50</v>
          </cell>
          <cell r="F1482" t="str">
            <v>3.938,50</v>
          </cell>
          <cell r="G1482" t="str">
            <v>0,00</v>
          </cell>
          <cell r="H1482" t="str">
            <v>0,00</v>
          </cell>
          <cell r="I1482">
            <v>0</v>
          </cell>
          <cell r="J1482" t="str">
            <v>VERIFICAR</v>
          </cell>
        </row>
        <row r="1483">
          <cell r="A1483" t="str">
            <v>2.1.1.1.01.002718</v>
          </cell>
          <cell r="B1483" t="str">
            <v>FEREZIM PLASTICOS LTDA</v>
          </cell>
          <cell r="C1483" t="str">
            <v>75.984,40</v>
          </cell>
          <cell r="D1483" t="str">
            <v>82.731,82</v>
          </cell>
          <cell r="E1483" t="str">
            <v>18.749,63</v>
          </cell>
          <cell r="F1483" t="str">
            <v>20.096,22</v>
          </cell>
          <cell r="G1483" t="str">
            <v>0,00</v>
          </cell>
          <cell r="H1483" t="str">
            <v>8.094,01</v>
          </cell>
          <cell r="I1483">
            <v>8094.01</v>
          </cell>
          <cell r="J1483" t="str">
            <v>VERIFICAR</v>
          </cell>
        </row>
        <row r="1484">
          <cell r="A1484" t="str">
            <v>2.1.1.1.01.002735</v>
          </cell>
          <cell r="B1484" t="str">
            <v>CARTHOM’S ELETRO METALURGICA LTDA.</v>
          </cell>
          <cell r="C1484" t="str">
            <v>133.640,47</v>
          </cell>
          <cell r="D1484" t="str">
            <v>133.640,47</v>
          </cell>
          <cell r="E1484" t="str">
            <v>0,00</v>
          </cell>
          <cell r="F1484" t="str">
            <v>2.634,80</v>
          </cell>
          <cell r="G1484" t="str">
            <v>0,00</v>
          </cell>
          <cell r="H1484" t="str">
            <v>2.634,80</v>
          </cell>
          <cell r="I1484">
            <v>2634.8</v>
          </cell>
          <cell r="J1484" t="str">
            <v>VERIFICAR</v>
          </cell>
        </row>
        <row r="1485">
          <cell r="A1485" t="str">
            <v>2.1.1.1.01.002779</v>
          </cell>
          <cell r="B1485" t="str">
            <v>KAIZENMACH SERVICOS DE USINAGEM E SOLDAS</v>
          </cell>
          <cell r="C1485" t="str">
            <v>519.621,15</v>
          </cell>
          <cell r="D1485" t="str">
            <v>530.421,15</v>
          </cell>
          <cell r="E1485" t="str">
            <v>17.300,00</v>
          </cell>
          <cell r="F1485" t="str">
            <v>18.100,00</v>
          </cell>
          <cell r="G1485" t="str">
            <v>0,00</v>
          </cell>
          <cell r="H1485" t="str">
            <v>11.600,00</v>
          </cell>
          <cell r="I1485">
            <v>11600</v>
          </cell>
          <cell r="J1485" t="str">
            <v>VERIFICAR</v>
          </cell>
        </row>
        <row r="1486">
          <cell r="A1486" t="str">
            <v>2.1.1.1.01.002832</v>
          </cell>
          <cell r="B1486" t="str">
            <v>CARLOS ELIAS LEOPOLDINO SEBASTIAO</v>
          </cell>
          <cell r="C1486" t="str">
            <v>92.326,55</v>
          </cell>
          <cell r="D1486" t="str">
            <v>92.326,55</v>
          </cell>
          <cell r="E1486" t="str">
            <v>5.151,17</v>
          </cell>
          <cell r="F1486" t="str">
            <v>5.151,17</v>
          </cell>
          <cell r="G1486" t="str">
            <v>0,00</v>
          </cell>
          <cell r="H1486" t="str">
            <v>0,00</v>
          </cell>
          <cell r="I1486">
            <v>0</v>
          </cell>
          <cell r="J1486" t="str">
            <v>VERIFICAR</v>
          </cell>
        </row>
        <row r="1487">
          <cell r="A1487" t="str">
            <v>2.1.1.1.01.002834</v>
          </cell>
          <cell r="B1487" t="str">
            <v>CLARIPAV IMPLEMENTOS PARA PAVIMENTACAO E</v>
          </cell>
          <cell r="C1487" t="str">
            <v>408.090,44</v>
          </cell>
          <cell r="D1487" t="str">
            <v>425.410,44</v>
          </cell>
          <cell r="E1487" t="str">
            <v>12.990,00</v>
          </cell>
          <cell r="F1487" t="str">
            <v>25.980,00</v>
          </cell>
          <cell r="G1487" t="str">
            <v>0,00</v>
          </cell>
          <cell r="H1487" t="str">
            <v>30.310,00</v>
          </cell>
          <cell r="I1487">
            <v>30310</v>
          </cell>
          <cell r="J1487" t="str">
            <v>VERIFICAR</v>
          </cell>
        </row>
        <row r="1488">
          <cell r="A1488" t="str">
            <v>2.1.1.1.01.002867</v>
          </cell>
          <cell r="B1488" t="str">
            <v>WILSON ROBERTO VENTRONE MARILIA</v>
          </cell>
          <cell r="C1488" t="str">
            <v>517,00</v>
          </cell>
          <cell r="D1488" t="str">
            <v>517,00</v>
          </cell>
          <cell r="E1488" t="str">
            <v>82,30</v>
          </cell>
          <cell r="F1488" t="str">
            <v>82,30</v>
          </cell>
          <cell r="G1488" t="str">
            <v>0,00</v>
          </cell>
          <cell r="H1488" t="str">
            <v>0,00</v>
          </cell>
          <cell r="I1488">
            <v>0</v>
          </cell>
          <cell r="J1488" t="str">
            <v>VERIFICAR</v>
          </cell>
        </row>
        <row r="1489">
          <cell r="A1489" t="str">
            <v>2.1.1.1.01.002899</v>
          </cell>
          <cell r="B1489" t="str">
            <v>CCA IND. COM. DE MATERIAIS ELETRICOS LTD</v>
          </cell>
          <cell r="C1489" t="str">
            <v>25.004,45</v>
          </cell>
          <cell r="D1489" t="str">
            <v>25.004,46</v>
          </cell>
          <cell r="E1489" t="str">
            <v>0,00</v>
          </cell>
          <cell r="F1489" t="str">
            <v>0,00</v>
          </cell>
          <cell r="G1489" t="str">
            <v>0,00</v>
          </cell>
          <cell r="H1489" t="str">
            <v>0,01</v>
          </cell>
          <cell r="I1489">
            <v>0.01</v>
          </cell>
          <cell r="J1489" t="str">
            <v>VERIFICAR</v>
          </cell>
        </row>
        <row r="1490">
          <cell r="A1490" t="str">
            <v>2.1.1.1.01.002902</v>
          </cell>
          <cell r="B1490" t="str">
            <v>V R ABRASIVOS LTDA.</v>
          </cell>
          <cell r="C1490" t="str">
            <v>112.323,19</v>
          </cell>
          <cell r="D1490" t="str">
            <v>118.653,39</v>
          </cell>
          <cell r="E1490" t="str">
            <v>6.528,30</v>
          </cell>
          <cell r="F1490" t="str">
            <v>3.656,20</v>
          </cell>
          <cell r="G1490" t="str">
            <v>0,00</v>
          </cell>
          <cell r="H1490" t="str">
            <v>3.458,10</v>
          </cell>
          <cell r="I1490">
            <v>3458.1</v>
          </cell>
          <cell r="J1490" t="str">
            <v>VERIFICAR</v>
          </cell>
        </row>
        <row r="1491">
          <cell r="A1491" t="str">
            <v>2.1.1.1.01.002904</v>
          </cell>
          <cell r="B1491" t="str">
            <v>ROCHATIVA - ASSOCIACAO DE ATIVIDADES SOC</v>
          </cell>
          <cell r="C1491" t="str">
            <v>213.000,00</v>
          </cell>
          <cell r="D1491" t="str">
            <v>213.000,00</v>
          </cell>
          <cell r="E1491" t="str">
            <v>7.714,28</v>
          </cell>
          <cell r="F1491" t="str">
            <v>54.000,00</v>
          </cell>
          <cell r="G1491" t="str">
            <v>0,00</v>
          </cell>
          <cell r="H1491" t="str">
            <v>46.285,72</v>
          </cell>
          <cell r="I1491">
            <v>46285.72</v>
          </cell>
          <cell r="J1491" t="str">
            <v>VERIFICAR</v>
          </cell>
        </row>
        <row r="1492">
          <cell r="A1492" t="str">
            <v>2.1.1.1.01.002905</v>
          </cell>
          <cell r="B1492" t="str">
            <v>FF EQUIPAMENTOS E SERVICOS LTDA</v>
          </cell>
          <cell r="C1492" t="str">
            <v>2.018.767,97</v>
          </cell>
          <cell r="D1492" t="str">
            <v>2.018.767,97</v>
          </cell>
          <cell r="E1492" t="str">
            <v>4.513,26</v>
          </cell>
          <cell r="F1492" t="str">
            <v>4.513,26</v>
          </cell>
          <cell r="G1492" t="str">
            <v>0,00</v>
          </cell>
          <cell r="H1492" t="str">
            <v>0,00</v>
          </cell>
          <cell r="I1492">
            <v>0</v>
          </cell>
          <cell r="J1492" t="str">
            <v>VERIFICAR</v>
          </cell>
        </row>
        <row r="1493">
          <cell r="A1493" t="str">
            <v>2.1.1.1.01.002968</v>
          </cell>
          <cell r="B1493" t="str">
            <v>ACOFERA COMERCIO DE FERRO E ACO LTDA</v>
          </cell>
          <cell r="C1493" t="str">
            <v>1.182.718,56</v>
          </cell>
          <cell r="D1493" t="str">
            <v>1.186.740,97</v>
          </cell>
          <cell r="E1493" t="str">
            <v>4.022,41</v>
          </cell>
          <cell r="F1493" t="str">
            <v>16.629,22</v>
          </cell>
          <cell r="G1493" t="str">
            <v>0,00</v>
          </cell>
          <cell r="H1493" t="str">
            <v>16.629,22</v>
          </cell>
          <cell r="I1493">
            <v>16629.22</v>
          </cell>
          <cell r="J1493" t="str">
            <v>VERIFICAR</v>
          </cell>
        </row>
        <row r="1494">
          <cell r="A1494" t="str">
            <v>2.1.1.1.01.002973</v>
          </cell>
          <cell r="B1494" t="str">
            <v>RIBERMETALS COMERCIO, IMPORTACAO E EXPOR</v>
          </cell>
          <cell r="C1494" t="str">
            <v>801.709,83</v>
          </cell>
          <cell r="D1494" t="str">
            <v>836.629,39</v>
          </cell>
          <cell r="E1494" t="str">
            <v>28.675,77</v>
          </cell>
          <cell r="F1494" t="str">
            <v>27.986,00</v>
          </cell>
          <cell r="G1494" t="str">
            <v>0,00</v>
          </cell>
          <cell r="H1494" t="str">
            <v>34.229,79</v>
          </cell>
          <cell r="I1494">
            <v>34229.79</v>
          </cell>
          <cell r="J1494" t="str">
            <v>VERIFICAR</v>
          </cell>
        </row>
        <row r="1495">
          <cell r="A1495" t="str">
            <v>2.1.1.1.01.002991</v>
          </cell>
          <cell r="B1495" t="str">
            <v>ACTIOIL COMERCIO DE PRODUTOS QUIMICOS LT</v>
          </cell>
          <cell r="C1495" t="str">
            <v>70.646,49</v>
          </cell>
          <cell r="D1495" t="str">
            <v>70.646,49</v>
          </cell>
          <cell r="E1495" t="str">
            <v>0,00</v>
          </cell>
          <cell r="F1495" t="str">
            <v>4.004,84</v>
          </cell>
          <cell r="G1495" t="str">
            <v>0,00</v>
          </cell>
          <cell r="H1495" t="str">
            <v>4.004,84</v>
          </cell>
          <cell r="I1495">
            <v>4004.84</v>
          </cell>
          <cell r="J1495" t="str">
            <v>VERIFICAR</v>
          </cell>
        </row>
        <row r="1496">
          <cell r="A1496" t="str">
            <v>2.1.1.1.01.003011</v>
          </cell>
          <cell r="B1496" t="str">
            <v>RODRIGO DONIZETI SCHIAVONI 34212911876</v>
          </cell>
          <cell r="C1496" t="str">
            <v>29.343,70</v>
          </cell>
          <cell r="D1496" t="str">
            <v>29.343,70</v>
          </cell>
          <cell r="E1496" t="str">
            <v>940,00</v>
          </cell>
          <cell r="F1496" t="str">
            <v>940,00</v>
          </cell>
          <cell r="G1496" t="str">
            <v>0,00</v>
          </cell>
          <cell r="H1496" t="str">
            <v>0,00</v>
          </cell>
          <cell r="I1496">
            <v>0</v>
          </cell>
          <cell r="J1496" t="str">
            <v>VERIFICAR</v>
          </cell>
        </row>
        <row r="1497">
          <cell r="A1497" t="str">
            <v>2.1.1.1.01.003029</v>
          </cell>
          <cell r="B1497" t="str">
            <v>HIDROTECNICA SERVICOS EIRELI</v>
          </cell>
          <cell r="C1497" t="str">
            <v>1.841.967,03</v>
          </cell>
          <cell r="D1497" t="str">
            <v>1.940.438,33</v>
          </cell>
          <cell r="E1497" t="str">
            <v>47.629,89</v>
          </cell>
          <cell r="F1497" t="str">
            <v>173.265,74</v>
          </cell>
          <cell r="G1497" t="str">
            <v>0,00</v>
          </cell>
          <cell r="H1497" t="str">
            <v>224.107,15</v>
          </cell>
          <cell r="I1497">
            <v>224107.15</v>
          </cell>
          <cell r="J1497" t="str">
            <v>VERIFICAR</v>
          </cell>
        </row>
        <row r="1498">
          <cell r="A1498" t="str">
            <v>2.1.1.1.01.003037</v>
          </cell>
          <cell r="B1498" t="str">
            <v>MAYARA CORREA DEMARCHI 38172281803</v>
          </cell>
          <cell r="C1498" t="str">
            <v>1.108.005,45</v>
          </cell>
          <cell r="D1498" t="str">
            <v>1.108.005,45</v>
          </cell>
          <cell r="E1498" t="str">
            <v>17.591,53</v>
          </cell>
          <cell r="F1498" t="str">
            <v>17.591,53</v>
          </cell>
          <cell r="G1498" t="str">
            <v>0,00</v>
          </cell>
          <cell r="H1498" t="str">
            <v>0,00</v>
          </cell>
          <cell r="I1498">
            <v>0</v>
          </cell>
          <cell r="J1498" t="str">
            <v>VERIFICAR</v>
          </cell>
        </row>
        <row r="1499">
          <cell r="A1499" t="str">
            <v>2.1.1.1.01.003044</v>
          </cell>
          <cell r="B1499" t="str">
            <v>SERASA S.A.</v>
          </cell>
          <cell r="C1499" t="str">
            <v>683,33</v>
          </cell>
          <cell r="D1499" t="str">
            <v>699,60</v>
          </cell>
          <cell r="E1499" t="str">
            <v>0,00</v>
          </cell>
          <cell r="F1499" t="str">
            <v>0,00</v>
          </cell>
          <cell r="G1499" t="str">
            <v>0,00</v>
          </cell>
          <cell r="H1499" t="str">
            <v>16,27</v>
          </cell>
          <cell r="I1499">
            <v>16.27</v>
          </cell>
          <cell r="J1499" t="str">
            <v>VERIFICAR</v>
          </cell>
        </row>
        <row r="1500">
          <cell r="A1500" t="str">
            <v>2.1.1.1.01.003047</v>
          </cell>
          <cell r="B1500" t="str">
            <v>MRP VISTORIA PREVIA PINHAL LTDA</v>
          </cell>
          <cell r="C1500" t="str">
            <v>8.330,30</v>
          </cell>
          <cell r="D1500" t="str">
            <v>8.330,30</v>
          </cell>
          <cell r="E1500" t="str">
            <v>319,94</v>
          </cell>
          <cell r="F1500" t="str">
            <v>319,94</v>
          </cell>
          <cell r="G1500" t="str">
            <v>0,00</v>
          </cell>
          <cell r="H1500" t="str">
            <v>0,00</v>
          </cell>
          <cell r="I1500">
            <v>0</v>
          </cell>
          <cell r="J1500" t="str">
            <v>VERIFICAR</v>
          </cell>
        </row>
        <row r="1501">
          <cell r="A1501" t="str">
            <v>2.1.1.1.01.003095</v>
          </cell>
          <cell r="B1501" t="str">
            <v>THOR SOLUTIONS LOGISTICA &amp; CONSULTORIA</v>
          </cell>
          <cell r="C1501" t="str">
            <v>2.418.937,50</v>
          </cell>
          <cell r="D1501" t="str">
            <v>2.438.205,54</v>
          </cell>
          <cell r="E1501" t="str">
            <v>44.914,67</v>
          </cell>
          <cell r="F1501" t="str">
            <v>59.752,58</v>
          </cell>
          <cell r="G1501" t="str">
            <v>0,00</v>
          </cell>
          <cell r="H1501" t="str">
            <v>34.105,95</v>
          </cell>
          <cell r="I1501">
            <v>34105.949999999997</v>
          </cell>
          <cell r="J1501" t="str">
            <v>VERIFICAR</v>
          </cell>
        </row>
        <row r="1502">
          <cell r="A1502" t="str">
            <v>2.1.1.1.01.003153</v>
          </cell>
          <cell r="B1502" t="str">
            <v>EMIS COMERCIAL LTDA</v>
          </cell>
          <cell r="C1502" t="str">
            <v>8.946,86</v>
          </cell>
          <cell r="D1502" t="str">
            <v>9.726,86</v>
          </cell>
          <cell r="E1502" t="str">
            <v>943,13</v>
          </cell>
          <cell r="F1502" t="str">
            <v>163,13</v>
          </cell>
          <cell r="G1502" t="str">
            <v>0,00</v>
          </cell>
          <cell r="H1502" t="str">
            <v>0,00</v>
          </cell>
          <cell r="I1502">
            <v>0</v>
          </cell>
          <cell r="J1502" t="str">
            <v>VERIFICAR</v>
          </cell>
        </row>
        <row r="1503">
          <cell r="A1503" t="str">
            <v>2.1.1.1.01.003162</v>
          </cell>
          <cell r="B1503" t="str">
            <v>SAO JOAO DIESEL PECAS E ACESSORIOS EIREL</v>
          </cell>
          <cell r="C1503" t="str">
            <v>4.860,00</v>
          </cell>
          <cell r="D1503" t="str">
            <v>22.198,00</v>
          </cell>
          <cell r="E1503" t="str">
            <v>6.958,00</v>
          </cell>
          <cell r="F1503" t="str">
            <v>0,00</v>
          </cell>
          <cell r="G1503" t="str">
            <v>0,00</v>
          </cell>
          <cell r="H1503" t="str">
            <v>10.380,00</v>
          </cell>
          <cell r="I1503">
            <v>10380</v>
          </cell>
          <cell r="J1503" t="str">
            <v>VERIFICAR</v>
          </cell>
        </row>
        <row r="1504">
          <cell r="A1504" t="str">
            <v>2.1.1.1.01.003180</v>
          </cell>
          <cell r="B1504" t="str">
            <v>HODROTECNICA  AIR BOR   LTDA</v>
          </cell>
          <cell r="C1504" t="str">
            <v>66.556,86</v>
          </cell>
          <cell r="D1504" t="str">
            <v>66.724,86</v>
          </cell>
          <cell r="E1504" t="str">
            <v>168,00</v>
          </cell>
          <cell r="F1504" t="str">
            <v>0,00</v>
          </cell>
          <cell r="G1504" t="str">
            <v>0,00</v>
          </cell>
          <cell r="H1504" t="str">
            <v>0,00</v>
          </cell>
          <cell r="I1504">
            <v>0</v>
          </cell>
          <cell r="J1504" t="str">
            <v>VERIFICAR</v>
          </cell>
        </row>
        <row r="1505">
          <cell r="A1505" t="str">
            <v>2.1.1.1.01.003194</v>
          </cell>
          <cell r="B1505" t="str">
            <v>MUNICIPIO DE ESPIRITO SANTO DO PINHAL</v>
          </cell>
          <cell r="C1505" t="str">
            <v>522,54</v>
          </cell>
          <cell r="D1505" t="str">
            <v>0,00</v>
          </cell>
          <cell r="E1505" t="str">
            <v>0,00</v>
          </cell>
          <cell r="F1505" t="str">
            <v>0,00</v>
          </cell>
          <cell r="G1505" t="str">
            <v>522,54</v>
          </cell>
          <cell r="H1505" t="str">
            <v>0,00</v>
          </cell>
          <cell r="I1505">
            <v>-522.54</v>
          </cell>
          <cell r="J1505" t="str">
            <v>VERIFICAR</v>
          </cell>
        </row>
        <row r="1506">
          <cell r="A1506" t="str">
            <v>2.1.1.1.01.003198</v>
          </cell>
          <cell r="B1506" t="str">
            <v>THOR GRANITOS E MARMORES LTDA</v>
          </cell>
          <cell r="C1506" t="str">
            <v>80.000,00</v>
          </cell>
          <cell r="D1506" t="str">
            <v>95.000,00</v>
          </cell>
          <cell r="E1506" t="str">
            <v>0,00</v>
          </cell>
          <cell r="F1506" t="str">
            <v>0,00</v>
          </cell>
          <cell r="G1506" t="str">
            <v>0,00</v>
          </cell>
          <cell r="H1506" t="str">
            <v>15.000,00</v>
          </cell>
          <cell r="I1506">
            <v>15000</v>
          </cell>
          <cell r="J1506" t="str">
            <v>VERIFICAR</v>
          </cell>
        </row>
        <row r="1507">
          <cell r="A1507" t="str">
            <v>2.1.1.1.01.003225</v>
          </cell>
          <cell r="B1507" t="str">
            <v>INSTITUTO BRASILEIRO DO MEIO AMBIENTE E</v>
          </cell>
          <cell r="C1507" t="str">
            <v>10.588,54</v>
          </cell>
          <cell r="D1507" t="str">
            <v>2.732,12</v>
          </cell>
          <cell r="E1507" t="str">
            <v>0,00</v>
          </cell>
          <cell r="F1507" t="str">
            <v>0,00</v>
          </cell>
          <cell r="G1507" t="str">
            <v>7.856,42</v>
          </cell>
          <cell r="H1507" t="str">
            <v>0,00</v>
          </cell>
          <cell r="I1507">
            <v>-7856.42</v>
          </cell>
          <cell r="J1507" t="str">
            <v>VERIFICAR</v>
          </cell>
        </row>
        <row r="1508">
          <cell r="A1508" t="str">
            <v>2.1.1.1.01.003254</v>
          </cell>
          <cell r="B1508" t="str">
            <v>MOVIFORTE EMPILHADEIRAS ASSISTENCIA TECN</v>
          </cell>
          <cell r="C1508" t="str">
            <v>32.910,55</v>
          </cell>
          <cell r="D1508" t="str">
            <v>35.841,70</v>
          </cell>
          <cell r="E1508" t="str">
            <v>2.931,15</v>
          </cell>
          <cell r="F1508" t="str">
            <v>1.413,15</v>
          </cell>
          <cell r="G1508" t="str">
            <v>0,00</v>
          </cell>
          <cell r="H1508" t="str">
            <v>1.413,15</v>
          </cell>
          <cell r="I1508">
            <v>1413.15</v>
          </cell>
          <cell r="J1508" t="str">
            <v>VERIFICAR</v>
          </cell>
        </row>
        <row r="1509">
          <cell r="A1509" t="str">
            <v>2.1.1.1.01.003258</v>
          </cell>
          <cell r="B1509" t="str">
            <v>RENTAL TECH LOCACAO CORPORATIVA LTDA</v>
          </cell>
          <cell r="C1509" t="str">
            <v>51.949,94</v>
          </cell>
          <cell r="D1509" t="str">
            <v>51.949,94</v>
          </cell>
          <cell r="E1509" t="str">
            <v>947,46</v>
          </cell>
          <cell r="F1509" t="str">
            <v>1.847,46</v>
          </cell>
          <cell r="G1509" t="str">
            <v>0,00</v>
          </cell>
          <cell r="H1509" t="str">
            <v>900,00</v>
          </cell>
          <cell r="I1509">
            <v>900</v>
          </cell>
          <cell r="J1509" t="str">
            <v>VERIFICAR</v>
          </cell>
        </row>
        <row r="1510">
          <cell r="A1510" t="str">
            <v>2.1.1.1.01.003292</v>
          </cell>
          <cell r="B1510" t="str">
            <v>BEL EXPORT HIDRODINAMICA INDUSTRIA DE BO</v>
          </cell>
          <cell r="C1510" t="str">
            <v>269.504,70</v>
          </cell>
          <cell r="D1510" t="str">
            <v>279.677,73</v>
          </cell>
          <cell r="E1510" t="str">
            <v>3.296,82</v>
          </cell>
          <cell r="F1510" t="str">
            <v>0,00</v>
          </cell>
          <cell r="G1510" t="str">
            <v>0,00</v>
          </cell>
          <cell r="H1510" t="str">
            <v>6.876,21</v>
          </cell>
          <cell r="I1510">
            <v>6876.21</v>
          </cell>
          <cell r="J1510" t="str">
            <v>VERIFICAR</v>
          </cell>
        </row>
        <row r="1511">
          <cell r="A1511" t="str">
            <v>2.1.1.1.01.003306</v>
          </cell>
          <cell r="B1511" t="str">
            <v>ARMANDO PNEUS E TRANSPORTES LTDA</v>
          </cell>
          <cell r="C1511" t="str">
            <v>87.581,03</v>
          </cell>
          <cell r="D1511" t="str">
            <v>92.608,03</v>
          </cell>
          <cell r="E1511" t="str">
            <v>3.707,00</v>
          </cell>
          <cell r="F1511" t="str">
            <v>2.864,00</v>
          </cell>
          <cell r="G1511" t="str">
            <v>0,00</v>
          </cell>
          <cell r="H1511" t="str">
            <v>4.184,00</v>
          </cell>
          <cell r="I1511">
            <v>4184</v>
          </cell>
          <cell r="J1511" t="str">
            <v>VERIFICAR</v>
          </cell>
        </row>
        <row r="1512">
          <cell r="A1512" t="str">
            <v>2.1.1.1.01.003356</v>
          </cell>
          <cell r="B1512" t="str">
            <v>PRADO AUTOMACAO E COMPONENTES INDUSTRIAI</v>
          </cell>
          <cell r="C1512" t="str">
            <v>26.253,74</v>
          </cell>
          <cell r="D1512" t="str">
            <v>26.253,74</v>
          </cell>
          <cell r="E1512" t="str">
            <v>0,00</v>
          </cell>
          <cell r="F1512" t="str">
            <v>2.540,00</v>
          </cell>
          <cell r="G1512" t="str">
            <v>0,00</v>
          </cell>
          <cell r="H1512" t="str">
            <v>2.540,00</v>
          </cell>
          <cell r="I1512">
            <v>2540</v>
          </cell>
          <cell r="J1512" t="str">
            <v>VERIFICAR</v>
          </cell>
        </row>
        <row r="1513">
          <cell r="A1513" t="str">
            <v>2.1.1.1.01.003361</v>
          </cell>
          <cell r="B1513" t="str">
            <v>EDSON FIGUEIROA BORGES ALUGUEL MAQUINAS</v>
          </cell>
          <cell r="C1513" t="str">
            <v>433.482,57</v>
          </cell>
          <cell r="D1513" t="str">
            <v>433.482,57</v>
          </cell>
          <cell r="E1513" t="str">
            <v>2.883,85</v>
          </cell>
          <cell r="F1513" t="str">
            <v>2.883,85</v>
          </cell>
          <cell r="G1513" t="str">
            <v>0,00</v>
          </cell>
          <cell r="H1513" t="str">
            <v>0,00</v>
          </cell>
          <cell r="I1513">
            <v>0</v>
          </cell>
          <cell r="J1513" t="str">
            <v>VERIFICAR</v>
          </cell>
        </row>
        <row r="1514">
          <cell r="A1514" t="str">
            <v>2.1.1.1.01.003367</v>
          </cell>
          <cell r="B1514" t="str">
            <v>ERNANDO SANTOS MACEDO</v>
          </cell>
          <cell r="C1514" t="str">
            <v>120.894,14</v>
          </cell>
          <cell r="D1514" t="str">
            <v>120.894,14</v>
          </cell>
          <cell r="E1514" t="str">
            <v>6.000,00</v>
          </cell>
          <cell r="F1514" t="str">
            <v>6.000,00</v>
          </cell>
          <cell r="G1514" t="str">
            <v>0,00</v>
          </cell>
          <cell r="H1514" t="str">
            <v>0,00</v>
          </cell>
          <cell r="I1514">
            <v>0</v>
          </cell>
          <cell r="J1514" t="str">
            <v>VERIFICAR</v>
          </cell>
        </row>
        <row r="1515">
          <cell r="A1515" t="str">
            <v>2.1.1.1.01.003416</v>
          </cell>
          <cell r="B1515" t="str">
            <v>GUACU DIESEL LTDA</v>
          </cell>
          <cell r="C1515" t="str">
            <v>24.063,80</v>
          </cell>
          <cell r="D1515" t="str">
            <v>24.598,80</v>
          </cell>
          <cell r="E1515" t="str">
            <v>260,00</v>
          </cell>
          <cell r="F1515" t="str">
            <v>260,00</v>
          </cell>
          <cell r="G1515" t="str">
            <v>0,00</v>
          </cell>
          <cell r="H1515" t="str">
            <v>535,00</v>
          </cell>
          <cell r="I1515">
            <v>535</v>
          </cell>
          <cell r="J1515" t="str">
            <v>VERIFICAR</v>
          </cell>
        </row>
        <row r="1516">
          <cell r="A1516" t="str">
            <v>2.1.1.1.01.003424</v>
          </cell>
          <cell r="B1516" t="str">
            <v>DIECKMANN INDUSTRIA E COMERCIO LTDA.</v>
          </cell>
          <cell r="C1516" t="str">
            <v>283.026,16</v>
          </cell>
          <cell r="D1516" t="str">
            <v>283.026,16</v>
          </cell>
          <cell r="E1516" t="str">
            <v>0,00</v>
          </cell>
          <cell r="F1516" t="str">
            <v>6.381,80</v>
          </cell>
          <cell r="G1516" t="str">
            <v>0,00</v>
          </cell>
          <cell r="H1516" t="str">
            <v>6.381,80</v>
          </cell>
          <cell r="I1516">
            <v>6381.8</v>
          </cell>
          <cell r="J1516" t="str">
            <v>VERIFICAR</v>
          </cell>
        </row>
        <row r="1517">
          <cell r="A1517" t="str">
            <v>2.1.1.1.01.003450</v>
          </cell>
          <cell r="B1517" t="str">
            <v>FABIANO DA SILVA BALBINO DIAS</v>
          </cell>
          <cell r="C1517" t="str">
            <v>639.810,64</v>
          </cell>
          <cell r="D1517" t="str">
            <v>639.810,64</v>
          </cell>
          <cell r="E1517" t="str">
            <v>7.681,47</v>
          </cell>
          <cell r="F1517" t="str">
            <v>7.681,47</v>
          </cell>
          <cell r="G1517" t="str">
            <v>0,00</v>
          </cell>
          <cell r="H1517" t="str">
            <v>0,00</v>
          </cell>
          <cell r="I1517">
            <v>0</v>
          </cell>
          <cell r="J1517" t="str">
            <v>VERIFICAR</v>
          </cell>
        </row>
        <row r="1518">
          <cell r="A1518" t="str">
            <v>2.1.1.1.01.003459</v>
          </cell>
          <cell r="B1518" t="str">
            <v>MEGA PLATE COMERCIO DE FERRO E ACO LTDA</v>
          </cell>
          <cell r="C1518" t="str">
            <v>215.500,34</v>
          </cell>
          <cell r="D1518" t="str">
            <v>215.500,32</v>
          </cell>
          <cell r="E1518" t="str">
            <v>0,00</v>
          </cell>
          <cell r="F1518" t="str">
            <v>4.790,68</v>
          </cell>
          <cell r="G1518" t="str">
            <v>0,00</v>
          </cell>
          <cell r="H1518" t="str">
            <v>4.790,66</v>
          </cell>
          <cell r="I1518">
            <v>4790.66</v>
          </cell>
          <cell r="J1518" t="str">
            <v>VERIFICAR</v>
          </cell>
        </row>
        <row r="1519">
          <cell r="A1519" t="str">
            <v>2.1.1.1.01.003463</v>
          </cell>
          <cell r="B1519" t="str">
            <v>TRANSJOI TRANSPORTES LTDA</v>
          </cell>
          <cell r="C1519" t="str">
            <v>55.127,99</v>
          </cell>
          <cell r="D1519" t="str">
            <v>55.127,99</v>
          </cell>
          <cell r="E1519" t="str">
            <v>917,92</v>
          </cell>
          <cell r="F1519" t="str">
            <v>917,92</v>
          </cell>
          <cell r="G1519" t="str">
            <v>0,00</v>
          </cell>
          <cell r="H1519" t="str">
            <v>0,00</v>
          </cell>
          <cell r="I1519">
            <v>0</v>
          </cell>
          <cell r="J1519" t="str">
            <v>VERIFICAR</v>
          </cell>
        </row>
        <row r="1520">
          <cell r="A1520" t="str">
            <v>2.1.1.1.01.003471</v>
          </cell>
          <cell r="B1520" t="str">
            <v>ENGEQUIMICA METAIS E LIGAS ESPECIAIS LTD</v>
          </cell>
          <cell r="C1520" t="str">
            <v>861.857,74</v>
          </cell>
          <cell r="D1520" t="str">
            <v>861.857,74</v>
          </cell>
          <cell r="E1520" t="str">
            <v>3.894,59</v>
          </cell>
          <cell r="F1520" t="str">
            <v>3.894,59</v>
          </cell>
          <cell r="G1520" t="str">
            <v>0,00</v>
          </cell>
          <cell r="H1520" t="str">
            <v>0,00</v>
          </cell>
          <cell r="I1520">
            <v>0</v>
          </cell>
          <cell r="J1520" t="str">
            <v>VERIFICAR</v>
          </cell>
        </row>
        <row r="1521">
          <cell r="A1521" t="str">
            <v>2.1.1.1.01.003482</v>
          </cell>
          <cell r="B1521" t="str">
            <v>ACOS FAVORIT DISTRIBUIDORA LTDA</v>
          </cell>
          <cell r="C1521" t="str">
            <v>1.060.544,84</v>
          </cell>
          <cell r="D1521" t="str">
            <v>1.106.478,30</v>
          </cell>
          <cell r="E1521" t="str">
            <v>34.806,54</v>
          </cell>
          <cell r="F1521" t="str">
            <v>2.631,17</v>
          </cell>
          <cell r="G1521" t="str">
            <v>0,00</v>
          </cell>
          <cell r="H1521" t="str">
            <v>13.758,09</v>
          </cell>
          <cell r="I1521">
            <v>13758.09</v>
          </cell>
          <cell r="J1521" t="str">
            <v>VERIFICAR</v>
          </cell>
        </row>
        <row r="1522">
          <cell r="A1522" t="str">
            <v>2.1.1.1.01.003498</v>
          </cell>
          <cell r="B1522" t="str">
            <v>DEICMAR ARMAZENS E DISTRIBUICAO LTDA</v>
          </cell>
          <cell r="C1522" t="str">
            <v>510.267,95</v>
          </cell>
          <cell r="D1522" t="str">
            <v>533.887,50</v>
          </cell>
          <cell r="E1522" t="str">
            <v>34.684,96</v>
          </cell>
          <cell r="F1522" t="str">
            <v>12.308,33</v>
          </cell>
          <cell r="G1522" t="str">
            <v>0,00</v>
          </cell>
          <cell r="H1522" t="str">
            <v>1.242,92</v>
          </cell>
          <cell r="I1522">
            <v>1242.92</v>
          </cell>
          <cell r="J1522" t="str">
            <v>VERIFICAR</v>
          </cell>
        </row>
        <row r="1523">
          <cell r="A1523" t="str">
            <v>2.1.1.1.01.003499</v>
          </cell>
          <cell r="B1523" t="str">
            <v>BRADESCO SAUDE S/A</v>
          </cell>
          <cell r="C1523" t="str">
            <v>241.825,36</v>
          </cell>
          <cell r="D1523" t="str">
            <v>246.118,53</v>
          </cell>
          <cell r="E1523" t="str">
            <v>11.461,84</v>
          </cell>
          <cell r="F1523" t="str">
            <v>11.461,84</v>
          </cell>
          <cell r="G1523" t="str">
            <v>0,00</v>
          </cell>
          <cell r="H1523" t="str">
            <v>4.293,17</v>
          </cell>
          <cell r="I1523">
            <v>4293.17</v>
          </cell>
          <cell r="J1523" t="str">
            <v>VERIFICAR</v>
          </cell>
        </row>
        <row r="1524">
          <cell r="A1524" t="str">
            <v>2.1.1.1.01.003507</v>
          </cell>
          <cell r="B1524" t="str">
            <v>C. A. COMERCIO DE FILTROS LTDA</v>
          </cell>
          <cell r="C1524" t="str">
            <v>61.718,30</v>
          </cell>
          <cell r="D1524" t="str">
            <v>62.377,90</v>
          </cell>
          <cell r="E1524" t="str">
            <v>1.559,00</v>
          </cell>
          <cell r="F1524" t="str">
            <v>899,40</v>
          </cell>
          <cell r="G1524" t="str">
            <v>0,00</v>
          </cell>
          <cell r="H1524" t="str">
            <v>0,00</v>
          </cell>
          <cell r="I1524">
            <v>0</v>
          </cell>
          <cell r="J1524" t="str">
            <v>VERIFICAR</v>
          </cell>
        </row>
        <row r="1525">
          <cell r="A1525" t="str">
            <v>2.1.1.1.01.003534</v>
          </cell>
          <cell r="B1525" t="str">
            <v>SILVA E VALENTIM USINAGEM LTDA ME.</v>
          </cell>
          <cell r="C1525" t="str">
            <v>437.135,02</v>
          </cell>
          <cell r="D1525" t="str">
            <v>437.135,02</v>
          </cell>
          <cell r="E1525" t="str">
            <v>0,00</v>
          </cell>
          <cell r="F1525" t="str">
            <v>13.960,29</v>
          </cell>
          <cell r="G1525" t="str">
            <v>0,00</v>
          </cell>
          <cell r="H1525" t="str">
            <v>13.960,29</v>
          </cell>
          <cell r="I1525">
            <v>13960.29</v>
          </cell>
          <cell r="J1525" t="str">
            <v>VERIFICAR</v>
          </cell>
        </row>
        <row r="1526">
          <cell r="A1526" t="str">
            <v>2.1.1.1.01.003549</v>
          </cell>
          <cell r="B1526" t="str">
            <v>ESFINGE EQUIPAMENTOS DE SEGURANCA LTDA</v>
          </cell>
          <cell r="C1526" t="str">
            <v>83.331,00</v>
          </cell>
          <cell r="D1526" t="str">
            <v>83.331,00</v>
          </cell>
          <cell r="E1526" t="str">
            <v>720,00</v>
          </cell>
          <cell r="F1526" t="str">
            <v>720,00</v>
          </cell>
          <cell r="G1526" t="str">
            <v>0,00</v>
          </cell>
          <cell r="H1526" t="str">
            <v>0,00</v>
          </cell>
          <cell r="I1526">
            <v>0</v>
          </cell>
          <cell r="J1526" t="str">
            <v>VERIFICAR</v>
          </cell>
        </row>
        <row r="1527">
          <cell r="A1527" t="str">
            <v>2.1.1.1.01.003550</v>
          </cell>
          <cell r="B1527" t="str">
            <v>CIM AUTOMACAO LTDA</v>
          </cell>
          <cell r="C1527" t="str">
            <v>922.252,84</v>
          </cell>
          <cell r="D1527" t="str">
            <v>945.723,08</v>
          </cell>
          <cell r="E1527" t="str">
            <v>20.830,34</v>
          </cell>
          <cell r="F1527" t="str">
            <v>8.934,26</v>
          </cell>
          <cell r="G1527" t="str">
            <v>0,00</v>
          </cell>
          <cell r="H1527" t="str">
            <v>11.574,16</v>
          </cell>
          <cell r="I1527">
            <v>11574.16</v>
          </cell>
          <cell r="J1527" t="str">
            <v>VERIFICAR</v>
          </cell>
        </row>
        <row r="1528">
          <cell r="A1528" t="str">
            <v>2.1.1.1.01.003561</v>
          </cell>
          <cell r="B1528" t="str">
            <v>MORMAT LTDA</v>
          </cell>
          <cell r="C1528" t="str">
            <v>132.780,01</v>
          </cell>
          <cell r="D1528" t="str">
            <v>132.780,01</v>
          </cell>
          <cell r="E1528" t="str">
            <v>1.599,95</v>
          </cell>
          <cell r="F1528" t="str">
            <v>2.050,48</v>
          </cell>
          <cell r="G1528" t="str">
            <v>0,00</v>
          </cell>
          <cell r="H1528" t="str">
            <v>450,53</v>
          </cell>
          <cell r="I1528">
            <v>450.53</v>
          </cell>
          <cell r="J1528" t="str">
            <v>VERIFICAR</v>
          </cell>
        </row>
        <row r="1529">
          <cell r="A1529" t="str">
            <v>2.1.1.1.01.003575</v>
          </cell>
          <cell r="B1529" t="str">
            <v>DENKTHERM IND E COM DE RESISTORES</v>
          </cell>
          <cell r="C1529" t="str">
            <v>64.473,10</v>
          </cell>
          <cell r="D1529" t="str">
            <v>64.473,10</v>
          </cell>
          <cell r="E1529" t="str">
            <v>1.935,00</v>
          </cell>
          <cell r="F1529" t="str">
            <v>1.935,00</v>
          </cell>
          <cell r="G1529" t="str">
            <v>0,00</v>
          </cell>
          <cell r="H1529" t="str">
            <v>0,00</v>
          </cell>
          <cell r="I1529">
            <v>0</v>
          </cell>
          <cell r="J1529" t="str">
            <v>VERIFICAR</v>
          </cell>
        </row>
        <row r="1530">
          <cell r="A1530" t="str">
            <v>2.1.1.1.01.003582</v>
          </cell>
          <cell r="B1530" t="str">
            <v>COFAC COMERCIO DE CORREIAS</v>
          </cell>
          <cell r="C1530" t="str">
            <v>22.617,00</v>
          </cell>
          <cell r="D1530" t="str">
            <v>23.007,00</v>
          </cell>
          <cell r="E1530" t="str">
            <v>390,00</v>
          </cell>
          <cell r="F1530" t="str">
            <v>0,00</v>
          </cell>
          <cell r="G1530" t="str">
            <v>0,00</v>
          </cell>
          <cell r="H1530" t="str">
            <v>0,00</v>
          </cell>
          <cell r="I1530">
            <v>0</v>
          </cell>
          <cell r="J1530" t="str">
            <v>VERIFICAR</v>
          </cell>
        </row>
        <row r="1531">
          <cell r="A1531" t="str">
            <v>2.1.1.1.01.003586</v>
          </cell>
          <cell r="B1531" t="str">
            <v>SIDNEI RAFAEL DE SOUZA</v>
          </cell>
          <cell r="C1531" t="str">
            <v>5.000,00</v>
          </cell>
          <cell r="D1531" t="str">
            <v>15.000,00</v>
          </cell>
          <cell r="E1531" t="str">
            <v>0,00</v>
          </cell>
          <cell r="F1531" t="str">
            <v>0,00</v>
          </cell>
          <cell r="G1531" t="str">
            <v>0,00</v>
          </cell>
          <cell r="H1531" t="str">
            <v>10.000,00</v>
          </cell>
          <cell r="I1531">
            <v>10000</v>
          </cell>
          <cell r="J1531" t="str">
            <v>VERIFICAR</v>
          </cell>
        </row>
        <row r="1532">
          <cell r="A1532" t="str">
            <v>2.1.1.1.01.003598</v>
          </cell>
          <cell r="B1532" t="str">
            <v>DOUGLAS FABIANO BARBOSA</v>
          </cell>
          <cell r="C1532" t="str">
            <v>11.200,45</v>
          </cell>
          <cell r="D1532" t="str">
            <v>11.200,45</v>
          </cell>
          <cell r="E1532" t="str">
            <v>481,00</v>
          </cell>
          <cell r="F1532" t="str">
            <v>481,00</v>
          </cell>
          <cell r="G1532" t="str">
            <v>0,00</v>
          </cell>
          <cell r="H1532" t="str">
            <v>0,00</v>
          </cell>
          <cell r="I1532">
            <v>0</v>
          </cell>
          <cell r="J1532" t="str">
            <v>VERIFICAR</v>
          </cell>
        </row>
        <row r="1533">
          <cell r="A1533" t="str">
            <v>2.1.1.1.01.003602</v>
          </cell>
          <cell r="B1533" t="str">
            <v>THIAGO GONCALVES DOMINGUES</v>
          </cell>
          <cell r="C1533" t="str">
            <v>217.355,69</v>
          </cell>
          <cell r="D1533" t="str">
            <v>217.355,69</v>
          </cell>
          <cell r="E1533" t="str">
            <v>438,50</v>
          </cell>
          <cell r="F1533" t="str">
            <v>438,50</v>
          </cell>
          <cell r="G1533" t="str">
            <v>0,00</v>
          </cell>
          <cell r="H1533" t="str">
            <v>0,00</v>
          </cell>
          <cell r="I1533">
            <v>0</v>
          </cell>
          <cell r="J1533" t="str">
            <v>VERIFICAR</v>
          </cell>
        </row>
        <row r="1534">
          <cell r="A1534" t="str">
            <v>2.1.1.1.01.003608</v>
          </cell>
          <cell r="B1534" t="str">
            <v>JPS CONTADORES E AUDITORES INDEPENDENTES</v>
          </cell>
          <cell r="C1534" t="str">
            <v>1.177.465,64</v>
          </cell>
          <cell r="D1534" t="str">
            <v>1.177.465,64</v>
          </cell>
          <cell r="E1534" t="str">
            <v>14.000,00</v>
          </cell>
          <cell r="F1534" t="str">
            <v>14.000,00</v>
          </cell>
          <cell r="G1534" t="str">
            <v>0,00</v>
          </cell>
          <cell r="H1534" t="str">
            <v>0,00</v>
          </cell>
          <cell r="I1534">
            <v>0</v>
          </cell>
          <cell r="J1534" t="str">
            <v>VERIFICAR</v>
          </cell>
        </row>
        <row r="1535">
          <cell r="A1535" t="str">
            <v>2.1.1.1.01.003611</v>
          </cell>
          <cell r="B1535" t="str">
            <v>CAETANO ASSISTENCIA TECNICA LTDA</v>
          </cell>
          <cell r="C1535" t="str">
            <v>842.901,68</v>
          </cell>
          <cell r="D1535" t="str">
            <v>842.901,68</v>
          </cell>
          <cell r="E1535" t="str">
            <v>12.000,00</v>
          </cell>
          <cell r="F1535" t="str">
            <v>12.000,00</v>
          </cell>
          <cell r="G1535" t="str">
            <v>0,00</v>
          </cell>
          <cell r="H1535" t="str">
            <v>0,00</v>
          </cell>
          <cell r="I1535">
            <v>0</v>
          </cell>
          <cell r="J1535" t="str">
            <v>VERIFICAR</v>
          </cell>
        </row>
        <row r="1536">
          <cell r="A1536" t="str">
            <v>2.1.1.1.01.003613</v>
          </cell>
          <cell r="B1536" t="str">
            <v>A.S. DE ABREU DALTO</v>
          </cell>
          <cell r="C1536" t="str">
            <v>99.664,47</v>
          </cell>
          <cell r="D1536" t="str">
            <v>99.664,48</v>
          </cell>
          <cell r="E1536" t="str">
            <v>562,17</v>
          </cell>
          <cell r="F1536" t="str">
            <v>1.298,60</v>
          </cell>
          <cell r="G1536" t="str">
            <v>0,00</v>
          </cell>
          <cell r="H1536" t="str">
            <v>736,44</v>
          </cell>
          <cell r="I1536">
            <v>736.44</v>
          </cell>
          <cell r="J1536" t="str">
            <v>VERIFICAR</v>
          </cell>
        </row>
        <row r="1537">
          <cell r="A1537" t="str">
            <v>2.1.1.1.01.003623</v>
          </cell>
          <cell r="B1537" t="str">
            <v>WANDERLEY CAETANO STAPHANATO</v>
          </cell>
          <cell r="C1537" t="str">
            <v>105.853,93</v>
          </cell>
          <cell r="D1537" t="str">
            <v>105.853,93</v>
          </cell>
          <cell r="E1537" t="str">
            <v>575,99</v>
          </cell>
          <cell r="F1537" t="str">
            <v>575,99</v>
          </cell>
          <cell r="G1537" t="str">
            <v>0,00</v>
          </cell>
          <cell r="H1537" t="str">
            <v>0,00</v>
          </cell>
          <cell r="I1537">
            <v>0</v>
          </cell>
          <cell r="J1537" t="str">
            <v>VERIFICAR</v>
          </cell>
        </row>
        <row r="1538">
          <cell r="A1538" t="str">
            <v>2.1.1.1.01.003628</v>
          </cell>
          <cell r="B1538" t="str">
            <v>SOLUÇÕES EM AÇO USIMINAS S.A</v>
          </cell>
          <cell r="C1538" t="str">
            <v>1.698.277,53</v>
          </cell>
          <cell r="D1538" t="str">
            <v>1.706.795,66</v>
          </cell>
          <cell r="E1538" t="str">
            <v>5.678,76</v>
          </cell>
          <cell r="F1538" t="str">
            <v>0,00</v>
          </cell>
          <cell r="G1538" t="str">
            <v>0,00</v>
          </cell>
          <cell r="H1538" t="str">
            <v>2.839,37</v>
          </cell>
          <cell r="I1538">
            <v>2839.37</v>
          </cell>
          <cell r="J1538" t="str">
            <v>VERIFICAR</v>
          </cell>
        </row>
        <row r="1539">
          <cell r="A1539" t="str">
            <v>2.1.1.1.01.003634</v>
          </cell>
          <cell r="B1539" t="str">
            <v>WHITE MARTINS GASES INDUSTRIAIS LTDA</v>
          </cell>
          <cell r="C1539" t="str">
            <v>245.597,21</v>
          </cell>
          <cell r="D1539" t="str">
            <v>252.655,77</v>
          </cell>
          <cell r="E1539" t="str">
            <v>7.986,35</v>
          </cell>
          <cell r="F1539" t="str">
            <v>5.494,64</v>
          </cell>
          <cell r="G1539" t="str">
            <v>0,00</v>
          </cell>
          <cell r="H1539" t="str">
            <v>4.566,85</v>
          </cell>
          <cell r="I1539">
            <v>4566.8500000000004</v>
          </cell>
          <cell r="J1539" t="str">
            <v>VERIFICAR</v>
          </cell>
        </row>
        <row r="1540">
          <cell r="A1540" t="str">
            <v>2.1.1.1.01.003668</v>
          </cell>
          <cell r="B1540" t="str">
            <v>N. M. CALEFFI &amp; CIA. LTDA</v>
          </cell>
          <cell r="C1540" t="str">
            <v>98.146,52</v>
          </cell>
          <cell r="D1540" t="str">
            <v>98.873,70</v>
          </cell>
          <cell r="E1540" t="str">
            <v>727,18</v>
          </cell>
          <cell r="F1540" t="str">
            <v>30,70</v>
          </cell>
          <cell r="G1540" t="str">
            <v>0,00</v>
          </cell>
          <cell r="H1540" t="str">
            <v>30,70</v>
          </cell>
          <cell r="I1540">
            <v>30.7</v>
          </cell>
          <cell r="J1540" t="str">
            <v>VERIFICAR</v>
          </cell>
        </row>
        <row r="1541">
          <cell r="A1541" t="str">
            <v>2.1.1.1.01.003714</v>
          </cell>
          <cell r="B1541" t="str">
            <v>AUTO IMPORTS LTDA</v>
          </cell>
          <cell r="C1541" t="str">
            <v>6.528,30</v>
          </cell>
          <cell r="D1541" t="str">
            <v>9.950,30</v>
          </cell>
          <cell r="E1541" t="str">
            <v>0,00</v>
          </cell>
          <cell r="F1541" t="str">
            <v>0,00</v>
          </cell>
          <cell r="G1541" t="str">
            <v>0,00</v>
          </cell>
          <cell r="H1541" t="str">
            <v>3.422,00</v>
          </cell>
          <cell r="I1541">
            <v>3422</v>
          </cell>
          <cell r="J1541" t="str">
            <v>VERIFICAR</v>
          </cell>
        </row>
        <row r="1542">
          <cell r="A1542" t="str">
            <v>2.1.1.1.01.003746</v>
          </cell>
          <cell r="B1542" t="str">
            <v>ATLANTIS GUARUJA TERMINAIS DE CONTAINERS</v>
          </cell>
          <cell r="C1542" t="str">
            <v>5.595,00</v>
          </cell>
          <cell r="D1542" t="str">
            <v>5.595,00</v>
          </cell>
          <cell r="E1542" t="str">
            <v>1.425,00</v>
          </cell>
          <cell r="F1542" t="str">
            <v>1.425,00</v>
          </cell>
          <cell r="G1542" t="str">
            <v>0,00</v>
          </cell>
          <cell r="H1542" t="str">
            <v>0,00</v>
          </cell>
          <cell r="I1542">
            <v>0</v>
          </cell>
          <cell r="J1542" t="str">
            <v>VERIFICAR</v>
          </cell>
        </row>
        <row r="1543">
          <cell r="A1543" t="str">
            <v>2.1.1.1.01.003747</v>
          </cell>
          <cell r="B1543" t="str">
            <v>ANDORINHA COMERCIAL EIRELI</v>
          </cell>
          <cell r="C1543" t="str">
            <v>78.504,01</v>
          </cell>
          <cell r="D1543" t="str">
            <v>81.306,55</v>
          </cell>
          <cell r="E1543" t="str">
            <v>2.802,54</v>
          </cell>
          <cell r="F1543" t="str">
            <v>8.723,19</v>
          </cell>
          <cell r="G1543" t="str">
            <v>0,00</v>
          </cell>
          <cell r="H1543" t="str">
            <v>8.723,19</v>
          </cell>
          <cell r="I1543">
            <v>8723.19</v>
          </cell>
          <cell r="J1543" t="str">
            <v>VERIFICAR</v>
          </cell>
        </row>
        <row r="1544">
          <cell r="A1544" t="str">
            <v>2.1.1.1.01.003757</v>
          </cell>
          <cell r="B1544" t="str">
            <v>ASSOCIACAO COMERCIAL E INDUSTRIAL DE CAM</v>
          </cell>
          <cell r="C1544" t="str">
            <v>2.626,00</v>
          </cell>
          <cell r="D1544" t="str">
            <v>0,00</v>
          </cell>
          <cell r="E1544" t="str">
            <v>0,00</v>
          </cell>
          <cell r="F1544" t="str">
            <v>0,00</v>
          </cell>
          <cell r="G1544" t="str">
            <v>2.626,00</v>
          </cell>
          <cell r="H1544" t="str">
            <v>0,00</v>
          </cell>
          <cell r="I1544">
            <v>-2626</v>
          </cell>
          <cell r="J1544" t="str">
            <v>VERIFICAR</v>
          </cell>
        </row>
        <row r="1545">
          <cell r="A1545" t="str">
            <v>2.1.1.1.01.003761</v>
          </cell>
          <cell r="B1545" t="str">
            <v>KANAFLEX S/A INDUSTRIA DE PLASTICOS</v>
          </cell>
          <cell r="C1545" t="str">
            <v>35.210,06</v>
          </cell>
          <cell r="D1545" t="str">
            <v>39.379,92</v>
          </cell>
          <cell r="E1545" t="str">
            <v>4.169,86</v>
          </cell>
          <cell r="F1545" t="str">
            <v>0,00</v>
          </cell>
          <cell r="G1545" t="str">
            <v>0,00</v>
          </cell>
          <cell r="H1545" t="str">
            <v>0,00</v>
          </cell>
          <cell r="I1545">
            <v>0</v>
          </cell>
          <cell r="J1545" t="str">
            <v>VERIFICAR</v>
          </cell>
        </row>
        <row r="1546">
          <cell r="A1546" t="str">
            <v>2.1.1.1.01.003774</v>
          </cell>
          <cell r="B1546" t="str">
            <v>SAINT VINCENT EMPREENDIMENTOS E ADMINIST</v>
          </cell>
          <cell r="C1546" t="str">
            <v>3.933.436,30</v>
          </cell>
          <cell r="D1546" t="str">
            <v>3.933.436,30</v>
          </cell>
          <cell r="E1546" t="str">
            <v>154.134,08</v>
          </cell>
          <cell r="F1546" t="str">
            <v>154.134,08</v>
          </cell>
          <cell r="G1546" t="str">
            <v>0,00</v>
          </cell>
          <cell r="H1546" t="str">
            <v>0,00</v>
          </cell>
          <cell r="I1546">
            <v>0</v>
          </cell>
          <cell r="J1546" t="str">
            <v>VERIFICAR</v>
          </cell>
        </row>
        <row r="1547">
          <cell r="A1547" t="str">
            <v>2.1.1.1.01.003792</v>
          </cell>
          <cell r="B1547" t="str">
            <v>COMPRI &amp; CIA. LTDA</v>
          </cell>
          <cell r="C1547" t="str">
            <v>150.063,50</v>
          </cell>
          <cell r="D1547" t="str">
            <v>150.063,50</v>
          </cell>
          <cell r="E1547" t="str">
            <v>3.390,00</v>
          </cell>
          <cell r="F1547" t="str">
            <v>3.390,00</v>
          </cell>
          <cell r="G1547" t="str">
            <v>0,00</v>
          </cell>
          <cell r="H1547" t="str">
            <v>0,00</v>
          </cell>
          <cell r="I1547">
            <v>0</v>
          </cell>
          <cell r="J1547" t="str">
            <v>VERIFICAR</v>
          </cell>
        </row>
        <row r="1548">
          <cell r="A1548" t="str">
            <v>2.1.1.1.01.003805</v>
          </cell>
          <cell r="B1548" t="str">
            <v>NCV TUBOS LTDA</v>
          </cell>
          <cell r="C1548" t="str">
            <v>66.886,00</v>
          </cell>
          <cell r="D1548" t="str">
            <v>69.686,00</v>
          </cell>
          <cell r="E1548" t="str">
            <v>2.800,00</v>
          </cell>
          <cell r="F1548" t="str">
            <v>0,00</v>
          </cell>
          <cell r="G1548" t="str">
            <v>0,00</v>
          </cell>
          <cell r="H1548" t="str">
            <v>0,00</v>
          </cell>
          <cell r="I1548">
            <v>0</v>
          </cell>
          <cell r="J1548" t="str">
            <v>VERIFICAR</v>
          </cell>
        </row>
        <row r="1549">
          <cell r="A1549" t="str">
            <v>2.1.1.1.01.003815</v>
          </cell>
          <cell r="B1549" t="str">
            <v>CHF MANUTENCAO DE EQUIPAMENTOS LTDA</v>
          </cell>
          <cell r="C1549" t="str">
            <v>1.127.166,39</v>
          </cell>
          <cell r="D1549" t="str">
            <v>1.127.166,39</v>
          </cell>
          <cell r="E1549" t="str">
            <v>14.184,89</v>
          </cell>
          <cell r="F1549" t="str">
            <v>14.184,89</v>
          </cell>
          <cell r="G1549" t="str">
            <v>0,00</v>
          </cell>
          <cell r="H1549" t="str">
            <v>0,00</v>
          </cell>
          <cell r="I1549">
            <v>0</v>
          </cell>
          <cell r="J1549" t="str">
            <v>VERIFICAR</v>
          </cell>
        </row>
        <row r="1550">
          <cell r="A1550" t="str">
            <v>2.1.1.1.01.003842</v>
          </cell>
          <cell r="B1550" t="str">
            <v>TRANSJOI TRANSPORTES LTDA</v>
          </cell>
          <cell r="C1550" t="str">
            <v>15.716,56</v>
          </cell>
          <cell r="D1550" t="str">
            <v>15.972,55</v>
          </cell>
          <cell r="E1550" t="str">
            <v>255,99</v>
          </cell>
          <cell r="F1550" t="str">
            <v>0,00</v>
          </cell>
          <cell r="G1550" t="str">
            <v>0,00</v>
          </cell>
          <cell r="H1550" t="str">
            <v>0,00</v>
          </cell>
          <cell r="I1550">
            <v>0</v>
          </cell>
          <cell r="J1550" t="str">
            <v>VERIFICAR</v>
          </cell>
        </row>
        <row r="1551">
          <cell r="A1551" t="str">
            <v>2.1.1.1.01.003845</v>
          </cell>
          <cell r="B1551" t="str">
            <v>VIACABOS CONDUTORES ELÉTRICOS LTDA</v>
          </cell>
          <cell r="C1551" t="str">
            <v>143.590,20</v>
          </cell>
          <cell r="D1551" t="str">
            <v>152.230,20</v>
          </cell>
          <cell r="E1551" t="str">
            <v>4.746,66</v>
          </cell>
          <cell r="F1551" t="str">
            <v>13.459,50</v>
          </cell>
          <cell r="G1551" t="str">
            <v>0,00</v>
          </cell>
          <cell r="H1551" t="str">
            <v>17.352,84</v>
          </cell>
          <cell r="I1551">
            <v>17352.84</v>
          </cell>
          <cell r="J1551" t="str">
            <v>VERIFICAR</v>
          </cell>
        </row>
        <row r="1552">
          <cell r="A1552" t="str">
            <v>2.1.1.1.01.003851</v>
          </cell>
          <cell r="B1552" t="str">
            <v>FENIX JATEAMENTO LTDA</v>
          </cell>
          <cell r="C1552" t="str">
            <v>44.350,00</v>
          </cell>
          <cell r="D1552" t="str">
            <v>48.550,00</v>
          </cell>
          <cell r="E1552" t="str">
            <v>4.200,00</v>
          </cell>
          <cell r="F1552" t="str">
            <v>0,00</v>
          </cell>
          <cell r="G1552" t="str">
            <v>0,00</v>
          </cell>
          <cell r="H1552" t="str">
            <v>0,00</v>
          </cell>
          <cell r="I1552">
            <v>0</v>
          </cell>
          <cell r="J1552" t="str">
            <v>VERIFICAR</v>
          </cell>
        </row>
        <row r="1553">
          <cell r="A1553" t="str">
            <v>2.1.1.1.01.003853</v>
          </cell>
          <cell r="B1553" t="str">
            <v>CORTE ANGULAR COMERCIO DE FERRO E ACO LT</v>
          </cell>
          <cell r="C1553" t="str">
            <v>183.071,46</v>
          </cell>
          <cell r="D1553" t="str">
            <v>183.071,43</v>
          </cell>
          <cell r="E1553" t="str">
            <v>0,00</v>
          </cell>
          <cell r="F1553" t="str">
            <v>0,00</v>
          </cell>
          <cell r="G1553" t="str">
            <v>0,03</v>
          </cell>
          <cell r="H1553" t="str">
            <v>0,00</v>
          </cell>
          <cell r="I1553">
            <v>-0.03</v>
          </cell>
          <cell r="J1553" t="str">
            <v>VERIFICAR</v>
          </cell>
        </row>
        <row r="1554">
          <cell r="A1554" t="str">
            <v>2.1.1.1.01.003858</v>
          </cell>
          <cell r="B1554" t="str">
            <v>GUIDO MARAN FILHO 33566035823</v>
          </cell>
          <cell r="C1554" t="str">
            <v>229.670,33</v>
          </cell>
          <cell r="D1554" t="str">
            <v>230.334,33</v>
          </cell>
          <cell r="E1554" t="str">
            <v>5.466,75</v>
          </cell>
          <cell r="F1554" t="str">
            <v>5.466,75</v>
          </cell>
          <cell r="G1554" t="str">
            <v>0,00</v>
          </cell>
          <cell r="H1554" t="str">
            <v>664,00</v>
          </cell>
          <cell r="I1554">
            <v>664</v>
          </cell>
          <cell r="J1554" t="str">
            <v>VERIFICAR</v>
          </cell>
        </row>
        <row r="1555">
          <cell r="A1555" t="str">
            <v>2.1.1.1.01.003861</v>
          </cell>
          <cell r="B1555" t="str">
            <v>DAGAN INDUSTRIA E COMERCIO DE PRODUTOS S</v>
          </cell>
          <cell r="C1555" t="str">
            <v>203.496,38</v>
          </cell>
          <cell r="D1555" t="str">
            <v>203.496,37</v>
          </cell>
          <cell r="E1555" t="str">
            <v>0,00</v>
          </cell>
          <cell r="F1555" t="str">
            <v>0,00</v>
          </cell>
          <cell r="G1555" t="str">
            <v>0,01</v>
          </cell>
          <cell r="H1555" t="str">
            <v>0,00</v>
          </cell>
          <cell r="I1555">
            <v>-0.01</v>
          </cell>
          <cell r="J1555" t="str">
            <v>VERIFICAR</v>
          </cell>
        </row>
        <row r="1556">
          <cell r="A1556" t="str">
            <v>2.1.1.1.01.003865</v>
          </cell>
          <cell r="B1556" t="str">
            <v>CARLOS CAETANO</v>
          </cell>
          <cell r="C1556" t="str">
            <v>54.370,00</v>
          </cell>
          <cell r="D1556" t="str">
            <v>54.370,00</v>
          </cell>
          <cell r="E1556" t="str">
            <v>600,00</v>
          </cell>
          <cell r="F1556" t="str">
            <v>600,00</v>
          </cell>
          <cell r="G1556" t="str">
            <v>0,00</v>
          </cell>
          <cell r="H1556" t="str">
            <v>0,00</v>
          </cell>
          <cell r="I1556">
            <v>0</v>
          </cell>
          <cell r="J1556" t="str">
            <v>VERIFICAR</v>
          </cell>
        </row>
        <row r="1557">
          <cell r="A1557" t="str">
            <v>2.1.1.1.01.003885</v>
          </cell>
          <cell r="B1557" t="str">
            <v>PRABOX ACESSORIOS INDUSTRIAIS EIRELI – E</v>
          </cell>
          <cell r="C1557" t="str">
            <v>3.327,67</v>
          </cell>
          <cell r="D1557" t="str">
            <v>4.403,32</v>
          </cell>
          <cell r="E1557" t="str">
            <v>1.075,65</v>
          </cell>
          <cell r="F1557" t="str">
            <v>0,00</v>
          </cell>
          <cell r="G1557" t="str">
            <v>0,00</v>
          </cell>
          <cell r="H1557" t="str">
            <v>0,00</v>
          </cell>
          <cell r="I1557">
            <v>0</v>
          </cell>
          <cell r="J1557" t="str">
            <v>VERIFICAR</v>
          </cell>
        </row>
        <row r="1558">
          <cell r="A1558" t="str">
            <v>2.1.1.1.01.003889</v>
          </cell>
          <cell r="B1558" t="str">
            <v>G. RIBEIRO JUNIOR TREINAMENTOS E APOIO A</v>
          </cell>
          <cell r="C1558" t="str">
            <v>698.261,49</v>
          </cell>
          <cell r="D1558" t="str">
            <v>698.261,49</v>
          </cell>
          <cell r="E1558" t="str">
            <v>11.758,80</v>
          </cell>
          <cell r="F1558" t="str">
            <v>11.758,80</v>
          </cell>
          <cell r="G1558" t="str">
            <v>0,00</v>
          </cell>
          <cell r="H1558" t="str">
            <v>0,00</v>
          </cell>
          <cell r="I1558">
            <v>0</v>
          </cell>
          <cell r="J1558" t="str">
            <v>VERIFICAR</v>
          </cell>
        </row>
        <row r="1559">
          <cell r="A1559" t="str">
            <v>2.1.1.1.01.003892</v>
          </cell>
          <cell r="B1559" t="str">
            <v>LCL MACARIO - COMERCIO EPI</v>
          </cell>
          <cell r="C1559" t="str">
            <v>135.773,47</v>
          </cell>
          <cell r="D1559" t="str">
            <v>143.792,92</v>
          </cell>
          <cell r="E1559" t="str">
            <v>7.854,85</v>
          </cell>
          <cell r="F1559" t="str">
            <v>7.354,85</v>
          </cell>
          <cell r="G1559" t="str">
            <v>0,00</v>
          </cell>
          <cell r="H1559" t="str">
            <v>7.519,45</v>
          </cell>
          <cell r="I1559">
            <v>7519.45</v>
          </cell>
          <cell r="J1559" t="str">
            <v>VERIFICAR</v>
          </cell>
        </row>
        <row r="1560">
          <cell r="A1560" t="str">
            <v>2.1.1.1.01.003946</v>
          </cell>
          <cell r="B1560" t="str">
            <v>SERGIO MARCOS DE SOUZA 79963684734</v>
          </cell>
          <cell r="C1560" t="str">
            <v>204.800,00</v>
          </cell>
          <cell r="D1560" t="str">
            <v>204.800,00</v>
          </cell>
          <cell r="E1560" t="str">
            <v>3.750,00</v>
          </cell>
          <cell r="F1560" t="str">
            <v>3.750,00</v>
          </cell>
          <cell r="G1560" t="str">
            <v>0,00</v>
          </cell>
          <cell r="H1560" t="str">
            <v>0,00</v>
          </cell>
          <cell r="I1560">
            <v>0</v>
          </cell>
          <cell r="J1560" t="str">
            <v>VERIFICAR</v>
          </cell>
        </row>
        <row r="1561">
          <cell r="A1561" t="str">
            <v>2.1.1.1.01.003949</v>
          </cell>
          <cell r="B1561" t="str">
            <v>MARIA ANGELICA ARAUJO SALGADO 7302963770</v>
          </cell>
          <cell r="C1561" t="str">
            <v>333.162,19</v>
          </cell>
          <cell r="D1561" t="str">
            <v>338.427,19</v>
          </cell>
          <cell r="E1561" t="str">
            <v>4.050,00</v>
          </cell>
          <cell r="F1561" t="str">
            <v>4.050,00</v>
          </cell>
          <cell r="G1561" t="str">
            <v>0,00</v>
          </cell>
          <cell r="H1561" t="str">
            <v>5.265,00</v>
          </cell>
          <cell r="I1561">
            <v>5265</v>
          </cell>
          <cell r="J1561" t="str">
            <v>VERIFICAR</v>
          </cell>
        </row>
        <row r="1562">
          <cell r="A1562" t="str">
            <v>2.1.1.1.01.003974</v>
          </cell>
          <cell r="B1562" t="str">
            <v>GMC COMPONENTES ELETRICOS E AUTOMACAO</v>
          </cell>
          <cell r="C1562" t="str">
            <v>16.038,65</v>
          </cell>
          <cell r="D1562" t="str">
            <v>16.038,65</v>
          </cell>
          <cell r="E1562" t="str">
            <v>1.032,34</v>
          </cell>
          <cell r="F1562" t="str">
            <v>1.032,34</v>
          </cell>
          <cell r="G1562" t="str">
            <v>0,00</v>
          </cell>
          <cell r="H1562" t="str">
            <v>0,00</v>
          </cell>
          <cell r="I1562">
            <v>0</v>
          </cell>
          <cell r="J1562" t="str">
            <v>VERIFICAR</v>
          </cell>
        </row>
        <row r="1563">
          <cell r="A1563" t="str">
            <v>2.1.1.1.01.003985</v>
          </cell>
          <cell r="B1563" t="str">
            <v>VAC IMPLEMENTACAO DE SISTEMAS LTDA</v>
          </cell>
          <cell r="C1563" t="str">
            <v>1.196.592,86</v>
          </cell>
          <cell r="D1563" t="str">
            <v>1.319.097,86</v>
          </cell>
          <cell r="E1563" t="str">
            <v>82.671,67</v>
          </cell>
          <cell r="F1563" t="str">
            <v>0,00</v>
          </cell>
          <cell r="G1563" t="str">
            <v>0,00</v>
          </cell>
          <cell r="H1563" t="str">
            <v>39.833,33</v>
          </cell>
          <cell r="I1563">
            <v>39833.33</v>
          </cell>
          <cell r="J1563" t="str">
            <v>VERIFICAR</v>
          </cell>
        </row>
        <row r="1564">
          <cell r="A1564" t="str">
            <v>2.1.1.1.01.003998</v>
          </cell>
          <cell r="B1564" t="str">
            <v>THIAGO NOGUEIRA DE ARAUJO</v>
          </cell>
          <cell r="C1564" t="str">
            <v>47.477,86</v>
          </cell>
          <cell r="D1564" t="str">
            <v>47.014,12</v>
          </cell>
          <cell r="E1564" t="str">
            <v>1.336,09</v>
          </cell>
          <cell r="F1564" t="str">
            <v>1.336,09</v>
          </cell>
          <cell r="G1564" t="str">
            <v>463,74</v>
          </cell>
          <cell r="H1564" t="str">
            <v>0,00</v>
          </cell>
          <cell r="I1564">
            <v>-463.74</v>
          </cell>
          <cell r="J1564" t="str">
            <v>VERIFICAR</v>
          </cell>
        </row>
        <row r="1565">
          <cell r="A1565" t="str">
            <v>2.1.1.1.01.004007</v>
          </cell>
          <cell r="B1565" t="str">
            <v>CONTROL STAR INDUSTRIA E COMERCIO LTDA</v>
          </cell>
          <cell r="C1565" t="str">
            <v>41.280,00</v>
          </cell>
          <cell r="D1565" t="str">
            <v>42.280,00</v>
          </cell>
          <cell r="E1565" t="str">
            <v>1.000,00</v>
          </cell>
          <cell r="F1565" t="str">
            <v>0,00</v>
          </cell>
          <cell r="G1565" t="str">
            <v>0,00</v>
          </cell>
          <cell r="H1565" t="str">
            <v>0,00</v>
          </cell>
          <cell r="I1565">
            <v>0</v>
          </cell>
          <cell r="J1565" t="str">
            <v>VERIFICAR</v>
          </cell>
        </row>
        <row r="1566">
          <cell r="A1566" t="str">
            <v>2.1.1.1.01.004010</v>
          </cell>
          <cell r="B1566" t="str">
            <v>RAFAELA CORREIA DANTAS - COMERCIAL E GRA</v>
          </cell>
          <cell r="C1566" t="str">
            <v>101.697,70</v>
          </cell>
          <cell r="D1566" t="str">
            <v>101.697,70</v>
          </cell>
          <cell r="E1566" t="str">
            <v>0,00</v>
          </cell>
          <cell r="F1566" t="str">
            <v>640,00</v>
          </cell>
          <cell r="G1566" t="str">
            <v>0,00</v>
          </cell>
          <cell r="H1566" t="str">
            <v>640,00</v>
          </cell>
          <cell r="I1566">
            <v>640</v>
          </cell>
          <cell r="J1566" t="str">
            <v>VERIFICAR</v>
          </cell>
        </row>
        <row r="1567">
          <cell r="A1567" t="str">
            <v>2.1.1.1.01.004013</v>
          </cell>
          <cell r="B1567" t="str">
            <v>JAMIL DELESPOSTE</v>
          </cell>
          <cell r="C1567" t="str">
            <v>65.056,19</v>
          </cell>
          <cell r="D1567" t="str">
            <v>66.476,19</v>
          </cell>
          <cell r="E1567" t="str">
            <v>0,00</v>
          </cell>
          <cell r="F1567" t="str">
            <v>620,00</v>
          </cell>
          <cell r="G1567" t="str">
            <v>0,00</v>
          </cell>
          <cell r="H1567" t="str">
            <v>2.040,00</v>
          </cell>
          <cell r="I1567">
            <v>2040</v>
          </cell>
          <cell r="J1567" t="str">
            <v>VERIFICAR</v>
          </cell>
        </row>
        <row r="1568">
          <cell r="A1568" t="str">
            <v>2.1.1.1.01.004016</v>
          </cell>
          <cell r="B1568" t="str">
            <v>MADEIRAMADEIRA COMERCIO ELETRONICO</v>
          </cell>
          <cell r="C1568" t="str">
            <v>16.493,89</v>
          </cell>
          <cell r="D1568" t="str">
            <v>16.493,89</v>
          </cell>
          <cell r="E1568" t="str">
            <v>519,94</v>
          </cell>
          <cell r="F1568" t="str">
            <v>519,94</v>
          </cell>
          <cell r="G1568" t="str">
            <v>0,00</v>
          </cell>
          <cell r="H1568" t="str">
            <v>0,00</v>
          </cell>
          <cell r="I1568">
            <v>0</v>
          </cell>
          <cell r="J1568" t="str">
            <v>VERIFICAR</v>
          </cell>
        </row>
        <row r="1569">
          <cell r="A1569" t="str">
            <v>2.1.1.1.01.004041</v>
          </cell>
          <cell r="B1569" t="str">
            <v>GILSON RIBEIRO JUNIOR</v>
          </cell>
          <cell r="C1569" t="str">
            <v>388.911,69</v>
          </cell>
          <cell r="D1569" t="str">
            <v>388.911,69</v>
          </cell>
          <cell r="E1569" t="str">
            <v>47.409,14</v>
          </cell>
          <cell r="F1569" t="str">
            <v>47.409,14</v>
          </cell>
          <cell r="G1569" t="str">
            <v>0,00</v>
          </cell>
          <cell r="H1569" t="str">
            <v>0,00</v>
          </cell>
          <cell r="I1569">
            <v>0</v>
          </cell>
          <cell r="J1569" t="str">
            <v>VERIFICAR</v>
          </cell>
        </row>
        <row r="1570">
          <cell r="A1570" t="str">
            <v>2.1.1.1.01.004047</v>
          </cell>
          <cell r="B1570" t="str">
            <v>TH BIAJOLI SERVICOS DE ENGENHARIA</v>
          </cell>
          <cell r="C1570" t="str">
            <v>735.065,63</v>
          </cell>
          <cell r="D1570" t="str">
            <v>735.065,63</v>
          </cell>
          <cell r="E1570" t="str">
            <v>13.718,60</v>
          </cell>
          <cell r="F1570" t="str">
            <v>13.718,60</v>
          </cell>
          <cell r="G1570" t="str">
            <v>0,00</v>
          </cell>
          <cell r="H1570" t="str">
            <v>0,00</v>
          </cell>
          <cell r="I1570">
            <v>0</v>
          </cell>
          <cell r="J1570" t="str">
            <v>VERIFICAR</v>
          </cell>
        </row>
        <row r="1571">
          <cell r="A1571" t="str">
            <v>2.1.1.1.01.004067</v>
          </cell>
          <cell r="B1571" t="str">
            <v>ELETRICA BARRA LTDA</v>
          </cell>
          <cell r="C1571" t="str">
            <v>12.671,00</v>
          </cell>
          <cell r="D1571" t="str">
            <v>13.571,00</v>
          </cell>
          <cell r="E1571" t="str">
            <v>0,00</v>
          </cell>
          <cell r="F1571" t="str">
            <v>0,00</v>
          </cell>
          <cell r="G1571" t="str">
            <v>0,00</v>
          </cell>
          <cell r="H1571" t="str">
            <v>900,00</v>
          </cell>
          <cell r="I1571">
            <v>900</v>
          </cell>
          <cell r="J1571" t="str">
            <v>VERIFICAR</v>
          </cell>
        </row>
        <row r="1572">
          <cell r="A1572" t="str">
            <v>2.1.1.1.01.004071</v>
          </cell>
          <cell r="B1572" t="str">
            <v>JARDEL ANTONIO MENDES PASSINI</v>
          </cell>
          <cell r="C1572" t="str">
            <v>142.468,64</v>
          </cell>
          <cell r="D1572" t="str">
            <v>142.468,64</v>
          </cell>
          <cell r="E1572" t="str">
            <v>7.874,36</v>
          </cell>
          <cell r="F1572" t="str">
            <v>7.874,36</v>
          </cell>
          <cell r="G1572" t="str">
            <v>0,00</v>
          </cell>
          <cell r="H1572" t="str">
            <v>0,00</v>
          </cell>
          <cell r="I1572">
            <v>0</v>
          </cell>
          <cell r="J1572" t="str">
            <v>VERIFICAR</v>
          </cell>
        </row>
        <row r="1573">
          <cell r="A1573" t="str">
            <v>2.1.1.1.01.004075</v>
          </cell>
          <cell r="B1573" t="str">
            <v>MC BRAZIL MOTORSPORT HOLDINGS LTDA.</v>
          </cell>
          <cell r="C1573" t="str">
            <v>169.000,00</v>
          </cell>
          <cell r="D1573" t="str">
            <v>282.600,00</v>
          </cell>
          <cell r="E1573" t="str">
            <v>28.400,00</v>
          </cell>
          <cell r="F1573" t="str">
            <v>0,00</v>
          </cell>
          <cell r="G1573" t="str">
            <v>0,00</v>
          </cell>
          <cell r="H1573" t="str">
            <v>85.200,00</v>
          </cell>
          <cell r="I1573">
            <v>85200</v>
          </cell>
          <cell r="J1573" t="str">
            <v>VERIFICAR</v>
          </cell>
        </row>
        <row r="1574">
          <cell r="A1574" t="str">
            <v>2.1.1.1.01.004097</v>
          </cell>
          <cell r="B1574" t="str">
            <v>PALACIO DAS FERRAMENTAS E PARAFUSOS LTDA</v>
          </cell>
          <cell r="C1574" t="str">
            <v>4.202,29</v>
          </cell>
          <cell r="D1574" t="str">
            <v>4.170,38</v>
          </cell>
          <cell r="E1574" t="str">
            <v>0,00</v>
          </cell>
          <cell r="F1574" t="str">
            <v>0,00</v>
          </cell>
          <cell r="G1574" t="str">
            <v>31,91</v>
          </cell>
          <cell r="H1574" t="str">
            <v>0,00</v>
          </cell>
          <cell r="I1574">
            <v>-31.91</v>
          </cell>
          <cell r="J1574" t="str">
            <v>VERIFICAR</v>
          </cell>
        </row>
        <row r="1575">
          <cell r="A1575" t="str">
            <v>2.1.1.1.01.005002</v>
          </cell>
          <cell r="B1575" t="str">
            <v>INDUSTRIA E COMERCIO DE AUTO PECAS REI</v>
          </cell>
          <cell r="C1575" t="str">
            <v>56.364,13</v>
          </cell>
          <cell r="D1575" t="str">
            <v>59.039,33</v>
          </cell>
          <cell r="E1575" t="str">
            <v>2.675,20</v>
          </cell>
          <cell r="F1575" t="str">
            <v>0,00</v>
          </cell>
          <cell r="G1575" t="str">
            <v>0,00</v>
          </cell>
          <cell r="H1575" t="str">
            <v>0,00</v>
          </cell>
          <cell r="I1575">
            <v>0</v>
          </cell>
          <cell r="J1575" t="str">
            <v>VERIFICAR</v>
          </cell>
        </row>
        <row r="1576">
          <cell r="A1576" t="str">
            <v>2.1.1.1.01.005012</v>
          </cell>
          <cell r="B1576" t="str">
            <v>DOUGLAS RONEY GRESPAN</v>
          </cell>
          <cell r="C1576" t="str">
            <v>15.240,00</v>
          </cell>
          <cell r="D1576" t="str">
            <v>15.240,00</v>
          </cell>
          <cell r="E1576" t="str">
            <v>2.955,00</v>
          </cell>
          <cell r="F1576" t="str">
            <v>2.955,00</v>
          </cell>
          <cell r="G1576" t="str">
            <v>0,00</v>
          </cell>
          <cell r="H1576" t="str">
            <v>0,00</v>
          </cell>
          <cell r="I1576">
            <v>0</v>
          </cell>
          <cell r="J1576" t="str">
            <v>VERIFICAR</v>
          </cell>
        </row>
        <row r="1577">
          <cell r="A1577" t="str">
            <v>2.1.1.1.01.005016</v>
          </cell>
          <cell r="B1577" t="str">
            <v>GELSON DE OLIVEIRA VASCONSELO LTDA</v>
          </cell>
          <cell r="C1577" t="str">
            <v>884.650,99</v>
          </cell>
          <cell r="D1577" t="str">
            <v>884.650,99</v>
          </cell>
          <cell r="E1577" t="str">
            <v>13.024,16</v>
          </cell>
          <cell r="F1577" t="str">
            <v>13.024,16</v>
          </cell>
          <cell r="G1577" t="str">
            <v>0,00</v>
          </cell>
          <cell r="H1577" t="str">
            <v>0,00</v>
          </cell>
          <cell r="I1577">
            <v>0</v>
          </cell>
          <cell r="J1577" t="str">
            <v>VERIFICAR</v>
          </cell>
        </row>
        <row r="1578">
          <cell r="A1578" t="str">
            <v>2.1.1.1.01.005020</v>
          </cell>
          <cell r="B1578" t="str">
            <v>MIRIMTEC ASSISTENCIA TECNICA LTDA</v>
          </cell>
          <cell r="C1578" t="str">
            <v>95.474,68</v>
          </cell>
          <cell r="D1578" t="str">
            <v>98.061,28</v>
          </cell>
          <cell r="E1578" t="str">
            <v>2.586,60</v>
          </cell>
          <cell r="F1578" t="str">
            <v>495,30</v>
          </cell>
          <cell r="G1578" t="str">
            <v>0,00</v>
          </cell>
          <cell r="H1578" t="str">
            <v>495,30</v>
          </cell>
          <cell r="I1578">
            <v>495.3</v>
          </cell>
          <cell r="J1578" t="str">
            <v>VERIFICAR</v>
          </cell>
        </row>
        <row r="1579">
          <cell r="A1579" t="str">
            <v>2.1.1.1.01.005027</v>
          </cell>
          <cell r="B1579" t="str">
            <v>JAIME TRINDADE RODRIGUES FILHO</v>
          </cell>
          <cell r="C1579" t="str">
            <v>194.052,51</v>
          </cell>
          <cell r="D1579" t="str">
            <v>194.572,08</v>
          </cell>
          <cell r="E1579" t="str">
            <v>3.861,36</v>
          </cell>
          <cell r="F1579" t="str">
            <v>3.861,36</v>
          </cell>
          <cell r="G1579" t="str">
            <v>0,00</v>
          </cell>
          <cell r="H1579" t="str">
            <v>519,57</v>
          </cell>
          <cell r="I1579">
            <v>519.57000000000005</v>
          </cell>
          <cell r="J1579" t="str">
            <v>VERIFICAR</v>
          </cell>
        </row>
        <row r="1580">
          <cell r="A1580" t="str">
            <v>2.1.1.1.01.005054</v>
          </cell>
          <cell r="B1580" t="str">
            <v>MADEIREIRA PORTAL DO SOL LTDA</v>
          </cell>
          <cell r="C1580" t="str">
            <v>76.891,04</v>
          </cell>
          <cell r="D1580" t="str">
            <v>79.665,04</v>
          </cell>
          <cell r="E1580" t="str">
            <v>2.774,00</v>
          </cell>
          <cell r="F1580" t="str">
            <v>0,00</v>
          </cell>
          <cell r="G1580" t="str">
            <v>0,00</v>
          </cell>
          <cell r="H1580" t="str">
            <v>0,00</v>
          </cell>
          <cell r="I1580">
            <v>0</v>
          </cell>
          <cell r="J1580" t="str">
            <v>VERIFICAR</v>
          </cell>
        </row>
        <row r="1581">
          <cell r="A1581" t="str">
            <v>2.1.1.1.01.005057</v>
          </cell>
          <cell r="B1581" t="str">
            <v>CARLOS HENRIQUE DOS REIS ROCHA</v>
          </cell>
          <cell r="C1581" t="str">
            <v>20.518,19</v>
          </cell>
          <cell r="D1581" t="str">
            <v>20.518,19</v>
          </cell>
          <cell r="E1581" t="str">
            <v>463,00</v>
          </cell>
          <cell r="F1581" t="str">
            <v>463,00</v>
          </cell>
          <cell r="G1581" t="str">
            <v>0,00</v>
          </cell>
          <cell r="H1581" t="str">
            <v>0,00</v>
          </cell>
          <cell r="I1581">
            <v>0</v>
          </cell>
          <cell r="J1581" t="str">
            <v>VERIFICAR</v>
          </cell>
        </row>
        <row r="1582">
          <cell r="A1582" t="str">
            <v>2.1.1.1.01.005066</v>
          </cell>
          <cell r="B1582" t="str">
            <v>360 IMPRIMIR COMPOSICAO DE PROJETOS GRAF</v>
          </cell>
          <cell r="C1582" t="str">
            <v>1.377,39</v>
          </cell>
          <cell r="D1582" t="str">
            <v>1.592,82</v>
          </cell>
          <cell r="E1582" t="str">
            <v>430,86</v>
          </cell>
          <cell r="F1582" t="str">
            <v>215,43</v>
          </cell>
          <cell r="G1582" t="str">
            <v>0,00</v>
          </cell>
          <cell r="H1582" t="str">
            <v>0,00</v>
          </cell>
          <cell r="I1582">
            <v>0</v>
          </cell>
          <cell r="J1582" t="str">
            <v>VERIFICAR</v>
          </cell>
        </row>
        <row r="1583">
          <cell r="A1583" t="str">
            <v>2.1.1.1.01.005068</v>
          </cell>
          <cell r="B1583" t="str">
            <v>COLLTEX CONFECCOES E PRODUTOS PROMOCIONA</v>
          </cell>
          <cell r="C1583" t="str">
            <v>72.011,80</v>
          </cell>
          <cell r="D1583" t="str">
            <v>75.625,80</v>
          </cell>
          <cell r="E1583" t="str">
            <v>3.614,00</v>
          </cell>
          <cell r="F1583" t="str">
            <v>1.298,00</v>
          </cell>
          <cell r="G1583" t="str">
            <v>0,00</v>
          </cell>
          <cell r="H1583" t="str">
            <v>1.298,00</v>
          </cell>
          <cell r="I1583">
            <v>1298</v>
          </cell>
          <cell r="J1583" t="str">
            <v>VERIFICAR</v>
          </cell>
        </row>
        <row r="1584">
          <cell r="A1584" t="str">
            <v>2.1.1.1.01.005070</v>
          </cell>
          <cell r="B1584" t="str">
            <v>CLEIDE ANTONIA NARCISO ANDRIATA 27824442</v>
          </cell>
          <cell r="C1584" t="str">
            <v>9.036,10</v>
          </cell>
          <cell r="D1584" t="str">
            <v>9.036,10</v>
          </cell>
          <cell r="E1584" t="str">
            <v>0,00</v>
          </cell>
          <cell r="F1584" t="str">
            <v>994,80</v>
          </cell>
          <cell r="G1584" t="str">
            <v>0,00</v>
          </cell>
          <cell r="H1584" t="str">
            <v>994,80</v>
          </cell>
          <cell r="I1584">
            <v>994.8</v>
          </cell>
          <cell r="J1584" t="str">
            <v>VERIFICAR</v>
          </cell>
        </row>
        <row r="1585">
          <cell r="A1585" t="str">
            <v>2.1.1.1.01.005077</v>
          </cell>
          <cell r="B1585" t="str">
            <v>CNC SOLVE MANUTENCAO EM MAQUINAS E EQUIP</v>
          </cell>
          <cell r="C1585" t="str">
            <v>299.123,82</v>
          </cell>
          <cell r="D1585" t="str">
            <v>300.630,22</v>
          </cell>
          <cell r="E1585" t="str">
            <v>1.506,40</v>
          </cell>
          <cell r="F1585" t="str">
            <v>0,00</v>
          </cell>
          <cell r="G1585" t="str">
            <v>0,00</v>
          </cell>
          <cell r="H1585" t="str">
            <v>0,00</v>
          </cell>
          <cell r="I1585">
            <v>0</v>
          </cell>
          <cell r="J1585" t="str">
            <v>VERIFICAR</v>
          </cell>
        </row>
        <row r="1586">
          <cell r="A1586" t="str">
            <v>2.1.1.1.01.005095</v>
          </cell>
          <cell r="B1586" t="str">
            <v>ID SAFETY DO BRASIL LTDA.</v>
          </cell>
          <cell r="C1586" t="str">
            <v>19.427,15</v>
          </cell>
          <cell r="D1586" t="str">
            <v>20.020,80</v>
          </cell>
          <cell r="E1586" t="str">
            <v>593,65</v>
          </cell>
          <cell r="F1586" t="str">
            <v>0,00</v>
          </cell>
          <cell r="G1586" t="str">
            <v>0,00</v>
          </cell>
          <cell r="H1586" t="str">
            <v>0,00</v>
          </cell>
          <cell r="I1586">
            <v>0</v>
          </cell>
          <cell r="J1586" t="str">
            <v>VERIFICAR</v>
          </cell>
        </row>
        <row r="1587">
          <cell r="A1587" t="str">
            <v>2.1.1.1.01.005097</v>
          </cell>
          <cell r="B1587" t="str">
            <v>DIMENSIONAL BRASIL SOLUCOES LTDA</v>
          </cell>
          <cell r="C1587" t="str">
            <v>51.467,72</v>
          </cell>
          <cell r="D1587" t="str">
            <v>52.582,12</v>
          </cell>
          <cell r="E1587" t="str">
            <v>1.114,40</v>
          </cell>
          <cell r="F1587" t="str">
            <v>0,00</v>
          </cell>
          <cell r="G1587" t="str">
            <v>0,00</v>
          </cell>
          <cell r="H1587" t="str">
            <v>0,00</v>
          </cell>
          <cell r="I1587">
            <v>0</v>
          </cell>
          <cell r="J1587" t="str">
            <v>VERIFICAR</v>
          </cell>
        </row>
        <row r="1588">
          <cell r="A1588" t="str">
            <v>2.1.1.1.01.005112</v>
          </cell>
          <cell r="B1588" t="str">
            <v>RAZEMFIX FIXADORES LTDA</v>
          </cell>
          <cell r="C1588" t="str">
            <v>54.125,04</v>
          </cell>
          <cell r="D1588" t="str">
            <v>54.125,04</v>
          </cell>
          <cell r="E1588" t="str">
            <v>3.377,79</v>
          </cell>
          <cell r="F1588" t="str">
            <v>9.036,56</v>
          </cell>
          <cell r="G1588" t="str">
            <v>0,00</v>
          </cell>
          <cell r="H1588" t="str">
            <v>5.658,77</v>
          </cell>
          <cell r="I1588">
            <v>5658.77</v>
          </cell>
          <cell r="J1588" t="str">
            <v>VERIFICAR</v>
          </cell>
        </row>
        <row r="1589">
          <cell r="A1589" t="str">
            <v>2.1.1.1.01.005134</v>
          </cell>
          <cell r="B1589" t="str">
            <v>STAUROS ASSESSORIA LTDA</v>
          </cell>
          <cell r="C1589" t="str">
            <v>976.778,50</v>
          </cell>
          <cell r="D1589" t="str">
            <v>976.778,50</v>
          </cell>
          <cell r="E1589" t="str">
            <v>18.000,00</v>
          </cell>
          <cell r="F1589" t="str">
            <v>18.000,00</v>
          </cell>
          <cell r="G1589" t="str">
            <v>0,00</v>
          </cell>
          <cell r="H1589" t="str">
            <v>0,00</v>
          </cell>
          <cell r="I1589">
            <v>0</v>
          </cell>
          <cell r="J1589" t="str">
            <v>VERIFICAR</v>
          </cell>
        </row>
        <row r="1590">
          <cell r="A1590" t="str">
            <v>2.1.1.1.01.005151</v>
          </cell>
          <cell r="B1590" t="str">
            <v>WEG-CESTARI REDUTORES E MOTORREDUTORES</v>
          </cell>
          <cell r="C1590" t="str">
            <v>87.668,64</v>
          </cell>
          <cell r="D1590" t="str">
            <v>89.168,68</v>
          </cell>
          <cell r="E1590" t="str">
            <v>1.500,08</v>
          </cell>
          <cell r="F1590" t="str">
            <v>0,00</v>
          </cell>
          <cell r="G1590" t="str">
            <v>0,04</v>
          </cell>
          <cell r="H1590" t="str">
            <v>0,00</v>
          </cell>
          <cell r="I1590">
            <v>-0.04</v>
          </cell>
          <cell r="J1590" t="str">
            <v>VERIFICAR</v>
          </cell>
        </row>
        <row r="1591">
          <cell r="A1591" t="str">
            <v>2.1.1.1.01.005174</v>
          </cell>
          <cell r="B1591" t="str">
            <v>DARLAN MACHADO MELETTI</v>
          </cell>
          <cell r="C1591" t="str">
            <v>36.552,30</v>
          </cell>
          <cell r="D1591" t="str">
            <v>36.552,30</v>
          </cell>
          <cell r="E1591" t="str">
            <v>451,50</v>
          </cell>
          <cell r="F1591" t="str">
            <v>451,50</v>
          </cell>
          <cell r="G1591" t="str">
            <v>0,00</v>
          </cell>
          <cell r="H1591" t="str">
            <v>0,00</v>
          </cell>
          <cell r="I1591">
            <v>0</v>
          </cell>
          <cell r="J1591" t="str">
            <v>VERIFICAR</v>
          </cell>
        </row>
        <row r="1592">
          <cell r="A1592" t="str">
            <v>2.1.1.1.01.005179</v>
          </cell>
          <cell r="B1592" t="str">
            <v>VIANA &amp; CIA LTDA</v>
          </cell>
          <cell r="C1592" t="str">
            <v>26.804,58</v>
          </cell>
          <cell r="D1592" t="str">
            <v>27.419,12</v>
          </cell>
          <cell r="E1592" t="str">
            <v>1.229,08</v>
          </cell>
          <cell r="F1592" t="str">
            <v>0,00</v>
          </cell>
          <cell r="G1592" t="str">
            <v>614,54</v>
          </cell>
          <cell r="H1592" t="str">
            <v>0,00</v>
          </cell>
          <cell r="I1592">
            <v>-614.54</v>
          </cell>
          <cell r="J1592" t="str">
            <v>VERIFICAR</v>
          </cell>
        </row>
        <row r="1593">
          <cell r="A1593" t="str">
            <v>2.1.1.1.01.005184</v>
          </cell>
          <cell r="B1593" t="str">
            <v>RENAN GUIMARAES SELLA 11690148799</v>
          </cell>
          <cell r="C1593" t="str">
            <v>278.821,02</v>
          </cell>
          <cell r="D1593" t="str">
            <v>278.821,00</v>
          </cell>
          <cell r="E1593" t="str">
            <v>0,00</v>
          </cell>
          <cell r="F1593" t="str">
            <v>0,00</v>
          </cell>
          <cell r="G1593" t="str">
            <v>0,02</v>
          </cell>
          <cell r="H1593" t="str">
            <v>0,00</v>
          </cell>
          <cell r="I1593">
            <v>-0.02</v>
          </cell>
          <cell r="J1593" t="str">
            <v>VERIFICAR</v>
          </cell>
        </row>
        <row r="1594">
          <cell r="A1594" t="str">
            <v>2.1.1.1.01.005195</v>
          </cell>
          <cell r="B1594" t="str">
            <v>ALESSANDRO APARECIDO PARENTE</v>
          </cell>
          <cell r="C1594" t="str">
            <v>23.896,49</v>
          </cell>
          <cell r="D1594" t="str">
            <v>23.896,49</v>
          </cell>
          <cell r="E1594" t="str">
            <v>893,78</v>
          </cell>
          <cell r="F1594" t="str">
            <v>893,78</v>
          </cell>
          <cell r="G1594" t="str">
            <v>0,00</v>
          </cell>
          <cell r="H1594" t="str">
            <v>0,00</v>
          </cell>
          <cell r="I1594">
            <v>0</v>
          </cell>
          <cell r="J1594" t="str">
            <v>VERIFICAR</v>
          </cell>
        </row>
        <row r="1595">
          <cell r="A1595" t="str">
            <v>2.1.1.1.01.005211</v>
          </cell>
          <cell r="B1595" t="str">
            <v>ALMEIDA, VERGUEIRO &amp; GUIZARDI SOCIEDADE</v>
          </cell>
          <cell r="C1595" t="str">
            <v>190.315,25</v>
          </cell>
          <cell r="D1595" t="str">
            <v>188.072,64</v>
          </cell>
          <cell r="E1595" t="str">
            <v>3.670,28</v>
          </cell>
          <cell r="F1595" t="str">
            <v>3.571,70</v>
          </cell>
          <cell r="G1595" t="str">
            <v>2.341,19</v>
          </cell>
          <cell r="H1595" t="str">
            <v>0,00</v>
          </cell>
          <cell r="I1595">
            <v>-2341.19</v>
          </cell>
          <cell r="J1595" t="str">
            <v>VERIFICAR</v>
          </cell>
        </row>
        <row r="1596">
          <cell r="A1596" t="str">
            <v>2.1.1.1.01.005213</v>
          </cell>
          <cell r="B1596" t="str">
            <v>FOUR STORE COMERCIO ATACADISTA</v>
          </cell>
          <cell r="C1596" t="str">
            <v>126.286,13</v>
          </cell>
          <cell r="D1596" t="str">
            <v>136.998,92</v>
          </cell>
          <cell r="E1596" t="str">
            <v>9.851,79</v>
          </cell>
          <cell r="F1596" t="str">
            <v>1.825,00</v>
          </cell>
          <cell r="G1596" t="str">
            <v>0,00</v>
          </cell>
          <cell r="H1596" t="str">
            <v>2.686,00</v>
          </cell>
          <cell r="I1596">
            <v>2686</v>
          </cell>
          <cell r="J1596" t="str">
            <v>VERIFICAR</v>
          </cell>
        </row>
        <row r="1597">
          <cell r="A1597" t="str">
            <v>2.1.1.1.01.005227</v>
          </cell>
          <cell r="B1597" t="str">
            <v>LAERCIO INACIO JUNIOR</v>
          </cell>
          <cell r="C1597" t="str">
            <v>81.514,65</v>
          </cell>
          <cell r="D1597" t="str">
            <v>81.514,65</v>
          </cell>
          <cell r="E1597" t="str">
            <v>5.622,86</v>
          </cell>
          <cell r="F1597" t="str">
            <v>5.622,86</v>
          </cell>
          <cell r="G1597" t="str">
            <v>0,00</v>
          </cell>
          <cell r="H1597" t="str">
            <v>0,00</v>
          </cell>
          <cell r="I1597">
            <v>0</v>
          </cell>
          <cell r="J1597" t="str">
            <v>VERIFICAR</v>
          </cell>
        </row>
        <row r="1598">
          <cell r="A1598" t="str">
            <v>2.1.1.1.01.005228</v>
          </cell>
          <cell r="B1598" t="str">
            <v>EMILY GABRIELLE THOMAZ DE OLIVEIRA</v>
          </cell>
          <cell r="C1598" t="str">
            <v>7.501,10</v>
          </cell>
          <cell r="D1598" t="str">
            <v>7.501,10</v>
          </cell>
          <cell r="E1598" t="str">
            <v>284,50</v>
          </cell>
          <cell r="F1598" t="str">
            <v>284,50</v>
          </cell>
          <cell r="G1598" t="str">
            <v>0,00</v>
          </cell>
          <cell r="H1598" t="str">
            <v>0,00</v>
          </cell>
          <cell r="I1598">
            <v>0</v>
          </cell>
          <cell r="J1598" t="str">
            <v>VERIFICAR</v>
          </cell>
        </row>
        <row r="1599">
          <cell r="A1599" t="str">
            <v>2.1.1.1.01.005238</v>
          </cell>
          <cell r="B1599" t="str">
            <v>LUIZ FERNANDO DEL COR RODRIGUES DA SILVA</v>
          </cell>
          <cell r="C1599" t="str">
            <v>27.115,37</v>
          </cell>
          <cell r="D1599" t="str">
            <v>27.115,37</v>
          </cell>
          <cell r="E1599" t="str">
            <v>65,50</v>
          </cell>
          <cell r="F1599" t="str">
            <v>65,50</v>
          </cell>
          <cell r="G1599" t="str">
            <v>0,00</v>
          </cell>
          <cell r="H1599" t="str">
            <v>0,00</v>
          </cell>
          <cell r="I1599">
            <v>0</v>
          </cell>
          <cell r="J1599" t="str">
            <v>VERIFICAR</v>
          </cell>
        </row>
        <row r="1600">
          <cell r="A1600" t="str">
            <v>2.1.1.1.01.005247</v>
          </cell>
          <cell r="B1600" t="str">
            <v>MRL TECNOLOGIA E SERVIÇOS LTDA</v>
          </cell>
          <cell r="C1600" t="str">
            <v>3.086,40</v>
          </cell>
          <cell r="D1600" t="str">
            <v>3.086,40</v>
          </cell>
          <cell r="E1600" t="str">
            <v>109,90</v>
          </cell>
          <cell r="F1600" t="str">
            <v>109,90</v>
          </cell>
          <cell r="G1600" t="str">
            <v>0,00</v>
          </cell>
          <cell r="H1600" t="str">
            <v>0,00</v>
          </cell>
          <cell r="I1600">
            <v>0</v>
          </cell>
          <cell r="J1600" t="str">
            <v>VERIFICAR</v>
          </cell>
        </row>
        <row r="1601">
          <cell r="A1601" t="str">
            <v>2.1.1.1.01.005249</v>
          </cell>
          <cell r="B1601" t="str">
            <v>COMPANHIA DE ELETRICIDADE DO ESTADO DA B</v>
          </cell>
          <cell r="C1601" t="str">
            <v>16.553,35</v>
          </cell>
          <cell r="D1601" t="str">
            <v>16.949,60</v>
          </cell>
          <cell r="E1601" t="str">
            <v>396,25</v>
          </cell>
          <cell r="F1601" t="str">
            <v>429,15</v>
          </cell>
          <cell r="G1601" t="str">
            <v>0,00</v>
          </cell>
          <cell r="H1601" t="str">
            <v>429,15</v>
          </cell>
          <cell r="I1601">
            <v>429.15</v>
          </cell>
          <cell r="J1601" t="str">
            <v>VERIFICAR</v>
          </cell>
        </row>
        <row r="1602">
          <cell r="A1602" t="str">
            <v>2.1.1.1.01.005259</v>
          </cell>
          <cell r="B1602" t="str">
            <v>FESMA INDUSTRIA E COMERCIO DE FERRAMENTA</v>
          </cell>
          <cell r="C1602" t="str">
            <v>108.572,24</v>
          </cell>
          <cell r="D1602" t="str">
            <v>111.104,33</v>
          </cell>
          <cell r="E1602" t="str">
            <v>12.641,57</v>
          </cell>
          <cell r="F1602" t="str">
            <v>10.109,49</v>
          </cell>
          <cell r="G1602" t="str">
            <v>0,00</v>
          </cell>
          <cell r="H1602" t="str">
            <v>0,01</v>
          </cell>
          <cell r="I1602">
            <v>0.01</v>
          </cell>
          <cell r="J1602" t="str">
            <v>VERIFICAR</v>
          </cell>
        </row>
        <row r="1603">
          <cell r="A1603" t="str">
            <v>2.1.1.1.01.005287</v>
          </cell>
          <cell r="B1603" t="str">
            <v>CONSIGAZ CILINDROS LTDA</v>
          </cell>
          <cell r="C1603" t="str">
            <v>479.133,20</v>
          </cell>
          <cell r="D1603" t="str">
            <v>483.783,20</v>
          </cell>
          <cell r="E1603" t="str">
            <v>16.500,00</v>
          </cell>
          <cell r="F1603" t="str">
            <v>15.300,00</v>
          </cell>
          <cell r="G1603" t="str">
            <v>0,00</v>
          </cell>
          <cell r="H1603" t="str">
            <v>3.450,00</v>
          </cell>
          <cell r="I1603">
            <v>3450</v>
          </cell>
          <cell r="J1603" t="str">
            <v>VERIFICAR</v>
          </cell>
        </row>
        <row r="1604">
          <cell r="A1604" t="str">
            <v>2.1.1.1.01.005296</v>
          </cell>
          <cell r="B1604" t="str">
            <v>DUPLASTICO PECAS INJETADAS LTDA</v>
          </cell>
          <cell r="C1604" t="str">
            <v>102.846,00</v>
          </cell>
          <cell r="D1604" t="str">
            <v>113.296,00</v>
          </cell>
          <cell r="E1604" t="str">
            <v>3.483,33</v>
          </cell>
          <cell r="F1604" t="str">
            <v>0,00</v>
          </cell>
          <cell r="G1604" t="str">
            <v>0,00</v>
          </cell>
          <cell r="H1604" t="str">
            <v>6.966,67</v>
          </cell>
          <cell r="I1604">
            <v>6966.67</v>
          </cell>
          <cell r="J1604" t="str">
            <v>VERIFICAR</v>
          </cell>
        </row>
        <row r="1605">
          <cell r="A1605" t="str">
            <v>2.1.1.1.01.005304</v>
          </cell>
          <cell r="B1605" t="str">
            <v>W L FERREIRA TINTAS</v>
          </cell>
          <cell r="C1605" t="str">
            <v>76.079,68</v>
          </cell>
          <cell r="D1605" t="str">
            <v>76.728,72</v>
          </cell>
          <cell r="E1605" t="str">
            <v>649,04</v>
          </cell>
          <cell r="F1605" t="str">
            <v>0,00</v>
          </cell>
          <cell r="G1605" t="str">
            <v>0,00</v>
          </cell>
          <cell r="H1605" t="str">
            <v>0,00</v>
          </cell>
          <cell r="I1605">
            <v>0</v>
          </cell>
          <cell r="J1605" t="str">
            <v>VERIFICAR</v>
          </cell>
        </row>
        <row r="1606">
          <cell r="A1606" t="str">
            <v>2.1.1.1.01.005312</v>
          </cell>
          <cell r="B1606" t="str">
            <v>QUATENUS- SISTEMAS INTELIGENTES DE LOCAL</v>
          </cell>
          <cell r="C1606" t="str">
            <v>155.519,07</v>
          </cell>
          <cell r="D1606" t="str">
            <v>164.602,58</v>
          </cell>
          <cell r="E1606" t="str">
            <v>9.029,42</v>
          </cell>
          <cell r="F1606" t="str">
            <v>4.602,86</v>
          </cell>
          <cell r="G1606" t="str">
            <v>0,00</v>
          </cell>
          <cell r="H1606" t="str">
            <v>4.656,95</v>
          </cell>
          <cell r="I1606">
            <v>4656.95</v>
          </cell>
          <cell r="J1606" t="str">
            <v>VERIFICAR</v>
          </cell>
        </row>
        <row r="1607">
          <cell r="A1607" t="str">
            <v>2.1.1.1.01.005324</v>
          </cell>
          <cell r="B1607" t="str">
            <v>UNAFE – COMÉRCIO E INDÚSTRIA DE FERRO E</v>
          </cell>
          <cell r="C1607" t="str">
            <v>435.503,81</v>
          </cell>
          <cell r="D1607" t="str">
            <v>443.608,17</v>
          </cell>
          <cell r="E1607" t="str">
            <v>8.104,37</v>
          </cell>
          <cell r="F1607" t="str">
            <v>1.581,50</v>
          </cell>
          <cell r="G1607" t="str">
            <v>0,00</v>
          </cell>
          <cell r="H1607" t="str">
            <v>1.581,49</v>
          </cell>
          <cell r="I1607">
            <v>1581.49</v>
          </cell>
          <cell r="J1607" t="str">
            <v>VERIFICAR</v>
          </cell>
        </row>
        <row r="1608">
          <cell r="A1608" t="str">
            <v>2.1.1.1.01.005340</v>
          </cell>
          <cell r="B1608" t="str">
            <v>DROGAL FARMACEUTICA LTDA</v>
          </cell>
          <cell r="C1608" t="str">
            <v>5.250,48</v>
          </cell>
          <cell r="D1608" t="str">
            <v>5.250,48</v>
          </cell>
          <cell r="E1608" t="str">
            <v>0,00</v>
          </cell>
          <cell r="F1608" t="str">
            <v>328,13</v>
          </cell>
          <cell r="G1608" t="str">
            <v>0,00</v>
          </cell>
          <cell r="H1608" t="str">
            <v>328,13</v>
          </cell>
          <cell r="I1608">
            <v>328.13</v>
          </cell>
          <cell r="J1608" t="str">
            <v>VERIFICAR</v>
          </cell>
        </row>
        <row r="1609">
          <cell r="A1609" t="str">
            <v>2.1.1.1.01.005347</v>
          </cell>
          <cell r="B1609" t="str">
            <v>AIR LIQUIDE BRASIL LTDA</v>
          </cell>
          <cell r="C1609" t="str">
            <v>505.871,74</v>
          </cell>
          <cell r="D1609" t="str">
            <v>523.235,72</v>
          </cell>
          <cell r="E1609" t="str">
            <v>19.733,45</v>
          </cell>
          <cell r="F1609" t="str">
            <v>14.391,90</v>
          </cell>
          <cell r="G1609" t="str">
            <v>0,00</v>
          </cell>
          <cell r="H1609" t="str">
            <v>12.022,43</v>
          </cell>
          <cell r="I1609">
            <v>12022.43</v>
          </cell>
          <cell r="J1609" t="str">
            <v>VERIFICAR</v>
          </cell>
        </row>
        <row r="1610">
          <cell r="A1610" t="str">
            <v>2.1.1.1.01.005360</v>
          </cell>
          <cell r="B1610" t="str">
            <v>P.P. MEDICINA DIAGNOSTICA LTDA</v>
          </cell>
          <cell r="C1610" t="str">
            <v>1.302,20</v>
          </cell>
          <cell r="D1610" t="str">
            <v>1.302,20</v>
          </cell>
          <cell r="E1610" t="str">
            <v>105,00</v>
          </cell>
          <cell r="F1610" t="str">
            <v>105,00</v>
          </cell>
          <cell r="G1610" t="str">
            <v>0,00</v>
          </cell>
          <cell r="H1610" t="str">
            <v>0,00</v>
          </cell>
          <cell r="I1610">
            <v>0</v>
          </cell>
          <cell r="J1610" t="str">
            <v>VERIFICAR</v>
          </cell>
        </row>
        <row r="1611">
          <cell r="A1611" t="str">
            <v>2.1.1.1.01.005381</v>
          </cell>
          <cell r="B1611" t="str">
            <v>DIEGO FERREIRA DA SILVA</v>
          </cell>
          <cell r="C1611" t="str">
            <v>392.714,31</v>
          </cell>
          <cell r="D1611" t="str">
            <v>392.714,31</v>
          </cell>
          <cell r="E1611" t="str">
            <v>13.175,82</v>
          </cell>
          <cell r="F1611" t="str">
            <v>13.175,82</v>
          </cell>
          <cell r="G1611" t="str">
            <v>0,00</v>
          </cell>
          <cell r="H1611" t="str">
            <v>0,00</v>
          </cell>
          <cell r="I1611">
            <v>0</v>
          </cell>
          <cell r="J1611" t="str">
            <v>VERIFICAR</v>
          </cell>
        </row>
        <row r="1612">
          <cell r="A1612" t="str">
            <v>2.1.1.1.01.005388</v>
          </cell>
          <cell r="B1612" t="str">
            <v>ARTHUR TOTOLA PEDROTI 12150489716</v>
          </cell>
          <cell r="C1612" t="str">
            <v>601.014,39</v>
          </cell>
          <cell r="D1612" t="str">
            <v>601.014,39</v>
          </cell>
          <cell r="E1612" t="str">
            <v>13.710,63</v>
          </cell>
          <cell r="F1612" t="str">
            <v>13.710,63</v>
          </cell>
          <cell r="G1612" t="str">
            <v>0,00</v>
          </cell>
          <cell r="H1612" t="str">
            <v>0,00</v>
          </cell>
          <cell r="I1612">
            <v>0</v>
          </cell>
          <cell r="J1612" t="str">
            <v>VERIFICAR</v>
          </cell>
        </row>
        <row r="1613">
          <cell r="A1613" t="str">
            <v>2.1.1.1.01.005390</v>
          </cell>
          <cell r="B1613" t="str">
            <v>SINDICATO DOS EMPREGADOS NO COMERCIO DE</v>
          </cell>
          <cell r="C1613" t="str">
            <v>280,00</v>
          </cell>
          <cell r="D1613" t="str">
            <v>0,00</v>
          </cell>
          <cell r="E1613" t="str">
            <v>0,00</v>
          </cell>
          <cell r="F1613" t="str">
            <v>0,00</v>
          </cell>
          <cell r="G1613" t="str">
            <v>280,00</v>
          </cell>
          <cell r="H1613" t="str">
            <v>0,00</v>
          </cell>
          <cell r="I1613">
            <v>-280</v>
          </cell>
          <cell r="J1613" t="str">
            <v>VERIFICAR</v>
          </cell>
        </row>
        <row r="1614">
          <cell r="A1614" t="str">
            <v>2.1.1.1.01.005425</v>
          </cell>
          <cell r="B1614" t="str">
            <v>DROGAL FARMACEUTICA LTDA</v>
          </cell>
          <cell r="C1614" t="str">
            <v>344.671,68</v>
          </cell>
          <cell r="D1614" t="str">
            <v>344.671,68</v>
          </cell>
          <cell r="E1614" t="str">
            <v>9.734,90</v>
          </cell>
          <cell r="F1614" t="str">
            <v>19.263,19</v>
          </cell>
          <cell r="G1614" t="str">
            <v>0,00</v>
          </cell>
          <cell r="H1614" t="str">
            <v>9.528,29</v>
          </cell>
          <cell r="I1614">
            <v>9528.2900000000009</v>
          </cell>
          <cell r="J1614" t="str">
            <v>VERIFICAR</v>
          </cell>
        </row>
        <row r="1615">
          <cell r="A1615" t="str">
            <v>2.1.1.1.01.005437</v>
          </cell>
          <cell r="B1615" t="str">
            <v>SUPEC TRADING LTDA</v>
          </cell>
          <cell r="C1615" t="str">
            <v>34.663,38</v>
          </cell>
          <cell r="D1615" t="str">
            <v>36.448,38</v>
          </cell>
          <cell r="E1615" t="str">
            <v>892,50</v>
          </cell>
          <cell r="F1615" t="str">
            <v>0,00</v>
          </cell>
          <cell r="G1615" t="str">
            <v>0,00</v>
          </cell>
          <cell r="H1615" t="str">
            <v>892,50</v>
          </cell>
          <cell r="I1615">
            <v>892.5</v>
          </cell>
          <cell r="J1615" t="str">
            <v>VERIFICAR</v>
          </cell>
        </row>
        <row r="1616">
          <cell r="A1616" t="str">
            <v>2.1.1.1.01.005445</v>
          </cell>
          <cell r="B1616" t="str">
            <v>ASSOCIACAO VIDAS</v>
          </cell>
          <cell r="C1616" t="str">
            <v>3.500,00</v>
          </cell>
          <cell r="D1616" t="str">
            <v>1.500,00</v>
          </cell>
          <cell r="E1616" t="str">
            <v>0,00</v>
          </cell>
          <cell r="F1616" t="str">
            <v>0,00</v>
          </cell>
          <cell r="G1616" t="str">
            <v>2.000,00</v>
          </cell>
          <cell r="H1616" t="str">
            <v>0,00</v>
          </cell>
          <cell r="I1616">
            <v>-2000</v>
          </cell>
          <cell r="J1616" t="str">
            <v>VERIFICAR</v>
          </cell>
        </row>
        <row r="1617">
          <cell r="A1617" t="str">
            <v>2.1.1.1.01.005457</v>
          </cell>
          <cell r="B1617" t="str">
            <v>WESLEY HENRIQUE DE OLIVEIRA</v>
          </cell>
          <cell r="C1617" t="str">
            <v>345.478,64</v>
          </cell>
          <cell r="D1617" t="str">
            <v>344.978,64</v>
          </cell>
          <cell r="E1617" t="str">
            <v>13.761,76</v>
          </cell>
          <cell r="F1617" t="str">
            <v>13.761,76</v>
          </cell>
          <cell r="G1617" t="str">
            <v>500,00</v>
          </cell>
          <cell r="H1617" t="str">
            <v>0,00</v>
          </cell>
          <cell r="I1617">
            <v>-500</v>
          </cell>
          <cell r="J1617" t="str">
            <v>VERIFICAR</v>
          </cell>
        </row>
        <row r="1618">
          <cell r="A1618" t="str">
            <v>2.1.1.1.01.005495</v>
          </cell>
          <cell r="B1618" t="str">
            <v>RENOVADORA DE PNEUS SAO JOAO LTDA</v>
          </cell>
          <cell r="C1618" t="str">
            <v>11.696,81</v>
          </cell>
          <cell r="D1618" t="str">
            <v>12.448,81</v>
          </cell>
          <cell r="E1618" t="str">
            <v>752,00</v>
          </cell>
          <cell r="F1618" t="str">
            <v>0,00</v>
          </cell>
          <cell r="G1618" t="str">
            <v>0,00</v>
          </cell>
          <cell r="H1618" t="str">
            <v>0,00</v>
          </cell>
          <cell r="I1618">
            <v>0</v>
          </cell>
          <cell r="J1618" t="str">
            <v>VERIFICAR</v>
          </cell>
        </row>
        <row r="1619">
          <cell r="A1619" t="str">
            <v>2.1.1.1.01.005498</v>
          </cell>
          <cell r="B1619" t="str">
            <v>ALINE XEROX E IMPRESSAO ALINE PACCELI</v>
          </cell>
          <cell r="C1619" t="str">
            <v>4.041,60</v>
          </cell>
          <cell r="D1619" t="str">
            <v>4.041,60</v>
          </cell>
          <cell r="E1619" t="str">
            <v>263,00</v>
          </cell>
          <cell r="F1619" t="str">
            <v>263,00</v>
          </cell>
          <cell r="G1619" t="str">
            <v>0,00</v>
          </cell>
          <cell r="H1619" t="str">
            <v>0,00</v>
          </cell>
          <cell r="I1619">
            <v>0</v>
          </cell>
          <cell r="J1619" t="str">
            <v>VERIFICAR</v>
          </cell>
        </row>
        <row r="1620">
          <cell r="A1620" t="str">
            <v>2.1.1.1.01.005507</v>
          </cell>
          <cell r="B1620" t="str">
            <v>NEWCON LTDA</v>
          </cell>
          <cell r="C1620" t="str">
            <v>1.668.778,39</v>
          </cell>
          <cell r="D1620" t="str">
            <v>1.668.778,39</v>
          </cell>
          <cell r="E1620" t="str">
            <v>66.000,00</v>
          </cell>
          <cell r="F1620" t="str">
            <v>66.000,00</v>
          </cell>
          <cell r="G1620" t="str">
            <v>0,00</v>
          </cell>
          <cell r="H1620" t="str">
            <v>0,00</v>
          </cell>
          <cell r="I1620">
            <v>0</v>
          </cell>
          <cell r="J1620" t="str">
            <v>VERIFICAR</v>
          </cell>
        </row>
        <row r="1621">
          <cell r="A1621" t="str">
            <v>2.1.1.1.01.005509</v>
          </cell>
          <cell r="B1621" t="str">
            <v>DOUGLAS DA ROCHA MARTINS</v>
          </cell>
          <cell r="C1621" t="str">
            <v>67.013,54</v>
          </cell>
          <cell r="D1621" t="str">
            <v>67.013,54</v>
          </cell>
          <cell r="E1621" t="str">
            <v>3.654,60</v>
          </cell>
          <cell r="F1621" t="str">
            <v>3.654,60</v>
          </cell>
          <cell r="G1621" t="str">
            <v>0,00</v>
          </cell>
          <cell r="H1621" t="str">
            <v>0,00</v>
          </cell>
          <cell r="I1621">
            <v>0</v>
          </cell>
          <cell r="J1621" t="str">
            <v>VERIFICAR</v>
          </cell>
        </row>
        <row r="1622">
          <cell r="A1622" t="str">
            <v>2.1.1.1.01.005532</v>
          </cell>
          <cell r="B1622" t="str">
            <v>DUARTE E PAIVA LTDA</v>
          </cell>
          <cell r="C1622" t="str">
            <v>37.265,00</v>
          </cell>
          <cell r="D1622" t="str">
            <v>40.835,00</v>
          </cell>
          <cell r="E1622" t="str">
            <v>3.926,00</v>
          </cell>
          <cell r="F1622" t="str">
            <v>356,00</v>
          </cell>
          <cell r="G1622" t="str">
            <v>0,00</v>
          </cell>
          <cell r="H1622" t="str">
            <v>0,00</v>
          </cell>
          <cell r="I1622">
            <v>0</v>
          </cell>
          <cell r="J1622" t="str">
            <v>VERIFICAR</v>
          </cell>
        </row>
        <row r="1623">
          <cell r="A1623" t="str">
            <v>2.1.1.1.01.005536</v>
          </cell>
          <cell r="B1623" t="str">
            <v>FERRAMENTAS GERAIS</v>
          </cell>
          <cell r="C1623" t="str">
            <v>242.106,17</v>
          </cell>
          <cell r="D1623" t="str">
            <v>252.576,83</v>
          </cell>
          <cell r="E1623" t="str">
            <v>10.470,66</v>
          </cell>
          <cell r="F1623" t="str">
            <v>0,00</v>
          </cell>
          <cell r="G1623" t="str">
            <v>0,00</v>
          </cell>
          <cell r="H1623" t="str">
            <v>0,00</v>
          </cell>
          <cell r="I1623">
            <v>0</v>
          </cell>
          <cell r="J1623" t="str">
            <v>VERIFICAR</v>
          </cell>
        </row>
        <row r="1624">
          <cell r="A1624" t="str">
            <v>2.1.1.1.01.005551</v>
          </cell>
          <cell r="B1624" t="str">
            <v>ANDERSON HEDEL</v>
          </cell>
          <cell r="C1624" t="str">
            <v>438.479,96</v>
          </cell>
          <cell r="D1624" t="str">
            <v>438.479,96</v>
          </cell>
          <cell r="E1624" t="str">
            <v>9.301,11</v>
          </cell>
          <cell r="F1624" t="str">
            <v>9.301,11</v>
          </cell>
          <cell r="G1624" t="str">
            <v>0,00</v>
          </cell>
          <cell r="H1624" t="str">
            <v>0,00</v>
          </cell>
          <cell r="I1624">
            <v>0</v>
          </cell>
          <cell r="J1624" t="str">
            <v>VERIFICAR</v>
          </cell>
        </row>
        <row r="1625">
          <cell r="A1625" t="str">
            <v>2.1.1.1.01.005557</v>
          </cell>
          <cell r="B1625" t="str">
            <v>DONARIO DA SILVA DUTRA NETO</v>
          </cell>
          <cell r="C1625" t="str">
            <v>65.487,84</v>
          </cell>
          <cell r="D1625" t="str">
            <v>65.487,84</v>
          </cell>
          <cell r="E1625" t="str">
            <v>1.368,06</v>
          </cell>
          <cell r="F1625" t="str">
            <v>1.368,06</v>
          </cell>
          <cell r="G1625" t="str">
            <v>0,00</v>
          </cell>
          <cell r="H1625" t="str">
            <v>0,00</v>
          </cell>
          <cell r="I1625">
            <v>0</v>
          </cell>
          <cell r="J1625" t="str">
            <v>VERIFICAR</v>
          </cell>
        </row>
        <row r="1626">
          <cell r="A1626" t="str">
            <v>2.1.1.1.01.005562</v>
          </cell>
          <cell r="B1626" t="str">
            <v>FUNDICAO MARTINELLI LTDA</v>
          </cell>
          <cell r="C1626" t="str">
            <v>420.748,58</v>
          </cell>
          <cell r="D1626" t="str">
            <v>424.260,48</v>
          </cell>
          <cell r="E1626" t="str">
            <v>3.511,89</v>
          </cell>
          <cell r="F1626" t="str">
            <v>1.334,30</v>
          </cell>
          <cell r="G1626" t="str">
            <v>0,00</v>
          </cell>
          <cell r="H1626" t="str">
            <v>1.334,31</v>
          </cell>
          <cell r="I1626">
            <v>1334.31</v>
          </cell>
          <cell r="J1626" t="str">
            <v>VERIFICAR</v>
          </cell>
        </row>
        <row r="1627">
          <cell r="A1627" t="str">
            <v>2.1.1.1.01.005567</v>
          </cell>
          <cell r="B1627" t="str">
            <v>CIA DE FERRO LIGAS DA BAHIA FERBASA</v>
          </cell>
          <cell r="C1627" t="str">
            <v>5.000,00</v>
          </cell>
          <cell r="D1627" t="str">
            <v>15.000,00</v>
          </cell>
          <cell r="E1627" t="str">
            <v>0,00</v>
          </cell>
          <cell r="F1627" t="str">
            <v>0,00</v>
          </cell>
          <cell r="G1627" t="str">
            <v>0,00</v>
          </cell>
          <cell r="H1627" t="str">
            <v>10.000,00</v>
          </cell>
          <cell r="I1627">
            <v>10000</v>
          </cell>
          <cell r="J1627" t="str">
            <v>VERIFICAR</v>
          </cell>
        </row>
        <row r="1628">
          <cell r="A1628" t="str">
            <v>2.1.1.1.01.005570</v>
          </cell>
          <cell r="B1628" t="str">
            <v>FUNDICAO GIACOMINI LTDA</v>
          </cell>
          <cell r="C1628" t="str">
            <v>5.712.867,88</v>
          </cell>
          <cell r="D1628" t="str">
            <v>6.235.654,75</v>
          </cell>
          <cell r="E1628" t="str">
            <v>185.263,74</v>
          </cell>
          <cell r="F1628" t="str">
            <v>233.353,49</v>
          </cell>
          <cell r="G1628" t="str">
            <v>0,00</v>
          </cell>
          <cell r="H1628" t="str">
            <v>570.876,62</v>
          </cell>
          <cell r="I1628">
            <v>570876.62</v>
          </cell>
          <cell r="J1628" t="str">
            <v>VERIFICAR</v>
          </cell>
        </row>
        <row r="1629">
          <cell r="A1629" t="str">
            <v>2.1.1.1.01.005571</v>
          </cell>
          <cell r="B1629" t="str">
            <v>DIEGO MENEZES E CIA LTDA</v>
          </cell>
          <cell r="C1629" t="str">
            <v>23.312,78</v>
          </cell>
          <cell r="D1629" t="str">
            <v>55.503,40</v>
          </cell>
          <cell r="E1629" t="str">
            <v>0,00</v>
          </cell>
          <cell r="F1629" t="str">
            <v>0,00</v>
          </cell>
          <cell r="G1629" t="str">
            <v>0,00</v>
          </cell>
          <cell r="H1629" t="str">
            <v>32.190,62</v>
          </cell>
          <cell r="I1629">
            <v>32190.62</v>
          </cell>
          <cell r="J1629" t="str">
            <v>VERIFICAR</v>
          </cell>
        </row>
        <row r="1630">
          <cell r="A1630" t="str">
            <v>2.1.1.1.01.005572</v>
          </cell>
          <cell r="B1630" t="str">
            <v>MELLO INDUSTRIA E COMERCIO DE ACESSORIOS</v>
          </cell>
          <cell r="C1630" t="str">
            <v>38.839,68</v>
          </cell>
          <cell r="D1630" t="str">
            <v>39.730,36</v>
          </cell>
          <cell r="E1630" t="str">
            <v>890,68</v>
          </cell>
          <cell r="F1630" t="str">
            <v>0,00</v>
          </cell>
          <cell r="G1630" t="str">
            <v>0,00</v>
          </cell>
          <cell r="H1630" t="str">
            <v>0,00</v>
          </cell>
          <cell r="I1630">
            <v>0</v>
          </cell>
          <cell r="J1630" t="str">
            <v>VERIFICAR</v>
          </cell>
        </row>
        <row r="1631">
          <cell r="A1631" t="str">
            <v>2.1.1.1.01.005577</v>
          </cell>
          <cell r="B1631" t="str">
            <v>AR FUSION BRASIL LTDA</v>
          </cell>
          <cell r="C1631" t="str">
            <v>31.373,45</v>
          </cell>
          <cell r="D1631" t="str">
            <v>31.373,45</v>
          </cell>
          <cell r="E1631" t="str">
            <v>2.230,81</v>
          </cell>
          <cell r="F1631" t="str">
            <v>2.678,22</v>
          </cell>
          <cell r="G1631" t="str">
            <v>0,00</v>
          </cell>
          <cell r="H1631" t="str">
            <v>447,41</v>
          </cell>
          <cell r="I1631">
            <v>447.41</v>
          </cell>
          <cell r="J1631" t="str">
            <v>VERIFICAR</v>
          </cell>
        </row>
        <row r="1632">
          <cell r="A1632" t="str">
            <v>2.1.1.1.01.005593</v>
          </cell>
          <cell r="B1632" t="str">
            <v>ULTRA MAQUINAS COMERCIAL DE FERRAMENTAS</v>
          </cell>
          <cell r="C1632" t="str">
            <v>254.119,91</v>
          </cell>
          <cell r="D1632" t="str">
            <v>263.523,59</v>
          </cell>
          <cell r="E1632" t="str">
            <v>14.251,99</v>
          </cell>
          <cell r="F1632" t="str">
            <v>9.408,15</v>
          </cell>
          <cell r="G1632" t="str">
            <v>0,00</v>
          </cell>
          <cell r="H1632" t="str">
            <v>4.559,84</v>
          </cell>
          <cell r="I1632">
            <v>4559.84</v>
          </cell>
          <cell r="J1632" t="str">
            <v>VERIFICAR</v>
          </cell>
        </row>
        <row r="1633">
          <cell r="A1633" t="str">
            <v>2.1.1.1.01.005596</v>
          </cell>
          <cell r="B1633" t="str">
            <v>PREFEITURA MUNICIPAL DE FEIRA DE SANTANA</v>
          </cell>
          <cell r="C1633" t="str">
            <v>3.337,93</v>
          </cell>
          <cell r="D1633" t="str">
            <v>3.337,93</v>
          </cell>
          <cell r="E1633" t="str">
            <v>8.007,39</v>
          </cell>
          <cell r="F1633" t="str">
            <v>0,00</v>
          </cell>
          <cell r="G1633" t="str">
            <v>8.007,39</v>
          </cell>
          <cell r="H1633" t="str">
            <v>0,00</v>
          </cell>
          <cell r="I1633">
            <v>-8007.39</v>
          </cell>
          <cell r="J1633" t="str">
            <v>VERIFICAR</v>
          </cell>
        </row>
        <row r="1634">
          <cell r="A1634" t="str">
            <v>2.1.1.1.01.005597</v>
          </cell>
          <cell r="B1634" t="str">
            <v>METALURGICA CANINDE LTDA</v>
          </cell>
          <cell r="C1634" t="str">
            <v>13.900,61</v>
          </cell>
          <cell r="D1634" t="str">
            <v>13.900,62</v>
          </cell>
          <cell r="E1634" t="str">
            <v>0,00</v>
          </cell>
          <cell r="F1634" t="str">
            <v>0,00</v>
          </cell>
          <cell r="G1634" t="str">
            <v>0,00</v>
          </cell>
          <cell r="H1634" t="str">
            <v>0,01</v>
          </cell>
          <cell r="I1634">
            <v>0.01</v>
          </cell>
          <cell r="J1634" t="str">
            <v>VERIFICAR</v>
          </cell>
        </row>
        <row r="1635">
          <cell r="A1635" t="str">
            <v>2.1.1.1.01.005608</v>
          </cell>
          <cell r="B1635" t="str">
            <v>BRANSERVICES SERVICOS E LOCACOES LTDA</v>
          </cell>
          <cell r="C1635" t="str">
            <v>489.752,38</v>
          </cell>
          <cell r="D1635" t="str">
            <v>489.752,38</v>
          </cell>
          <cell r="E1635" t="str">
            <v>10.646,95</v>
          </cell>
          <cell r="F1635" t="str">
            <v>10.646,95</v>
          </cell>
          <cell r="G1635" t="str">
            <v>0,00</v>
          </cell>
          <cell r="H1635" t="str">
            <v>0,00</v>
          </cell>
          <cell r="I1635">
            <v>0</v>
          </cell>
          <cell r="J1635" t="str">
            <v>VERIFICAR</v>
          </cell>
        </row>
        <row r="1636">
          <cell r="A1636" t="str">
            <v>2.1.1.1.01.005613</v>
          </cell>
          <cell r="B1636" t="str">
            <v>ALEXANDRE F DE SOUZA SERVICOS ADMINNISTR</v>
          </cell>
          <cell r="C1636" t="str">
            <v>1.823.835,46</v>
          </cell>
          <cell r="D1636" t="str">
            <v>1.823.835,46</v>
          </cell>
          <cell r="E1636" t="str">
            <v>35.819,77</v>
          </cell>
          <cell r="F1636" t="str">
            <v>35.819,77</v>
          </cell>
          <cell r="G1636" t="str">
            <v>0,00</v>
          </cell>
          <cell r="H1636" t="str">
            <v>0,00</v>
          </cell>
          <cell r="I1636">
            <v>0</v>
          </cell>
          <cell r="J1636" t="str">
            <v>VERIFICAR</v>
          </cell>
        </row>
        <row r="1637">
          <cell r="A1637" t="str">
            <v>2.1.1.1.01.005616</v>
          </cell>
          <cell r="B1637" t="str">
            <v>HASTECROM CROMO DURO</v>
          </cell>
          <cell r="C1637" t="str">
            <v>55.021,64</v>
          </cell>
          <cell r="D1637" t="str">
            <v>56.931,93</v>
          </cell>
          <cell r="E1637" t="str">
            <v>1.910,29</v>
          </cell>
          <cell r="F1637" t="str">
            <v>560,29</v>
          </cell>
          <cell r="G1637" t="str">
            <v>0,00</v>
          </cell>
          <cell r="H1637" t="str">
            <v>560,29</v>
          </cell>
          <cell r="I1637">
            <v>560.29</v>
          </cell>
          <cell r="J1637" t="str">
            <v>VERIFICAR</v>
          </cell>
        </row>
        <row r="1638">
          <cell r="A1638" t="str">
            <v>2.1.1.1.01.005620</v>
          </cell>
          <cell r="B1638" t="str">
            <v>BRUNO TOFANO FERRI 08080659710</v>
          </cell>
          <cell r="C1638" t="str">
            <v>52.535,94</v>
          </cell>
          <cell r="D1638" t="str">
            <v>52.535,94</v>
          </cell>
          <cell r="E1638" t="str">
            <v>1.179,00</v>
          </cell>
          <cell r="F1638" t="str">
            <v>1.179,00</v>
          </cell>
          <cell r="G1638" t="str">
            <v>0,00</v>
          </cell>
          <cell r="H1638" t="str">
            <v>0,00</v>
          </cell>
          <cell r="I1638">
            <v>0</v>
          </cell>
          <cell r="J1638" t="str">
            <v>VERIFICAR</v>
          </cell>
        </row>
        <row r="1639">
          <cell r="A1639" t="str">
            <v>2.1.1.1.01.005621</v>
          </cell>
          <cell r="B1639" t="str">
            <v>GUILHERME SABINO FAGUNDES</v>
          </cell>
          <cell r="C1639" t="str">
            <v>195.260,75</v>
          </cell>
          <cell r="D1639" t="str">
            <v>195.599,91</v>
          </cell>
          <cell r="E1639" t="str">
            <v>2.217,37</v>
          </cell>
          <cell r="F1639" t="str">
            <v>2.217,37</v>
          </cell>
          <cell r="G1639" t="str">
            <v>0,00</v>
          </cell>
          <cell r="H1639" t="str">
            <v>339,16</v>
          </cell>
          <cell r="I1639">
            <v>339.16</v>
          </cell>
          <cell r="J1639" t="str">
            <v>VERIFICAR</v>
          </cell>
        </row>
        <row r="1640">
          <cell r="A1640" t="str">
            <v>2.1.1.1.01.005623</v>
          </cell>
          <cell r="B1640" t="str">
            <v>METAL CHAVETAS USINAGEM LTDA</v>
          </cell>
          <cell r="C1640" t="str">
            <v>21.034,46</v>
          </cell>
          <cell r="D1640" t="str">
            <v>22.807,26</v>
          </cell>
          <cell r="E1640" t="str">
            <v>1.772,80</v>
          </cell>
          <cell r="F1640" t="str">
            <v>0,00</v>
          </cell>
          <cell r="G1640" t="str">
            <v>0,00</v>
          </cell>
          <cell r="H1640" t="str">
            <v>0,00</v>
          </cell>
          <cell r="I1640">
            <v>0</v>
          </cell>
          <cell r="J1640" t="str">
            <v>VERIFICAR</v>
          </cell>
        </row>
        <row r="1641">
          <cell r="A1641" t="str">
            <v>2.1.1.1.01.005631</v>
          </cell>
          <cell r="B1641" t="str">
            <v>TETRAFERRO LTDA - EM RECUP. JUDICIAL</v>
          </cell>
          <cell r="C1641" t="str">
            <v>1.015.351,17</v>
          </cell>
          <cell r="D1641" t="str">
            <v>1.129.999,89</v>
          </cell>
          <cell r="E1641" t="str">
            <v>80.065,76</v>
          </cell>
          <cell r="F1641" t="str">
            <v>33.216,71</v>
          </cell>
          <cell r="G1641" t="str">
            <v>0,00</v>
          </cell>
          <cell r="H1641" t="str">
            <v>67.799,67</v>
          </cell>
          <cell r="I1641">
            <v>67799.67</v>
          </cell>
          <cell r="J1641" t="str">
            <v>VERIFICAR</v>
          </cell>
        </row>
        <row r="1642">
          <cell r="A1642" t="str">
            <v>2.1.1.1.01.005633</v>
          </cell>
          <cell r="B1642" t="str">
            <v>PAUTA DISTRIBUICAO E LOGISTICA</v>
          </cell>
          <cell r="C1642" t="str">
            <v>14.003,40</v>
          </cell>
          <cell r="D1642" t="str">
            <v>14.003,40</v>
          </cell>
          <cell r="E1642" t="str">
            <v>116,46</v>
          </cell>
          <cell r="F1642" t="str">
            <v>116,46</v>
          </cell>
          <cell r="G1642" t="str">
            <v>0,00</v>
          </cell>
          <cell r="H1642" t="str">
            <v>0,00</v>
          </cell>
          <cell r="I1642">
            <v>0</v>
          </cell>
          <cell r="J1642" t="str">
            <v>VERIFICAR</v>
          </cell>
        </row>
        <row r="1643">
          <cell r="A1643" t="str">
            <v>2.1.1.1.01.005637</v>
          </cell>
          <cell r="B1643" t="str">
            <v>AYARA MARCELINO SILVA</v>
          </cell>
          <cell r="C1643" t="str">
            <v>2.081,29</v>
          </cell>
          <cell r="D1643" t="str">
            <v>2.081,29</v>
          </cell>
          <cell r="E1643" t="str">
            <v>320,80</v>
          </cell>
          <cell r="F1643" t="str">
            <v>320,80</v>
          </cell>
          <cell r="G1643" t="str">
            <v>0,00</v>
          </cell>
          <cell r="H1643" t="str">
            <v>0,00</v>
          </cell>
          <cell r="I1643">
            <v>0</v>
          </cell>
          <cell r="J1643" t="str">
            <v>VERIFICAR</v>
          </cell>
        </row>
        <row r="1644">
          <cell r="A1644" t="str">
            <v>2.1.1.1.01.005648</v>
          </cell>
          <cell r="B1644" t="str">
            <v>FUNDICAO WOLLERT LTDA</v>
          </cell>
          <cell r="C1644" t="str">
            <v>1.780.890,10</v>
          </cell>
          <cell r="D1644" t="str">
            <v>1.822.250,10</v>
          </cell>
          <cell r="E1644" t="str">
            <v>41.360,00</v>
          </cell>
          <cell r="F1644" t="str">
            <v>0,00</v>
          </cell>
          <cell r="G1644" t="str">
            <v>0,00</v>
          </cell>
          <cell r="H1644" t="str">
            <v>0,00</v>
          </cell>
          <cell r="I1644">
            <v>0</v>
          </cell>
          <cell r="J1644" t="str">
            <v>VERIFICAR</v>
          </cell>
        </row>
        <row r="1645">
          <cell r="A1645" t="str">
            <v>2.1.1.1.01.005653</v>
          </cell>
          <cell r="B1645" t="str">
            <v>AOVS SISTEMAS DE INFORMATICA</v>
          </cell>
          <cell r="C1645" t="str">
            <v>11.330,00</v>
          </cell>
          <cell r="D1645" t="str">
            <v>11.330,00</v>
          </cell>
          <cell r="E1645" t="str">
            <v>110,00</v>
          </cell>
          <cell r="F1645" t="str">
            <v>110,00</v>
          </cell>
          <cell r="G1645" t="str">
            <v>0,00</v>
          </cell>
          <cell r="H1645" t="str">
            <v>0,00</v>
          </cell>
          <cell r="I1645">
            <v>0</v>
          </cell>
          <cell r="J1645" t="str">
            <v>VERIFICAR</v>
          </cell>
        </row>
        <row r="1646">
          <cell r="A1646" t="str">
            <v>2.1.1.1.01.005656</v>
          </cell>
          <cell r="B1646" t="str">
            <v>AGFMAC IMP EXPORT E COM DE MAQUINAS E AC</v>
          </cell>
          <cell r="C1646" t="str">
            <v>46.253,03</v>
          </cell>
          <cell r="D1646" t="str">
            <v>51.990,29</v>
          </cell>
          <cell r="E1646" t="str">
            <v>5.737,26</v>
          </cell>
          <cell r="F1646" t="str">
            <v>0,00</v>
          </cell>
          <cell r="G1646" t="str">
            <v>0,00</v>
          </cell>
          <cell r="H1646" t="str">
            <v>0,00</v>
          </cell>
          <cell r="I1646">
            <v>0</v>
          </cell>
          <cell r="J1646" t="str">
            <v>VERIFICAR</v>
          </cell>
        </row>
        <row r="1647">
          <cell r="A1647" t="str">
            <v>2.1.1.1.01.005692</v>
          </cell>
          <cell r="B1647" t="str">
            <v>GUINDASLOC LOCACAO DE GUINDASTES LTDA</v>
          </cell>
          <cell r="C1647" t="str">
            <v>25.710,00</v>
          </cell>
          <cell r="D1647" t="str">
            <v>32.570,00</v>
          </cell>
          <cell r="E1647" t="str">
            <v>3.430,00</v>
          </cell>
          <cell r="F1647" t="str">
            <v>4.074,00</v>
          </cell>
          <cell r="G1647" t="str">
            <v>0,00</v>
          </cell>
          <cell r="H1647" t="str">
            <v>7.504,00</v>
          </cell>
          <cell r="I1647">
            <v>7504</v>
          </cell>
          <cell r="J1647" t="str">
            <v>VERIFICAR</v>
          </cell>
        </row>
        <row r="1648">
          <cell r="A1648" t="str">
            <v>2.1.1.1.01.005699</v>
          </cell>
          <cell r="B1648" t="str">
            <v>TECHGEL COMERCIAL LTDA</v>
          </cell>
          <cell r="C1648" t="str">
            <v>138.210,69</v>
          </cell>
          <cell r="D1648" t="str">
            <v>139.219,07</v>
          </cell>
          <cell r="E1648" t="str">
            <v>1.008,38</v>
          </cell>
          <cell r="F1648" t="str">
            <v>2.632,04</v>
          </cell>
          <cell r="G1648" t="str">
            <v>0,00</v>
          </cell>
          <cell r="H1648" t="str">
            <v>2.632,04</v>
          </cell>
          <cell r="I1648">
            <v>2632.04</v>
          </cell>
          <cell r="J1648" t="str">
            <v>VERIFICAR</v>
          </cell>
        </row>
        <row r="1649">
          <cell r="A1649" t="str">
            <v>2.1.1.1.01.005715</v>
          </cell>
          <cell r="B1649" t="str">
            <v>WITHEL DISTRIBUIDORA</v>
          </cell>
          <cell r="C1649" t="str">
            <v>69.190,98</v>
          </cell>
          <cell r="D1649" t="str">
            <v>180.030,60</v>
          </cell>
          <cell r="E1649" t="str">
            <v>184.924,68</v>
          </cell>
          <cell r="F1649" t="str">
            <v>182.317,42</v>
          </cell>
          <cell r="G1649" t="str">
            <v>0,00</v>
          </cell>
          <cell r="H1649" t="str">
            <v>108.232,36</v>
          </cell>
          <cell r="I1649">
            <v>108232.36</v>
          </cell>
          <cell r="J1649" t="str">
            <v>VERIFICAR</v>
          </cell>
        </row>
        <row r="1650">
          <cell r="A1650" t="str">
            <v>2.1.1.1.01.005716</v>
          </cell>
          <cell r="B1650" t="str">
            <v>CTM ELETRONICA INDUSTRIAL</v>
          </cell>
          <cell r="C1650" t="str">
            <v>263.550,70</v>
          </cell>
          <cell r="D1650" t="str">
            <v>278.927,00</v>
          </cell>
          <cell r="E1650" t="str">
            <v>15.376,30</v>
          </cell>
          <cell r="F1650" t="str">
            <v>13.504,20</v>
          </cell>
          <cell r="G1650" t="str">
            <v>0,00</v>
          </cell>
          <cell r="H1650" t="str">
            <v>13.504,20</v>
          </cell>
          <cell r="I1650">
            <v>13504.2</v>
          </cell>
          <cell r="J1650" t="str">
            <v>VERIFICAR</v>
          </cell>
        </row>
        <row r="1651">
          <cell r="A1651" t="str">
            <v>2.1.1.1.01.005719</v>
          </cell>
          <cell r="B1651" t="str">
            <v>NEW ACO - TUBOS DE ACO E PERFIS LAMINADO</v>
          </cell>
          <cell r="C1651" t="str">
            <v>107.950,90</v>
          </cell>
          <cell r="D1651" t="str">
            <v>230.764,55</v>
          </cell>
          <cell r="E1651" t="str">
            <v>137.820,75</v>
          </cell>
          <cell r="F1651" t="str">
            <v>63.083,78</v>
          </cell>
          <cell r="G1651" t="str">
            <v>0,00</v>
          </cell>
          <cell r="H1651" t="str">
            <v>48.076,68</v>
          </cell>
          <cell r="I1651">
            <v>48076.68</v>
          </cell>
          <cell r="J1651" t="str">
            <v>VERIFICAR</v>
          </cell>
        </row>
        <row r="1652">
          <cell r="A1652" t="str">
            <v>2.1.1.1.01.005744</v>
          </cell>
          <cell r="B1652" t="str">
            <v>INDUSTRIAL METALURGICA ROTAMIL</v>
          </cell>
          <cell r="C1652" t="str">
            <v>49.359,24</v>
          </cell>
          <cell r="D1652" t="str">
            <v>54.146,22</v>
          </cell>
          <cell r="E1652" t="str">
            <v>4.786,98</v>
          </cell>
          <cell r="F1652" t="str">
            <v>0,00</v>
          </cell>
          <cell r="G1652" t="str">
            <v>0,00</v>
          </cell>
          <cell r="H1652" t="str">
            <v>0,00</v>
          </cell>
          <cell r="I1652">
            <v>0</v>
          </cell>
          <cell r="J1652" t="str">
            <v>VERIFICAR</v>
          </cell>
        </row>
        <row r="1653">
          <cell r="A1653" t="str">
            <v>2.1.1.1.01.005748</v>
          </cell>
          <cell r="B1653" t="str">
            <v>A P TEIXEIRA</v>
          </cell>
          <cell r="C1653" t="str">
            <v>16.806,84</v>
          </cell>
          <cell r="D1653" t="str">
            <v>16.806,84</v>
          </cell>
          <cell r="E1653" t="str">
            <v>440,60</v>
          </cell>
          <cell r="F1653" t="str">
            <v>440,60</v>
          </cell>
          <cell r="G1653" t="str">
            <v>0,00</v>
          </cell>
          <cell r="H1653" t="str">
            <v>0,00</v>
          </cell>
          <cell r="I1653">
            <v>0</v>
          </cell>
          <cell r="J1653" t="str">
            <v>VERIFICAR</v>
          </cell>
        </row>
        <row r="1654">
          <cell r="A1654" t="str">
            <v>2.1.1.1.01.005762</v>
          </cell>
          <cell r="B1654" t="str">
            <v>NAGAMURA E MARQUES FERRAMENTAS LTDA</v>
          </cell>
          <cell r="C1654" t="str">
            <v>108.179,59</v>
          </cell>
          <cell r="D1654" t="str">
            <v>108.682,04</v>
          </cell>
          <cell r="E1654" t="str">
            <v>926,45</v>
          </cell>
          <cell r="F1654" t="str">
            <v>951,45</v>
          </cell>
          <cell r="G1654" t="str">
            <v>0,00</v>
          </cell>
          <cell r="H1654" t="str">
            <v>527,45</v>
          </cell>
          <cell r="I1654">
            <v>527.45000000000005</v>
          </cell>
          <cell r="J1654" t="str">
            <v>VERIFICAR</v>
          </cell>
        </row>
        <row r="1655">
          <cell r="A1655" t="str">
            <v>2.1.1.1.01.005784</v>
          </cell>
          <cell r="B1655" t="str">
            <v>PEDRO HENRIQUE SILVA FIEAS PINTO</v>
          </cell>
          <cell r="C1655" t="str">
            <v>294.344,33</v>
          </cell>
          <cell r="D1655" t="str">
            <v>294.344,33</v>
          </cell>
          <cell r="E1655" t="str">
            <v>7.747,86</v>
          </cell>
          <cell r="F1655" t="str">
            <v>7.747,86</v>
          </cell>
          <cell r="G1655" t="str">
            <v>0,00</v>
          </cell>
          <cell r="H1655" t="str">
            <v>0,00</v>
          </cell>
          <cell r="I1655">
            <v>0</v>
          </cell>
          <cell r="J1655" t="str">
            <v>VERIFICAR</v>
          </cell>
        </row>
        <row r="1656">
          <cell r="A1656" t="str">
            <v>2.1.1.1.01.005788</v>
          </cell>
          <cell r="B1656" t="str">
            <v>FERRO VELHO MAKITO LTDA</v>
          </cell>
          <cell r="C1656" t="str">
            <v>12.350,00</v>
          </cell>
          <cell r="D1656" t="str">
            <v>12.350,00</v>
          </cell>
          <cell r="E1656" t="str">
            <v>980,00</v>
          </cell>
          <cell r="F1656" t="str">
            <v>980,00</v>
          </cell>
          <cell r="G1656" t="str">
            <v>0,00</v>
          </cell>
          <cell r="H1656" t="str">
            <v>0,00</v>
          </cell>
          <cell r="I1656">
            <v>0</v>
          </cell>
          <cell r="J1656" t="str">
            <v>VERIFICAR</v>
          </cell>
        </row>
        <row r="1657">
          <cell r="A1657" t="str">
            <v>2.1.1.1.01.005791</v>
          </cell>
          <cell r="B1657" t="str">
            <v>ASPRODUTOS PARA MINERACAO LTDA</v>
          </cell>
          <cell r="C1657" t="str">
            <v>72.495,54</v>
          </cell>
          <cell r="D1657" t="str">
            <v>72.495,54</v>
          </cell>
          <cell r="E1657" t="str">
            <v>0,00</v>
          </cell>
          <cell r="F1657" t="str">
            <v>2.850,00</v>
          </cell>
          <cell r="G1657" t="str">
            <v>0,00</v>
          </cell>
          <cell r="H1657" t="str">
            <v>2.850,00</v>
          </cell>
          <cell r="I1657">
            <v>2850</v>
          </cell>
          <cell r="J1657" t="str">
            <v>VERIFICAR</v>
          </cell>
        </row>
        <row r="1658">
          <cell r="A1658" t="str">
            <v>2.1.1.1.01.005807</v>
          </cell>
          <cell r="B1658" t="str">
            <v>LEONCIO HENRIQUE VIEIRA JAQUES</v>
          </cell>
          <cell r="C1658" t="str">
            <v>134.207,47</v>
          </cell>
          <cell r="D1658" t="str">
            <v>134.207,47</v>
          </cell>
          <cell r="E1658" t="str">
            <v>54.851,75</v>
          </cell>
          <cell r="F1658" t="str">
            <v>54.851,75</v>
          </cell>
          <cell r="G1658" t="str">
            <v>0,00</v>
          </cell>
          <cell r="H1658" t="str">
            <v>0,00</v>
          </cell>
          <cell r="I1658">
            <v>0</v>
          </cell>
          <cell r="J1658" t="str">
            <v>VERIFICAR</v>
          </cell>
        </row>
        <row r="1659">
          <cell r="A1659" t="str">
            <v>2.1.1.1.01.005815</v>
          </cell>
          <cell r="B1659" t="str">
            <v>NEW TECNOLOGIA DA INFORMACAO LTDA</v>
          </cell>
          <cell r="C1659" t="str">
            <v>10.995,60</v>
          </cell>
          <cell r="D1659" t="str">
            <v>10.995,60</v>
          </cell>
          <cell r="E1659" t="str">
            <v>249,90</v>
          </cell>
          <cell r="F1659" t="str">
            <v>249,90</v>
          </cell>
          <cell r="G1659" t="str">
            <v>0,00</v>
          </cell>
          <cell r="H1659" t="str">
            <v>0,00</v>
          </cell>
          <cell r="I1659">
            <v>0</v>
          </cell>
          <cell r="J1659" t="str">
            <v>VERIFICAR</v>
          </cell>
        </row>
        <row r="1660">
          <cell r="A1660" t="str">
            <v>2.1.1.1.01.005820</v>
          </cell>
          <cell r="B1660" t="str">
            <v>FPT INDUSTRIAL BRASIL LTDA</v>
          </cell>
          <cell r="C1660" t="str">
            <v>4.851.469,39</v>
          </cell>
          <cell r="D1660" t="str">
            <v>5.788.644,02</v>
          </cell>
          <cell r="E1660" t="str">
            <v>306.904,30</v>
          </cell>
          <cell r="F1660" t="str">
            <v>298.641,11</v>
          </cell>
          <cell r="G1660" t="str">
            <v>0,00</v>
          </cell>
          <cell r="H1660" t="str">
            <v>928.911,44</v>
          </cell>
          <cell r="I1660">
            <v>928911.44</v>
          </cell>
          <cell r="J1660" t="str">
            <v>VERIFICAR</v>
          </cell>
        </row>
        <row r="1661">
          <cell r="A1661" t="str">
            <v>2.1.1.1.01.005873</v>
          </cell>
          <cell r="B1661" t="str">
            <v>COMISSAO FINIMP ITAU - EDT 129</v>
          </cell>
          <cell r="C1661" t="str">
            <v>117.823,20</v>
          </cell>
          <cell r="D1661" t="str">
            <v>117.823,20</v>
          </cell>
          <cell r="E1661" t="str">
            <v>15.377,95</v>
          </cell>
          <cell r="F1661" t="str">
            <v>12.411,71</v>
          </cell>
          <cell r="G1661" t="str">
            <v>2.966,24</v>
          </cell>
          <cell r="H1661" t="str">
            <v>0,00</v>
          </cell>
          <cell r="I1661">
            <v>-2966.24</v>
          </cell>
          <cell r="J1661" t="str">
            <v>VERIFICAR</v>
          </cell>
        </row>
        <row r="1662">
          <cell r="A1662" t="str">
            <v>2.1.1.1.01.005879</v>
          </cell>
          <cell r="B1662" t="str">
            <v>MEGAMICRON SOLUÇÕES INDUSTRIAIS LTDA</v>
          </cell>
          <cell r="C1662" t="str">
            <v>61.051,51</v>
          </cell>
          <cell r="D1662" t="str">
            <v>70.093,11</v>
          </cell>
          <cell r="E1662" t="str">
            <v>9.165,20</v>
          </cell>
          <cell r="F1662" t="str">
            <v>3.492,00</v>
          </cell>
          <cell r="G1662" t="str">
            <v>0,00</v>
          </cell>
          <cell r="H1662" t="str">
            <v>3.368,40</v>
          </cell>
          <cell r="I1662">
            <v>3368.4</v>
          </cell>
          <cell r="J1662" t="str">
            <v>VERIFICAR</v>
          </cell>
        </row>
        <row r="1663">
          <cell r="A1663" t="str">
            <v>2.1.1.1.01.005887</v>
          </cell>
          <cell r="B1663" t="str">
            <v>CHOPPADA LIGHT PRODUCOES E EVENTOS LTDA</v>
          </cell>
          <cell r="C1663" t="str">
            <v>1.118.914,89</v>
          </cell>
          <cell r="D1663" t="str">
            <v>1.118.914,89</v>
          </cell>
          <cell r="E1663" t="str">
            <v>21.204,14</v>
          </cell>
          <cell r="F1663" t="str">
            <v>21.204,14</v>
          </cell>
          <cell r="G1663" t="str">
            <v>0,00</v>
          </cell>
          <cell r="H1663" t="str">
            <v>0,00</v>
          </cell>
          <cell r="I1663">
            <v>0</v>
          </cell>
          <cell r="J1663" t="str">
            <v>VERIFICAR</v>
          </cell>
        </row>
        <row r="1664">
          <cell r="A1664" t="str">
            <v>2.1.1.1.01.005889</v>
          </cell>
          <cell r="B1664" t="str">
            <v>GIOVANI BABISKI LOBATO 13897579782</v>
          </cell>
          <cell r="C1664" t="str">
            <v>371.958,21</v>
          </cell>
          <cell r="D1664" t="str">
            <v>371.958,21</v>
          </cell>
          <cell r="E1664" t="str">
            <v>10.192,79</v>
          </cell>
          <cell r="F1664" t="str">
            <v>10.192,79</v>
          </cell>
          <cell r="G1664" t="str">
            <v>0,00</v>
          </cell>
          <cell r="H1664" t="str">
            <v>0,00</v>
          </cell>
          <cell r="I1664">
            <v>0</v>
          </cell>
          <cell r="J1664" t="str">
            <v>VERIFICAR</v>
          </cell>
        </row>
        <row r="1665">
          <cell r="A1665" t="str">
            <v>2.1.1.1.01.005893</v>
          </cell>
          <cell r="B1665" t="str">
            <v>MEBRAS METAIS DO BRASIL LTDA</v>
          </cell>
          <cell r="C1665" t="str">
            <v>7.360.859,44</v>
          </cell>
          <cell r="D1665" t="str">
            <v>7.423.231,02</v>
          </cell>
          <cell r="E1665" t="str">
            <v>20.790,53</v>
          </cell>
          <cell r="F1665" t="str">
            <v>30.732,98</v>
          </cell>
          <cell r="G1665" t="str">
            <v>0,00</v>
          </cell>
          <cell r="H1665" t="str">
            <v>72.314,03</v>
          </cell>
          <cell r="I1665">
            <v>72314.03</v>
          </cell>
          <cell r="J1665" t="str">
            <v>VERIFICAR</v>
          </cell>
        </row>
        <row r="1666">
          <cell r="A1666" t="str">
            <v>2.1.1.1.01.005908</v>
          </cell>
          <cell r="B1666" t="str">
            <v>SIMONE R GOMES</v>
          </cell>
          <cell r="C1666" t="str">
            <v>388,67</v>
          </cell>
          <cell r="D1666" t="str">
            <v>388,67</v>
          </cell>
          <cell r="E1666" t="str">
            <v>86,26</v>
          </cell>
          <cell r="F1666" t="str">
            <v>86,26</v>
          </cell>
          <cell r="G1666" t="str">
            <v>0,00</v>
          </cell>
          <cell r="H1666" t="str">
            <v>0,00</v>
          </cell>
          <cell r="I1666">
            <v>0</v>
          </cell>
          <cell r="J1666" t="str">
            <v>VERIFICAR</v>
          </cell>
        </row>
        <row r="1667">
          <cell r="A1667" t="str">
            <v>2.1.1.1.01.005918</v>
          </cell>
          <cell r="B1667" t="str">
            <v>J. N. RODRIGUES MAQUINAS</v>
          </cell>
          <cell r="C1667" t="str">
            <v>64.927,89</v>
          </cell>
          <cell r="D1667" t="str">
            <v>64.927,89</v>
          </cell>
          <cell r="E1667" t="str">
            <v>2.840,70</v>
          </cell>
          <cell r="F1667" t="str">
            <v>2.840,70</v>
          </cell>
          <cell r="G1667" t="str">
            <v>0,00</v>
          </cell>
          <cell r="H1667" t="str">
            <v>0,00</v>
          </cell>
          <cell r="I1667">
            <v>0</v>
          </cell>
          <cell r="J1667" t="str">
            <v>VERIFICAR</v>
          </cell>
        </row>
        <row r="1668">
          <cell r="A1668" t="str">
            <v>2.1.1.1.01.005941</v>
          </cell>
          <cell r="B1668" t="str">
            <v>JEFFERSON DOUGLAS SILVA GOMES LTDA</v>
          </cell>
          <cell r="C1668" t="str">
            <v>673.366,82</v>
          </cell>
          <cell r="D1668" t="str">
            <v>673.366,82</v>
          </cell>
          <cell r="E1668" t="str">
            <v>13.816,99</v>
          </cell>
          <cell r="F1668" t="str">
            <v>13.816,99</v>
          </cell>
          <cell r="G1668" t="str">
            <v>0,00</v>
          </cell>
          <cell r="H1668" t="str">
            <v>0,00</v>
          </cell>
          <cell r="I1668">
            <v>0</v>
          </cell>
          <cell r="J1668" t="str">
            <v>VERIFICAR</v>
          </cell>
        </row>
        <row r="1669">
          <cell r="A1669" t="str">
            <v>2.1.1.1.01.005957</v>
          </cell>
          <cell r="B1669" t="str">
            <v>DEPARTAMENTO DE AGUAS E ENERGIA ELETRICA</v>
          </cell>
          <cell r="C1669" t="str">
            <v>5.024,59</v>
          </cell>
          <cell r="D1669" t="str">
            <v>5.024,59</v>
          </cell>
          <cell r="E1669" t="str">
            <v>67,20</v>
          </cell>
          <cell r="F1669" t="str">
            <v>67,20</v>
          </cell>
          <cell r="G1669" t="str">
            <v>0,00</v>
          </cell>
          <cell r="H1669" t="str">
            <v>0,00</v>
          </cell>
          <cell r="I1669">
            <v>0</v>
          </cell>
          <cell r="J1669" t="str">
            <v>VERIFICAR</v>
          </cell>
        </row>
        <row r="1670">
          <cell r="A1670" t="str">
            <v>2.1.1.1.01.005958</v>
          </cell>
          <cell r="B1670" t="str">
            <v>NAZIDE WOLLERT</v>
          </cell>
          <cell r="C1670" t="str">
            <v>1.814.401,19</v>
          </cell>
          <cell r="D1670" t="str">
            <v>1.814.401,20</v>
          </cell>
          <cell r="E1670" t="str">
            <v>0,00</v>
          </cell>
          <cell r="F1670" t="str">
            <v>0,00</v>
          </cell>
          <cell r="G1670" t="str">
            <v>0,00</v>
          </cell>
          <cell r="H1670" t="str">
            <v>0,01</v>
          </cell>
          <cell r="I1670">
            <v>0.01</v>
          </cell>
          <cell r="J1670" t="str">
            <v>VERIFICAR</v>
          </cell>
        </row>
        <row r="1671">
          <cell r="A1671" t="str">
            <v>2.1.1.1.01.005963</v>
          </cell>
          <cell r="B1671" t="str">
            <v>3FS COMERCIO LTDA</v>
          </cell>
          <cell r="C1671" t="str">
            <v>55.433,86</v>
          </cell>
          <cell r="D1671" t="str">
            <v>55.433,85</v>
          </cell>
          <cell r="E1671" t="str">
            <v>0,00</v>
          </cell>
          <cell r="F1671" t="str">
            <v>0,00</v>
          </cell>
          <cell r="G1671" t="str">
            <v>0,01</v>
          </cell>
          <cell r="H1671" t="str">
            <v>0,00</v>
          </cell>
          <cell r="I1671">
            <v>-0.01</v>
          </cell>
          <cell r="J1671" t="str">
            <v>VERIFICAR</v>
          </cell>
        </row>
        <row r="1672">
          <cell r="A1672" t="str">
            <v>2.1.1.1.01.005968</v>
          </cell>
          <cell r="B1672" t="str">
            <v>BLUEPEX TECNOLOGIA S.A.</v>
          </cell>
          <cell r="C1672" t="str">
            <v>30.944,61</v>
          </cell>
          <cell r="D1672" t="str">
            <v>31.851,53</v>
          </cell>
          <cell r="E1672" t="str">
            <v>906,92</v>
          </cell>
          <cell r="F1672" t="str">
            <v>0,00</v>
          </cell>
          <cell r="G1672" t="str">
            <v>0,00</v>
          </cell>
          <cell r="H1672" t="str">
            <v>0,00</v>
          </cell>
          <cell r="I1672">
            <v>0</v>
          </cell>
          <cell r="J1672" t="str">
            <v>VERIFICAR</v>
          </cell>
        </row>
        <row r="1673">
          <cell r="A1673" t="str">
            <v>2.1.1.1.01.005970</v>
          </cell>
          <cell r="B1673" t="str">
            <v>ITAFER COMERCIO LTDA EPP</v>
          </cell>
          <cell r="C1673" t="str">
            <v>28.687,53</v>
          </cell>
          <cell r="D1673" t="str">
            <v>28.687,52</v>
          </cell>
          <cell r="E1673" t="str">
            <v>169,60</v>
          </cell>
          <cell r="F1673" t="str">
            <v>169,60</v>
          </cell>
          <cell r="G1673" t="str">
            <v>0,01</v>
          </cell>
          <cell r="H1673" t="str">
            <v>0,00</v>
          </cell>
          <cell r="I1673">
            <v>-0.01</v>
          </cell>
          <cell r="J1673" t="str">
            <v>VERIFICAR</v>
          </cell>
        </row>
        <row r="1674">
          <cell r="A1674" t="str">
            <v>2.1.1.1.01.005975</v>
          </cell>
          <cell r="B1674" t="str">
            <v>STRATUS COMPOSTOS ESTRUTURAIS LTDA</v>
          </cell>
          <cell r="C1674" t="str">
            <v>39.220,10</v>
          </cell>
          <cell r="D1674" t="str">
            <v>39.220,10</v>
          </cell>
          <cell r="E1674" t="str">
            <v>3.026,94</v>
          </cell>
          <cell r="F1674" t="str">
            <v>3.026,94</v>
          </cell>
          <cell r="G1674" t="str">
            <v>0,00</v>
          </cell>
          <cell r="H1674" t="str">
            <v>0,00</v>
          </cell>
          <cell r="I1674">
            <v>0</v>
          </cell>
          <cell r="J1674" t="str">
            <v>VERIFICAR</v>
          </cell>
        </row>
        <row r="1675">
          <cell r="A1675" t="str">
            <v>2.1.1.1.01.005997</v>
          </cell>
          <cell r="B1675" t="str">
            <v>J S A FERRAMENTAS LTDA</v>
          </cell>
          <cell r="C1675" t="str">
            <v>3.837,90</v>
          </cell>
          <cell r="D1675" t="str">
            <v>3.837,90</v>
          </cell>
          <cell r="E1675" t="str">
            <v>0,00</v>
          </cell>
          <cell r="F1675" t="str">
            <v>395,00</v>
          </cell>
          <cell r="G1675" t="str">
            <v>0,00</v>
          </cell>
          <cell r="H1675" t="str">
            <v>395,00</v>
          </cell>
          <cell r="I1675">
            <v>395</v>
          </cell>
          <cell r="J1675" t="str">
            <v>VERIFICAR</v>
          </cell>
        </row>
        <row r="1676">
          <cell r="A1676" t="str">
            <v>2.1.1.1.01.006025</v>
          </cell>
          <cell r="B1676" t="str">
            <v>WEG-CESTARI REDUTORES E MOTORREDUTORES</v>
          </cell>
          <cell r="C1676" t="str">
            <v>47.772,76</v>
          </cell>
          <cell r="D1676" t="str">
            <v>57.259,72</v>
          </cell>
          <cell r="E1676" t="str">
            <v>9.486,96</v>
          </cell>
          <cell r="F1676" t="str">
            <v>0,00</v>
          </cell>
          <cell r="G1676" t="str">
            <v>0,00</v>
          </cell>
          <cell r="H1676" t="str">
            <v>0,00</v>
          </cell>
          <cell r="I1676">
            <v>0</v>
          </cell>
          <cell r="J1676" t="str">
            <v>VERIFICAR</v>
          </cell>
        </row>
        <row r="1677">
          <cell r="A1677" t="str">
            <v>2.1.1.1.01.006033</v>
          </cell>
          <cell r="B1677" t="str">
            <v>PEDRO JORGE ARAGÃO MAGALHAES EIRELI ME</v>
          </cell>
          <cell r="C1677" t="str">
            <v>13.846,20</v>
          </cell>
          <cell r="D1677" t="str">
            <v>13.846,20</v>
          </cell>
          <cell r="E1677" t="str">
            <v>1.800,00</v>
          </cell>
          <cell r="F1677" t="str">
            <v>1.800,00</v>
          </cell>
          <cell r="G1677" t="str">
            <v>0,00</v>
          </cell>
          <cell r="H1677" t="str">
            <v>0,00</v>
          </cell>
          <cell r="I1677">
            <v>0</v>
          </cell>
          <cell r="J1677" t="str">
            <v>VERIFICAR</v>
          </cell>
        </row>
        <row r="1678">
          <cell r="A1678" t="str">
            <v>2.1.1.1.01.006078</v>
          </cell>
          <cell r="B1678" t="str">
            <v>JSL EQUIPAMENTOS HIDRAULICOS LTDA</v>
          </cell>
          <cell r="C1678" t="str">
            <v>132.313,44</v>
          </cell>
          <cell r="D1678" t="str">
            <v>133.601,15</v>
          </cell>
          <cell r="E1678" t="str">
            <v>2.879,63</v>
          </cell>
          <cell r="F1678" t="str">
            <v>4.260,77</v>
          </cell>
          <cell r="G1678" t="str">
            <v>0,00</v>
          </cell>
          <cell r="H1678" t="str">
            <v>2.668,85</v>
          </cell>
          <cell r="I1678">
            <v>2668.85</v>
          </cell>
          <cell r="J1678" t="str">
            <v>VERIFICAR</v>
          </cell>
        </row>
        <row r="1679">
          <cell r="A1679" t="str">
            <v>2.1.1.1.01.006104</v>
          </cell>
          <cell r="B1679" t="str">
            <v>ACOS POSITANO TUBOS E VALVULAS INDUSTRIA</v>
          </cell>
          <cell r="C1679" t="str">
            <v>18.865,84</v>
          </cell>
          <cell r="D1679" t="str">
            <v>18.865,84</v>
          </cell>
          <cell r="E1679" t="str">
            <v>114,10</v>
          </cell>
          <cell r="F1679" t="str">
            <v>114,10</v>
          </cell>
          <cell r="G1679" t="str">
            <v>0,00</v>
          </cell>
          <cell r="H1679" t="str">
            <v>0,00</v>
          </cell>
          <cell r="I1679">
            <v>0</v>
          </cell>
          <cell r="J1679" t="str">
            <v>VERIFICAR</v>
          </cell>
        </row>
        <row r="1680">
          <cell r="A1680" t="str">
            <v>2.1.1.1.01.006111</v>
          </cell>
          <cell r="B1680" t="str">
            <v>PORTO DAS ASAS ADM DE HOTEL LTDA</v>
          </cell>
          <cell r="C1680" t="str">
            <v>20.830,93</v>
          </cell>
          <cell r="D1680" t="str">
            <v>20.830,93</v>
          </cell>
          <cell r="E1680" t="str">
            <v>440,00</v>
          </cell>
          <cell r="F1680" t="str">
            <v>440,00</v>
          </cell>
          <cell r="G1680" t="str">
            <v>0,00</v>
          </cell>
          <cell r="H1680" t="str">
            <v>0,00</v>
          </cell>
          <cell r="I1680">
            <v>0</v>
          </cell>
          <cell r="J1680" t="str">
            <v>VERIFICAR</v>
          </cell>
        </row>
        <row r="1681">
          <cell r="A1681" t="str">
            <v>2.1.1.1.01.006125</v>
          </cell>
          <cell r="B1681" t="str">
            <v>BALLUFF CONTROLES ELETRICOS LIMITADA</v>
          </cell>
          <cell r="C1681" t="str">
            <v>326.323,25</v>
          </cell>
          <cell r="D1681" t="str">
            <v>333.336,10</v>
          </cell>
          <cell r="E1681" t="str">
            <v>7.774,19</v>
          </cell>
          <cell r="F1681" t="str">
            <v>13.727,01</v>
          </cell>
          <cell r="G1681" t="str">
            <v>0,00</v>
          </cell>
          <cell r="H1681" t="str">
            <v>12.965,67</v>
          </cell>
          <cell r="I1681">
            <v>12965.67</v>
          </cell>
          <cell r="J1681" t="str">
            <v>VERIFICAR</v>
          </cell>
        </row>
        <row r="1682">
          <cell r="A1682" t="str">
            <v>2.1.1.1.01.006139</v>
          </cell>
          <cell r="B1682" t="str">
            <v>COMERCIAL DE PEÇAS ALEIXO EIRELI - EPP</v>
          </cell>
          <cell r="C1682" t="str">
            <v>17.625,07</v>
          </cell>
          <cell r="D1682" t="str">
            <v>18.573,47</v>
          </cell>
          <cell r="E1682" t="str">
            <v>948,40</v>
          </cell>
          <cell r="F1682" t="str">
            <v>413,00</v>
          </cell>
          <cell r="G1682" t="str">
            <v>0,00</v>
          </cell>
          <cell r="H1682" t="str">
            <v>413,00</v>
          </cell>
          <cell r="I1682">
            <v>413</v>
          </cell>
          <cell r="J1682" t="str">
            <v>VERIFICAR</v>
          </cell>
        </row>
        <row r="1683">
          <cell r="A1683" t="str">
            <v>2.1.1.1.01.006141</v>
          </cell>
          <cell r="B1683" t="str">
            <v>LIMETAL INDUSTRIA DE ETIQUETAS METALICAS</v>
          </cell>
          <cell r="C1683" t="str">
            <v>21.103,65</v>
          </cell>
          <cell r="D1683" t="str">
            <v>23.739,65</v>
          </cell>
          <cell r="E1683" t="str">
            <v>2.479,50</v>
          </cell>
          <cell r="F1683" t="str">
            <v>581,00</v>
          </cell>
          <cell r="G1683" t="str">
            <v>0,00</v>
          </cell>
          <cell r="H1683" t="str">
            <v>737,50</v>
          </cell>
          <cell r="I1683">
            <v>737.5</v>
          </cell>
          <cell r="J1683" t="str">
            <v>VERIFICAR</v>
          </cell>
        </row>
        <row r="1684">
          <cell r="A1684" t="str">
            <v>2.1.1.1.01.006142</v>
          </cell>
          <cell r="B1684" t="str">
            <v>WIRESET SUPRIMENTOS</v>
          </cell>
          <cell r="C1684" t="str">
            <v>14.824,50</v>
          </cell>
          <cell r="D1684" t="str">
            <v>14.824,50</v>
          </cell>
          <cell r="E1684" t="str">
            <v>433,26</v>
          </cell>
          <cell r="F1684" t="str">
            <v>433,26</v>
          </cell>
          <cell r="G1684" t="str">
            <v>0,00</v>
          </cell>
          <cell r="H1684" t="str">
            <v>0,00</v>
          </cell>
          <cell r="I1684">
            <v>0</v>
          </cell>
          <cell r="J1684" t="str">
            <v>VERIFICAR</v>
          </cell>
        </row>
        <row r="1685">
          <cell r="A1685" t="str">
            <v>2.1.1.1.01.006153</v>
          </cell>
          <cell r="B1685" t="str">
            <v>GALVOTEC PAULO SERGIO</v>
          </cell>
          <cell r="C1685" t="str">
            <v>213.453,69</v>
          </cell>
          <cell r="D1685" t="str">
            <v>213.523,39</v>
          </cell>
          <cell r="E1685" t="str">
            <v>69,72</v>
          </cell>
          <cell r="F1685" t="str">
            <v>0,00</v>
          </cell>
          <cell r="G1685" t="str">
            <v>0,02</v>
          </cell>
          <cell r="H1685" t="str">
            <v>0,00</v>
          </cell>
          <cell r="I1685">
            <v>-0.02</v>
          </cell>
          <cell r="J1685" t="str">
            <v>VERIFICAR</v>
          </cell>
        </row>
        <row r="1686">
          <cell r="A1686" t="str">
            <v>2.1.1.1.01.006154</v>
          </cell>
          <cell r="B1686" t="str">
            <v>ADIFER COM DE FERRAMENTAS LTDA</v>
          </cell>
          <cell r="C1686" t="str">
            <v>14.086,50</v>
          </cell>
          <cell r="D1686" t="str">
            <v>15.446,50</v>
          </cell>
          <cell r="E1686" t="str">
            <v>5.720,00</v>
          </cell>
          <cell r="F1686" t="str">
            <v>6.915,00</v>
          </cell>
          <cell r="G1686" t="str">
            <v>0,00</v>
          </cell>
          <cell r="H1686" t="str">
            <v>2.555,00</v>
          </cell>
          <cell r="I1686">
            <v>2555</v>
          </cell>
          <cell r="J1686" t="str">
            <v>VERIFICAR</v>
          </cell>
        </row>
        <row r="1687">
          <cell r="A1687" t="str">
            <v>2.1.1.1.01.006167</v>
          </cell>
          <cell r="B1687" t="str">
            <v>ISAQUE GOMES DO NASCIMENTO</v>
          </cell>
          <cell r="C1687" t="str">
            <v>51.287,10</v>
          </cell>
          <cell r="D1687" t="str">
            <v>50.287,10</v>
          </cell>
          <cell r="E1687" t="str">
            <v>1.034,00</v>
          </cell>
          <cell r="F1687" t="str">
            <v>1.034,00</v>
          </cell>
          <cell r="G1687" t="str">
            <v>1.000,00</v>
          </cell>
          <cell r="H1687" t="str">
            <v>0,00</v>
          </cell>
          <cell r="I1687">
            <v>-1000</v>
          </cell>
          <cell r="J1687" t="str">
            <v>VERIFICAR</v>
          </cell>
        </row>
        <row r="1688">
          <cell r="A1688" t="str">
            <v>2.1.1.1.01.006177</v>
          </cell>
          <cell r="B1688" t="str">
            <v>ALL TEC MOTORES LTDA</v>
          </cell>
          <cell r="C1688" t="str">
            <v>2.105,00</v>
          </cell>
          <cell r="D1688" t="str">
            <v>2.105,00</v>
          </cell>
          <cell r="E1688" t="str">
            <v>221,00</v>
          </cell>
          <cell r="F1688" t="str">
            <v>221,00</v>
          </cell>
          <cell r="G1688" t="str">
            <v>0,00</v>
          </cell>
          <cell r="H1688" t="str">
            <v>0,00</v>
          </cell>
          <cell r="I1688">
            <v>0</v>
          </cell>
          <cell r="J1688" t="str">
            <v>VERIFICAR</v>
          </cell>
        </row>
        <row r="1689">
          <cell r="A1689" t="str">
            <v>2.1.1.1.01.006206</v>
          </cell>
          <cell r="B1689" t="str">
            <v>FERNANDES &amp; BERTONI</v>
          </cell>
          <cell r="C1689" t="str">
            <v>21.485,00</v>
          </cell>
          <cell r="D1689" t="str">
            <v>25.155,00</v>
          </cell>
          <cell r="E1689" t="str">
            <v>8.100,00</v>
          </cell>
          <cell r="F1689" t="str">
            <v>4.430,00</v>
          </cell>
          <cell r="G1689" t="str">
            <v>0,00</v>
          </cell>
          <cell r="H1689" t="str">
            <v>0,00</v>
          </cell>
          <cell r="I1689">
            <v>0</v>
          </cell>
          <cell r="J1689" t="str">
            <v>VERIFICAR</v>
          </cell>
        </row>
        <row r="1690">
          <cell r="A1690" t="str">
            <v>2.1.1.1.01.006211</v>
          </cell>
          <cell r="B1690" t="str">
            <v>IRMAOS DECARIS COMERCIO DE CORTINAS EM P</v>
          </cell>
          <cell r="C1690" t="str">
            <v>6.930,00</v>
          </cell>
          <cell r="D1690" t="str">
            <v>6.930,00</v>
          </cell>
          <cell r="E1690" t="str">
            <v>0,00</v>
          </cell>
          <cell r="F1690" t="str">
            <v>1.521,90</v>
          </cell>
          <cell r="G1690" t="str">
            <v>0,00</v>
          </cell>
          <cell r="H1690" t="str">
            <v>1.521,90</v>
          </cell>
          <cell r="I1690">
            <v>1521.9</v>
          </cell>
          <cell r="J1690" t="str">
            <v>VERIFICAR</v>
          </cell>
        </row>
        <row r="1691">
          <cell r="A1691" t="str">
            <v>2.1.1.1.01.006225</v>
          </cell>
          <cell r="B1691" t="str">
            <v>HAROLDO BLANCK</v>
          </cell>
          <cell r="C1691" t="str">
            <v>29.845,00</v>
          </cell>
          <cell r="D1691" t="str">
            <v>29.845,00</v>
          </cell>
          <cell r="E1691" t="str">
            <v>360,00</v>
          </cell>
          <cell r="F1691" t="str">
            <v>360,00</v>
          </cell>
          <cell r="G1691" t="str">
            <v>0,00</v>
          </cell>
          <cell r="H1691" t="str">
            <v>0,00</v>
          </cell>
          <cell r="I1691">
            <v>0</v>
          </cell>
          <cell r="J1691" t="str">
            <v>VERIFICAR</v>
          </cell>
        </row>
        <row r="1692">
          <cell r="A1692" t="str">
            <v>2.1.1.1.01.006245</v>
          </cell>
          <cell r="B1692" t="str">
            <v>SUPER PRO COMERCIO DE EQUIPAMENTOS E FER</v>
          </cell>
          <cell r="C1692" t="str">
            <v>11.831,98</v>
          </cell>
          <cell r="D1692" t="str">
            <v>11.831,98</v>
          </cell>
          <cell r="E1692" t="str">
            <v>2.129,98</v>
          </cell>
          <cell r="F1692" t="str">
            <v>2.129,98</v>
          </cell>
          <cell r="G1692" t="str">
            <v>0,00</v>
          </cell>
          <cell r="H1692" t="str">
            <v>0,00</v>
          </cell>
          <cell r="I1692">
            <v>0</v>
          </cell>
          <cell r="J1692" t="str">
            <v>VERIFICAR</v>
          </cell>
        </row>
        <row r="1693">
          <cell r="A1693" t="str">
            <v>2.1.1.1.01.006265</v>
          </cell>
          <cell r="B1693" t="str">
            <v>ENECXEL COM DE MAR ELETRICOS LTDA</v>
          </cell>
          <cell r="C1693" t="str">
            <v>4.032,40</v>
          </cell>
          <cell r="D1693" t="str">
            <v>4.032,40</v>
          </cell>
          <cell r="E1693" t="str">
            <v>392,40</v>
          </cell>
          <cell r="F1693" t="str">
            <v>392,40</v>
          </cell>
          <cell r="G1693" t="str">
            <v>0,00</v>
          </cell>
          <cell r="H1693" t="str">
            <v>0,00</v>
          </cell>
          <cell r="I1693">
            <v>0</v>
          </cell>
          <cell r="J1693" t="str">
            <v>VERIFICAR</v>
          </cell>
        </row>
        <row r="1694">
          <cell r="A1694" t="str">
            <v>2.1.1.1.01.006280</v>
          </cell>
          <cell r="B1694" t="str">
            <v>770 CHICOTES ELETRICOS INDUSTRIA</v>
          </cell>
          <cell r="C1694" t="str">
            <v>1.335,43</v>
          </cell>
          <cell r="D1694" t="str">
            <v>1.335,43</v>
          </cell>
          <cell r="E1694" t="str">
            <v>0,00</v>
          </cell>
          <cell r="F1694" t="str">
            <v>1.124,94</v>
          </cell>
          <cell r="G1694" t="str">
            <v>0,00</v>
          </cell>
          <cell r="H1694" t="str">
            <v>1.124,94</v>
          </cell>
          <cell r="I1694">
            <v>1124.94</v>
          </cell>
          <cell r="J1694" t="str">
            <v>VERIFICAR</v>
          </cell>
        </row>
        <row r="1695">
          <cell r="A1695" t="str">
            <v>2.1.1.1.01.006292</v>
          </cell>
          <cell r="B1695" t="str">
            <v>MULTI1000 COMÉRCIO DE MÁQUINAS E FERRAME</v>
          </cell>
          <cell r="C1695" t="str">
            <v>78.248,25</v>
          </cell>
          <cell r="D1695" t="str">
            <v>79.748,25</v>
          </cell>
          <cell r="E1695" t="str">
            <v>1.500,00</v>
          </cell>
          <cell r="F1695" t="str">
            <v>0,00</v>
          </cell>
          <cell r="G1695" t="str">
            <v>0,00</v>
          </cell>
          <cell r="H1695" t="str">
            <v>0,00</v>
          </cell>
          <cell r="I1695">
            <v>0</v>
          </cell>
          <cell r="J1695" t="str">
            <v>VERIFICAR</v>
          </cell>
        </row>
        <row r="1696">
          <cell r="A1696" t="str">
            <v>2.1.1.1.01.006294</v>
          </cell>
          <cell r="B1696" t="str">
            <v>FIBRE SOLUCOES EM FIBRA DE VIDRO</v>
          </cell>
          <cell r="C1696" t="str">
            <v>524.921,84</v>
          </cell>
          <cell r="D1696" t="str">
            <v>592.506,35</v>
          </cell>
          <cell r="E1696" t="str">
            <v>25.061,50</v>
          </cell>
          <cell r="F1696" t="str">
            <v>0,00</v>
          </cell>
          <cell r="G1696" t="str">
            <v>0,00</v>
          </cell>
          <cell r="H1696" t="str">
            <v>42.523,01</v>
          </cell>
          <cell r="I1696">
            <v>42523.01</v>
          </cell>
          <cell r="J1696" t="str">
            <v>VERIFICAR</v>
          </cell>
        </row>
        <row r="1697">
          <cell r="A1697" t="str">
            <v>2.1.1.1.01.006300</v>
          </cell>
          <cell r="B1697" t="str">
            <v>EDMAR LOPES FERREIRA</v>
          </cell>
          <cell r="C1697" t="str">
            <v>85.717,17</v>
          </cell>
          <cell r="D1697" t="str">
            <v>85.717,17</v>
          </cell>
          <cell r="E1697" t="str">
            <v>6.109,80</v>
          </cell>
          <cell r="F1697" t="str">
            <v>6.109,80</v>
          </cell>
          <cell r="G1697" t="str">
            <v>0,00</v>
          </cell>
          <cell r="H1697" t="str">
            <v>0,00</v>
          </cell>
          <cell r="I1697">
            <v>0</v>
          </cell>
          <cell r="J1697" t="str">
            <v>VERIFICAR</v>
          </cell>
        </row>
        <row r="1698">
          <cell r="A1698" t="str">
            <v>2.1.1.1.01.006310</v>
          </cell>
          <cell r="B1698" t="str">
            <v>STO FEIRAS E EVENTOS LTDA.</v>
          </cell>
          <cell r="C1698" t="str">
            <v>266.607,04</v>
          </cell>
          <cell r="D1698" t="str">
            <v>267.739,36</v>
          </cell>
          <cell r="E1698" t="str">
            <v>26.629,00</v>
          </cell>
          <cell r="F1698" t="str">
            <v>26.629,00</v>
          </cell>
          <cell r="G1698" t="str">
            <v>0,00</v>
          </cell>
          <cell r="H1698" t="str">
            <v>1.132,32</v>
          </cell>
          <cell r="I1698">
            <v>1132.32</v>
          </cell>
          <cell r="J1698" t="str">
            <v>VERIFICAR</v>
          </cell>
        </row>
        <row r="1699">
          <cell r="A1699" t="str">
            <v>2.1.1.1.01.006322</v>
          </cell>
          <cell r="B1699" t="str">
            <v>SMC AUTOMAÇÃO DO BRASIL LTDA.</v>
          </cell>
          <cell r="C1699" t="str">
            <v>158.730,03</v>
          </cell>
          <cell r="D1699" t="str">
            <v>166.520,15</v>
          </cell>
          <cell r="E1699" t="str">
            <v>14.786,13</v>
          </cell>
          <cell r="F1699" t="str">
            <v>20.988,04</v>
          </cell>
          <cell r="G1699" t="str">
            <v>0,00</v>
          </cell>
          <cell r="H1699" t="str">
            <v>13.992,03</v>
          </cell>
          <cell r="I1699">
            <v>13992.03</v>
          </cell>
          <cell r="J1699" t="str">
            <v>VERIFICAR</v>
          </cell>
        </row>
        <row r="1700">
          <cell r="A1700" t="str">
            <v>2.1.1.1.01.006326</v>
          </cell>
          <cell r="B1700" t="str">
            <v>DROGARIA SAO CIPRIANO</v>
          </cell>
          <cell r="C1700" t="str">
            <v>21.102,55</v>
          </cell>
          <cell r="D1700" t="str">
            <v>21.102,55</v>
          </cell>
          <cell r="E1700" t="str">
            <v>1.037,54</v>
          </cell>
          <cell r="F1700" t="str">
            <v>1.037,54</v>
          </cell>
          <cell r="G1700" t="str">
            <v>0,00</v>
          </cell>
          <cell r="H1700" t="str">
            <v>0,00</v>
          </cell>
          <cell r="I1700">
            <v>0</v>
          </cell>
          <cell r="J1700" t="str">
            <v>VERIFICAR</v>
          </cell>
        </row>
        <row r="1701">
          <cell r="A1701" t="str">
            <v>2.1.1.1.01.006331</v>
          </cell>
          <cell r="B1701" t="str">
            <v>CIMENTOLANDIA COM E REPR DE MATRS</v>
          </cell>
          <cell r="C1701" t="str">
            <v>217.600,35</v>
          </cell>
          <cell r="D1701" t="str">
            <v>217.600,34</v>
          </cell>
          <cell r="E1701" t="str">
            <v>0,00</v>
          </cell>
          <cell r="F1701" t="str">
            <v>6.769,16</v>
          </cell>
          <cell r="G1701" t="str">
            <v>0,00</v>
          </cell>
          <cell r="H1701" t="str">
            <v>6.769,15</v>
          </cell>
          <cell r="I1701">
            <v>6769.15</v>
          </cell>
          <cell r="J1701" t="str">
            <v>VERIFICAR</v>
          </cell>
        </row>
        <row r="1702">
          <cell r="A1702" t="str">
            <v>2.1.1.1.01.006338</v>
          </cell>
          <cell r="B1702" t="str">
            <v>INCON AUTOMAÇÃO ELETRÔNICA LTDA</v>
          </cell>
          <cell r="C1702" t="str">
            <v>49.063,16</v>
          </cell>
          <cell r="D1702" t="str">
            <v>49.063,16</v>
          </cell>
          <cell r="E1702" t="str">
            <v>1.312,00</v>
          </cell>
          <cell r="F1702" t="str">
            <v>2.624,00</v>
          </cell>
          <cell r="G1702" t="str">
            <v>0,00</v>
          </cell>
          <cell r="H1702" t="str">
            <v>1.312,00</v>
          </cell>
          <cell r="I1702">
            <v>1312</v>
          </cell>
          <cell r="J1702" t="str">
            <v>VERIFICAR</v>
          </cell>
        </row>
        <row r="1703">
          <cell r="A1703" t="str">
            <v>2.1.1.1.01.006343</v>
          </cell>
          <cell r="B1703" t="str">
            <v>IATEC FERRAMENTAS PNEUMATICAS</v>
          </cell>
          <cell r="C1703" t="str">
            <v>819,27</v>
          </cell>
          <cell r="D1703" t="str">
            <v>1.576,46</v>
          </cell>
          <cell r="E1703" t="str">
            <v>757,19</v>
          </cell>
          <cell r="F1703" t="str">
            <v>0,00</v>
          </cell>
          <cell r="G1703" t="str">
            <v>0,00</v>
          </cell>
          <cell r="H1703" t="str">
            <v>0,00</v>
          </cell>
          <cell r="I1703">
            <v>0</v>
          </cell>
          <cell r="J1703" t="str">
            <v>VERIFICAR</v>
          </cell>
        </row>
        <row r="1704">
          <cell r="A1704" t="str">
            <v>2.1.1.1.01.006349</v>
          </cell>
          <cell r="B1704" t="str">
            <v>LUIZ GONZAGA PINTO JUNIOR</v>
          </cell>
          <cell r="C1704" t="str">
            <v>23.595,00</v>
          </cell>
          <cell r="D1704" t="str">
            <v>24.395,00</v>
          </cell>
          <cell r="E1704" t="str">
            <v>7.200,00</v>
          </cell>
          <cell r="F1704" t="str">
            <v>7.200,00</v>
          </cell>
          <cell r="G1704" t="str">
            <v>0,00</v>
          </cell>
          <cell r="H1704" t="str">
            <v>800,00</v>
          </cell>
          <cell r="I1704">
            <v>800</v>
          </cell>
          <cell r="J1704" t="str">
            <v>VERIFICAR</v>
          </cell>
        </row>
        <row r="1705">
          <cell r="A1705" t="str">
            <v>2.1.1.1.01.006360</v>
          </cell>
          <cell r="B1705" t="str">
            <v>P&amp;F INVENCOES E SOLUCOES LTDA</v>
          </cell>
          <cell r="C1705" t="str">
            <v>1.041.461,60</v>
          </cell>
          <cell r="D1705" t="str">
            <v>1.291.461,60</v>
          </cell>
          <cell r="E1705" t="str">
            <v>78.634,53</v>
          </cell>
          <cell r="F1705" t="str">
            <v>78.634,53</v>
          </cell>
          <cell r="G1705" t="str">
            <v>0,00</v>
          </cell>
          <cell r="H1705" t="str">
            <v>250.000,00</v>
          </cell>
          <cell r="I1705">
            <v>250000</v>
          </cell>
          <cell r="J1705" t="str">
            <v>VERIFICAR</v>
          </cell>
        </row>
        <row r="1706">
          <cell r="A1706" t="str">
            <v>2.1.1.1.01.006362</v>
          </cell>
          <cell r="B1706" t="str">
            <v>ACE SCHMERSAL ELETROELETRONICA INDUSTRIA</v>
          </cell>
          <cell r="C1706" t="str">
            <v>27.200,87</v>
          </cell>
          <cell r="D1706" t="str">
            <v>33.020,37</v>
          </cell>
          <cell r="E1706" t="str">
            <v>5.819,50</v>
          </cell>
          <cell r="F1706" t="str">
            <v>0,00</v>
          </cell>
          <cell r="G1706" t="str">
            <v>0,00</v>
          </cell>
          <cell r="H1706" t="str">
            <v>0,00</v>
          </cell>
          <cell r="I1706">
            <v>0</v>
          </cell>
          <cell r="J1706" t="str">
            <v>VERIFICAR</v>
          </cell>
        </row>
        <row r="1707">
          <cell r="A1707" t="str">
            <v>2.1.1.1.01.006363</v>
          </cell>
          <cell r="B1707" t="str">
            <v>XP TARIFAS</v>
          </cell>
          <cell r="C1707" t="str">
            <v>1.104,76</v>
          </cell>
          <cell r="D1707" t="str">
            <v>490,14</v>
          </cell>
          <cell r="E1707" t="str">
            <v>627,80</v>
          </cell>
          <cell r="F1707" t="str">
            <v>627,80</v>
          </cell>
          <cell r="G1707" t="str">
            <v>614,62</v>
          </cell>
          <cell r="H1707" t="str">
            <v>0,00</v>
          </cell>
          <cell r="I1707">
            <v>-614.62</v>
          </cell>
          <cell r="J1707" t="str">
            <v>VERIFICAR</v>
          </cell>
        </row>
        <row r="1708">
          <cell r="A1708" t="str">
            <v>2.1.1.1.01.006371</v>
          </cell>
          <cell r="B1708" t="str">
            <v>REGESCAP AUTO CENTER</v>
          </cell>
          <cell r="C1708" t="str">
            <v>8.198,88</v>
          </cell>
          <cell r="D1708" t="str">
            <v>8.668,88</v>
          </cell>
          <cell r="E1708" t="str">
            <v>1.236,00</v>
          </cell>
          <cell r="F1708" t="str">
            <v>766,00</v>
          </cell>
          <cell r="G1708" t="str">
            <v>0,00</v>
          </cell>
          <cell r="H1708" t="str">
            <v>0,00</v>
          </cell>
          <cell r="I1708">
            <v>0</v>
          </cell>
          <cell r="J1708" t="str">
            <v>VERIFICAR</v>
          </cell>
        </row>
        <row r="1709">
          <cell r="A1709" t="str">
            <v>2.1.1.1.01.006382</v>
          </cell>
          <cell r="B1709" t="str">
            <v>ALEXANDRE DEFANTE</v>
          </cell>
          <cell r="C1709" t="str">
            <v>94.598,25</v>
          </cell>
          <cell r="D1709" t="str">
            <v>93.998,25</v>
          </cell>
          <cell r="E1709" t="str">
            <v>62,43</v>
          </cell>
          <cell r="F1709" t="str">
            <v>62,43</v>
          </cell>
          <cell r="G1709" t="str">
            <v>600,00</v>
          </cell>
          <cell r="H1709" t="str">
            <v>0,00</v>
          </cell>
          <cell r="I1709">
            <v>-600</v>
          </cell>
          <cell r="J1709" t="str">
            <v>VERIFICAR</v>
          </cell>
        </row>
        <row r="1710">
          <cell r="A1710" t="str">
            <v>2.1.1.1.01.006404</v>
          </cell>
          <cell r="B1710" t="str">
            <v>RICARDO GONCALVES ITAPIRA</v>
          </cell>
          <cell r="C1710" t="str">
            <v>24.393,72</v>
          </cell>
          <cell r="D1710" t="str">
            <v>24.393,72</v>
          </cell>
          <cell r="E1710" t="str">
            <v>0,00</v>
          </cell>
          <cell r="F1710" t="str">
            <v>3.787,50</v>
          </cell>
          <cell r="G1710" t="str">
            <v>0,00</v>
          </cell>
          <cell r="H1710" t="str">
            <v>3.787,50</v>
          </cell>
          <cell r="I1710">
            <v>3787.5</v>
          </cell>
          <cell r="J1710" t="str">
            <v>VERIFICAR</v>
          </cell>
        </row>
        <row r="1711">
          <cell r="A1711" t="str">
            <v>2.1.1.1.01.006406</v>
          </cell>
          <cell r="B1711" t="str">
            <v>BAVARIA DISTRUIBUIDORA DE AUTO PEÇAS</v>
          </cell>
          <cell r="C1711" t="str">
            <v>13.839,63</v>
          </cell>
          <cell r="D1711" t="str">
            <v>15.629,43</v>
          </cell>
          <cell r="E1711" t="str">
            <v>1.789,80</v>
          </cell>
          <cell r="F1711" t="str">
            <v>0,00</v>
          </cell>
          <cell r="G1711" t="str">
            <v>0,00</v>
          </cell>
          <cell r="H1711" t="str">
            <v>0,00</v>
          </cell>
          <cell r="I1711">
            <v>0</v>
          </cell>
          <cell r="J1711" t="str">
            <v>VERIFICAR</v>
          </cell>
        </row>
        <row r="1712">
          <cell r="A1712" t="str">
            <v>2.1.1.1.01.006407</v>
          </cell>
          <cell r="B1712" t="str">
            <v>VIANOSSA COMERCIO DE MOVEIS</v>
          </cell>
          <cell r="C1712" t="str">
            <v>711,62</v>
          </cell>
          <cell r="D1712" t="str">
            <v>711,62</v>
          </cell>
          <cell r="E1712" t="str">
            <v>0,00</v>
          </cell>
          <cell r="F1712" t="str">
            <v>949,00</v>
          </cell>
          <cell r="G1712" t="str">
            <v>0,00</v>
          </cell>
          <cell r="H1712" t="str">
            <v>949,00</v>
          </cell>
          <cell r="I1712">
            <v>949</v>
          </cell>
          <cell r="J1712" t="str">
            <v>VERIFICAR</v>
          </cell>
        </row>
        <row r="1713">
          <cell r="A1713" t="str">
            <v>2.1.1.1.01.006410</v>
          </cell>
          <cell r="B1713" t="str">
            <v>FORTBRAS AUTOPECAS S.A</v>
          </cell>
          <cell r="C1713" t="str">
            <v>45.039,99</v>
          </cell>
          <cell r="D1713" t="str">
            <v>45.039,99</v>
          </cell>
          <cell r="E1713" t="str">
            <v>529,62</v>
          </cell>
          <cell r="F1713" t="str">
            <v>529,62</v>
          </cell>
          <cell r="G1713" t="str">
            <v>0,00</v>
          </cell>
          <cell r="H1713" t="str">
            <v>0,00</v>
          </cell>
          <cell r="I1713">
            <v>0</v>
          </cell>
          <cell r="J1713" t="str">
            <v>VERIFICAR</v>
          </cell>
        </row>
        <row r="1714">
          <cell r="A1714" t="str">
            <v>2.1.1.1.01.006910</v>
          </cell>
          <cell r="B1714" t="str">
            <v>CORREMOL COMERCIO DE CORRENTES</v>
          </cell>
          <cell r="C1714" t="str">
            <v>2.799,85</v>
          </cell>
          <cell r="D1714" t="str">
            <v>3.813,85</v>
          </cell>
          <cell r="E1714" t="str">
            <v>1.014,00</v>
          </cell>
          <cell r="F1714" t="str">
            <v>0,00</v>
          </cell>
          <cell r="G1714" t="str">
            <v>0,00</v>
          </cell>
          <cell r="H1714" t="str">
            <v>0,00</v>
          </cell>
          <cell r="I1714">
            <v>0</v>
          </cell>
          <cell r="J1714" t="str">
            <v>VERIFICAR</v>
          </cell>
        </row>
        <row r="1715">
          <cell r="A1715" t="str">
            <v>2.1.1.1.01.006914</v>
          </cell>
          <cell r="B1715" t="str">
            <v>ABHIMANYU EKNATH PATIL</v>
          </cell>
          <cell r="C1715" t="str">
            <v>144.545,63</v>
          </cell>
          <cell r="D1715" t="str">
            <v>144.545,63</v>
          </cell>
          <cell r="E1715" t="str">
            <v>6.933,63</v>
          </cell>
          <cell r="F1715" t="str">
            <v>6.933,63</v>
          </cell>
          <cell r="G1715" t="str">
            <v>0,00</v>
          </cell>
          <cell r="H1715" t="str">
            <v>0,00</v>
          </cell>
          <cell r="I1715">
            <v>0</v>
          </cell>
          <cell r="J1715" t="str">
            <v>VERIFICAR</v>
          </cell>
        </row>
        <row r="1716">
          <cell r="A1716" t="str">
            <v>2.1.1.1.01.006915</v>
          </cell>
          <cell r="B1716" t="str">
            <v>MOC AUTOMAÇÃO HIDRAULICA E PNEUMATICA LT</v>
          </cell>
          <cell r="C1716" t="str">
            <v>76.929,92</v>
          </cell>
          <cell r="D1716" t="str">
            <v>77.028,94</v>
          </cell>
          <cell r="E1716" t="str">
            <v>0,00</v>
          </cell>
          <cell r="F1716" t="str">
            <v>0,00</v>
          </cell>
          <cell r="G1716" t="str">
            <v>0,00</v>
          </cell>
          <cell r="H1716" t="str">
            <v>99,02</v>
          </cell>
          <cell r="I1716">
            <v>99.02</v>
          </cell>
          <cell r="J1716" t="str">
            <v>VERIFICAR</v>
          </cell>
        </row>
        <row r="1717">
          <cell r="A1717" t="str">
            <v>2.1.1.1.01.006934</v>
          </cell>
          <cell r="B1717" t="str">
            <v>50.714.386 ROBERTO DEFANTE</v>
          </cell>
          <cell r="C1717" t="str">
            <v>146.552,07</v>
          </cell>
          <cell r="D1717" t="str">
            <v>146.552,07</v>
          </cell>
          <cell r="E1717" t="str">
            <v>4.000,00</v>
          </cell>
          <cell r="F1717" t="str">
            <v>4.000,00</v>
          </cell>
          <cell r="G1717" t="str">
            <v>0,00</v>
          </cell>
          <cell r="H1717" t="str">
            <v>0,00</v>
          </cell>
          <cell r="I1717">
            <v>0</v>
          </cell>
          <cell r="J1717" t="str">
            <v>VERIFICAR</v>
          </cell>
        </row>
        <row r="1718">
          <cell r="A1718" t="str">
            <v>2.1.1.1.01.006935</v>
          </cell>
          <cell r="B1718" t="str">
            <v>ALEXANDRO DE ANDRADE PIMENTA</v>
          </cell>
          <cell r="C1718" t="str">
            <v>132.698,70</v>
          </cell>
          <cell r="D1718" t="str">
            <v>132.698,70</v>
          </cell>
          <cell r="E1718" t="str">
            <v>7.472,86</v>
          </cell>
          <cell r="F1718" t="str">
            <v>7.472,86</v>
          </cell>
          <cell r="G1718" t="str">
            <v>0,00</v>
          </cell>
          <cell r="H1718" t="str">
            <v>0,00</v>
          </cell>
          <cell r="I1718">
            <v>0</v>
          </cell>
          <cell r="J1718" t="str">
            <v>VERIFICAR</v>
          </cell>
        </row>
        <row r="1719">
          <cell r="A1719" t="str">
            <v>2.1.1.1.01.006943</v>
          </cell>
          <cell r="B1719" t="str">
            <v>PINHALENSE S/A</v>
          </cell>
          <cell r="C1719" t="str">
            <v>509,51</v>
          </cell>
          <cell r="D1719" t="str">
            <v>509,51</v>
          </cell>
          <cell r="E1719" t="str">
            <v>0,00</v>
          </cell>
          <cell r="F1719" t="str">
            <v>570,00</v>
          </cell>
          <cell r="G1719" t="str">
            <v>0,00</v>
          </cell>
          <cell r="H1719" t="str">
            <v>570,00</v>
          </cell>
          <cell r="I1719">
            <v>570</v>
          </cell>
          <cell r="J1719" t="str">
            <v>VERIFICAR</v>
          </cell>
        </row>
        <row r="1720">
          <cell r="A1720" t="str">
            <v>2.1.1.1.01.006971</v>
          </cell>
          <cell r="B1720" t="str">
            <v>CEPACON ISOLANTES ELETRICOS LTDA</v>
          </cell>
          <cell r="C1720" t="str">
            <v>8.793,50</v>
          </cell>
          <cell r="D1720" t="str">
            <v>8.793,50</v>
          </cell>
          <cell r="E1720" t="str">
            <v>1.415,00</v>
          </cell>
          <cell r="F1720" t="str">
            <v>1.415,00</v>
          </cell>
          <cell r="G1720" t="str">
            <v>0,00</v>
          </cell>
          <cell r="H1720" t="str">
            <v>0,00</v>
          </cell>
          <cell r="I1720">
            <v>0</v>
          </cell>
          <cell r="J1720" t="str">
            <v>VERIFICAR</v>
          </cell>
        </row>
        <row r="1721">
          <cell r="A1721" t="str">
            <v>2.1.1.1.01.007007</v>
          </cell>
          <cell r="B1721" t="str">
            <v>BRASILUX TINTAS TECNICAS LTDA</v>
          </cell>
          <cell r="C1721" t="str">
            <v>145.529,15</v>
          </cell>
          <cell r="D1721" t="str">
            <v>147.526,12</v>
          </cell>
          <cell r="E1721" t="str">
            <v>16.688,16</v>
          </cell>
          <cell r="F1721" t="str">
            <v>30.183,89</v>
          </cell>
          <cell r="G1721" t="str">
            <v>0,00</v>
          </cell>
          <cell r="H1721" t="str">
            <v>15.492,70</v>
          </cell>
          <cell r="I1721">
            <v>15492.7</v>
          </cell>
          <cell r="J1721" t="str">
            <v>VERIFICAR</v>
          </cell>
        </row>
        <row r="1722">
          <cell r="A1722" t="str">
            <v>2.1.1.1.01.007030</v>
          </cell>
          <cell r="B1722" t="str">
            <v>CROMOVILLE INDÚSTRIA E COMÉRCIO LTDA</v>
          </cell>
          <cell r="C1722" t="str">
            <v>260.850,00</v>
          </cell>
          <cell r="D1722" t="str">
            <v>260.850,00</v>
          </cell>
          <cell r="E1722" t="str">
            <v>10.000,00</v>
          </cell>
          <cell r="F1722" t="str">
            <v>20.000,00</v>
          </cell>
          <cell r="G1722" t="str">
            <v>0,00</v>
          </cell>
          <cell r="H1722" t="str">
            <v>10.000,00</v>
          </cell>
          <cell r="I1722">
            <v>10000</v>
          </cell>
          <cell r="J1722" t="str">
            <v>VERIFICAR</v>
          </cell>
        </row>
        <row r="1723">
          <cell r="A1723" t="str">
            <v>2.1.1.1.01.007032</v>
          </cell>
          <cell r="B1723" t="str">
            <v>A. A. MONTELIONE COMERCIO</v>
          </cell>
          <cell r="C1723" t="str">
            <v>81.062,48</v>
          </cell>
          <cell r="D1723" t="str">
            <v>83.375,48</v>
          </cell>
          <cell r="E1723" t="str">
            <v>3.442,34</v>
          </cell>
          <cell r="F1723" t="str">
            <v>4.128,00</v>
          </cell>
          <cell r="G1723" t="str">
            <v>0,00</v>
          </cell>
          <cell r="H1723" t="str">
            <v>2.998,66</v>
          </cell>
          <cell r="I1723">
            <v>2998.66</v>
          </cell>
          <cell r="J1723" t="str">
            <v>VERIFICAR</v>
          </cell>
        </row>
        <row r="1724">
          <cell r="A1724" t="str">
            <v>2.1.1.1.01.007035</v>
          </cell>
          <cell r="B1724" t="str">
            <v>RETINOX IMPORTAÇÃO E EXPORTAÇÃO DE AÇOS</v>
          </cell>
          <cell r="C1724" t="str">
            <v>37.632,24</v>
          </cell>
          <cell r="D1724" t="str">
            <v>40.434,77</v>
          </cell>
          <cell r="E1724" t="str">
            <v>2.802,53</v>
          </cell>
          <cell r="F1724" t="str">
            <v>0,00</v>
          </cell>
          <cell r="G1724" t="str">
            <v>0,00</v>
          </cell>
          <cell r="H1724" t="str">
            <v>0,00</v>
          </cell>
          <cell r="I1724">
            <v>0</v>
          </cell>
          <cell r="J1724" t="str">
            <v>VERIFICAR</v>
          </cell>
        </row>
        <row r="1725">
          <cell r="A1725" t="str">
            <v>2.1.1.1.01.007053</v>
          </cell>
          <cell r="B1725" t="str">
            <v>MANARA E CONDE LTDA</v>
          </cell>
          <cell r="C1725" t="str">
            <v>233.157,10</v>
          </cell>
          <cell r="D1725" t="str">
            <v>234.064,05</v>
          </cell>
          <cell r="E1725" t="str">
            <v>906,95</v>
          </cell>
          <cell r="F1725" t="str">
            <v>1.588,50</v>
          </cell>
          <cell r="G1725" t="str">
            <v>0,00</v>
          </cell>
          <cell r="H1725" t="str">
            <v>1.588,50</v>
          </cell>
          <cell r="I1725">
            <v>1588.5</v>
          </cell>
          <cell r="J1725" t="str">
            <v>VERIFICAR</v>
          </cell>
        </row>
        <row r="1726">
          <cell r="A1726" t="str">
            <v>2.1.1.1.01.007058</v>
          </cell>
          <cell r="B1726" t="str">
            <v>TUBONASA ACOS LTDA</v>
          </cell>
          <cell r="C1726" t="str">
            <v>1.545.086,65</v>
          </cell>
          <cell r="D1726" t="str">
            <v>1.624.421,39</v>
          </cell>
          <cell r="E1726" t="str">
            <v>43.055,60</v>
          </cell>
          <cell r="F1726" t="str">
            <v>42.089,57</v>
          </cell>
          <cell r="G1726" t="str">
            <v>0,00</v>
          </cell>
          <cell r="H1726" t="str">
            <v>78.368,71</v>
          </cell>
          <cell r="I1726">
            <v>78368.710000000006</v>
          </cell>
          <cell r="J1726" t="str">
            <v>VERIFICAR</v>
          </cell>
        </row>
        <row r="1727">
          <cell r="A1727" t="str">
            <v>2.1.1.1.01.007065</v>
          </cell>
          <cell r="B1727" t="str">
            <v>DOX BRASIL INDUSTRIA E COMERCIO DE ACOS</v>
          </cell>
          <cell r="C1727" t="str">
            <v>265.475,24</v>
          </cell>
          <cell r="D1727" t="str">
            <v>289.649,68</v>
          </cell>
          <cell r="E1727" t="str">
            <v>8.058,15</v>
          </cell>
          <cell r="F1727" t="str">
            <v>31.397,04</v>
          </cell>
          <cell r="G1727" t="str">
            <v>0,00</v>
          </cell>
          <cell r="H1727" t="str">
            <v>47.513,33</v>
          </cell>
          <cell r="I1727">
            <v>47513.33</v>
          </cell>
          <cell r="J1727" t="str">
            <v>VERIFICAR</v>
          </cell>
        </row>
        <row r="1728">
          <cell r="A1728" t="str">
            <v>2.1.1.1.01.007066</v>
          </cell>
          <cell r="B1728" t="str">
            <v>DOX BRASIL INDUSTRIA E COMERCIO DE ACOS</v>
          </cell>
          <cell r="C1728" t="str">
            <v>426.437,88</v>
          </cell>
          <cell r="D1728" t="str">
            <v>530.196,50</v>
          </cell>
          <cell r="E1728" t="str">
            <v>52.360,08</v>
          </cell>
          <cell r="F1728" t="str">
            <v>0,00</v>
          </cell>
          <cell r="G1728" t="str">
            <v>0,00</v>
          </cell>
          <cell r="H1728" t="str">
            <v>51.398,54</v>
          </cell>
          <cell r="I1728">
            <v>51398.54</v>
          </cell>
          <cell r="J1728" t="str">
            <v>VERIFICAR</v>
          </cell>
        </row>
        <row r="1729">
          <cell r="A1729" t="str">
            <v>2.1.1.1.01.007074</v>
          </cell>
          <cell r="B1729" t="str">
            <v>FORTY PECAS E EQUIPAMENTOS LTDA</v>
          </cell>
          <cell r="C1729" t="str">
            <v>124.033,43</v>
          </cell>
          <cell r="D1729" t="str">
            <v>126.742,74</v>
          </cell>
          <cell r="E1729" t="str">
            <v>2.709,31</v>
          </cell>
          <cell r="F1729" t="str">
            <v>2.422,62</v>
          </cell>
          <cell r="G1729" t="str">
            <v>0,00</v>
          </cell>
          <cell r="H1729" t="str">
            <v>2.422,62</v>
          </cell>
          <cell r="I1729">
            <v>2422.62</v>
          </cell>
          <cell r="J1729" t="str">
            <v>VERIFICAR</v>
          </cell>
        </row>
        <row r="1730">
          <cell r="A1730" t="str">
            <v>2.1.1.1.01.007079</v>
          </cell>
          <cell r="B1730" t="str">
            <v>TELEFONICA BRASIL S.A.</v>
          </cell>
          <cell r="C1730" t="str">
            <v>4.076,50</v>
          </cell>
          <cell r="D1730" t="str">
            <v>4.076,50</v>
          </cell>
          <cell r="E1730" t="str">
            <v>149,99</v>
          </cell>
          <cell r="F1730" t="str">
            <v>149,99</v>
          </cell>
          <cell r="G1730" t="str">
            <v>0,00</v>
          </cell>
          <cell r="H1730" t="str">
            <v>0,00</v>
          </cell>
          <cell r="I1730">
            <v>0</v>
          </cell>
          <cell r="J1730" t="str">
            <v>VERIFICAR</v>
          </cell>
        </row>
        <row r="1731">
          <cell r="A1731" t="str">
            <v>2.1.1.1.01.007479</v>
          </cell>
          <cell r="B1731" t="str">
            <v>DOUGLAS HENRIQUE FERREIRA ROSA</v>
          </cell>
          <cell r="C1731" t="str">
            <v>45.282,90</v>
          </cell>
          <cell r="D1731" t="str">
            <v>45.282,90</v>
          </cell>
          <cell r="E1731" t="str">
            <v>2.412,69</v>
          </cell>
          <cell r="F1731" t="str">
            <v>2.412,69</v>
          </cell>
          <cell r="G1731" t="str">
            <v>0,00</v>
          </cell>
          <cell r="H1731" t="str">
            <v>0,00</v>
          </cell>
          <cell r="I1731">
            <v>0</v>
          </cell>
          <cell r="J1731" t="str">
            <v>VERIFICAR</v>
          </cell>
        </row>
        <row r="1732">
          <cell r="A1732" t="str">
            <v>2.1.1.1.01.008002</v>
          </cell>
          <cell r="B1732" t="str">
            <v>FBM COMERCIO DE MANCAIS E ACESSORIOS LTD</v>
          </cell>
          <cell r="C1732" t="str">
            <v>39.392,75</v>
          </cell>
          <cell r="D1732" t="str">
            <v>42.949,71</v>
          </cell>
          <cell r="E1732" t="str">
            <v>1.778,48</v>
          </cell>
          <cell r="F1732" t="str">
            <v>0,00</v>
          </cell>
          <cell r="G1732" t="str">
            <v>0,00</v>
          </cell>
          <cell r="H1732" t="str">
            <v>1.778,48</v>
          </cell>
          <cell r="I1732">
            <v>1778.48</v>
          </cell>
          <cell r="J1732" t="str">
            <v>VERIFICAR</v>
          </cell>
        </row>
        <row r="1733">
          <cell r="A1733" t="str">
            <v>2.1.1.1.01.008020</v>
          </cell>
          <cell r="B1733" t="str">
            <v>DM TRANSPORTADORA</v>
          </cell>
          <cell r="C1733" t="str">
            <v>734.336,54</v>
          </cell>
          <cell r="D1733" t="str">
            <v>733.650,83</v>
          </cell>
          <cell r="E1733" t="str">
            <v>27.149,24</v>
          </cell>
          <cell r="F1733" t="str">
            <v>31.658,46</v>
          </cell>
          <cell r="G1733" t="str">
            <v>0,00</v>
          </cell>
          <cell r="H1733" t="str">
            <v>3.823,51</v>
          </cell>
          <cell r="I1733">
            <v>3823.51</v>
          </cell>
          <cell r="J1733" t="str">
            <v>VERIFICAR</v>
          </cell>
        </row>
        <row r="1734">
          <cell r="A1734" t="str">
            <v>2.1.1.1.01.008024</v>
          </cell>
          <cell r="B1734" t="str">
            <v>CLEIDISSON BARBOSA LORENZONI 35087735827</v>
          </cell>
          <cell r="C1734" t="str">
            <v>4.900,00</v>
          </cell>
          <cell r="D1734" t="str">
            <v>4.900,00</v>
          </cell>
          <cell r="E1734" t="str">
            <v>660,00</v>
          </cell>
          <cell r="F1734" t="str">
            <v>660,00</v>
          </cell>
          <cell r="G1734" t="str">
            <v>0,00</v>
          </cell>
          <cell r="H1734" t="str">
            <v>0,00</v>
          </cell>
          <cell r="I1734">
            <v>0</v>
          </cell>
          <cell r="J1734" t="str">
            <v>VERIFICAR</v>
          </cell>
        </row>
        <row r="1735">
          <cell r="A1735" t="str">
            <v>2.1.1.1.01.008072</v>
          </cell>
          <cell r="B1735" t="str">
            <v>CENTRAL MANGUEIRAS COMERCIO DE MANGUEIRA</v>
          </cell>
          <cell r="C1735" t="str">
            <v>29.201,59</v>
          </cell>
          <cell r="D1735" t="str">
            <v>31.051,59</v>
          </cell>
          <cell r="E1735" t="str">
            <v>1.850,00</v>
          </cell>
          <cell r="F1735" t="str">
            <v>0,00</v>
          </cell>
          <cell r="G1735" t="str">
            <v>0,00</v>
          </cell>
          <cell r="H1735" t="str">
            <v>0,00</v>
          </cell>
          <cell r="I1735">
            <v>0</v>
          </cell>
          <cell r="J1735" t="str">
            <v>VERIFICAR</v>
          </cell>
        </row>
        <row r="1736">
          <cell r="A1736" t="str">
            <v>2.1.1.1.01.008082</v>
          </cell>
          <cell r="B1736" t="str">
            <v>TECNOVETTI PRODUTOS E SERVICOS PARA ESCR</v>
          </cell>
          <cell r="C1736" t="str">
            <v>5.593,63</v>
          </cell>
          <cell r="D1736" t="str">
            <v>5.785,02</v>
          </cell>
          <cell r="E1736" t="str">
            <v>191,39</v>
          </cell>
          <cell r="F1736" t="str">
            <v>191,39</v>
          </cell>
          <cell r="G1736" t="str">
            <v>0,00</v>
          </cell>
          <cell r="H1736" t="str">
            <v>191,39</v>
          </cell>
          <cell r="I1736">
            <v>191.39</v>
          </cell>
          <cell r="J1736" t="str">
            <v>VERIFICAR</v>
          </cell>
        </row>
        <row r="1737">
          <cell r="A1737" t="str">
            <v>2.1.1.1.01.008088</v>
          </cell>
          <cell r="B1737" t="str">
            <v>MONTE CASTELO MATERIAIS PARA CONSTRUCAO</v>
          </cell>
          <cell r="C1737" t="str">
            <v>11.072,15</v>
          </cell>
          <cell r="D1737" t="str">
            <v>11.275,75</v>
          </cell>
          <cell r="E1737" t="str">
            <v>203,60</v>
          </cell>
          <cell r="F1737" t="str">
            <v>0,00</v>
          </cell>
          <cell r="G1737" t="str">
            <v>0,00</v>
          </cell>
          <cell r="H1737" t="str">
            <v>0,00</v>
          </cell>
          <cell r="I1737">
            <v>0</v>
          </cell>
          <cell r="J1737" t="str">
            <v>VERIFICAR</v>
          </cell>
        </row>
        <row r="1738">
          <cell r="A1738" t="str">
            <v>2.1.1.1.01.008090</v>
          </cell>
          <cell r="B1738" t="str">
            <v>ESTUDIO CABANA LTDA</v>
          </cell>
          <cell r="C1738" t="str">
            <v>4.539,45</v>
          </cell>
          <cell r="D1738" t="str">
            <v>7.078,47</v>
          </cell>
          <cell r="E1738" t="str">
            <v>0,00</v>
          </cell>
          <cell r="F1738" t="str">
            <v>0,00</v>
          </cell>
          <cell r="G1738" t="str">
            <v>0,00</v>
          </cell>
          <cell r="H1738" t="str">
            <v>2.539,02</v>
          </cell>
          <cell r="I1738">
            <v>2539.02</v>
          </cell>
          <cell r="J1738" t="str">
            <v>VERIFICAR</v>
          </cell>
        </row>
        <row r="1739">
          <cell r="A1739" t="str">
            <v>2.1.1.1.01.008315</v>
          </cell>
          <cell r="B1739" t="str">
            <v>MOVECTA S.A.</v>
          </cell>
          <cell r="C1739" t="str">
            <v>328.643,46</v>
          </cell>
          <cell r="D1739" t="str">
            <v>338.878,04</v>
          </cell>
          <cell r="E1739" t="str">
            <v>78.092,23</v>
          </cell>
          <cell r="F1739" t="str">
            <v>81.566,34</v>
          </cell>
          <cell r="G1739" t="str">
            <v>0,00</v>
          </cell>
          <cell r="H1739" t="str">
            <v>13.708,69</v>
          </cell>
          <cell r="I1739">
            <v>13708.69</v>
          </cell>
          <cell r="J1739" t="str">
            <v>VERIFICAR</v>
          </cell>
        </row>
        <row r="1740">
          <cell r="A1740" t="str">
            <v>2.1.1.1.01.008316</v>
          </cell>
          <cell r="B1740" t="str">
            <v>METALURGICA VALENCA INDUSTRIA E COMERCIO</v>
          </cell>
          <cell r="C1740" t="str">
            <v>364.370,74</v>
          </cell>
          <cell r="D1740" t="str">
            <v>395.762,64</v>
          </cell>
          <cell r="E1740" t="str">
            <v>78.182,69</v>
          </cell>
          <cell r="F1740" t="str">
            <v>132.534,99</v>
          </cell>
          <cell r="G1740" t="str">
            <v>0,00</v>
          </cell>
          <cell r="H1740" t="str">
            <v>85.744,20</v>
          </cell>
          <cell r="I1740">
            <v>85744.2</v>
          </cell>
          <cell r="J1740" t="str">
            <v>VERIFICAR</v>
          </cell>
        </row>
        <row r="1741">
          <cell r="A1741" t="str">
            <v>2.1.1.1.01.008320</v>
          </cell>
          <cell r="B1741" t="str">
            <v>ALVA RENTAL E SERVICOS LTDA</v>
          </cell>
          <cell r="C1741" t="str">
            <v>455.585,77</v>
          </cell>
          <cell r="D1741" t="str">
            <v>455.585,77</v>
          </cell>
          <cell r="E1741" t="str">
            <v>17.299,26</v>
          </cell>
          <cell r="F1741" t="str">
            <v>17.299,26</v>
          </cell>
          <cell r="G1741" t="str">
            <v>0,00</v>
          </cell>
          <cell r="H1741" t="str">
            <v>0,00</v>
          </cell>
          <cell r="I1741">
            <v>0</v>
          </cell>
          <cell r="J1741" t="str">
            <v>VERIFICAR</v>
          </cell>
        </row>
        <row r="1742">
          <cell r="A1742" t="str">
            <v>2.1.1.1.01.008321</v>
          </cell>
          <cell r="B1742" t="str">
            <v>DELMAQ SOLUCOES EM MAQUINAS LTDA</v>
          </cell>
          <cell r="C1742" t="str">
            <v>440,00</v>
          </cell>
          <cell r="D1742" t="str">
            <v>440,00</v>
          </cell>
          <cell r="E1742" t="str">
            <v>7.648,00</v>
          </cell>
          <cell r="F1742" t="str">
            <v>7.648,00</v>
          </cell>
          <cell r="G1742" t="str">
            <v>0,00</v>
          </cell>
          <cell r="H1742" t="str">
            <v>0,00</v>
          </cell>
          <cell r="I1742">
            <v>0</v>
          </cell>
          <cell r="J1742" t="str">
            <v>VERIFICAR</v>
          </cell>
        </row>
        <row r="1743">
          <cell r="A1743" t="str">
            <v>2.1.1.1.01.008325</v>
          </cell>
          <cell r="B1743" t="str">
            <v>ASSOCIACAO BAIANA DAS EMPRESAS LOCADORAS</v>
          </cell>
          <cell r="C1743" t="str">
            <v>5.900,00</v>
          </cell>
          <cell r="D1743" t="str">
            <v>6.500,00</v>
          </cell>
          <cell r="E1743" t="str">
            <v>400,00</v>
          </cell>
          <cell r="F1743" t="str">
            <v>0,00</v>
          </cell>
          <cell r="G1743" t="str">
            <v>0,00</v>
          </cell>
          <cell r="H1743" t="str">
            <v>200,00</v>
          </cell>
          <cell r="I1743">
            <v>200</v>
          </cell>
          <cell r="J1743" t="str">
            <v>VERIFICAR</v>
          </cell>
        </row>
        <row r="1744">
          <cell r="A1744" t="str">
            <v>2.1.1.1.01.008333</v>
          </cell>
          <cell r="B1744" t="str">
            <v>JORGE WILLIAM PICCOLI RIBEIRO</v>
          </cell>
          <cell r="C1744" t="str">
            <v>123.070,29</v>
          </cell>
          <cell r="D1744" t="str">
            <v>123.070,29</v>
          </cell>
          <cell r="E1744" t="str">
            <v>4.619,55</v>
          </cell>
          <cell r="F1744" t="str">
            <v>4.619,55</v>
          </cell>
          <cell r="G1744" t="str">
            <v>0,00</v>
          </cell>
          <cell r="H1744" t="str">
            <v>0,00</v>
          </cell>
          <cell r="I1744">
            <v>0</v>
          </cell>
          <cell r="J1744" t="str">
            <v>VERIFICAR</v>
          </cell>
        </row>
        <row r="1745">
          <cell r="A1745" t="str">
            <v>2.1.1.1.01.008335</v>
          </cell>
          <cell r="B1745" t="str">
            <v>LUCAS CESAR DOS REIS BENTO</v>
          </cell>
          <cell r="C1745" t="str">
            <v>77.062,17</v>
          </cell>
          <cell r="D1745" t="str">
            <v>77.062,17</v>
          </cell>
          <cell r="E1745" t="str">
            <v>4.894,48</v>
          </cell>
          <cell r="F1745" t="str">
            <v>4.894,48</v>
          </cell>
          <cell r="G1745" t="str">
            <v>0,00</v>
          </cell>
          <cell r="H1745" t="str">
            <v>0,00</v>
          </cell>
          <cell r="I1745">
            <v>0</v>
          </cell>
          <cell r="J1745" t="str">
            <v>VERIFICAR</v>
          </cell>
        </row>
        <row r="1746">
          <cell r="A1746" t="str">
            <v>2.1.1.1.01.008346</v>
          </cell>
          <cell r="B1746" t="str">
            <v>PAULO ALBERTO FARDIM</v>
          </cell>
          <cell r="C1746" t="str">
            <v>8.416,30</v>
          </cell>
          <cell r="D1746" t="str">
            <v>8.416,30</v>
          </cell>
          <cell r="E1746" t="str">
            <v>682,18</v>
          </cell>
          <cell r="F1746" t="str">
            <v>682,18</v>
          </cell>
          <cell r="G1746" t="str">
            <v>0,00</v>
          </cell>
          <cell r="H1746" t="str">
            <v>0,00</v>
          </cell>
          <cell r="I1746">
            <v>0</v>
          </cell>
          <cell r="J1746" t="str">
            <v>VERIFICAR</v>
          </cell>
        </row>
        <row r="1747">
          <cell r="A1747" t="str">
            <v>2.1.1.1.01.008347</v>
          </cell>
          <cell r="B1747" t="str">
            <v>PISOM VIAGENS E TURISMO LTDA</v>
          </cell>
          <cell r="C1747" t="str">
            <v>244.282,37</v>
          </cell>
          <cell r="D1747" t="str">
            <v>250.957,32</v>
          </cell>
          <cell r="E1747" t="str">
            <v>9.727,23</v>
          </cell>
          <cell r="F1747" t="str">
            <v>3.052,28</v>
          </cell>
          <cell r="G1747" t="str">
            <v>0,00</v>
          </cell>
          <cell r="H1747" t="str">
            <v>0,00</v>
          </cell>
          <cell r="I1747">
            <v>0</v>
          </cell>
          <cell r="J1747" t="str">
            <v>VERIFICAR</v>
          </cell>
        </row>
        <row r="1748">
          <cell r="A1748" t="str">
            <v>2.1.1.1.01.008351</v>
          </cell>
          <cell r="B1748" t="str">
            <v>HENRIQUE CESAR MOREIRA</v>
          </cell>
          <cell r="C1748" t="str">
            <v>36.500,00</v>
          </cell>
          <cell r="D1748" t="str">
            <v>24.944,45</v>
          </cell>
          <cell r="E1748" t="str">
            <v>0,00</v>
          </cell>
          <cell r="F1748" t="str">
            <v>0,00</v>
          </cell>
          <cell r="G1748" t="str">
            <v>11.555,55</v>
          </cell>
          <cell r="H1748" t="str">
            <v>0,00</v>
          </cell>
          <cell r="I1748">
            <v>-11555.55</v>
          </cell>
          <cell r="J1748" t="str">
            <v>VERIFICAR</v>
          </cell>
        </row>
        <row r="1749">
          <cell r="A1749" t="str">
            <v>2.1.1.1.01.008352</v>
          </cell>
          <cell r="B1749" t="str">
            <v>IRINEU DE FREITAS BRANCO JUNIOR</v>
          </cell>
          <cell r="C1749" t="str">
            <v>1.500,00</v>
          </cell>
          <cell r="D1749" t="str">
            <v>288,00</v>
          </cell>
          <cell r="E1749" t="str">
            <v>0,00</v>
          </cell>
          <cell r="F1749" t="str">
            <v>0,00</v>
          </cell>
          <cell r="G1749" t="str">
            <v>1.212,00</v>
          </cell>
          <cell r="H1749" t="str">
            <v>0,00</v>
          </cell>
          <cell r="I1749">
            <v>-1212</v>
          </cell>
          <cell r="J1749" t="str">
            <v>VERIFICAR</v>
          </cell>
        </row>
        <row r="1750">
          <cell r="A1750" t="str">
            <v>2.1.1.1.01.008368</v>
          </cell>
          <cell r="B1750" t="str">
            <v>DECERT - SISTEMA E SERVIÇOS LTDA</v>
          </cell>
          <cell r="C1750" t="str">
            <v>20.207,40</v>
          </cell>
          <cell r="D1750" t="str">
            <v>20.244,88</v>
          </cell>
          <cell r="E1750" t="str">
            <v>356,07</v>
          </cell>
          <cell r="F1750" t="str">
            <v>356,07</v>
          </cell>
          <cell r="G1750" t="str">
            <v>0,00</v>
          </cell>
          <cell r="H1750" t="str">
            <v>37,48</v>
          </cell>
          <cell r="I1750">
            <v>37.479999999999997</v>
          </cell>
          <cell r="J1750" t="str">
            <v>VERIFICAR</v>
          </cell>
        </row>
        <row r="1751">
          <cell r="A1751" t="str">
            <v>2.1.1.1.01.008375</v>
          </cell>
          <cell r="B1751" t="str">
            <v>COMPANHIA ENERGETICA DO CEARA</v>
          </cell>
          <cell r="C1751" t="str">
            <v>7.854,05</v>
          </cell>
          <cell r="D1751" t="str">
            <v>8.420,90</v>
          </cell>
          <cell r="E1751" t="str">
            <v>1.206,42</v>
          </cell>
          <cell r="F1751" t="str">
            <v>639,57</v>
          </cell>
          <cell r="G1751" t="str">
            <v>0,00</v>
          </cell>
          <cell r="H1751" t="str">
            <v>0,00</v>
          </cell>
          <cell r="I1751">
            <v>0</v>
          </cell>
          <cell r="J1751" t="str">
            <v>VERIFICAR</v>
          </cell>
        </row>
        <row r="1752">
          <cell r="A1752" t="str">
            <v>2.1.1.1.01.008404</v>
          </cell>
          <cell r="B1752" t="str">
            <v>53.398.881 JOSIMERE JANUARIO</v>
          </cell>
          <cell r="C1752" t="str">
            <v>97.309,46</v>
          </cell>
          <cell r="D1752" t="str">
            <v>97.309,46</v>
          </cell>
          <cell r="E1752" t="str">
            <v>7.206,90</v>
          </cell>
          <cell r="F1752" t="str">
            <v>7.206,90</v>
          </cell>
          <cell r="G1752" t="str">
            <v>0,00</v>
          </cell>
          <cell r="H1752" t="str">
            <v>0,00</v>
          </cell>
          <cell r="I1752">
            <v>0</v>
          </cell>
          <cell r="J1752" t="str">
            <v>VERIFICAR</v>
          </cell>
        </row>
        <row r="1753">
          <cell r="A1753" t="str">
            <v>2.1.1.1.01.008406</v>
          </cell>
          <cell r="B1753" t="str">
            <v>JOAO BATISTA LEOPOLDINO JUNIOR</v>
          </cell>
          <cell r="C1753" t="str">
            <v>77.353,72</v>
          </cell>
          <cell r="D1753" t="str">
            <v>77.236,18</v>
          </cell>
          <cell r="E1753" t="str">
            <v>0,00</v>
          </cell>
          <cell r="F1753" t="str">
            <v>0,00</v>
          </cell>
          <cell r="G1753" t="str">
            <v>117,54</v>
          </cell>
          <cell r="H1753" t="str">
            <v>0,00</v>
          </cell>
          <cell r="I1753">
            <v>-117.54</v>
          </cell>
          <cell r="J1753" t="str">
            <v>VERIFICAR</v>
          </cell>
        </row>
        <row r="1754">
          <cell r="A1754" t="str">
            <v>2.1.1.1.01.008412</v>
          </cell>
          <cell r="B1754" t="str">
            <v>WESLEY HENRIQUE FERREIRA ALVES</v>
          </cell>
          <cell r="C1754" t="str">
            <v>31.082,60</v>
          </cell>
          <cell r="D1754" t="str">
            <v>31.082,60</v>
          </cell>
          <cell r="E1754" t="str">
            <v>1.941,92</v>
          </cell>
          <cell r="F1754" t="str">
            <v>1.941,92</v>
          </cell>
          <cell r="G1754" t="str">
            <v>0,00</v>
          </cell>
          <cell r="H1754" t="str">
            <v>0,00</v>
          </cell>
          <cell r="I1754">
            <v>0</v>
          </cell>
          <cell r="J1754" t="str">
            <v>VERIFICAR</v>
          </cell>
        </row>
        <row r="1755">
          <cell r="A1755" t="str">
            <v>2.1.1.1.01.008420</v>
          </cell>
          <cell r="B1755" t="str">
            <v>BR TRADE ASSESSORIA EM COMERCIO EXTERIOR</v>
          </cell>
          <cell r="C1755" t="str">
            <v>2.374.780,65</v>
          </cell>
          <cell r="D1755" t="str">
            <v>2.335.601,89</v>
          </cell>
          <cell r="E1755" t="str">
            <v>35.533,38</v>
          </cell>
          <cell r="F1755" t="str">
            <v>42.206,18</v>
          </cell>
          <cell r="G1755" t="str">
            <v>32.505,96</v>
          </cell>
          <cell r="H1755" t="str">
            <v>0,00</v>
          </cell>
          <cell r="I1755">
            <v>-32505.96</v>
          </cell>
          <cell r="J1755" t="str">
            <v>VERIFICAR</v>
          </cell>
        </row>
        <row r="1756">
          <cell r="A1756" t="str">
            <v>2.1.1.1.01.008428</v>
          </cell>
          <cell r="B1756" t="str">
            <v>44.159.398 JORGE LUIS PETRONI</v>
          </cell>
          <cell r="C1756" t="str">
            <v>91.618,82</v>
          </cell>
          <cell r="D1756" t="str">
            <v>91.618,82</v>
          </cell>
          <cell r="E1756" t="str">
            <v>3.700,09</v>
          </cell>
          <cell r="F1756" t="str">
            <v>3.700,09</v>
          </cell>
          <cell r="G1756" t="str">
            <v>0,00</v>
          </cell>
          <cell r="H1756" t="str">
            <v>0,00</v>
          </cell>
          <cell r="I1756">
            <v>0</v>
          </cell>
          <cell r="J1756" t="str">
            <v>VERIFICAR</v>
          </cell>
        </row>
        <row r="1757">
          <cell r="A1757" t="str">
            <v>2.1.1.1.01.008432</v>
          </cell>
          <cell r="B1757" t="str">
            <v>CREDITS BRASIL GESTAO E INTELIGENCIA DE</v>
          </cell>
          <cell r="C1757" t="str">
            <v>28.483,22</v>
          </cell>
          <cell r="D1757" t="str">
            <v>28.483,22</v>
          </cell>
          <cell r="E1757" t="str">
            <v>1.780,54</v>
          </cell>
          <cell r="F1757" t="str">
            <v>1.780,54</v>
          </cell>
          <cell r="G1757" t="str">
            <v>0,00</v>
          </cell>
          <cell r="H1757" t="str">
            <v>0,00</v>
          </cell>
          <cell r="I1757">
            <v>0</v>
          </cell>
          <cell r="J1757" t="str">
            <v>VERIFICAR</v>
          </cell>
        </row>
        <row r="1758">
          <cell r="A1758" t="str">
            <v>2.1.1.1.01.008446</v>
          </cell>
          <cell r="B1758" t="str">
            <v>DEPARTAMENTO DE CONTROLE DO ESPACO AEREO</v>
          </cell>
          <cell r="C1758" t="str">
            <v>7.757,79</v>
          </cell>
          <cell r="D1758" t="str">
            <v>1.526,39</v>
          </cell>
          <cell r="E1758" t="str">
            <v>0,00</v>
          </cell>
          <cell r="F1758" t="str">
            <v>0,00</v>
          </cell>
          <cell r="G1758" t="str">
            <v>6.231,40</v>
          </cell>
          <cell r="H1758" t="str">
            <v>0,00</v>
          </cell>
          <cell r="I1758">
            <v>-6231.4</v>
          </cell>
          <cell r="J1758" t="str">
            <v>VERIFICAR</v>
          </cell>
        </row>
        <row r="1759">
          <cell r="A1759" t="str">
            <v>2.1.1.1.01.008448</v>
          </cell>
          <cell r="B1759" t="str">
            <v>EMPRESA BRASILEIRA DE INFRAESTRUTURA AER</v>
          </cell>
          <cell r="C1759" t="str">
            <v>11.086,54</v>
          </cell>
          <cell r="D1759" t="str">
            <v>1.519,74</v>
          </cell>
          <cell r="E1759" t="str">
            <v>0,00</v>
          </cell>
          <cell r="F1759" t="str">
            <v>0,00</v>
          </cell>
          <cell r="G1759" t="str">
            <v>9.566,80</v>
          </cell>
          <cell r="H1759" t="str">
            <v>0,00</v>
          </cell>
          <cell r="I1759">
            <v>-9566.7999999999993</v>
          </cell>
          <cell r="J1759" t="str">
            <v>VERIFICAR</v>
          </cell>
        </row>
        <row r="1760">
          <cell r="A1760" t="str">
            <v>2.1.1.1.01.008452</v>
          </cell>
          <cell r="B1760" t="str">
            <v>J R ANGELOTTI LTDA</v>
          </cell>
          <cell r="C1760" t="str">
            <v>128.976,98</v>
          </cell>
          <cell r="D1760" t="str">
            <v>128.976,98</v>
          </cell>
          <cell r="E1760" t="str">
            <v>11.758,80</v>
          </cell>
          <cell r="F1760" t="str">
            <v>11.758,80</v>
          </cell>
          <cell r="G1760" t="str">
            <v>0,00</v>
          </cell>
          <cell r="H1760" t="str">
            <v>0,00</v>
          </cell>
          <cell r="I1760">
            <v>0</v>
          </cell>
          <cell r="J1760" t="str">
            <v>VERIFICAR</v>
          </cell>
        </row>
        <row r="1761">
          <cell r="A1761" t="str">
            <v>2.1.1.1.01.008455</v>
          </cell>
          <cell r="B1761" t="str">
            <v>DH FERREIRA SERVIÇOS ADMINISTRATIVOS LTD</v>
          </cell>
          <cell r="C1761" t="str">
            <v>193.105,81</v>
          </cell>
          <cell r="D1761" t="str">
            <v>193.105,81</v>
          </cell>
          <cell r="E1761" t="str">
            <v>47.401,64</v>
          </cell>
          <cell r="F1761" t="str">
            <v>47.401,64</v>
          </cell>
          <cell r="G1761" t="str">
            <v>0,00</v>
          </cell>
          <cell r="H1761" t="str">
            <v>0,00</v>
          </cell>
          <cell r="I1761">
            <v>0</v>
          </cell>
          <cell r="J1761" t="str">
            <v>VERIFICAR</v>
          </cell>
        </row>
        <row r="1762">
          <cell r="A1762" t="str">
            <v>2.1.1.1.01.008464</v>
          </cell>
          <cell r="B1762" t="str">
            <v>DB3 SERVICOS - FORTALEZA</v>
          </cell>
          <cell r="C1762" t="str">
            <v>1.819,83</v>
          </cell>
          <cell r="D1762" t="str">
            <v>1.819,83</v>
          </cell>
          <cell r="E1762" t="str">
            <v>109,99</v>
          </cell>
          <cell r="F1762" t="str">
            <v>109,99</v>
          </cell>
          <cell r="G1762" t="str">
            <v>0,00</v>
          </cell>
          <cell r="H1762" t="str">
            <v>0,00</v>
          </cell>
          <cell r="I1762">
            <v>0</v>
          </cell>
          <cell r="J1762" t="str">
            <v>VERIFICAR</v>
          </cell>
        </row>
        <row r="1763">
          <cell r="A1763" t="str">
            <v>2.1.1.1.01.008465</v>
          </cell>
          <cell r="B1763" t="str">
            <v>G &amp; R EMPREENDIMENTOS LTDA</v>
          </cell>
          <cell r="C1763" t="str">
            <v>220.776,02</v>
          </cell>
          <cell r="D1763" t="str">
            <v>220.776,02</v>
          </cell>
          <cell r="E1763" t="str">
            <v>9.280,46</v>
          </cell>
          <cell r="F1763" t="str">
            <v>9.280,46</v>
          </cell>
          <cell r="G1763" t="str">
            <v>0,00</v>
          </cell>
          <cell r="H1763" t="str">
            <v>0,00</v>
          </cell>
          <cell r="I1763">
            <v>0</v>
          </cell>
          <cell r="J1763" t="str">
            <v>VERIFICAR</v>
          </cell>
        </row>
        <row r="1764">
          <cell r="A1764" t="str">
            <v>2.1.1.1.01.008467</v>
          </cell>
          <cell r="B1764" t="str">
            <v>SAMUEL DOS SANTOS GOULART</v>
          </cell>
          <cell r="C1764" t="str">
            <v>40.726,53</v>
          </cell>
          <cell r="D1764" t="str">
            <v>40.726,53</v>
          </cell>
          <cell r="E1764" t="str">
            <v>8.872,66</v>
          </cell>
          <cell r="F1764" t="str">
            <v>8.872,66</v>
          </cell>
          <cell r="G1764" t="str">
            <v>0,00</v>
          </cell>
          <cell r="H1764" t="str">
            <v>0,00</v>
          </cell>
          <cell r="I1764">
            <v>0</v>
          </cell>
          <cell r="J1764" t="str">
            <v>VERIFICAR</v>
          </cell>
        </row>
        <row r="1765">
          <cell r="A1765" t="str">
            <v>2.1.1.1.01.008468</v>
          </cell>
          <cell r="B1765" t="str">
            <v>AERO CLUBE DE CACHOEIRO DE ITAPEMIRIM</v>
          </cell>
          <cell r="C1765" t="str">
            <v>45.259,50</v>
          </cell>
          <cell r="D1765" t="str">
            <v>45.259,50</v>
          </cell>
          <cell r="E1765" t="str">
            <v>1.234,00</v>
          </cell>
          <cell r="F1765" t="str">
            <v>1.234,00</v>
          </cell>
          <cell r="G1765" t="str">
            <v>0,00</v>
          </cell>
          <cell r="H1765" t="str">
            <v>0,00</v>
          </cell>
          <cell r="I1765">
            <v>0</v>
          </cell>
          <cell r="J1765" t="str">
            <v>VERIFICAR</v>
          </cell>
        </row>
        <row r="1766">
          <cell r="A1766" t="str">
            <v>2.1.1.1.01.008481</v>
          </cell>
          <cell r="B1766" t="str">
            <v>AEROCLUBE REGIONAL DE SAO JOAO DA BOA VI</v>
          </cell>
          <cell r="C1766" t="str">
            <v>154.314,70</v>
          </cell>
          <cell r="D1766" t="str">
            <v>156.414,70</v>
          </cell>
          <cell r="E1766" t="str">
            <v>8.750,00</v>
          </cell>
          <cell r="F1766" t="str">
            <v>8.750,00</v>
          </cell>
          <cell r="G1766" t="str">
            <v>0,00</v>
          </cell>
          <cell r="H1766" t="str">
            <v>2.100,00</v>
          </cell>
          <cell r="I1766">
            <v>2100</v>
          </cell>
          <cell r="J1766" t="str">
            <v>VERIFICAR</v>
          </cell>
        </row>
        <row r="1767">
          <cell r="A1767" t="str">
            <v>2.1.1.1.01.008482</v>
          </cell>
          <cell r="B1767" t="str">
            <v>MARCOS MACHADO DA SILVA 03591886726</v>
          </cell>
          <cell r="C1767" t="str">
            <v>128.247,83</v>
          </cell>
          <cell r="D1767" t="str">
            <v>130.147,37</v>
          </cell>
          <cell r="E1767" t="str">
            <v>6.765,14</v>
          </cell>
          <cell r="F1767" t="str">
            <v>4.865,60</v>
          </cell>
          <cell r="G1767" t="str">
            <v>0,00</v>
          </cell>
          <cell r="H1767" t="str">
            <v>0,00</v>
          </cell>
          <cell r="I1767">
            <v>0</v>
          </cell>
          <cell r="J1767" t="str">
            <v>VERIFICAR</v>
          </cell>
        </row>
        <row r="1768">
          <cell r="A1768" t="str">
            <v>2.1.1.1.01.008486</v>
          </cell>
          <cell r="B1768" t="str">
            <v>LEANDRO JOSE MATIAS</v>
          </cell>
          <cell r="C1768" t="str">
            <v>69.933,93</v>
          </cell>
          <cell r="D1768" t="str">
            <v>69.933,93</v>
          </cell>
          <cell r="E1768" t="str">
            <v>3.146,40</v>
          </cell>
          <cell r="F1768" t="str">
            <v>3.146,40</v>
          </cell>
          <cell r="G1768" t="str">
            <v>0,00</v>
          </cell>
          <cell r="H1768" t="str">
            <v>0,00</v>
          </cell>
          <cell r="I1768">
            <v>0</v>
          </cell>
          <cell r="J1768" t="str">
            <v>VERIFICAR</v>
          </cell>
        </row>
        <row r="1769">
          <cell r="A1769" t="str">
            <v>2.1.1.1.01.008491</v>
          </cell>
          <cell r="B1769" t="str">
            <v>MATEUS FILIPE DE SOUZA SILVA</v>
          </cell>
          <cell r="C1769" t="str">
            <v>0,00</v>
          </cell>
          <cell r="D1769" t="str">
            <v>0,00</v>
          </cell>
          <cell r="E1769" t="str">
            <v>2.873,49</v>
          </cell>
          <cell r="F1769" t="str">
            <v>2.873,49</v>
          </cell>
          <cell r="G1769" t="str">
            <v>0,00</v>
          </cell>
          <cell r="H1769" t="str">
            <v>0,00</v>
          </cell>
          <cell r="I1769">
            <v>0</v>
          </cell>
          <cell r="J1769" t="str">
            <v>VERIFICAR</v>
          </cell>
        </row>
        <row r="1770">
          <cell r="A1770" t="str">
            <v>2.1.1.1.01.008492</v>
          </cell>
          <cell r="B1770" t="str">
            <v>LUIZ CEZAR LIMA TEIXEIRA FILHO</v>
          </cell>
          <cell r="C1770" t="str">
            <v>0,00</v>
          </cell>
          <cell r="D1770" t="str">
            <v>0,00</v>
          </cell>
          <cell r="E1770" t="str">
            <v>32,99</v>
          </cell>
          <cell r="F1770" t="str">
            <v>32,99</v>
          </cell>
          <cell r="G1770" t="str">
            <v>0,00</v>
          </cell>
          <cell r="H1770" t="str">
            <v>0,00</v>
          </cell>
          <cell r="I1770">
            <v>0</v>
          </cell>
          <cell r="J1770" t="str">
            <v>VERIFICAR</v>
          </cell>
        </row>
        <row r="1771">
          <cell r="A1771" t="str">
            <v>2.1.1.1.01.008493</v>
          </cell>
          <cell r="B1771" t="str">
            <v>PAULO VICTOR LIMA MACHADO</v>
          </cell>
          <cell r="C1771" t="str">
            <v>0,00</v>
          </cell>
          <cell r="D1771" t="str">
            <v>0,00</v>
          </cell>
          <cell r="E1771" t="str">
            <v>1.620,97</v>
          </cell>
          <cell r="F1771" t="str">
            <v>1.620,97</v>
          </cell>
          <cell r="G1771" t="str">
            <v>0,00</v>
          </cell>
          <cell r="H1771" t="str">
            <v>0,00</v>
          </cell>
          <cell r="I1771">
            <v>0</v>
          </cell>
          <cell r="J1771" t="str">
            <v>VERIFICAR</v>
          </cell>
        </row>
        <row r="1772">
          <cell r="A1772" t="str">
            <v>2.1.1.1.01.008495</v>
          </cell>
          <cell r="B1772" t="str">
            <v>MARCOS MACHADO DA SILVA</v>
          </cell>
          <cell r="C1772" t="str">
            <v>15.879,46</v>
          </cell>
          <cell r="D1772" t="str">
            <v>15.879,46</v>
          </cell>
          <cell r="E1772" t="str">
            <v>688,50</v>
          </cell>
          <cell r="F1772" t="str">
            <v>688,50</v>
          </cell>
          <cell r="G1772" t="str">
            <v>0,00</v>
          </cell>
          <cell r="H1772" t="str">
            <v>0,00</v>
          </cell>
          <cell r="I1772">
            <v>0</v>
          </cell>
          <cell r="J1772" t="str">
            <v>VERIFICAR</v>
          </cell>
        </row>
        <row r="1773">
          <cell r="A1773" t="str">
            <v>2.1.1.1.01.008499</v>
          </cell>
          <cell r="B1773" t="str">
            <v>LEVEMAQ AUTOMACAO LTDA</v>
          </cell>
          <cell r="C1773" t="str">
            <v>209.270,85</v>
          </cell>
          <cell r="D1773" t="str">
            <v>209.270,85</v>
          </cell>
          <cell r="E1773" t="str">
            <v>7.000,00</v>
          </cell>
          <cell r="F1773" t="str">
            <v>7.000,00</v>
          </cell>
          <cell r="G1773" t="str">
            <v>0,00</v>
          </cell>
          <cell r="H1773" t="str">
            <v>0,00</v>
          </cell>
          <cell r="I1773">
            <v>0</v>
          </cell>
          <cell r="J1773" t="str">
            <v>VERIFICAR</v>
          </cell>
        </row>
        <row r="1774">
          <cell r="A1774" t="str">
            <v>2.1.1.1.01.008523</v>
          </cell>
          <cell r="B1774" t="str">
            <v>LUIZ CARLOS COSTA</v>
          </cell>
          <cell r="C1774" t="str">
            <v>61.842,93</v>
          </cell>
          <cell r="D1774" t="str">
            <v>61.842,93</v>
          </cell>
          <cell r="E1774" t="str">
            <v>2.206,92</v>
          </cell>
          <cell r="F1774" t="str">
            <v>2.206,92</v>
          </cell>
          <cell r="G1774" t="str">
            <v>0,00</v>
          </cell>
          <cell r="H1774" t="str">
            <v>0,00</v>
          </cell>
          <cell r="I1774">
            <v>0</v>
          </cell>
          <cell r="J1774" t="str">
            <v>VERIFICAR</v>
          </cell>
        </row>
        <row r="1775">
          <cell r="A1775" t="str">
            <v>2.1.1.1.01.008546</v>
          </cell>
          <cell r="B1775" t="str">
            <v>ASSOCIACAO COMERCIAL E IND RIBEIRAO PRET</v>
          </cell>
          <cell r="C1775" t="str">
            <v>1.826,38</v>
          </cell>
          <cell r="D1775" t="str">
            <v>1.826,38</v>
          </cell>
          <cell r="E1775" t="str">
            <v>144,34</v>
          </cell>
          <cell r="F1775" t="str">
            <v>144,34</v>
          </cell>
          <cell r="G1775" t="str">
            <v>0,00</v>
          </cell>
          <cell r="H1775" t="str">
            <v>0,00</v>
          </cell>
          <cell r="I1775">
            <v>0</v>
          </cell>
          <cell r="J1775" t="str">
            <v>VERIFICAR</v>
          </cell>
        </row>
        <row r="1776">
          <cell r="A1776" t="str">
            <v>2.1.1.1.01.008556</v>
          </cell>
          <cell r="B1776" t="str">
            <v>51.416.356 EDSON FIRMINO</v>
          </cell>
          <cell r="C1776" t="str">
            <v>105.955,37</v>
          </cell>
          <cell r="D1776" t="str">
            <v>105.955,37</v>
          </cell>
          <cell r="E1776" t="str">
            <v>4.499,75</v>
          </cell>
          <cell r="F1776" t="str">
            <v>4.499,75</v>
          </cell>
          <cell r="G1776" t="str">
            <v>0,00</v>
          </cell>
          <cell r="H1776" t="str">
            <v>0,00</v>
          </cell>
          <cell r="I1776">
            <v>0</v>
          </cell>
          <cell r="J1776" t="str">
            <v>VERIFICAR</v>
          </cell>
        </row>
        <row r="1777">
          <cell r="A1777" t="str">
            <v>2.1.1.1.01.008632</v>
          </cell>
          <cell r="B1777" t="str">
            <v>JOAO VITOR SALES MAGALHAES</v>
          </cell>
          <cell r="C1777" t="str">
            <v>107,82</v>
          </cell>
          <cell r="D1777" t="str">
            <v>107,82</v>
          </cell>
          <cell r="E1777" t="str">
            <v>490,50</v>
          </cell>
          <cell r="F1777" t="str">
            <v>490,50</v>
          </cell>
          <cell r="G1777" t="str">
            <v>0,00</v>
          </cell>
          <cell r="H1777" t="str">
            <v>0,00</v>
          </cell>
          <cell r="I1777">
            <v>0</v>
          </cell>
          <cell r="J1777" t="str">
            <v>VERIFICAR</v>
          </cell>
        </row>
        <row r="1778">
          <cell r="A1778" t="str">
            <v>2.1.1.1.01.008635</v>
          </cell>
          <cell r="B1778" t="str">
            <v>GRAZYELLE MARSAN AMARAL LTDA</v>
          </cell>
          <cell r="C1778" t="str">
            <v>70.059,11</v>
          </cell>
          <cell r="D1778" t="str">
            <v>70.059,11</v>
          </cell>
          <cell r="E1778" t="str">
            <v>4.253,26</v>
          </cell>
          <cell r="F1778" t="str">
            <v>4.253,26</v>
          </cell>
          <cell r="G1778" t="str">
            <v>0,00</v>
          </cell>
          <cell r="H1778" t="str">
            <v>0,00</v>
          </cell>
          <cell r="I1778">
            <v>0</v>
          </cell>
          <cell r="J1778" t="str">
            <v>VERIFICAR</v>
          </cell>
        </row>
        <row r="1779">
          <cell r="A1779" t="str">
            <v>2.1.1.1.01.008693</v>
          </cell>
          <cell r="B1779" t="str">
            <v>AGENCIA NACIONAL DE TELECOMUNICACOES</v>
          </cell>
          <cell r="C1779" t="str">
            <v>6,90</v>
          </cell>
          <cell r="D1779" t="str">
            <v>0,00</v>
          </cell>
          <cell r="E1779" t="str">
            <v>0,00</v>
          </cell>
          <cell r="F1779" t="str">
            <v>0,00</v>
          </cell>
          <cell r="G1779" t="str">
            <v>6,90</v>
          </cell>
          <cell r="H1779" t="str">
            <v>0,00</v>
          </cell>
          <cell r="I1779">
            <v>-6.9</v>
          </cell>
          <cell r="J1779" t="str">
            <v>VERIFICAR</v>
          </cell>
        </row>
        <row r="1780">
          <cell r="A1780" t="str">
            <v>2.1.1.1.01.008759</v>
          </cell>
          <cell r="B1780" t="str">
            <v>JOAN CARLOS ROCHA FREITAS</v>
          </cell>
          <cell r="C1780" t="str">
            <v>31.419,14</v>
          </cell>
          <cell r="D1780" t="str">
            <v>31.419,14</v>
          </cell>
          <cell r="E1780" t="str">
            <v>8.245,57</v>
          </cell>
          <cell r="F1780" t="str">
            <v>8.245,57</v>
          </cell>
          <cell r="G1780" t="str">
            <v>0,00</v>
          </cell>
          <cell r="H1780" t="str">
            <v>0,00</v>
          </cell>
          <cell r="I1780">
            <v>0</v>
          </cell>
          <cell r="J1780" t="str">
            <v>VERIFICAR</v>
          </cell>
        </row>
        <row r="1781">
          <cell r="A1781" t="str">
            <v>2.1.1.1.01.008763</v>
          </cell>
          <cell r="B1781" t="str">
            <v>RODRIGO OLIVEIRA APOIO ADMINISTRATIVO LT</v>
          </cell>
          <cell r="C1781" t="str">
            <v>105.820,35</v>
          </cell>
          <cell r="D1781" t="str">
            <v>105.820,35</v>
          </cell>
          <cell r="E1781" t="str">
            <v>12.680,43</v>
          </cell>
          <cell r="F1781" t="str">
            <v>12.680,43</v>
          </cell>
          <cell r="G1781" t="str">
            <v>0,00</v>
          </cell>
          <cell r="H1781" t="str">
            <v>0,00</v>
          </cell>
          <cell r="I1781">
            <v>0</v>
          </cell>
          <cell r="J1781" t="str">
            <v>VERIFICAR</v>
          </cell>
        </row>
        <row r="1782">
          <cell r="A1782" t="str">
            <v>2.1.1.1.01.008793</v>
          </cell>
          <cell r="B1782" t="str">
            <v>CARLOS LUIS DE AZEVEDO LIMA</v>
          </cell>
          <cell r="C1782" t="str">
            <v>43.869,52</v>
          </cell>
          <cell r="D1782" t="str">
            <v>43.869,52</v>
          </cell>
          <cell r="E1782" t="str">
            <v>7.216,49</v>
          </cell>
          <cell r="F1782" t="str">
            <v>7.216,49</v>
          </cell>
          <cell r="G1782" t="str">
            <v>0,00</v>
          </cell>
          <cell r="H1782" t="str">
            <v>0,00</v>
          </cell>
          <cell r="I1782">
            <v>0</v>
          </cell>
          <cell r="J1782" t="str">
            <v>VERIFICAR</v>
          </cell>
        </row>
        <row r="1783">
          <cell r="A1783" t="str">
            <v>2.1.1.1.01.008794</v>
          </cell>
          <cell r="B1783" t="str">
            <v>WILLIAN DA COSTA FERREIRA</v>
          </cell>
          <cell r="C1783" t="str">
            <v>29.191,94</v>
          </cell>
          <cell r="D1783" t="str">
            <v>29.191,94</v>
          </cell>
          <cell r="E1783" t="str">
            <v>2.785,33</v>
          </cell>
          <cell r="F1783" t="str">
            <v>2.785,33</v>
          </cell>
          <cell r="G1783" t="str">
            <v>0,00</v>
          </cell>
          <cell r="H1783" t="str">
            <v>0,00</v>
          </cell>
          <cell r="I1783">
            <v>0</v>
          </cell>
          <cell r="J1783" t="str">
            <v>VERIFICAR</v>
          </cell>
        </row>
        <row r="1784">
          <cell r="A1784" t="str">
            <v>2.1.1.1.01.008796</v>
          </cell>
          <cell r="B1784" t="str">
            <v>JAIRO MARCIO RAMOS DE OLIVEIRA</v>
          </cell>
          <cell r="C1784" t="str">
            <v>11.399,54</v>
          </cell>
          <cell r="D1784" t="str">
            <v>11.399,54</v>
          </cell>
          <cell r="E1784" t="str">
            <v>1.348,77</v>
          </cell>
          <cell r="F1784" t="str">
            <v>1.348,77</v>
          </cell>
          <cell r="G1784" t="str">
            <v>0,00</v>
          </cell>
          <cell r="H1784" t="str">
            <v>0,00</v>
          </cell>
          <cell r="I1784">
            <v>0</v>
          </cell>
          <cell r="J1784" t="str">
            <v>VERIFICAR</v>
          </cell>
        </row>
        <row r="1785">
          <cell r="A1785" t="str">
            <v>2.1.1.1.01.008797</v>
          </cell>
          <cell r="B1785" t="str">
            <v>THAMIRIS ELIAS PEREIRA</v>
          </cell>
          <cell r="C1785" t="str">
            <v>27.393,55</v>
          </cell>
          <cell r="D1785" t="str">
            <v>27.393,55</v>
          </cell>
          <cell r="E1785" t="str">
            <v>4.827,78</v>
          </cell>
          <cell r="F1785" t="str">
            <v>4.827,78</v>
          </cell>
          <cell r="G1785" t="str">
            <v>0,00</v>
          </cell>
          <cell r="H1785" t="str">
            <v>0,00</v>
          </cell>
          <cell r="I1785">
            <v>0</v>
          </cell>
          <cell r="J1785" t="str">
            <v>VERIFICAR</v>
          </cell>
        </row>
        <row r="1786">
          <cell r="A1786" t="str">
            <v>2.1.1.1.01.008799</v>
          </cell>
          <cell r="B1786" t="str">
            <v>LUIS ANTONIO PEZOTTI</v>
          </cell>
          <cell r="C1786" t="str">
            <v>23.532,14</v>
          </cell>
          <cell r="D1786" t="str">
            <v>23.532,14</v>
          </cell>
          <cell r="E1786" t="str">
            <v>2.944,87</v>
          </cell>
          <cell r="F1786" t="str">
            <v>2.944,87</v>
          </cell>
          <cell r="G1786" t="str">
            <v>0,00</v>
          </cell>
          <cell r="H1786" t="str">
            <v>0,00</v>
          </cell>
          <cell r="I1786">
            <v>0</v>
          </cell>
          <cell r="J1786" t="str">
            <v>VERIFICAR</v>
          </cell>
        </row>
        <row r="1787">
          <cell r="A1787" t="str">
            <v>2.1.1.1.01.008800</v>
          </cell>
          <cell r="B1787" t="str">
            <v>TARIFAS - BANCO DO BRASIL</v>
          </cell>
          <cell r="C1787" t="str">
            <v>213,10</v>
          </cell>
          <cell r="D1787" t="str">
            <v>187,00</v>
          </cell>
          <cell r="E1787" t="str">
            <v>0,00</v>
          </cell>
          <cell r="F1787" t="str">
            <v>0,00</v>
          </cell>
          <cell r="G1787" t="str">
            <v>26,10</v>
          </cell>
          <cell r="H1787" t="str">
            <v>0,00</v>
          </cell>
          <cell r="I1787">
            <v>-26.1</v>
          </cell>
          <cell r="J1787" t="str">
            <v>VERIFICAR</v>
          </cell>
        </row>
        <row r="1788">
          <cell r="A1788" t="str">
            <v>2.1.1.1.01.008802</v>
          </cell>
          <cell r="B1788" t="str">
            <v>VALTER CATUNDA ALVES</v>
          </cell>
          <cell r="C1788" t="str">
            <v>25.533,66</v>
          </cell>
          <cell r="D1788" t="str">
            <v>25.533,66</v>
          </cell>
          <cell r="E1788" t="str">
            <v>11.027,94</v>
          </cell>
          <cell r="F1788" t="str">
            <v>11.027,94</v>
          </cell>
          <cell r="G1788" t="str">
            <v>0,00</v>
          </cell>
          <cell r="H1788" t="str">
            <v>0,00</v>
          </cell>
          <cell r="I1788">
            <v>0</v>
          </cell>
          <cell r="J1788" t="str">
            <v>VERIFICAR</v>
          </cell>
        </row>
        <row r="1789">
          <cell r="A1789" t="str">
            <v>2.1.1.1.01.008803</v>
          </cell>
          <cell r="B1789" t="str">
            <v>ITALO TRINDADE DE VARGAS</v>
          </cell>
          <cell r="C1789" t="str">
            <v>27.131,73</v>
          </cell>
          <cell r="D1789" t="str">
            <v>27.131,73</v>
          </cell>
          <cell r="E1789" t="str">
            <v>7.624,62</v>
          </cell>
          <cell r="F1789" t="str">
            <v>7.624,62</v>
          </cell>
          <cell r="G1789" t="str">
            <v>0,00</v>
          </cell>
          <cell r="H1789" t="str">
            <v>0,00</v>
          </cell>
          <cell r="I1789">
            <v>0</v>
          </cell>
          <cell r="J1789" t="str">
            <v>VERIFICAR</v>
          </cell>
        </row>
        <row r="1790">
          <cell r="A1790" t="str">
            <v>2.1.1.1.01.008804</v>
          </cell>
          <cell r="B1790" t="str">
            <v>RODRIGO ANTONIO DE SOUZA</v>
          </cell>
          <cell r="C1790" t="str">
            <v>4.597,12</v>
          </cell>
          <cell r="D1790" t="str">
            <v>4.597,12</v>
          </cell>
          <cell r="E1790" t="str">
            <v>41,00</v>
          </cell>
          <cell r="F1790" t="str">
            <v>41,00</v>
          </cell>
          <cell r="G1790" t="str">
            <v>0,00</v>
          </cell>
          <cell r="H1790" t="str">
            <v>0,00</v>
          </cell>
          <cell r="I1790">
            <v>0</v>
          </cell>
          <cell r="J1790" t="str">
            <v>VERIFICAR</v>
          </cell>
        </row>
        <row r="1791">
          <cell r="A1791" t="str">
            <v>2.1.1.1.01.008806</v>
          </cell>
          <cell r="B1791" t="str">
            <v>TALES FELIPE DE SOUZA CHAGAS</v>
          </cell>
          <cell r="C1791" t="str">
            <v>12.643,95</v>
          </cell>
          <cell r="D1791" t="str">
            <v>12.643,95</v>
          </cell>
          <cell r="E1791" t="str">
            <v>6.564,94</v>
          </cell>
          <cell r="F1791" t="str">
            <v>6.564,94</v>
          </cell>
          <cell r="G1791" t="str">
            <v>0,00</v>
          </cell>
          <cell r="H1791" t="str">
            <v>0,00</v>
          </cell>
          <cell r="I1791">
            <v>0</v>
          </cell>
          <cell r="J1791" t="str">
            <v>VERIFICAR</v>
          </cell>
        </row>
        <row r="1792">
          <cell r="A1792" t="str">
            <v>2.1.1.1.01.008807</v>
          </cell>
          <cell r="B1792" t="str">
            <v>ADELMO DE OLIVEIRA CARVALHO FILHO</v>
          </cell>
          <cell r="C1792" t="str">
            <v>2.954,04</v>
          </cell>
          <cell r="D1792" t="str">
            <v>2.954,04</v>
          </cell>
          <cell r="E1792" t="str">
            <v>5.667,15</v>
          </cell>
          <cell r="F1792" t="str">
            <v>5.667,15</v>
          </cell>
          <cell r="G1792" t="str">
            <v>0,00</v>
          </cell>
          <cell r="H1792" t="str">
            <v>0,00</v>
          </cell>
          <cell r="I1792">
            <v>0</v>
          </cell>
          <cell r="J1792" t="str">
            <v>VERIFICAR</v>
          </cell>
        </row>
        <row r="1793">
          <cell r="A1793" t="str">
            <v>2.1.1.1.01.008809</v>
          </cell>
          <cell r="B1793" t="str">
            <v>64.863.153 VALTER CATUNDA ALVES</v>
          </cell>
          <cell r="C1793" t="str">
            <v>17.404,64</v>
          </cell>
          <cell r="D1793" t="str">
            <v>17.404,64</v>
          </cell>
          <cell r="E1793" t="str">
            <v>7.634,50</v>
          </cell>
          <cell r="F1793" t="str">
            <v>7.634,50</v>
          </cell>
          <cell r="G1793" t="str">
            <v>0,00</v>
          </cell>
          <cell r="H1793" t="str">
            <v>0,00</v>
          </cell>
          <cell r="I1793">
            <v>0</v>
          </cell>
          <cell r="J1793" t="str">
            <v>VERIFICAR</v>
          </cell>
        </row>
        <row r="1794">
          <cell r="A1794" t="str">
            <v>2.1.1.1.01.008810</v>
          </cell>
          <cell r="B1794" t="str">
            <v>LIJ ROMPEPOWER MONTAGEM E MANUTENCAO LTDA</v>
          </cell>
          <cell r="C1794" t="str">
            <v>24.357,06</v>
          </cell>
          <cell r="D1794" t="str">
            <v>24.357,06</v>
          </cell>
          <cell r="E1794" t="str">
            <v>6.185,13</v>
          </cell>
          <cell r="F1794" t="str">
            <v>6.185,13</v>
          </cell>
          <cell r="G1794" t="str">
            <v>0,00</v>
          </cell>
          <cell r="H1794" t="str">
            <v>0,00</v>
          </cell>
          <cell r="I1794">
            <v>0</v>
          </cell>
          <cell r="J1794" t="str">
            <v>VERIFICAR</v>
          </cell>
        </row>
        <row r="1795">
          <cell r="A1795" t="str">
            <v>2.1.1.1.01.008811</v>
          </cell>
          <cell r="B1795" t="str">
            <v>DS HIDRO MAQUINAS LTDA</v>
          </cell>
          <cell r="C1795" t="str">
            <v>34.481,51</v>
          </cell>
          <cell r="D1795" t="str">
            <v>34.481,51</v>
          </cell>
          <cell r="E1795" t="str">
            <v>11.022,70</v>
          </cell>
          <cell r="F1795" t="str">
            <v>11.022,70</v>
          </cell>
          <cell r="G1795" t="str">
            <v>0,00</v>
          </cell>
          <cell r="H1795" t="str">
            <v>0,00</v>
          </cell>
          <cell r="I1795">
            <v>0</v>
          </cell>
          <cell r="J1795" t="str">
            <v>VERIFICAR</v>
          </cell>
        </row>
        <row r="1796">
          <cell r="A1796" t="str">
            <v>2.1.1.1.01.008812</v>
          </cell>
          <cell r="B1796" t="str">
            <v>ISAMAQ MANUTENCAO INDUSTRIAL LTDA</v>
          </cell>
          <cell r="C1796" t="str">
            <v>17.395,87</v>
          </cell>
          <cell r="D1796" t="str">
            <v>17.395,87</v>
          </cell>
          <cell r="E1796" t="str">
            <v>9.500,00</v>
          </cell>
          <cell r="F1796" t="str">
            <v>9.500,00</v>
          </cell>
          <cell r="G1796" t="str">
            <v>0,00</v>
          </cell>
          <cell r="H1796" t="str">
            <v>0,00</v>
          </cell>
          <cell r="I1796">
            <v>0</v>
          </cell>
          <cell r="J1796" t="str">
            <v>VERIFICAR</v>
          </cell>
        </row>
        <row r="1797">
          <cell r="A1797" t="str">
            <v>2.1.1.1.01.008813</v>
          </cell>
          <cell r="B1797" t="str">
            <v>65.352.552 TALES FELIPE DE SOUZA CHAGAS</v>
          </cell>
          <cell r="C1797" t="str">
            <v>14.652,33</v>
          </cell>
          <cell r="D1797" t="str">
            <v>14.652,33</v>
          </cell>
          <cell r="E1797" t="str">
            <v>9.670,00</v>
          </cell>
          <cell r="F1797" t="str">
            <v>9.670,00</v>
          </cell>
          <cell r="G1797" t="str">
            <v>0,00</v>
          </cell>
          <cell r="H1797" t="str">
            <v>0,00</v>
          </cell>
          <cell r="I1797">
            <v>0</v>
          </cell>
          <cell r="J1797" t="str">
            <v>VERIFICAR</v>
          </cell>
        </row>
        <row r="1798">
          <cell r="A1798" t="str">
            <v>2.1.1.1.01.008814</v>
          </cell>
          <cell r="B1798" t="str">
            <v>66.073.821 NATHALIA TOTOLA PEDROTI</v>
          </cell>
          <cell r="C1798" t="str">
            <v>57.467,51</v>
          </cell>
          <cell r="D1798" t="str">
            <v>57.467,51</v>
          </cell>
          <cell r="E1798" t="str">
            <v>24.263,96</v>
          </cell>
          <cell r="F1798" t="str">
            <v>24.263,96</v>
          </cell>
          <cell r="G1798" t="str">
            <v>0,00</v>
          </cell>
          <cell r="H1798" t="str">
            <v>0,00</v>
          </cell>
          <cell r="I1798">
            <v>0</v>
          </cell>
          <cell r="J1798" t="str">
            <v>VERIFICAR</v>
          </cell>
        </row>
        <row r="1799">
          <cell r="A1799" t="str">
            <v>2.1.1.1.01.008815</v>
          </cell>
          <cell r="B1799" t="str">
            <v>64.870.912 GUILHERME SABINO FAGUNDES</v>
          </cell>
          <cell r="C1799" t="str">
            <v>10.635,55</v>
          </cell>
          <cell r="D1799" t="str">
            <v>10.635,55</v>
          </cell>
          <cell r="E1799" t="str">
            <v>5.488,21</v>
          </cell>
          <cell r="F1799" t="str">
            <v>5.488,21</v>
          </cell>
          <cell r="G1799" t="str">
            <v>0,00</v>
          </cell>
          <cell r="H1799" t="str">
            <v>0,00</v>
          </cell>
          <cell r="I1799">
            <v>0</v>
          </cell>
          <cell r="J1799" t="str">
            <v>VERIFICAR</v>
          </cell>
        </row>
        <row r="1800">
          <cell r="A1800" t="str">
            <v>2.1.1.1.01.008859</v>
          </cell>
          <cell r="B1800" t="str">
            <v>THIAGO NOGUEIRA DE ARAUJO 14975312760</v>
          </cell>
          <cell r="C1800" t="str">
            <v>92.051,32</v>
          </cell>
          <cell r="D1800" t="str">
            <v>92.051,32</v>
          </cell>
          <cell r="E1800" t="str">
            <v>4.728,94</v>
          </cell>
          <cell r="F1800" t="str">
            <v>4.728,94</v>
          </cell>
          <cell r="G1800" t="str">
            <v>0,00</v>
          </cell>
          <cell r="H1800" t="str">
            <v>0,00</v>
          </cell>
          <cell r="I1800">
            <v>0</v>
          </cell>
          <cell r="J1800" t="str">
            <v>VERIFICAR</v>
          </cell>
        </row>
        <row r="1801">
          <cell r="A1801" t="str">
            <v>2.1.1.1.01.008861</v>
          </cell>
          <cell r="B1801" t="str">
            <v>FRANCISCO DAVI GOMES PINHO</v>
          </cell>
          <cell r="C1801" t="str">
            <v>86.593,17</v>
          </cell>
          <cell r="D1801" t="str">
            <v>79.413,02</v>
          </cell>
          <cell r="E1801" t="str">
            <v>0,00</v>
          </cell>
          <cell r="F1801" t="str">
            <v>0,00</v>
          </cell>
          <cell r="G1801" t="str">
            <v>7.180,15</v>
          </cell>
          <cell r="H1801" t="str">
            <v>0,00</v>
          </cell>
          <cell r="I1801">
            <v>-7180.15</v>
          </cell>
          <cell r="J1801" t="str">
            <v>VERIFICAR</v>
          </cell>
        </row>
        <row r="1802">
          <cell r="A1802" t="str">
            <v>2.1.1.1.01.008891</v>
          </cell>
          <cell r="B1802" t="str">
            <v>DIOVANI GOMES DA SILVA</v>
          </cell>
          <cell r="C1802" t="str">
            <v>14.954,40</v>
          </cell>
          <cell r="D1802" t="str">
            <v>14.954,40</v>
          </cell>
          <cell r="E1802" t="str">
            <v>1.449,51</v>
          </cell>
          <cell r="F1802" t="str">
            <v>1.449,51</v>
          </cell>
          <cell r="G1802" t="str">
            <v>0,00</v>
          </cell>
          <cell r="H1802" t="str">
            <v>0,00</v>
          </cell>
          <cell r="I1802">
            <v>0</v>
          </cell>
          <cell r="J1802" t="str">
            <v>VERIFICAR</v>
          </cell>
        </row>
        <row r="1803">
          <cell r="A1803" t="str">
            <v>2.1.1.1.01.008896</v>
          </cell>
          <cell r="B1803" t="str">
            <v>A M SILVA SERVICOS ADMINISTRATIVOS LTDA</v>
          </cell>
          <cell r="C1803" t="str">
            <v>62.383,36</v>
          </cell>
          <cell r="D1803" t="str">
            <v>62.383,36</v>
          </cell>
          <cell r="E1803" t="str">
            <v>9.500,00</v>
          </cell>
          <cell r="F1803" t="str">
            <v>9.500,00</v>
          </cell>
          <cell r="G1803" t="str">
            <v>0,00</v>
          </cell>
          <cell r="H1803" t="str">
            <v>0,00</v>
          </cell>
          <cell r="I1803">
            <v>0</v>
          </cell>
          <cell r="J1803" t="str">
            <v>VERIFICAR</v>
          </cell>
        </row>
        <row r="1804">
          <cell r="A1804" t="str">
            <v>2.1.1.1.01.008899</v>
          </cell>
          <cell r="B1804" t="str">
            <v>IFOOD BENEFICIOS E SERVICOS LTDA</v>
          </cell>
          <cell r="C1804" t="str">
            <v>131.126,29</v>
          </cell>
          <cell r="D1804" t="str">
            <v>131.126,29</v>
          </cell>
          <cell r="E1804" t="str">
            <v>140.936,26</v>
          </cell>
          <cell r="F1804" t="str">
            <v>140.936,26</v>
          </cell>
          <cell r="G1804" t="str">
            <v>0,00</v>
          </cell>
          <cell r="H1804" t="str">
            <v>0,00</v>
          </cell>
          <cell r="I1804">
            <v>0</v>
          </cell>
          <cell r="J1804" t="str">
            <v>VERIFICAR</v>
          </cell>
        </row>
        <row r="1805">
          <cell r="A1805" t="str">
            <v>2.1.1.1.01.008904</v>
          </cell>
          <cell r="B1805" t="str">
            <v>COI AVIATION LTDA</v>
          </cell>
          <cell r="C1805" t="str">
            <v>149.091,36</v>
          </cell>
          <cell r="D1805" t="str">
            <v>149.091,36</v>
          </cell>
          <cell r="E1805" t="str">
            <v>11.268,44</v>
          </cell>
          <cell r="F1805" t="str">
            <v>11.268,44</v>
          </cell>
          <cell r="G1805" t="str">
            <v>0,00</v>
          </cell>
          <cell r="H1805" t="str">
            <v>0,00</v>
          </cell>
          <cell r="I1805">
            <v>0</v>
          </cell>
          <cell r="J1805" t="str">
            <v>VERIFICAR</v>
          </cell>
        </row>
        <row r="1806">
          <cell r="A1806" t="str">
            <v>2.1.1.1.01.008910</v>
          </cell>
          <cell r="B1806" t="str">
            <v>664.960.333 CARLOS ELIAS LEOPOLDINO SEBASTIAO</v>
          </cell>
          <cell r="C1806" t="str">
            <v>14.692,96</v>
          </cell>
          <cell r="D1806" t="str">
            <v>14.692,96</v>
          </cell>
          <cell r="E1806" t="str">
            <v>5.673,66</v>
          </cell>
          <cell r="F1806" t="str">
            <v>5.673,66</v>
          </cell>
          <cell r="G1806" t="str">
            <v>0,00</v>
          </cell>
          <cell r="H1806" t="str">
            <v>0,00</v>
          </cell>
          <cell r="I1806">
            <v>0</v>
          </cell>
          <cell r="J1806" t="str">
            <v>VERIFICAR</v>
          </cell>
        </row>
        <row r="1807">
          <cell r="A1807" t="str">
            <v>2.1.1.1.01.008911</v>
          </cell>
          <cell r="B1807" t="str">
            <v>64.189.133 EDMAR LOPES FERREIRA</v>
          </cell>
          <cell r="C1807" t="str">
            <v>24.158,18</v>
          </cell>
          <cell r="D1807" t="str">
            <v>24.158,18</v>
          </cell>
          <cell r="E1807" t="str">
            <v>7.139,10</v>
          </cell>
          <cell r="F1807" t="str">
            <v>7.139,10</v>
          </cell>
          <cell r="G1807" t="str">
            <v>0,00</v>
          </cell>
          <cell r="H1807" t="str">
            <v>0,00</v>
          </cell>
          <cell r="I1807">
            <v>0</v>
          </cell>
          <cell r="J1807" t="str">
            <v>VERIFICAR</v>
          </cell>
        </row>
        <row r="1808">
          <cell r="A1808" t="str">
            <v>2.1.1.1.01.008936</v>
          </cell>
          <cell r="B1808" t="str">
            <v>BRUNO SOUZA SILVA</v>
          </cell>
          <cell r="C1808" t="str">
            <v>15.997,82</v>
          </cell>
          <cell r="D1808" t="str">
            <v>15.997,82</v>
          </cell>
          <cell r="E1808" t="str">
            <v>1.250,12</v>
          </cell>
          <cell r="F1808" t="str">
            <v>1.250,12</v>
          </cell>
          <cell r="G1808" t="str">
            <v>0,00</v>
          </cell>
          <cell r="H1808" t="str">
            <v>0,00</v>
          </cell>
          <cell r="I1808">
            <v>0</v>
          </cell>
          <cell r="J1808" t="str">
            <v>VERIFICAR</v>
          </cell>
        </row>
        <row r="1809">
          <cell r="A1809" t="str">
            <v>2.1.1.1.01.008937</v>
          </cell>
          <cell r="B1809" t="str">
            <v>CHARLES DE OLIVEIRA IAVORSKI</v>
          </cell>
          <cell r="C1809" t="str">
            <v>68.937,61</v>
          </cell>
          <cell r="D1809" t="str">
            <v>66.737,61</v>
          </cell>
          <cell r="E1809" t="str">
            <v>3.530,42</v>
          </cell>
          <cell r="F1809" t="str">
            <v>3.530,42</v>
          </cell>
          <cell r="G1809" t="str">
            <v>2.200,00</v>
          </cell>
          <cell r="H1809" t="str">
            <v>0,00</v>
          </cell>
          <cell r="I1809">
            <v>-2200</v>
          </cell>
          <cell r="J1809" t="str">
            <v>VERIFICAR</v>
          </cell>
        </row>
        <row r="1810">
          <cell r="A1810" t="str">
            <v>2.1.1.1.01.008952</v>
          </cell>
          <cell r="B1810" t="str">
            <v>66.031.523 DOUGLAS DA ROCHA MARTINS</v>
          </cell>
          <cell r="C1810" t="str">
            <v>0,00</v>
          </cell>
          <cell r="D1810" t="str">
            <v>0,00</v>
          </cell>
          <cell r="E1810" t="str">
            <v>7.661,69</v>
          </cell>
          <cell r="F1810" t="str">
            <v>7.661,69</v>
          </cell>
          <cell r="G1810" t="str">
            <v>0,00</v>
          </cell>
          <cell r="H1810" t="str">
            <v>0,00</v>
          </cell>
          <cell r="I1810">
            <v>0</v>
          </cell>
          <cell r="J1810" t="str">
            <v>VERIFICAR</v>
          </cell>
        </row>
        <row r="1811">
          <cell r="A1811" t="str">
            <v>2.1.1.1.01.008954</v>
          </cell>
          <cell r="B1811" t="str">
            <v>WELLINGTON TEIXEIRA SILVA</v>
          </cell>
          <cell r="C1811" t="str">
            <v>0,00</v>
          </cell>
          <cell r="D1811" t="str">
            <v>0,00</v>
          </cell>
          <cell r="E1811" t="str">
            <v>500,00</v>
          </cell>
          <cell r="F1811" t="str">
            <v>500,00</v>
          </cell>
          <cell r="G1811" t="str">
            <v>0,00</v>
          </cell>
          <cell r="H1811" t="str">
            <v>0,00</v>
          </cell>
          <cell r="I1811">
            <v>0</v>
          </cell>
          <cell r="J1811" t="str">
            <v>VERIFICAR</v>
          </cell>
        </row>
        <row r="1812">
          <cell r="A1812" t="str">
            <v>2.1.1.1.01.008963</v>
          </cell>
          <cell r="B1812" t="str">
            <v>ON RTDPJ</v>
          </cell>
          <cell r="C1812" t="str">
            <v>3.403,90</v>
          </cell>
          <cell r="D1812" t="str">
            <v>0,00</v>
          </cell>
          <cell r="E1812" t="str">
            <v>0,00</v>
          </cell>
          <cell r="F1812" t="str">
            <v>0,00</v>
          </cell>
          <cell r="G1812" t="str">
            <v>3.403,90</v>
          </cell>
          <cell r="H1812" t="str">
            <v>0,00</v>
          </cell>
          <cell r="I1812">
            <v>-3403.9</v>
          </cell>
          <cell r="J1812" t="str">
            <v>VERIFICAR</v>
          </cell>
        </row>
        <row r="1813">
          <cell r="A1813" t="str">
            <v>2.1.1.1.01.008967</v>
          </cell>
          <cell r="B1813" t="str">
            <v>J BATISTA DE OLIVEIRA</v>
          </cell>
          <cell r="C1813" t="str">
            <v>11.313,72</v>
          </cell>
          <cell r="D1813" t="str">
            <v>11.313,72</v>
          </cell>
          <cell r="E1813" t="str">
            <v>10.652,00</v>
          </cell>
          <cell r="F1813" t="str">
            <v>10.652,00</v>
          </cell>
          <cell r="G1813" t="str">
            <v>0,00</v>
          </cell>
          <cell r="H1813" t="str">
            <v>0,00</v>
          </cell>
          <cell r="I1813">
            <v>0</v>
          </cell>
          <cell r="J1813" t="str">
            <v>VERIFICAR</v>
          </cell>
        </row>
        <row r="1814">
          <cell r="A1814" t="str">
            <v>2.1.1.1.01.008998</v>
          </cell>
          <cell r="B1814" t="str">
            <v>DIAS TESTE - FORNECEDOR</v>
          </cell>
          <cell r="C1814" t="str">
            <v>11.779,75</v>
          </cell>
          <cell r="D1814" t="str">
            <v>11.779,75</v>
          </cell>
          <cell r="E1814" t="str">
            <v>578,52</v>
          </cell>
          <cell r="F1814" t="str">
            <v>578,52</v>
          </cell>
          <cell r="G1814" t="str">
            <v>0,00</v>
          </cell>
          <cell r="H1814" t="str">
            <v>0,00</v>
          </cell>
          <cell r="I1814">
            <v>0</v>
          </cell>
          <cell r="J1814" t="str">
            <v>VERIFICAR</v>
          </cell>
        </row>
        <row r="1815">
          <cell r="A1815" t="str">
            <v>2.1.1.1.01.008999</v>
          </cell>
          <cell r="B1815" t="str">
            <v>MULTAS - VEICULOS FROTA</v>
          </cell>
          <cell r="C1815" t="str">
            <v>40.260,92</v>
          </cell>
          <cell r="D1815" t="str">
            <v>41.129,32</v>
          </cell>
          <cell r="E1815" t="str">
            <v>3.363,95</v>
          </cell>
          <cell r="F1815" t="str">
            <v>3.379,95</v>
          </cell>
          <cell r="G1815" t="str">
            <v>0,00</v>
          </cell>
          <cell r="H1815" t="str">
            <v>884,40</v>
          </cell>
          <cell r="I1815">
            <v>884.4</v>
          </cell>
          <cell r="J1815" t="str">
            <v>VERIFICAR</v>
          </cell>
        </row>
        <row r="1816">
          <cell r="A1816" t="str">
            <v>2.1.1.1.01.009091</v>
          </cell>
          <cell r="B1816" t="str">
            <v>64.797.203 PAULO VICTOR LIMA MACHADO</v>
          </cell>
          <cell r="C1816" t="str">
            <v>19.129,33</v>
          </cell>
          <cell r="D1816" t="str">
            <v>19.129,33</v>
          </cell>
          <cell r="E1816" t="str">
            <v>5.565,00</v>
          </cell>
          <cell r="F1816" t="str">
            <v>5.565,00</v>
          </cell>
          <cell r="G1816" t="str">
            <v>0,00</v>
          </cell>
          <cell r="H1816" t="str">
            <v>0,00</v>
          </cell>
          <cell r="I1816">
            <v>0</v>
          </cell>
          <cell r="J1816" t="str">
            <v>VERIFICAR</v>
          </cell>
        </row>
        <row r="1817">
          <cell r="A1817" t="str">
            <v>2.1.1.1.01.009097</v>
          </cell>
          <cell r="B1817" t="str">
            <v>ITALO TRINDADE DE VARGAS LTDA</v>
          </cell>
          <cell r="C1817" t="str">
            <v>15.027,88</v>
          </cell>
          <cell r="D1817" t="str">
            <v>15.027,88</v>
          </cell>
          <cell r="E1817" t="str">
            <v>5.119,10</v>
          </cell>
          <cell r="F1817" t="str">
            <v>5.119,10</v>
          </cell>
          <cell r="G1817" t="str">
            <v>0,00</v>
          </cell>
          <cell r="H1817" t="str">
            <v>0,00</v>
          </cell>
          <cell r="I1817">
            <v>0</v>
          </cell>
          <cell r="J1817" t="str">
            <v>VERIFICAR</v>
          </cell>
        </row>
        <row r="1818">
          <cell r="A1818" t="str">
            <v>2.1.1.1.01.009098</v>
          </cell>
          <cell r="B1818" t="str">
            <v>64.845.635 THAMIRIS ELIAS PEREIRA</v>
          </cell>
          <cell r="C1818" t="str">
            <v>46.118,89</v>
          </cell>
          <cell r="D1818" t="str">
            <v>46.118,89</v>
          </cell>
          <cell r="E1818" t="str">
            <v>3.500,00</v>
          </cell>
          <cell r="F1818" t="str">
            <v>3.500,00</v>
          </cell>
          <cell r="G1818" t="str">
            <v>0,00</v>
          </cell>
          <cell r="H1818" t="str">
            <v>0,00</v>
          </cell>
          <cell r="I1818">
            <v>0</v>
          </cell>
          <cell r="J1818" t="str">
            <v>VERIFICAR</v>
          </cell>
        </row>
        <row r="1819">
          <cell r="A1819" t="str">
            <v>2.1.1.1.01.009311</v>
          </cell>
          <cell r="B1819" t="str">
            <v>INOV ETIQUETAS LTDA</v>
          </cell>
          <cell r="C1819" t="str">
            <v>401.882,76</v>
          </cell>
          <cell r="D1819" t="str">
            <v>404.471,59</v>
          </cell>
          <cell r="E1819" t="str">
            <v>9.521,58</v>
          </cell>
          <cell r="F1819" t="str">
            <v>14.283,12</v>
          </cell>
          <cell r="G1819" t="str">
            <v>0,00</v>
          </cell>
          <cell r="H1819" t="str">
            <v>7.350,37</v>
          </cell>
          <cell r="I1819">
            <v>7350.37</v>
          </cell>
          <cell r="J1819" t="str">
            <v>VERIFICAR</v>
          </cell>
        </row>
        <row r="1820">
          <cell r="A1820" t="str">
            <v>2.1.1.1.01.009313</v>
          </cell>
          <cell r="B1820" t="str">
            <v>PROTEFLEX SANFONAS E ACESSÓRIOS PARA MAQ</v>
          </cell>
          <cell r="C1820" t="str">
            <v>106.217,00</v>
          </cell>
          <cell r="D1820" t="str">
            <v>108.167,00</v>
          </cell>
          <cell r="E1820" t="str">
            <v>4.585,00</v>
          </cell>
          <cell r="F1820" t="str">
            <v>5.270,00</v>
          </cell>
          <cell r="G1820" t="str">
            <v>0,00</v>
          </cell>
          <cell r="H1820" t="str">
            <v>2.635,00</v>
          </cell>
          <cell r="I1820">
            <v>2635</v>
          </cell>
          <cell r="J1820" t="str">
            <v>VERIFICAR</v>
          </cell>
        </row>
        <row r="1821">
          <cell r="A1821" t="str">
            <v>2.1.1.1.01.009333</v>
          </cell>
          <cell r="B1821" t="str">
            <v>BR TEC PNEUMATICA E SERVICOS INDUSTRIAIS</v>
          </cell>
          <cell r="C1821" t="str">
            <v>8.135,99</v>
          </cell>
          <cell r="D1821" t="str">
            <v>8.136,00</v>
          </cell>
          <cell r="E1821" t="str">
            <v>0,00</v>
          </cell>
          <cell r="F1821" t="str">
            <v>0,00</v>
          </cell>
          <cell r="G1821" t="str">
            <v>0,00</v>
          </cell>
          <cell r="H1821" t="str">
            <v>0,01</v>
          </cell>
          <cell r="I1821">
            <v>0.01</v>
          </cell>
          <cell r="J1821" t="str">
            <v>VERIFICAR</v>
          </cell>
        </row>
        <row r="1822">
          <cell r="A1822" t="str">
            <v>2.1.1.1.01.009334</v>
          </cell>
          <cell r="B1822" t="str">
            <v>LMPP ADMINISTRADORA DE HOTEIS LTDA</v>
          </cell>
          <cell r="C1822" t="str">
            <v>628,31</v>
          </cell>
          <cell r="D1822" t="str">
            <v>2.511,40</v>
          </cell>
          <cell r="E1822" t="str">
            <v>1.883,09</v>
          </cell>
          <cell r="F1822" t="str">
            <v>0,00</v>
          </cell>
          <cell r="G1822" t="str">
            <v>0,00</v>
          </cell>
          <cell r="H1822" t="str">
            <v>0,00</v>
          </cell>
          <cell r="I1822">
            <v>0</v>
          </cell>
          <cell r="J1822" t="str">
            <v>VERIFICAR</v>
          </cell>
        </row>
        <row r="1823">
          <cell r="A1823" t="str">
            <v>2.1.1.1.01.009339</v>
          </cell>
          <cell r="B1823" t="str">
            <v>COMPANHIA DE AGUA E ESGOTO DO CEARA CAGE</v>
          </cell>
          <cell r="C1823" t="str">
            <v>5.295,85</v>
          </cell>
          <cell r="D1823" t="str">
            <v>5.295,85</v>
          </cell>
          <cell r="E1823" t="str">
            <v>169,90</v>
          </cell>
          <cell r="F1823" t="str">
            <v>169,90</v>
          </cell>
          <cell r="G1823" t="str">
            <v>0,00</v>
          </cell>
          <cell r="H1823" t="str">
            <v>0,00</v>
          </cell>
          <cell r="I1823">
            <v>0</v>
          </cell>
          <cell r="J1823" t="str">
            <v>VERIFICAR</v>
          </cell>
        </row>
        <row r="1824">
          <cell r="A1824" t="str">
            <v>2.1.1.1.01.009354</v>
          </cell>
          <cell r="B1824" t="str">
            <v>EBER DE ARRUDA FERREIRA</v>
          </cell>
          <cell r="C1824" t="str">
            <v>214.389,25</v>
          </cell>
          <cell r="D1824" t="str">
            <v>214.389,25</v>
          </cell>
          <cell r="E1824" t="str">
            <v>6.108,62</v>
          </cell>
          <cell r="F1824" t="str">
            <v>6.108,62</v>
          </cell>
          <cell r="G1824" t="str">
            <v>0,00</v>
          </cell>
          <cell r="H1824" t="str">
            <v>0,00</v>
          </cell>
          <cell r="I1824">
            <v>0</v>
          </cell>
          <cell r="J1824" t="str">
            <v>VERIFICAR</v>
          </cell>
        </row>
        <row r="1825">
          <cell r="A1825" t="str">
            <v>2.1.1.1.01.009357</v>
          </cell>
          <cell r="B1825" t="str">
            <v>37.148.185 LUCAS CESAR DOS REIS BENTO</v>
          </cell>
          <cell r="C1825" t="str">
            <v>205.891,79</v>
          </cell>
          <cell r="D1825" t="str">
            <v>205.891,79</v>
          </cell>
          <cell r="E1825" t="str">
            <v>6.827,28</v>
          </cell>
          <cell r="F1825" t="str">
            <v>6.827,28</v>
          </cell>
          <cell r="G1825" t="str">
            <v>0,00</v>
          </cell>
          <cell r="H1825" t="str">
            <v>0,00</v>
          </cell>
          <cell r="I1825">
            <v>0</v>
          </cell>
          <cell r="J1825" t="str">
            <v>VERIFICAR</v>
          </cell>
        </row>
        <row r="1826">
          <cell r="A1826" t="str">
            <v>2.1.1.1.01.009380</v>
          </cell>
          <cell r="B1826" t="str">
            <v>LUIZ MOTO MECANICA</v>
          </cell>
          <cell r="C1826" t="str">
            <v>3.540,00</v>
          </cell>
          <cell r="D1826" t="str">
            <v>3.540,00</v>
          </cell>
          <cell r="E1826" t="str">
            <v>800,00</v>
          </cell>
          <cell r="F1826" t="str">
            <v>800,00</v>
          </cell>
          <cell r="G1826" t="str">
            <v>0,00</v>
          </cell>
          <cell r="H1826" t="str">
            <v>0,00</v>
          </cell>
          <cell r="I1826">
            <v>0</v>
          </cell>
          <cell r="J1826" t="str">
            <v>VERIFICAR</v>
          </cell>
        </row>
        <row r="1827">
          <cell r="A1827" t="str">
            <v>2.1.1.1.01.009382</v>
          </cell>
          <cell r="B1827" t="str">
            <v>49.733.472 IVAN HONORATO DA SILVA</v>
          </cell>
          <cell r="C1827" t="str">
            <v>12.600,00</v>
          </cell>
          <cell r="D1827" t="str">
            <v>12.600,00</v>
          </cell>
          <cell r="E1827" t="str">
            <v>1.400,00</v>
          </cell>
          <cell r="F1827" t="str">
            <v>1.400,00</v>
          </cell>
          <cell r="G1827" t="str">
            <v>0,00</v>
          </cell>
          <cell r="H1827" t="str">
            <v>0,00</v>
          </cell>
          <cell r="I1827">
            <v>0</v>
          </cell>
          <cell r="J1827" t="str">
            <v>VERIFICAR</v>
          </cell>
        </row>
        <row r="1828">
          <cell r="A1828" t="str">
            <v>2.1.1.1.01.009399</v>
          </cell>
          <cell r="B1828" t="str">
            <v>FLEX COMERCIO IMPORTACAO E EXPORTACAO LT</v>
          </cell>
          <cell r="C1828" t="str">
            <v>78.965,19</v>
          </cell>
          <cell r="D1828" t="str">
            <v>86.192,69</v>
          </cell>
          <cell r="E1828" t="str">
            <v>7.227,50</v>
          </cell>
          <cell r="F1828" t="str">
            <v>10.841,25</v>
          </cell>
          <cell r="G1828" t="str">
            <v>0,00</v>
          </cell>
          <cell r="H1828" t="str">
            <v>10.841,25</v>
          </cell>
          <cell r="I1828">
            <v>10841.25</v>
          </cell>
          <cell r="J1828" t="str">
            <v>VERIFICAR</v>
          </cell>
        </row>
        <row r="1829">
          <cell r="A1829" t="str">
            <v>2.1.1.1.01.009401</v>
          </cell>
          <cell r="B1829" t="str">
            <v>47ELETRICA S.A</v>
          </cell>
          <cell r="C1829" t="str">
            <v>15.199,09</v>
          </cell>
          <cell r="D1829" t="str">
            <v>15.199,09</v>
          </cell>
          <cell r="E1829" t="str">
            <v>1.000,00</v>
          </cell>
          <cell r="F1829" t="str">
            <v>1.000,00</v>
          </cell>
          <cell r="G1829" t="str">
            <v>0,00</v>
          </cell>
          <cell r="H1829" t="str">
            <v>0,00</v>
          </cell>
          <cell r="I1829">
            <v>0</v>
          </cell>
          <cell r="J1829" t="str">
            <v>VERIFICAR</v>
          </cell>
        </row>
        <row r="1830">
          <cell r="A1830" t="str">
            <v>2.1.1.1.01.009402</v>
          </cell>
          <cell r="B1830" t="str">
            <v>GURGELMIX MAQUINAS E FERRAMENTAS S</v>
          </cell>
          <cell r="C1830" t="str">
            <v>1.072,07</v>
          </cell>
          <cell r="D1830" t="str">
            <v>1.359,16</v>
          </cell>
          <cell r="E1830" t="str">
            <v>671,08</v>
          </cell>
          <cell r="F1830" t="str">
            <v>383,99</v>
          </cell>
          <cell r="G1830" t="str">
            <v>0,00</v>
          </cell>
          <cell r="H1830" t="str">
            <v>0,00</v>
          </cell>
          <cell r="I1830">
            <v>0</v>
          </cell>
          <cell r="J1830" t="str">
            <v>VERIFICAR</v>
          </cell>
        </row>
        <row r="1831">
          <cell r="A1831" t="str">
            <v>2.1.1.1.01.009406</v>
          </cell>
          <cell r="B1831" t="str">
            <v>DACOTA CONDUTORES ELÉTRICOS LTDA</v>
          </cell>
          <cell r="C1831" t="str">
            <v>493.832,11</v>
          </cell>
          <cell r="D1831" t="str">
            <v>564.821,20</v>
          </cell>
          <cell r="E1831" t="str">
            <v>57.677,78</v>
          </cell>
          <cell r="F1831" t="str">
            <v>48.490,18</v>
          </cell>
          <cell r="G1831" t="str">
            <v>0,00</v>
          </cell>
          <cell r="H1831" t="str">
            <v>61.801,49</v>
          </cell>
          <cell r="I1831">
            <v>61801.49</v>
          </cell>
          <cell r="J1831" t="str">
            <v>VERIFICAR</v>
          </cell>
        </row>
        <row r="1832">
          <cell r="A1832" t="str">
            <v>2.1.1.1.01.009417</v>
          </cell>
          <cell r="B1832" t="str">
            <v>FUNDICAO AVANTTI LTDA</v>
          </cell>
          <cell r="C1832" t="str">
            <v>113.140,34</v>
          </cell>
          <cell r="D1832" t="str">
            <v>122.050,92</v>
          </cell>
          <cell r="E1832" t="str">
            <v>8.910,58</v>
          </cell>
          <cell r="F1832" t="str">
            <v>0,00</v>
          </cell>
          <cell r="G1832" t="str">
            <v>0,00</v>
          </cell>
          <cell r="H1832" t="str">
            <v>0,00</v>
          </cell>
          <cell r="I1832">
            <v>0</v>
          </cell>
          <cell r="J1832" t="str">
            <v>VERIFICAR</v>
          </cell>
        </row>
        <row r="1833">
          <cell r="A1833" t="str">
            <v>2.1.1.1.01.009430</v>
          </cell>
          <cell r="B1833" t="str">
            <v>LAMESA CABOS ELÉTRICOS LTDA</v>
          </cell>
          <cell r="C1833" t="str">
            <v>753.288,61</v>
          </cell>
          <cell r="D1833" t="str">
            <v>791.018,36</v>
          </cell>
          <cell r="E1833" t="str">
            <v>30.356,33</v>
          </cell>
          <cell r="F1833" t="str">
            <v>105.365,63</v>
          </cell>
          <cell r="G1833" t="str">
            <v>0,00</v>
          </cell>
          <cell r="H1833" t="str">
            <v>112.739,05</v>
          </cell>
          <cell r="I1833">
            <v>112739.05</v>
          </cell>
          <cell r="J1833" t="str">
            <v>VERIFICAR</v>
          </cell>
        </row>
        <row r="1834">
          <cell r="A1834" t="str">
            <v>2.1.1.1.01.009439</v>
          </cell>
          <cell r="B1834" t="str">
            <v>PAULO VICTOR FERREIRA TRINDADE 004015331</v>
          </cell>
          <cell r="C1834" t="str">
            <v>10.378,57</v>
          </cell>
          <cell r="D1834" t="str">
            <v>10.366,57</v>
          </cell>
          <cell r="E1834" t="str">
            <v>0,00</v>
          </cell>
          <cell r="F1834" t="str">
            <v>0,00</v>
          </cell>
          <cell r="G1834" t="str">
            <v>12,00</v>
          </cell>
          <cell r="H1834" t="str">
            <v>0,00</v>
          </cell>
          <cell r="I1834">
            <v>-12</v>
          </cell>
          <cell r="J1834" t="str">
            <v>VERIFICAR</v>
          </cell>
        </row>
        <row r="1835">
          <cell r="A1835" t="str">
            <v>2.1.1.1.01.009484</v>
          </cell>
          <cell r="B1835" t="str">
            <v>POLIFITEMA INDUSTRIA E COMERCIO LTDA</v>
          </cell>
          <cell r="C1835" t="str">
            <v>17.448,20</v>
          </cell>
          <cell r="D1835" t="str">
            <v>20.296,13</v>
          </cell>
          <cell r="E1835" t="str">
            <v>2.847,93</v>
          </cell>
          <cell r="F1835" t="str">
            <v>0,00</v>
          </cell>
          <cell r="G1835" t="str">
            <v>0,00</v>
          </cell>
          <cell r="H1835" t="str">
            <v>0,00</v>
          </cell>
          <cell r="I1835">
            <v>0</v>
          </cell>
          <cell r="J1835" t="str">
            <v>VERIFICAR</v>
          </cell>
        </row>
        <row r="1836">
          <cell r="A1836" t="str">
            <v>2.1.1.1.01.009485</v>
          </cell>
          <cell r="B1836" t="str">
            <v>ALEXIA ROBERTA NOGUEIRA MENEZES</v>
          </cell>
          <cell r="C1836" t="str">
            <v>382.755,91</v>
          </cell>
          <cell r="D1836" t="str">
            <v>382.755,91</v>
          </cell>
          <cell r="E1836" t="str">
            <v>3.920,00</v>
          </cell>
          <cell r="F1836" t="str">
            <v>5.220,00</v>
          </cell>
          <cell r="G1836" t="str">
            <v>0,00</v>
          </cell>
          <cell r="H1836" t="str">
            <v>1.300,00</v>
          </cell>
          <cell r="I1836">
            <v>1300</v>
          </cell>
          <cell r="J1836" t="str">
            <v>VERIFICAR</v>
          </cell>
        </row>
        <row r="1837">
          <cell r="A1837" t="str">
            <v>2.1.1.1.01.009493</v>
          </cell>
          <cell r="B1837" t="str">
            <v>PERFILCON PERFILADOS CONTIN LTDA - EPP</v>
          </cell>
          <cell r="C1837" t="str">
            <v>4.249.302,46</v>
          </cell>
          <cell r="D1837" t="str">
            <v>4.493.568,34</v>
          </cell>
          <cell r="E1837" t="str">
            <v>149.158,43</v>
          </cell>
          <cell r="F1837" t="str">
            <v>134.656,55</v>
          </cell>
          <cell r="G1837" t="str">
            <v>0,00</v>
          </cell>
          <cell r="H1837" t="str">
            <v>229.764,00</v>
          </cell>
          <cell r="I1837">
            <v>229764</v>
          </cell>
          <cell r="J1837" t="str">
            <v>VERIFICAR</v>
          </cell>
        </row>
        <row r="1838">
          <cell r="A1838" t="str">
            <v>2.1.1.1.01.009500</v>
          </cell>
          <cell r="B1838" t="str">
            <v>ZURICH SANTANDER BRASIL SEGUROS S.A.</v>
          </cell>
          <cell r="C1838" t="str">
            <v>41.942,87</v>
          </cell>
          <cell r="D1838" t="str">
            <v>40.185,62</v>
          </cell>
          <cell r="E1838" t="str">
            <v>1.946,16</v>
          </cell>
          <cell r="F1838" t="str">
            <v>1.946,16</v>
          </cell>
          <cell r="G1838" t="str">
            <v>1.757,25</v>
          </cell>
          <cell r="H1838" t="str">
            <v>0,00</v>
          </cell>
          <cell r="I1838">
            <v>-1757.25</v>
          </cell>
          <cell r="J1838" t="str">
            <v>VERIFICAR</v>
          </cell>
        </row>
        <row r="1839">
          <cell r="A1839" t="str">
            <v>2.1.1.1.01.009527</v>
          </cell>
          <cell r="B1839" t="str">
            <v>SG DE SOUZA LTDA</v>
          </cell>
          <cell r="C1839" t="str">
            <v>12.890,00</v>
          </cell>
          <cell r="D1839" t="str">
            <v>12.890,00</v>
          </cell>
          <cell r="E1839" t="str">
            <v>0,00</v>
          </cell>
          <cell r="F1839" t="str">
            <v>600,00</v>
          </cell>
          <cell r="G1839" t="str">
            <v>0,00</v>
          </cell>
          <cell r="H1839" t="str">
            <v>600,00</v>
          </cell>
          <cell r="I1839">
            <v>600</v>
          </cell>
          <cell r="J1839" t="str">
            <v>VERIFICAR</v>
          </cell>
        </row>
        <row r="1840">
          <cell r="A1840" t="str">
            <v>2.1.1.1.01.009564</v>
          </cell>
          <cell r="B1840" t="str">
            <v>ROCKETSEAT SA</v>
          </cell>
          <cell r="C1840" t="str">
            <v>8.064,39</v>
          </cell>
          <cell r="D1840" t="str">
            <v>8.064,39</v>
          </cell>
          <cell r="E1840" t="str">
            <v>1.647,75</v>
          </cell>
          <cell r="F1840" t="str">
            <v>1.647,72</v>
          </cell>
          <cell r="G1840" t="str">
            <v>0,03</v>
          </cell>
          <cell r="H1840" t="str">
            <v>0,00</v>
          </cell>
          <cell r="I1840">
            <v>-0.03</v>
          </cell>
          <cell r="J1840" t="str">
            <v>VERIFICAR</v>
          </cell>
        </row>
        <row r="1841">
          <cell r="A1841" t="str">
            <v>2.1.1.1.01.009574</v>
          </cell>
          <cell r="B1841" t="str">
            <v>JVA ELECTRIC LTDA</v>
          </cell>
          <cell r="C1841" t="str">
            <v>56.372,23</v>
          </cell>
          <cell r="D1841" t="str">
            <v>67.354,09</v>
          </cell>
          <cell r="E1841" t="str">
            <v>4.688,38</v>
          </cell>
          <cell r="F1841" t="str">
            <v>0,00</v>
          </cell>
          <cell r="G1841" t="str">
            <v>0,00</v>
          </cell>
          <cell r="H1841" t="str">
            <v>6.293,48</v>
          </cell>
          <cell r="I1841">
            <v>6293.48</v>
          </cell>
          <cell r="J1841" t="str">
            <v>VERIFICAR</v>
          </cell>
        </row>
        <row r="1842">
          <cell r="A1842" t="str">
            <v>2.1.1.1.01.009576</v>
          </cell>
          <cell r="B1842" t="str">
            <v>PRO QUADROS INDUSTRIA E COMERCIO LTDA</v>
          </cell>
          <cell r="C1842" t="str">
            <v>139.113,14</v>
          </cell>
          <cell r="D1842" t="str">
            <v>148.698,06</v>
          </cell>
          <cell r="E1842" t="str">
            <v>8.366,76</v>
          </cell>
          <cell r="F1842" t="str">
            <v>14.463,31</v>
          </cell>
          <cell r="G1842" t="str">
            <v>0,00</v>
          </cell>
          <cell r="H1842" t="str">
            <v>15.681,47</v>
          </cell>
          <cell r="I1842">
            <v>15681.47</v>
          </cell>
          <cell r="J1842" t="str">
            <v>VERIFICAR</v>
          </cell>
        </row>
        <row r="1843">
          <cell r="A1843" t="str">
            <v>2.1.1.1.01.009577</v>
          </cell>
          <cell r="B1843" t="str">
            <v>MALTA MINAS INDUSTRIAL LTDA</v>
          </cell>
          <cell r="C1843" t="str">
            <v>78.565,52</v>
          </cell>
          <cell r="D1843" t="str">
            <v>78.565,51</v>
          </cell>
          <cell r="E1843" t="str">
            <v>0,00</v>
          </cell>
          <cell r="F1843" t="str">
            <v>0,00</v>
          </cell>
          <cell r="G1843" t="str">
            <v>0,01</v>
          </cell>
          <cell r="H1843" t="str">
            <v>0,00</v>
          </cell>
          <cell r="I1843">
            <v>-0.01</v>
          </cell>
          <cell r="J1843" t="str">
            <v>VERIFICAR</v>
          </cell>
        </row>
        <row r="1844">
          <cell r="A1844" t="str">
            <v>2.1.1.1.01.009580</v>
          </cell>
          <cell r="B1844" t="str">
            <v>M P LOC MAN E PEÇAS DE EMPILHADEIRA LTDA</v>
          </cell>
          <cell r="C1844" t="str">
            <v>42.159,96</v>
          </cell>
          <cell r="D1844" t="str">
            <v>42.159,95</v>
          </cell>
          <cell r="E1844" t="str">
            <v>0,00</v>
          </cell>
          <cell r="F1844" t="str">
            <v>0,00</v>
          </cell>
          <cell r="G1844" t="str">
            <v>0,01</v>
          </cell>
          <cell r="H1844" t="str">
            <v>0,00</v>
          </cell>
          <cell r="I1844">
            <v>-0.01</v>
          </cell>
          <cell r="J1844" t="str">
            <v>VERIFICAR</v>
          </cell>
        </row>
        <row r="1845">
          <cell r="A1845" t="str">
            <v>2.1.1.1.01.009586</v>
          </cell>
          <cell r="B1845" t="str">
            <v>TOTAL STONE DO BRASIL LTDA</v>
          </cell>
          <cell r="C1845" t="str">
            <v>13.199,98</v>
          </cell>
          <cell r="D1845" t="str">
            <v>20.000,00</v>
          </cell>
          <cell r="E1845" t="str">
            <v>0,00</v>
          </cell>
          <cell r="F1845" t="str">
            <v>0,00</v>
          </cell>
          <cell r="G1845" t="str">
            <v>0,00</v>
          </cell>
          <cell r="H1845" t="str">
            <v>6.800,02</v>
          </cell>
          <cell r="I1845">
            <v>6800.02</v>
          </cell>
          <cell r="J1845" t="str">
            <v>VERIFICAR</v>
          </cell>
        </row>
        <row r="1846">
          <cell r="A1846" t="str">
            <v>2.1.1.1.01.009661</v>
          </cell>
          <cell r="B1846" t="str">
            <v>RODRIGO DO CARMO OLIVEIRA</v>
          </cell>
          <cell r="C1846" t="str">
            <v>59.238,40</v>
          </cell>
          <cell r="D1846" t="str">
            <v>59.238,40</v>
          </cell>
          <cell r="E1846" t="str">
            <v>6.400,28</v>
          </cell>
          <cell r="F1846" t="str">
            <v>6.400,28</v>
          </cell>
          <cell r="G1846" t="str">
            <v>0,00</v>
          </cell>
          <cell r="H1846" t="str">
            <v>0,00</v>
          </cell>
          <cell r="I1846">
            <v>0</v>
          </cell>
          <cell r="J1846" t="str">
            <v>VERIFICAR</v>
          </cell>
        </row>
        <row r="1847">
          <cell r="A1847" t="str">
            <v>2.1.1.1.01.009668</v>
          </cell>
          <cell r="B1847" t="str">
            <v>CESAR RICARDO MATHIAS LTDA</v>
          </cell>
          <cell r="C1847" t="str">
            <v>30.228,32</v>
          </cell>
          <cell r="D1847" t="str">
            <v>37.252,80</v>
          </cell>
          <cell r="E1847" t="str">
            <v>0,00</v>
          </cell>
          <cell r="F1847" t="str">
            <v>0,00</v>
          </cell>
          <cell r="G1847" t="str">
            <v>0,00</v>
          </cell>
          <cell r="H1847" t="str">
            <v>7.024,48</v>
          </cell>
          <cell r="I1847">
            <v>7024.48</v>
          </cell>
          <cell r="J1847" t="str">
            <v>VERIFICAR</v>
          </cell>
        </row>
        <row r="1848">
          <cell r="A1848" t="str">
            <v>2.1.1.1.01.009721</v>
          </cell>
          <cell r="B1848" t="str">
            <v>NSK BRASIL LTDA</v>
          </cell>
          <cell r="C1848" t="str">
            <v>1.443.909,01</v>
          </cell>
          <cell r="D1848" t="str">
            <v>1.585.253,33</v>
          </cell>
          <cell r="E1848" t="str">
            <v>128.528,74</v>
          </cell>
          <cell r="F1848" t="str">
            <v>1.066,03</v>
          </cell>
          <cell r="G1848" t="str">
            <v>0,00</v>
          </cell>
          <cell r="H1848" t="str">
            <v>13.881,61</v>
          </cell>
          <cell r="I1848">
            <v>13881.61</v>
          </cell>
          <cell r="J1848" t="str">
            <v>VERIFICAR</v>
          </cell>
        </row>
        <row r="1849">
          <cell r="A1849" t="str">
            <v>2.1.1.1.01.009722</v>
          </cell>
          <cell r="B1849" t="str">
            <v>LUMAREX COMERCIAL LTDA</v>
          </cell>
          <cell r="C1849" t="str">
            <v>1.962,40</v>
          </cell>
          <cell r="D1849" t="str">
            <v>3.014,40</v>
          </cell>
          <cell r="E1849" t="str">
            <v>1.052,00</v>
          </cell>
          <cell r="F1849" t="str">
            <v>0,00</v>
          </cell>
          <cell r="G1849" t="str">
            <v>0,00</v>
          </cell>
          <cell r="H1849" t="str">
            <v>0,00</v>
          </cell>
          <cell r="I1849">
            <v>0</v>
          </cell>
          <cell r="J1849" t="str">
            <v>VERIFICAR</v>
          </cell>
        </row>
        <row r="1850">
          <cell r="A1850" t="str">
            <v>2.1.1.1.01.009726</v>
          </cell>
          <cell r="B1850" t="str">
            <v>CLARK COMERCIO DE PRODUTOS PROMOCIONAIS</v>
          </cell>
          <cell r="C1850" t="str">
            <v>30.422,54</v>
          </cell>
          <cell r="D1850" t="str">
            <v>33.893,54</v>
          </cell>
          <cell r="E1850" t="str">
            <v>3.471,00</v>
          </cell>
          <cell r="F1850" t="str">
            <v>0,00</v>
          </cell>
          <cell r="G1850" t="str">
            <v>0,00</v>
          </cell>
          <cell r="H1850" t="str">
            <v>0,00</v>
          </cell>
          <cell r="I1850">
            <v>0</v>
          </cell>
          <cell r="J1850" t="str">
            <v>VERIFICAR</v>
          </cell>
        </row>
        <row r="1851">
          <cell r="A1851" t="str">
            <v>2.1.1.1.01.009753</v>
          </cell>
          <cell r="B1851" t="str">
            <v>TOP HIDRAULICA COMERCIO DE PECAS LTDA</v>
          </cell>
          <cell r="C1851" t="str">
            <v>17.276,52</v>
          </cell>
          <cell r="D1851" t="str">
            <v>24.548,43</v>
          </cell>
          <cell r="E1851" t="str">
            <v>4.627,91</v>
          </cell>
          <cell r="F1851" t="str">
            <v>1.647,00</v>
          </cell>
          <cell r="G1851" t="str">
            <v>0,00</v>
          </cell>
          <cell r="H1851" t="str">
            <v>4.291,00</v>
          </cell>
          <cell r="I1851">
            <v>4291</v>
          </cell>
          <cell r="J1851" t="str">
            <v>VERIFICAR</v>
          </cell>
        </row>
        <row r="1852">
          <cell r="A1852" t="str">
            <v>2.1.1.1.01.009773</v>
          </cell>
          <cell r="B1852" t="str">
            <v>VINICIUS MATHEUS MENDES LTDA</v>
          </cell>
          <cell r="C1852" t="str">
            <v>7.561,69</v>
          </cell>
          <cell r="D1852" t="str">
            <v>7.561,69</v>
          </cell>
          <cell r="E1852" t="str">
            <v>350,02</v>
          </cell>
          <cell r="F1852" t="str">
            <v>350,02</v>
          </cell>
          <cell r="G1852" t="str">
            <v>0,00</v>
          </cell>
          <cell r="H1852" t="str">
            <v>0,00</v>
          </cell>
          <cell r="I1852">
            <v>0</v>
          </cell>
          <cell r="J1852" t="str">
            <v>VERIFICAR</v>
          </cell>
        </row>
        <row r="1853">
          <cell r="A1853" t="str">
            <v>2.1.1.1.01.009795</v>
          </cell>
          <cell r="B1853" t="str">
            <v>SF2 PARTICIPACOES E EMPREENDIMENTOS LTDA</v>
          </cell>
          <cell r="C1853" t="str">
            <v>1.266.089,37</v>
          </cell>
          <cell r="D1853" t="str">
            <v>1.266.089,35</v>
          </cell>
          <cell r="E1853" t="str">
            <v>0,00</v>
          </cell>
          <cell r="F1853" t="str">
            <v>0,00</v>
          </cell>
          <cell r="G1853" t="str">
            <v>0,02</v>
          </cell>
          <cell r="H1853" t="str">
            <v>0,00</v>
          </cell>
          <cell r="I1853">
            <v>-0.02</v>
          </cell>
          <cell r="J1853" t="str">
            <v>VERIFICAR</v>
          </cell>
        </row>
        <row r="1854">
          <cell r="A1854" t="str">
            <v>2.1.1.1.01.009796</v>
          </cell>
          <cell r="B1854" t="str">
            <v>JOCIMAR PAZINI</v>
          </cell>
          <cell r="C1854" t="str">
            <v>1.266.089,37</v>
          </cell>
          <cell r="D1854" t="str">
            <v>1.266.089,35</v>
          </cell>
          <cell r="E1854" t="str">
            <v>0,00</v>
          </cell>
          <cell r="F1854" t="str">
            <v>0,00</v>
          </cell>
          <cell r="G1854" t="str">
            <v>0,02</v>
          </cell>
          <cell r="H1854" t="str">
            <v>0,00</v>
          </cell>
          <cell r="I1854">
            <v>-0.02</v>
          </cell>
          <cell r="J1854" t="str">
            <v>VERIFICAR</v>
          </cell>
        </row>
        <row r="1855">
          <cell r="A1855" t="str">
            <v>2.1.1.1.01.009797</v>
          </cell>
          <cell r="B1855" t="str">
            <v>OCTAVIO BIZZE BRANDAO</v>
          </cell>
          <cell r="C1855" t="str">
            <v>1.266.089,37</v>
          </cell>
          <cell r="D1855" t="str">
            <v>1.266.089,35</v>
          </cell>
          <cell r="E1855" t="str">
            <v>0,00</v>
          </cell>
          <cell r="F1855" t="str">
            <v>0,00</v>
          </cell>
          <cell r="G1855" t="str">
            <v>0,02</v>
          </cell>
          <cell r="H1855" t="str">
            <v>0,00</v>
          </cell>
          <cell r="I1855">
            <v>-0.02</v>
          </cell>
          <cell r="J1855" t="str">
            <v>VERIFICAR</v>
          </cell>
        </row>
        <row r="1856">
          <cell r="A1856" t="str">
            <v>2.1.1.1.01.009808</v>
          </cell>
          <cell r="B1856" t="str">
            <v>SAUER INDÚSTRIA E COMÉRCIO LTDA.</v>
          </cell>
          <cell r="C1856" t="str">
            <v>2.100,00</v>
          </cell>
          <cell r="D1856" t="str">
            <v>2.100,00</v>
          </cell>
          <cell r="E1856" t="str">
            <v>420,00</v>
          </cell>
          <cell r="F1856" t="str">
            <v>420,00</v>
          </cell>
          <cell r="G1856" t="str">
            <v>0,00</v>
          </cell>
          <cell r="H1856" t="str">
            <v>0,00</v>
          </cell>
          <cell r="I1856">
            <v>0</v>
          </cell>
          <cell r="J1856" t="str">
            <v>VERIFICAR</v>
          </cell>
        </row>
        <row r="1857">
          <cell r="A1857" t="str">
            <v>2.1.1.1.01.009815</v>
          </cell>
          <cell r="B1857" t="str">
            <v>CLICKWEB SERVICOS DE INTERMEDIACAO E COM</v>
          </cell>
          <cell r="C1857" t="str">
            <v>559,15</v>
          </cell>
          <cell r="D1857" t="str">
            <v>559,15</v>
          </cell>
          <cell r="E1857" t="str">
            <v>159,60</v>
          </cell>
          <cell r="F1857" t="str">
            <v>159,60</v>
          </cell>
          <cell r="G1857" t="str">
            <v>0,00</v>
          </cell>
          <cell r="H1857" t="str">
            <v>0,00</v>
          </cell>
          <cell r="I1857">
            <v>0</v>
          </cell>
          <cell r="J1857" t="str">
            <v>VERIFICAR</v>
          </cell>
        </row>
        <row r="1858">
          <cell r="A1858" t="str">
            <v>2.1.1.1.01.009816</v>
          </cell>
          <cell r="B1858" t="str">
            <v>MAGAZINE LUIZA S/A</v>
          </cell>
          <cell r="C1858" t="str">
            <v>6.066,90</v>
          </cell>
          <cell r="D1858" t="str">
            <v>6.066,90</v>
          </cell>
          <cell r="E1858" t="str">
            <v>86,90</v>
          </cell>
          <cell r="F1858" t="str">
            <v>86,90</v>
          </cell>
          <cell r="G1858" t="str">
            <v>0,00</v>
          </cell>
          <cell r="H1858" t="str">
            <v>0,00</v>
          </cell>
          <cell r="I1858">
            <v>0</v>
          </cell>
          <cell r="J1858" t="str">
            <v>VERIFICAR</v>
          </cell>
        </row>
        <row r="1859">
          <cell r="A1859" t="str">
            <v>2.1.1.1.01.009821</v>
          </cell>
          <cell r="B1859" t="str">
            <v>40.919.340 BRUNO DE OLIVEIRA TEODORO</v>
          </cell>
          <cell r="C1859" t="str">
            <v>7.985,00</v>
          </cell>
          <cell r="D1859" t="str">
            <v>8.185,00</v>
          </cell>
          <cell r="E1859" t="str">
            <v>70,00</v>
          </cell>
          <cell r="F1859" t="str">
            <v>70,00</v>
          </cell>
          <cell r="G1859" t="str">
            <v>0,00</v>
          </cell>
          <cell r="H1859" t="str">
            <v>200,00</v>
          </cell>
          <cell r="I1859">
            <v>200</v>
          </cell>
          <cell r="J1859" t="str">
            <v>VERIFICAR</v>
          </cell>
        </row>
        <row r="1860">
          <cell r="A1860" t="str">
            <v>2.1.1.1.01.009824</v>
          </cell>
          <cell r="B1860" t="str">
            <v>SMF - IMPORTACAO E COMERCIO LTD</v>
          </cell>
          <cell r="C1860" t="str">
            <v>50.570,45</v>
          </cell>
          <cell r="D1860" t="str">
            <v>52.580,69</v>
          </cell>
          <cell r="E1860" t="str">
            <v>2.010,24</v>
          </cell>
          <cell r="F1860" t="str">
            <v>3.226,28</v>
          </cell>
          <cell r="G1860" t="str">
            <v>0,00</v>
          </cell>
          <cell r="H1860" t="str">
            <v>3.226,28</v>
          </cell>
          <cell r="I1860">
            <v>3226.28</v>
          </cell>
          <cell r="J1860" t="str">
            <v>VERIFICAR</v>
          </cell>
        </row>
        <row r="1861">
          <cell r="A1861" t="str">
            <v>2.1.1.1.01.009826</v>
          </cell>
          <cell r="B1861" t="str">
            <v>CIA DE SANEAMENTO BASICO DO ESTADO DE SA</v>
          </cell>
          <cell r="C1861" t="str">
            <v>18.980,66</v>
          </cell>
          <cell r="D1861" t="str">
            <v>19.128,22</v>
          </cell>
          <cell r="E1861" t="str">
            <v>147,56</v>
          </cell>
          <cell r="F1861" t="str">
            <v>0,00</v>
          </cell>
          <cell r="G1861" t="str">
            <v>0,00</v>
          </cell>
          <cell r="H1861" t="str">
            <v>0,00</v>
          </cell>
          <cell r="I1861">
            <v>0</v>
          </cell>
          <cell r="J1861" t="str">
            <v>VERIFICAR</v>
          </cell>
        </row>
        <row r="1862">
          <cell r="A1862" t="str">
            <v>2.1.1.1.01.009831</v>
          </cell>
          <cell r="B1862" t="str">
            <v>AEA DISTRIBUIDORA DE MATERIAIS ELETRICOS</v>
          </cell>
          <cell r="C1862" t="str">
            <v>46.172,24</v>
          </cell>
          <cell r="D1862" t="str">
            <v>50.871,50</v>
          </cell>
          <cell r="E1862" t="str">
            <v>8.433,56</v>
          </cell>
          <cell r="F1862" t="str">
            <v>5.041,90</v>
          </cell>
          <cell r="G1862" t="str">
            <v>0,00</v>
          </cell>
          <cell r="H1862" t="str">
            <v>1.307,60</v>
          </cell>
          <cell r="I1862">
            <v>1307.5999999999999</v>
          </cell>
          <cell r="J1862" t="str">
            <v>VERIFICAR</v>
          </cell>
        </row>
        <row r="1863">
          <cell r="A1863" t="str">
            <v>2.1.1.1.01.009870</v>
          </cell>
          <cell r="B1863" t="str">
            <v>AGMAQ EQUIPAMENTOS E MONTAGENS INDUSTRIA</v>
          </cell>
          <cell r="C1863" t="str">
            <v>187.395,51</v>
          </cell>
          <cell r="D1863" t="str">
            <v>187.395,53</v>
          </cell>
          <cell r="E1863" t="str">
            <v>0,00</v>
          </cell>
          <cell r="F1863" t="str">
            <v>0,00</v>
          </cell>
          <cell r="G1863" t="str">
            <v>0,00</v>
          </cell>
          <cell r="H1863" t="str">
            <v>0,02</v>
          </cell>
          <cell r="I1863">
            <v>0.02</v>
          </cell>
          <cell r="J1863" t="str">
            <v>VERIFICAR</v>
          </cell>
        </row>
        <row r="1864">
          <cell r="A1864" t="str">
            <v>2.1.1.1.01.009911</v>
          </cell>
          <cell r="B1864" t="str">
            <v>ABS ROLAMENTOS E PEÇAS LTDA</v>
          </cell>
          <cell r="C1864" t="str">
            <v>3.871,20</v>
          </cell>
          <cell r="D1864" t="str">
            <v>5.521,98</v>
          </cell>
          <cell r="E1864" t="str">
            <v>1.650,78</v>
          </cell>
          <cell r="F1864" t="str">
            <v>1.006,04</v>
          </cell>
          <cell r="G1864" t="str">
            <v>0,00</v>
          </cell>
          <cell r="H1864" t="str">
            <v>1.006,04</v>
          </cell>
          <cell r="I1864">
            <v>1006.04</v>
          </cell>
          <cell r="J1864" t="str">
            <v>VERIFICAR</v>
          </cell>
        </row>
        <row r="1865">
          <cell r="A1865" t="str">
            <v>2.1.1.1.01.009914</v>
          </cell>
          <cell r="B1865" t="str">
            <v>A L P DE OLIVEIRA AUTOMACAO</v>
          </cell>
          <cell r="C1865" t="str">
            <v>8.977,66</v>
          </cell>
          <cell r="D1865" t="str">
            <v>8.977,66</v>
          </cell>
          <cell r="E1865" t="str">
            <v>943,76</v>
          </cell>
          <cell r="F1865" t="str">
            <v>943,76</v>
          </cell>
          <cell r="G1865" t="str">
            <v>0,00</v>
          </cell>
          <cell r="H1865" t="str">
            <v>0,00</v>
          </cell>
          <cell r="I1865">
            <v>0</v>
          </cell>
          <cell r="J1865" t="str">
            <v>VERIFICAR</v>
          </cell>
        </row>
        <row r="1866">
          <cell r="A1866" t="str">
            <v>2.1.1.1.01.009918</v>
          </cell>
          <cell r="B1866" t="str">
            <v>ROBERTO APARECIDO PASQUINI E CIA LTDA</v>
          </cell>
          <cell r="C1866" t="str">
            <v>1.960,00</v>
          </cell>
          <cell r="D1866" t="str">
            <v>3.940,00</v>
          </cell>
          <cell r="E1866" t="str">
            <v>1.980,00</v>
          </cell>
          <cell r="F1866" t="str">
            <v>0,00</v>
          </cell>
          <cell r="G1866" t="str">
            <v>0,00</v>
          </cell>
          <cell r="H1866" t="str">
            <v>0,00</v>
          </cell>
          <cell r="I1866">
            <v>0</v>
          </cell>
          <cell r="J1866" t="str">
            <v>VERIFICAR</v>
          </cell>
        </row>
        <row r="1867">
          <cell r="A1867" t="str">
            <v>2.1.1.1.01.009937</v>
          </cell>
          <cell r="B1867" t="str">
            <v>VISCHI COMERCIO DE FERRAGENS LTDA</v>
          </cell>
          <cell r="C1867" t="str">
            <v>588,06</v>
          </cell>
          <cell r="D1867" t="str">
            <v>588,06</v>
          </cell>
          <cell r="E1867" t="str">
            <v>183,50</v>
          </cell>
          <cell r="F1867" t="str">
            <v>183,50</v>
          </cell>
          <cell r="G1867" t="str">
            <v>0,00</v>
          </cell>
          <cell r="H1867" t="str">
            <v>0,00</v>
          </cell>
          <cell r="I1867">
            <v>0</v>
          </cell>
          <cell r="J1867" t="str">
            <v>VERIFICAR</v>
          </cell>
        </row>
        <row r="1868">
          <cell r="A1868" t="str">
            <v>2.1.1.1.01.009961</v>
          </cell>
          <cell r="B1868" t="str">
            <v>FLOREZI E TERTULIANO LTDA</v>
          </cell>
          <cell r="C1868" t="str">
            <v>35.541,00</v>
          </cell>
          <cell r="D1868" t="str">
            <v>35.541,00</v>
          </cell>
          <cell r="E1868" t="str">
            <v>5.502,00</v>
          </cell>
          <cell r="F1868" t="str">
            <v>5.502,00</v>
          </cell>
          <cell r="G1868" t="str">
            <v>0,00</v>
          </cell>
          <cell r="H1868" t="str">
            <v>0,00</v>
          </cell>
          <cell r="I1868">
            <v>0</v>
          </cell>
          <cell r="J1868" t="str">
            <v>VERIFICAR</v>
          </cell>
        </row>
        <row r="1869">
          <cell r="A1869" t="str">
            <v>2.1.1.1.01.009966</v>
          </cell>
          <cell r="B1869" t="str">
            <v>AZUL LINHAS AEREAS BRASILEIRAS S.A.</v>
          </cell>
          <cell r="C1869" t="str">
            <v>3.418,72</v>
          </cell>
          <cell r="D1869" t="str">
            <v>3.418,72</v>
          </cell>
          <cell r="E1869" t="str">
            <v>248,49</v>
          </cell>
          <cell r="F1869" t="str">
            <v>248,49</v>
          </cell>
          <cell r="G1869" t="str">
            <v>0,00</v>
          </cell>
          <cell r="H1869" t="str">
            <v>0,00</v>
          </cell>
          <cell r="I1869">
            <v>0</v>
          </cell>
          <cell r="J1869" t="str">
            <v>VERIFICAR</v>
          </cell>
        </row>
        <row r="1870">
          <cell r="A1870" t="str">
            <v>2.1.1.1.01.009988</v>
          </cell>
          <cell r="B1870" t="str">
            <v>SCHISLER APOIO ADMINISTRATIVO LTDA</v>
          </cell>
          <cell r="C1870" t="str">
            <v>278.096,40</v>
          </cell>
          <cell r="D1870" t="str">
            <v>278.096,40</v>
          </cell>
          <cell r="E1870" t="str">
            <v>11.413,00</v>
          </cell>
          <cell r="F1870" t="str">
            <v>11.413,00</v>
          </cell>
          <cell r="G1870" t="str">
            <v>0,00</v>
          </cell>
          <cell r="H1870" t="str">
            <v>0,00</v>
          </cell>
          <cell r="I1870">
            <v>0</v>
          </cell>
          <cell r="J1870" t="str">
            <v>VERIFICAR</v>
          </cell>
        </row>
        <row r="1871">
          <cell r="A1871" t="str">
            <v>2.1.1.1.01.009990</v>
          </cell>
          <cell r="B1871" t="str">
            <v>BGL - BERTOLOTO E GROTTA LTDA</v>
          </cell>
          <cell r="C1871" t="str">
            <v>56.900,64</v>
          </cell>
          <cell r="D1871" t="str">
            <v>65.534,67</v>
          </cell>
          <cell r="E1871" t="str">
            <v>8.634,03</v>
          </cell>
          <cell r="F1871" t="str">
            <v>0,00</v>
          </cell>
          <cell r="G1871" t="str">
            <v>0,00</v>
          </cell>
          <cell r="H1871" t="str">
            <v>0,00</v>
          </cell>
          <cell r="I1871">
            <v>0</v>
          </cell>
          <cell r="J1871" t="str">
            <v>VERIFICAR</v>
          </cell>
        </row>
        <row r="1872">
          <cell r="A1872" t="str">
            <v>2.1.1.1.01.009992</v>
          </cell>
          <cell r="B1872" t="str">
            <v>MACH TOOLS – COMÉRCIO DE FERRAMENTAS DE</v>
          </cell>
          <cell r="C1872" t="str">
            <v>50.668,06</v>
          </cell>
          <cell r="D1872" t="str">
            <v>50.668,06</v>
          </cell>
          <cell r="E1872" t="str">
            <v>4.476,25</v>
          </cell>
          <cell r="F1872" t="str">
            <v>4.476,25</v>
          </cell>
          <cell r="G1872" t="str">
            <v>0,00</v>
          </cell>
          <cell r="H1872" t="str">
            <v>0,00</v>
          </cell>
          <cell r="I1872">
            <v>0</v>
          </cell>
          <cell r="J1872" t="str">
            <v>VERIFICAR</v>
          </cell>
        </row>
        <row r="1873">
          <cell r="A1873" t="str">
            <v>2.1.1.1.01.009999</v>
          </cell>
          <cell r="B1873" t="str">
            <v>TARIFAS - CLARA</v>
          </cell>
          <cell r="C1873" t="str">
            <v>4.657,36</v>
          </cell>
          <cell r="D1873" t="str">
            <v>999,00</v>
          </cell>
          <cell r="E1873" t="str">
            <v>522,51</v>
          </cell>
          <cell r="F1873" t="str">
            <v>0,00</v>
          </cell>
          <cell r="G1873" t="str">
            <v>4.180,87</v>
          </cell>
          <cell r="H1873" t="str">
            <v>0,00</v>
          </cell>
          <cell r="I1873">
            <v>-4180.87</v>
          </cell>
          <cell r="J1873" t="str">
            <v>VERIFICAR</v>
          </cell>
        </row>
        <row r="1874">
          <cell r="A1874" t="str">
            <v>2.1.1.1.01.010003</v>
          </cell>
          <cell r="B1874" t="str">
            <v>RETENFIX INDUSTRIA E COMERCIO DE VEDACOE</v>
          </cell>
          <cell r="C1874" t="str">
            <v>48.199,17</v>
          </cell>
          <cell r="D1874" t="str">
            <v>49.234,69</v>
          </cell>
          <cell r="E1874" t="str">
            <v>3.536,69</v>
          </cell>
          <cell r="F1874" t="str">
            <v>5.326,80</v>
          </cell>
          <cell r="G1874" t="str">
            <v>0,00</v>
          </cell>
          <cell r="H1874" t="str">
            <v>2.825,63</v>
          </cell>
          <cell r="I1874">
            <v>2825.63</v>
          </cell>
          <cell r="J1874" t="str">
            <v>VERIFICAR</v>
          </cell>
        </row>
        <row r="1875">
          <cell r="A1875" t="str">
            <v>2.1.1.1.01.010054</v>
          </cell>
          <cell r="B1875" t="str">
            <v>SERVICO NACIONAL DE APRENDIZAGEM INDUSTR</v>
          </cell>
          <cell r="C1875" t="str">
            <v>3.070,00</v>
          </cell>
          <cell r="D1875" t="str">
            <v>2.900,00</v>
          </cell>
          <cell r="E1875" t="str">
            <v>340,00</v>
          </cell>
          <cell r="F1875" t="str">
            <v>510,00</v>
          </cell>
          <cell r="G1875" t="str">
            <v>0,00</v>
          </cell>
          <cell r="H1875" t="str">
            <v>0,00</v>
          </cell>
          <cell r="I1875">
            <v>0</v>
          </cell>
          <cell r="J1875" t="str">
            <v>VERIFICAR</v>
          </cell>
        </row>
        <row r="1876">
          <cell r="A1876" t="str">
            <v>2.1.1.1.01.010057</v>
          </cell>
          <cell r="B1876" t="str">
            <v>KOVALIK PEL LTDA</v>
          </cell>
          <cell r="C1876" t="str">
            <v>34.344,23</v>
          </cell>
          <cell r="D1876" t="str">
            <v>37.433,00</v>
          </cell>
          <cell r="E1876" t="str">
            <v>3.088,77</v>
          </cell>
          <cell r="F1876" t="str">
            <v>0,00</v>
          </cell>
          <cell r="G1876" t="str">
            <v>0,00</v>
          </cell>
          <cell r="H1876" t="str">
            <v>0,00</v>
          </cell>
          <cell r="I1876">
            <v>0</v>
          </cell>
          <cell r="J1876" t="str">
            <v>VERIFICAR</v>
          </cell>
        </row>
        <row r="1877">
          <cell r="A1877" t="str">
            <v>2.1.1.1.01.010083</v>
          </cell>
          <cell r="B1877" t="str">
            <v>COMERCIAL MIRANDA COMERCIO DE PRODUTOS D</v>
          </cell>
          <cell r="C1877" t="str">
            <v>4.099,47</v>
          </cell>
          <cell r="D1877" t="str">
            <v>4.251,09</v>
          </cell>
          <cell r="E1877" t="str">
            <v>419,94</v>
          </cell>
          <cell r="F1877" t="str">
            <v>268,32</v>
          </cell>
          <cell r="G1877" t="str">
            <v>0,00</v>
          </cell>
          <cell r="H1877" t="str">
            <v>0,00</v>
          </cell>
          <cell r="I1877">
            <v>0</v>
          </cell>
          <cell r="J1877" t="str">
            <v>VERIFICAR</v>
          </cell>
        </row>
        <row r="1878">
          <cell r="A1878" t="str">
            <v>2.1.1.1.01.010091</v>
          </cell>
          <cell r="B1878" t="str">
            <v>TASCO CLIMATECNICA LTDA</v>
          </cell>
          <cell r="C1878" t="str">
            <v>223.679,51</v>
          </cell>
          <cell r="D1878" t="str">
            <v>240.487,01</v>
          </cell>
          <cell r="E1878" t="str">
            <v>21.483,20</v>
          </cell>
          <cell r="F1878" t="str">
            <v>23.234,00</v>
          </cell>
          <cell r="G1878" t="str">
            <v>0,00</v>
          </cell>
          <cell r="H1878" t="str">
            <v>18.558,30</v>
          </cell>
          <cell r="I1878">
            <v>18558.3</v>
          </cell>
          <cell r="J1878" t="str">
            <v>VERIFICAR</v>
          </cell>
        </row>
        <row r="1879">
          <cell r="A1879" t="str">
            <v>2.1.1.1.01.010098</v>
          </cell>
          <cell r="B1879" t="str">
            <v>PONTO FIT ACADEMIA LTDA</v>
          </cell>
          <cell r="C1879" t="str">
            <v>12.834,77</v>
          </cell>
          <cell r="D1879" t="str">
            <v>12.834,77</v>
          </cell>
          <cell r="E1879" t="str">
            <v>290,54</v>
          </cell>
          <cell r="F1879" t="str">
            <v>290,54</v>
          </cell>
          <cell r="G1879" t="str">
            <v>0,00</v>
          </cell>
          <cell r="H1879" t="str">
            <v>0,00</v>
          </cell>
          <cell r="I1879">
            <v>0</v>
          </cell>
          <cell r="J1879" t="str">
            <v>VERIFICAR</v>
          </cell>
        </row>
        <row r="1880">
          <cell r="A1880" t="str">
            <v>2.1.1.1.01.010102</v>
          </cell>
          <cell r="B1880" t="str">
            <v>FACILE TECNOLOGIA E SOLUCOES EM SISTEMAS</v>
          </cell>
          <cell r="C1880" t="str">
            <v>11.214,42</v>
          </cell>
          <cell r="D1880" t="str">
            <v>11.214,42</v>
          </cell>
          <cell r="E1880" t="str">
            <v>461,82</v>
          </cell>
          <cell r="F1880" t="str">
            <v>461,82</v>
          </cell>
          <cell r="G1880" t="str">
            <v>0,00</v>
          </cell>
          <cell r="H1880" t="str">
            <v>0,00</v>
          </cell>
          <cell r="I1880">
            <v>0</v>
          </cell>
          <cell r="J1880" t="str">
            <v>VERIFICAR</v>
          </cell>
        </row>
        <row r="1881">
          <cell r="A1881" t="str">
            <v>2.1.1.1.01.011000</v>
          </cell>
          <cell r="B1881" t="str">
            <v>AVANTE PNEUS S/A</v>
          </cell>
          <cell r="C1881" t="str">
            <v>9.943,00</v>
          </cell>
          <cell r="D1881" t="str">
            <v>9.943,00</v>
          </cell>
          <cell r="E1881" t="str">
            <v>837,50</v>
          </cell>
          <cell r="F1881" t="str">
            <v>3.350,00</v>
          </cell>
          <cell r="G1881" t="str">
            <v>0,00</v>
          </cell>
          <cell r="H1881" t="str">
            <v>2.512,50</v>
          </cell>
          <cell r="I1881">
            <v>2512.5</v>
          </cell>
          <cell r="J1881" t="str">
            <v>VERIFICAR</v>
          </cell>
        </row>
        <row r="1882">
          <cell r="A1882" t="str">
            <v>2.1.1.1.01.011003</v>
          </cell>
          <cell r="B1882" t="str">
            <v>SERVICO NACIONAL DE APRENDIZAGEM INDUSTR</v>
          </cell>
          <cell r="C1882" t="str">
            <v>10.450,56</v>
          </cell>
          <cell r="D1882" t="str">
            <v>11.325,57</v>
          </cell>
          <cell r="E1882" t="str">
            <v>1.166,68</v>
          </cell>
          <cell r="F1882" t="str">
            <v>583,34</v>
          </cell>
          <cell r="G1882" t="str">
            <v>0,00</v>
          </cell>
          <cell r="H1882" t="str">
            <v>291,67</v>
          </cell>
          <cell r="I1882">
            <v>291.67</v>
          </cell>
          <cell r="J1882" t="str">
            <v>VERIFICAR</v>
          </cell>
        </row>
        <row r="1883">
          <cell r="A1883" t="str">
            <v>2.1.1.1.01.011005</v>
          </cell>
          <cell r="B1883" t="str">
            <v>BORPLAS PLASTICOS E BORRACHAS LTDA EPP</v>
          </cell>
          <cell r="C1883" t="str">
            <v>24.028,50</v>
          </cell>
          <cell r="D1883" t="str">
            <v>27.803,50</v>
          </cell>
          <cell r="E1883" t="str">
            <v>3.775,00</v>
          </cell>
          <cell r="F1883" t="str">
            <v>0,00</v>
          </cell>
          <cell r="G1883" t="str">
            <v>0,00</v>
          </cell>
          <cell r="H1883" t="str">
            <v>0,00</v>
          </cell>
          <cell r="I1883">
            <v>0</v>
          </cell>
          <cell r="J1883" t="str">
            <v>VERIFICAR</v>
          </cell>
        </row>
        <row r="1884">
          <cell r="A1884" t="str">
            <v>2.1.1.1.01.011012</v>
          </cell>
          <cell r="B1884" t="str">
            <v>GIULIANO CÉSAR CASLINE</v>
          </cell>
          <cell r="C1884" t="str">
            <v>3.707,50</v>
          </cell>
          <cell r="D1884" t="str">
            <v>3.917,50</v>
          </cell>
          <cell r="E1884" t="str">
            <v>210,00</v>
          </cell>
          <cell r="F1884" t="str">
            <v>105,00</v>
          </cell>
          <cell r="G1884" t="str">
            <v>0,00</v>
          </cell>
          <cell r="H1884" t="str">
            <v>105,00</v>
          </cell>
          <cell r="I1884">
            <v>105</v>
          </cell>
          <cell r="J1884" t="str">
            <v>VERIFICAR</v>
          </cell>
        </row>
        <row r="1885">
          <cell r="A1885" t="str">
            <v>2.1.1.1.01.011015</v>
          </cell>
          <cell r="B1885" t="str">
            <v>FERRAMENTAS GERAIS COMERCIO E IMPORTACAO</v>
          </cell>
          <cell r="C1885" t="str">
            <v>14.571,23</v>
          </cell>
          <cell r="D1885" t="str">
            <v>14.571,23</v>
          </cell>
          <cell r="E1885" t="str">
            <v>351,67</v>
          </cell>
          <cell r="F1885" t="str">
            <v>2.829,67</v>
          </cell>
          <cell r="G1885" t="str">
            <v>0,00</v>
          </cell>
          <cell r="H1885" t="str">
            <v>2.478,00</v>
          </cell>
          <cell r="I1885">
            <v>2478</v>
          </cell>
          <cell r="J1885" t="str">
            <v>VERIFICAR</v>
          </cell>
        </row>
        <row r="1886">
          <cell r="A1886" t="str">
            <v>2.1.1.1.01.011024</v>
          </cell>
          <cell r="B1886" t="str">
            <v>A T I BRASIL ARTIGOS TECNICOS INDUSTRIAI</v>
          </cell>
          <cell r="C1886" t="str">
            <v>9.629,00</v>
          </cell>
          <cell r="D1886" t="str">
            <v>14.558,00</v>
          </cell>
          <cell r="E1886" t="str">
            <v>2.464,50</v>
          </cell>
          <cell r="F1886" t="str">
            <v>0,00</v>
          </cell>
          <cell r="G1886" t="str">
            <v>0,00</v>
          </cell>
          <cell r="H1886" t="str">
            <v>2.464,50</v>
          </cell>
          <cell r="I1886">
            <v>2464.5</v>
          </cell>
          <cell r="J1886" t="str">
            <v>VERIFICAR</v>
          </cell>
        </row>
        <row r="1887">
          <cell r="A1887" t="str">
            <v>2.1.1.1.01.011046</v>
          </cell>
          <cell r="B1887" t="str">
            <v>ART MILLY LTDA</v>
          </cell>
          <cell r="C1887" t="str">
            <v>1.281,04</v>
          </cell>
          <cell r="D1887" t="str">
            <v>1.880,80</v>
          </cell>
          <cell r="E1887" t="str">
            <v>0,00</v>
          </cell>
          <cell r="F1887" t="str">
            <v>0,00</v>
          </cell>
          <cell r="G1887" t="str">
            <v>0,00</v>
          </cell>
          <cell r="H1887" t="str">
            <v>599,76</v>
          </cell>
          <cell r="I1887">
            <v>599.76</v>
          </cell>
          <cell r="J1887" t="str">
            <v>VERIFICAR</v>
          </cell>
        </row>
        <row r="1888">
          <cell r="A1888" t="str">
            <v>2.1.1.1.01.011058</v>
          </cell>
          <cell r="B1888" t="str">
            <v>GALVABRÁS INDÚSTRIA E COMÉRCIO LTDA</v>
          </cell>
          <cell r="C1888" t="str">
            <v>120.805,13</v>
          </cell>
          <cell r="D1888" t="str">
            <v>120.805,13</v>
          </cell>
          <cell r="E1888" t="str">
            <v>10.578,31</v>
          </cell>
          <cell r="F1888" t="str">
            <v>10.578,31</v>
          </cell>
          <cell r="G1888" t="str">
            <v>0,00</v>
          </cell>
          <cell r="H1888" t="str">
            <v>0,00</v>
          </cell>
          <cell r="I1888">
            <v>0</v>
          </cell>
          <cell r="J1888" t="str">
            <v>VERIFICAR</v>
          </cell>
        </row>
        <row r="1889">
          <cell r="A1889" t="str">
            <v>2.1.1.1.01.011060</v>
          </cell>
          <cell r="B1889" t="str">
            <v>CXW SERVICOS E NEGOCIOS DE TECNOLOGIA LT</v>
          </cell>
          <cell r="C1889" t="str">
            <v>4.628,00</v>
          </cell>
          <cell r="D1889" t="str">
            <v>4.628,00</v>
          </cell>
          <cell r="E1889" t="str">
            <v>266,00</v>
          </cell>
          <cell r="F1889" t="str">
            <v>266,00</v>
          </cell>
          <cell r="G1889" t="str">
            <v>0,00</v>
          </cell>
          <cell r="H1889" t="str">
            <v>0,00</v>
          </cell>
          <cell r="I1889">
            <v>0</v>
          </cell>
          <cell r="J1889" t="str">
            <v>VERIFICAR</v>
          </cell>
        </row>
        <row r="1890">
          <cell r="A1890" t="str">
            <v>2.1.1.1.01.011068</v>
          </cell>
          <cell r="B1890" t="str">
            <v>MARVITUBOS TUBOS E PECAS HIDRAULICAS LTD</v>
          </cell>
          <cell r="C1890" t="str">
            <v>234.247,65</v>
          </cell>
          <cell r="D1890" t="str">
            <v>236.784,82</v>
          </cell>
          <cell r="E1890" t="str">
            <v>2.537,16</v>
          </cell>
          <cell r="F1890" t="str">
            <v>0,00</v>
          </cell>
          <cell r="G1890" t="str">
            <v>0,00</v>
          </cell>
          <cell r="H1890" t="str">
            <v>0,01</v>
          </cell>
          <cell r="I1890">
            <v>0.01</v>
          </cell>
          <cell r="J1890" t="str">
            <v>VERIFICAR</v>
          </cell>
        </row>
        <row r="1891">
          <cell r="A1891" t="str">
            <v>2.1.1.1.01.011071</v>
          </cell>
          <cell r="B1891" t="str">
            <v>GLAYSON TAVARES MARQUES 08092862702</v>
          </cell>
          <cell r="C1891" t="str">
            <v>8.282,90</v>
          </cell>
          <cell r="D1891" t="str">
            <v>8.282,90</v>
          </cell>
          <cell r="E1891" t="str">
            <v>7.200,00</v>
          </cell>
          <cell r="F1891" t="str">
            <v>3.600,00</v>
          </cell>
          <cell r="G1891" t="str">
            <v>3.600,00</v>
          </cell>
          <cell r="H1891" t="str">
            <v>0,00</v>
          </cell>
          <cell r="I1891">
            <v>-3600</v>
          </cell>
          <cell r="J1891" t="str">
            <v>VERIFICAR</v>
          </cell>
        </row>
        <row r="1892">
          <cell r="A1892" t="str">
            <v>2.1.1.1.01.011085</v>
          </cell>
          <cell r="B1892" t="str">
            <v>GESAFER COMERCIO DE MAQUINAS E FERRAMENT</v>
          </cell>
          <cell r="C1892" t="str">
            <v>2.597,30</v>
          </cell>
          <cell r="D1892" t="str">
            <v>3.275,00</v>
          </cell>
          <cell r="E1892" t="str">
            <v>677,70</v>
          </cell>
          <cell r="F1892" t="str">
            <v>0,00</v>
          </cell>
          <cell r="G1892" t="str">
            <v>0,00</v>
          </cell>
          <cell r="H1892" t="str">
            <v>0,00</v>
          </cell>
          <cell r="I1892">
            <v>0</v>
          </cell>
          <cell r="J1892" t="str">
            <v>VERIFICAR</v>
          </cell>
        </row>
        <row r="1893">
          <cell r="A1893" t="str">
            <v>2.1.1.1.01.011102</v>
          </cell>
          <cell r="B1893" t="str">
            <v>ETIQUETA SHOP LTDA</v>
          </cell>
          <cell r="C1893" t="str">
            <v>1.130,40</v>
          </cell>
          <cell r="D1893" t="str">
            <v>2.260,80</v>
          </cell>
          <cell r="E1893" t="str">
            <v>565,20</v>
          </cell>
          <cell r="F1893" t="str">
            <v>0,00</v>
          </cell>
          <cell r="G1893" t="str">
            <v>0,00</v>
          </cell>
          <cell r="H1893" t="str">
            <v>565,20</v>
          </cell>
          <cell r="I1893">
            <v>565.20000000000005</v>
          </cell>
          <cell r="J1893" t="str">
            <v>VERIFICAR</v>
          </cell>
        </row>
        <row r="1894">
          <cell r="A1894" t="str">
            <v>2.1.1.1.01.011108</v>
          </cell>
          <cell r="B1894" t="str">
            <v>L E L S TESSARINE</v>
          </cell>
          <cell r="C1894" t="str">
            <v>20.415,86</v>
          </cell>
          <cell r="D1894" t="str">
            <v>20.415,86</v>
          </cell>
          <cell r="E1894" t="str">
            <v>2.184,00</v>
          </cell>
          <cell r="F1894" t="str">
            <v>2.184,00</v>
          </cell>
          <cell r="G1894" t="str">
            <v>0,00</v>
          </cell>
          <cell r="H1894" t="str">
            <v>0,00</v>
          </cell>
          <cell r="I1894">
            <v>0</v>
          </cell>
          <cell r="J1894" t="str">
            <v>VERIFICAR</v>
          </cell>
        </row>
        <row r="1895">
          <cell r="A1895" t="str">
            <v>2.1.1.1.01.011122</v>
          </cell>
          <cell r="B1895" t="str">
            <v>HENRIQUE DE SOUSA COELHO ZULLO</v>
          </cell>
          <cell r="C1895" t="str">
            <v>2.915,00</v>
          </cell>
          <cell r="D1895" t="str">
            <v>4.215,00</v>
          </cell>
          <cell r="E1895" t="str">
            <v>1.300,00</v>
          </cell>
          <cell r="F1895" t="str">
            <v>0,00</v>
          </cell>
          <cell r="G1895" t="str">
            <v>0,00</v>
          </cell>
          <cell r="H1895" t="str">
            <v>0,00</v>
          </cell>
          <cell r="I1895">
            <v>0</v>
          </cell>
          <cell r="J1895" t="str">
            <v>VERIFICAR</v>
          </cell>
        </row>
        <row r="1896">
          <cell r="A1896" t="str">
            <v>2.1.1.1.01.011124</v>
          </cell>
          <cell r="B1896" t="str">
            <v>E1TG COMERCIO DE TRANSMISSOES MECANICAS</v>
          </cell>
          <cell r="C1896" t="str">
            <v>64.624,79</v>
          </cell>
          <cell r="D1896" t="str">
            <v>67.857,80</v>
          </cell>
          <cell r="E1896" t="str">
            <v>3.233,01</v>
          </cell>
          <cell r="F1896" t="str">
            <v>0,00</v>
          </cell>
          <cell r="G1896" t="str">
            <v>0,00</v>
          </cell>
          <cell r="H1896" t="str">
            <v>0,00</v>
          </cell>
          <cell r="I1896">
            <v>0</v>
          </cell>
          <cell r="J1896" t="str">
            <v>VERIFICAR</v>
          </cell>
        </row>
        <row r="1897">
          <cell r="A1897" t="str">
            <v>2.1.1.1.01.011127</v>
          </cell>
          <cell r="B1897" t="str">
            <v>PNEUS LE FORT DO BRASIL LTDA</v>
          </cell>
          <cell r="C1897" t="str">
            <v>6.715,63</v>
          </cell>
          <cell r="D1897" t="str">
            <v>8.526,89</v>
          </cell>
          <cell r="E1897" t="str">
            <v>905,63</v>
          </cell>
          <cell r="F1897" t="str">
            <v>0,00</v>
          </cell>
          <cell r="G1897" t="str">
            <v>0,00</v>
          </cell>
          <cell r="H1897" t="str">
            <v>905,63</v>
          </cell>
          <cell r="I1897">
            <v>905.63</v>
          </cell>
          <cell r="J1897" t="str">
            <v>VERIFICAR</v>
          </cell>
        </row>
        <row r="1898">
          <cell r="A1898" t="str">
            <v>2.1.1.1.01.011128</v>
          </cell>
          <cell r="B1898" t="str">
            <v>FERRAGENS FLORESTA LTDA</v>
          </cell>
          <cell r="C1898" t="str">
            <v>4.754,23</v>
          </cell>
          <cell r="D1898" t="str">
            <v>5.714,43</v>
          </cell>
          <cell r="E1898" t="str">
            <v>960,20</v>
          </cell>
          <cell r="F1898" t="str">
            <v>0,00</v>
          </cell>
          <cell r="G1898" t="str">
            <v>0,00</v>
          </cell>
          <cell r="H1898" t="str">
            <v>0,00</v>
          </cell>
          <cell r="I1898">
            <v>0</v>
          </cell>
          <cell r="J1898" t="str">
            <v>VERIFICAR</v>
          </cell>
        </row>
        <row r="1899">
          <cell r="A1899" t="str">
            <v>2.1.1.1.01.011130</v>
          </cell>
          <cell r="B1899" t="str">
            <v>ADVANCED INFORMATICA LTDA</v>
          </cell>
          <cell r="C1899" t="str">
            <v>133.527,87</v>
          </cell>
          <cell r="D1899" t="str">
            <v>147.249,19</v>
          </cell>
          <cell r="E1899" t="str">
            <v>13.721,32</v>
          </cell>
          <cell r="F1899" t="str">
            <v>7.257,47</v>
          </cell>
          <cell r="G1899" t="str">
            <v>0,00</v>
          </cell>
          <cell r="H1899" t="str">
            <v>7.257,47</v>
          </cell>
          <cell r="I1899">
            <v>7257.47</v>
          </cell>
          <cell r="J1899" t="str">
            <v>VERIFICAR</v>
          </cell>
        </row>
        <row r="1900">
          <cell r="A1900" t="str">
            <v>2.1.1.1.01.011133</v>
          </cell>
          <cell r="B1900" t="str">
            <v>MULTILIMP DISTRIBUIDORA LTDA</v>
          </cell>
          <cell r="C1900" t="str">
            <v>41.554,16</v>
          </cell>
          <cell r="D1900" t="str">
            <v>44.043,45</v>
          </cell>
          <cell r="E1900" t="str">
            <v>2.969,26</v>
          </cell>
          <cell r="F1900" t="str">
            <v>3.209,46</v>
          </cell>
          <cell r="G1900" t="str">
            <v>0,00</v>
          </cell>
          <cell r="H1900" t="str">
            <v>2.729,49</v>
          </cell>
          <cell r="I1900">
            <v>2729.49</v>
          </cell>
          <cell r="J1900" t="str">
            <v>VERIFICAR</v>
          </cell>
        </row>
        <row r="1901">
          <cell r="A1901" t="str">
            <v>2.1.1.1.01.011139</v>
          </cell>
          <cell r="B1901" t="str">
            <v>STEEL SOLDA COMÉRCIO DE ABRASIVOS LTDA</v>
          </cell>
          <cell r="C1901" t="str">
            <v>21.186,90</v>
          </cell>
          <cell r="D1901" t="str">
            <v>33.220,69</v>
          </cell>
          <cell r="E1901" t="str">
            <v>3.292,54</v>
          </cell>
          <cell r="F1901" t="str">
            <v>0,00</v>
          </cell>
          <cell r="G1901" t="str">
            <v>0,00</v>
          </cell>
          <cell r="H1901" t="str">
            <v>8.741,25</v>
          </cell>
          <cell r="I1901">
            <v>8741.25</v>
          </cell>
          <cell r="J1901" t="str">
            <v>VERIFICAR</v>
          </cell>
        </row>
        <row r="1902">
          <cell r="A1902" t="str">
            <v>2.1.1.1.01.011145</v>
          </cell>
          <cell r="B1902" t="str">
            <v>CCP CENTRO COMERCIAL DE PARAFUSOS LIMITA</v>
          </cell>
          <cell r="C1902" t="str">
            <v>23,59</v>
          </cell>
          <cell r="D1902" t="str">
            <v>23,59</v>
          </cell>
          <cell r="E1902" t="str">
            <v>114,20</v>
          </cell>
          <cell r="F1902" t="str">
            <v>114,20</v>
          </cell>
          <cell r="G1902" t="str">
            <v>0,00</v>
          </cell>
          <cell r="H1902" t="str">
            <v>0,00</v>
          </cell>
          <cell r="I1902">
            <v>0</v>
          </cell>
          <cell r="J1902" t="str">
            <v>VERIFICAR</v>
          </cell>
        </row>
        <row r="1903">
          <cell r="A1903" t="str">
            <v>2.1.1.1.01.011149</v>
          </cell>
          <cell r="B1903" t="str">
            <v>SHERWIN-WILLIAMS DO BRASIL INDUSTRIA E C</v>
          </cell>
          <cell r="C1903" t="str">
            <v>15.998,68</v>
          </cell>
          <cell r="D1903" t="str">
            <v>25.652,31</v>
          </cell>
          <cell r="E1903" t="str">
            <v>9.653,63</v>
          </cell>
          <cell r="F1903" t="str">
            <v>4.563,86</v>
          </cell>
          <cell r="G1903" t="str">
            <v>0,00</v>
          </cell>
          <cell r="H1903" t="str">
            <v>4.563,86</v>
          </cell>
          <cell r="I1903">
            <v>4563.8599999999997</v>
          </cell>
          <cell r="J1903" t="str">
            <v>VERIFICAR</v>
          </cell>
        </row>
        <row r="1904">
          <cell r="A1904" t="str">
            <v>2.1.1.1.01.011154</v>
          </cell>
          <cell r="B1904" t="str">
            <v>APERAM INOX SERVIÇOS BRASIL LTDA</v>
          </cell>
          <cell r="C1904" t="str">
            <v>7.367,56</v>
          </cell>
          <cell r="D1904" t="str">
            <v>7.367,56</v>
          </cell>
          <cell r="E1904" t="str">
            <v>0,00</v>
          </cell>
          <cell r="F1904" t="str">
            <v>12.047,04</v>
          </cell>
          <cell r="G1904" t="str">
            <v>0,00</v>
          </cell>
          <cell r="H1904" t="str">
            <v>12.047,04</v>
          </cell>
          <cell r="I1904">
            <v>12047.04</v>
          </cell>
          <cell r="J1904" t="str">
            <v>VERIFICAR</v>
          </cell>
        </row>
        <row r="1905">
          <cell r="A1905" t="str">
            <v>2.1.1.1.01.011164</v>
          </cell>
          <cell r="B1905" t="str">
            <v>ITW PPF BRASIL ADESIVOS LTDA</v>
          </cell>
          <cell r="C1905" t="str">
            <v>20.928,46</v>
          </cell>
          <cell r="D1905" t="str">
            <v>20.928,46</v>
          </cell>
          <cell r="E1905" t="str">
            <v>0,00</v>
          </cell>
          <cell r="F1905" t="str">
            <v>2.200,32</v>
          </cell>
          <cell r="G1905" t="str">
            <v>0,00</v>
          </cell>
          <cell r="H1905" t="str">
            <v>2.200,32</v>
          </cell>
          <cell r="I1905">
            <v>2200.3200000000002</v>
          </cell>
          <cell r="J1905" t="str">
            <v>VERIFICAR</v>
          </cell>
        </row>
        <row r="1906">
          <cell r="A1906" t="str">
            <v>2.1.1.1.01.011170</v>
          </cell>
          <cell r="B1906" t="str">
            <v>AEROFLEX INDUSTRIA DE AEROSOL LTDA</v>
          </cell>
          <cell r="C1906" t="str">
            <v>17.814,30</v>
          </cell>
          <cell r="D1906" t="str">
            <v>18.824,22</v>
          </cell>
          <cell r="E1906" t="str">
            <v>2.950,05</v>
          </cell>
          <cell r="F1906" t="str">
            <v>5.827,62</v>
          </cell>
          <cell r="G1906" t="str">
            <v>0,00</v>
          </cell>
          <cell r="H1906" t="str">
            <v>3.887,49</v>
          </cell>
          <cell r="I1906">
            <v>3887.49</v>
          </cell>
          <cell r="J1906" t="str">
            <v>VERIFICAR</v>
          </cell>
        </row>
        <row r="1907">
          <cell r="A1907" t="str">
            <v>2.1.1.1.01.011184</v>
          </cell>
          <cell r="B1907" t="str">
            <v>MINERACAO BOM RETIRO II LTDA</v>
          </cell>
          <cell r="C1907" t="str">
            <v>110.000,00</v>
          </cell>
          <cell r="D1907" t="str">
            <v>117.500,00</v>
          </cell>
          <cell r="E1907" t="str">
            <v>0,00</v>
          </cell>
          <cell r="F1907" t="str">
            <v>0,00</v>
          </cell>
          <cell r="G1907" t="str">
            <v>0,00</v>
          </cell>
          <cell r="H1907" t="str">
            <v>7.500,00</v>
          </cell>
          <cell r="I1907">
            <v>7500</v>
          </cell>
          <cell r="J1907" t="str">
            <v>VERIFICAR</v>
          </cell>
        </row>
        <row r="1908">
          <cell r="A1908" t="str">
            <v>2.1.1.1.01.011195</v>
          </cell>
          <cell r="B1908" t="str">
            <v>CARLOS CESAR PEREIRA USINAGEM – ME</v>
          </cell>
          <cell r="C1908" t="str">
            <v>5.145,00</v>
          </cell>
          <cell r="D1908" t="str">
            <v>8.967,00</v>
          </cell>
          <cell r="E1908" t="str">
            <v>3.822,00</v>
          </cell>
          <cell r="F1908" t="str">
            <v>0,00</v>
          </cell>
          <cell r="G1908" t="str">
            <v>0,00</v>
          </cell>
          <cell r="H1908" t="str">
            <v>0,00</v>
          </cell>
          <cell r="I1908">
            <v>0</v>
          </cell>
          <cell r="J1908" t="str">
            <v>VERIFICAR</v>
          </cell>
        </row>
        <row r="1909">
          <cell r="A1909" t="str">
            <v>2.1.1.1.01.011199</v>
          </cell>
          <cell r="B1909" t="str">
            <v>G.M COMERCIO DE MADEIRAS EIRELLI</v>
          </cell>
          <cell r="C1909" t="str">
            <v>7.314,03</v>
          </cell>
          <cell r="D1909" t="str">
            <v>7.314,03</v>
          </cell>
          <cell r="E1909" t="str">
            <v>770,40</v>
          </cell>
          <cell r="F1909" t="str">
            <v>770,40</v>
          </cell>
          <cell r="G1909" t="str">
            <v>0,00</v>
          </cell>
          <cell r="H1909" t="str">
            <v>0,00</v>
          </cell>
          <cell r="I1909">
            <v>0</v>
          </cell>
          <cell r="J1909" t="str">
            <v>VERIFICAR</v>
          </cell>
        </row>
        <row r="1910">
          <cell r="A1910" t="str">
            <v>2.1.1.1.01.011202</v>
          </cell>
          <cell r="B1910" t="str">
            <v>FERNANDO SOUZA SERVICOS EMPRESARIAIS LTD</v>
          </cell>
          <cell r="C1910" t="str">
            <v>7.300,00</v>
          </cell>
          <cell r="D1910" t="str">
            <v>7.300,00</v>
          </cell>
          <cell r="E1910" t="str">
            <v>6.723,75</v>
          </cell>
          <cell r="F1910" t="str">
            <v>6.723,75</v>
          </cell>
          <cell r="G1910" t="str">
            <v>0,00</v>
          </cell>
          <cell r="H1910" t="str">
            <v>0,00</v>
          </cell>
          <cell r="I1910">
            <v>0</v>
          </cell>
          <cell r="J1910" t="str">
            <v>VERIFICAR</v>
          </cell>
        </row>
        <row r="1911">
          <cell r="A1911" t="str">
            <v>2.1.1.1.01.011204</v>
          </cell>
          <cell r="B1911" t="str">
            <v>SAINT-GOBAIN DO BRASIL PRODUTOS INDUSTRI</v>
          </cell>
          <cell r="C1911" t="str">
            <v>19.655,36</v>
          </cell>
          <cell r="D1911" t="str">
            <v>23.264,00</v>
          </cell>
          <cell r="E1911" t="str">
            <v>3.608,64</v>
          </cell>
          <cell r="F1911" t="str">
            <v>0,00</v>
          </cell>
          <cell r="G1911" t="str">
            <v>0,00</v>
          </cell>
          <cell r="H1911" t="str">
            <v>0,00</v>
          </cell>
          <cell r="I1911">
            <v>0</v>
          </cell>
          <cell r="J1911" t="str">
            <v>VERIFICAR</v>
          </cell>
        </row>
        <row r="1912">
          <cell r="A1912" t="str">
            <v>2.1.1.1.01.011205</v>
          </cell>
          <cell r="B1912" t="str">
            <v>RENOVATHINK TECNOLOGIA LTDA</v>
          </cell>
          <cell r="C1912" t="str">
            <v>35.275,49</v>
          </cell>
          <cell r="D1912" t="str">
            <v>35.275,49</v>
          </cell>
          <cell r="E1912" t="str">
            <v>1.236,37</v>
          </cell>
          <cell r="F1912" t="str">
            <v>1.236,37</v>
          </cell>
          <cell r="G1912" t="str">
            <v>0,00</v>
          </cell>
          <cell r="H1912" t="str">
            <v>0,00</v>
          </cell>
          <cell r="I1912">
            <v>0</v>
          </cell>
          <cell r="J1912" t="str">
            <v>VERIFICAR</v>
          </cell>
        </row>
        <row r="1913">
          <cell r="A1913" t="str">
            <v>2.1.1.1.01.011207</v>
          </cell>
          <cell r="B1913" t="str">
            <v>TERABYTE ATACADO E VAREJO DE PRODUTOS DE</v>
          </cell>
          <cell r="C1913" t="str">
            <v>1.287,71</v>
          </cell>
          <cell r="D1913" t="str">
            <v>5.847,45</v>
          </cell>
          <cell r="E1913" t="str">
            <v>4.559,74</v>
          </cell>
          <cell r="F1913" t="str">
            <v>0,00</v>
          </cell>
          <cell r="G1913" t="str">
            <v>0,00</v>
          </cell>
          <cell r="H1913" t="str">
            <v>0,00</v>
          </cell>
          <cell r="I1913">
            <v>0</v>
          </cell>
          <cell r="J1913" t="str">
            <v>VERIFICAR</v>
          </cell>
        </row>
        <row r="1914">
          <cell r="A1914" t="str">
            <v>2.1.1.1.01.01123</v>
          </cell>
          <cell r="B1914" t="str">
            <v>A S USINAGEM INDUSTRIAL LTDA</v>
          </cell>
          <cell r="C1914" t="str">
            <v>255.979,04</v>
          </cell>
          <cell r="D1914" t="str">
            <v>259.696,04</v>
          </cell>
          <cell r="E1914" t="str">
            <v>3.717,00</v>
          </cell>
          <cell r="F1914" t="str">
            <v>0,00</v>
          </cell>
          <cell r="G1914" t="str">
            <v>0,00</v>
          </cell>
          <cell r="H1914" t="str">
            <v>0,00</v>
          </cell>
          <cell r="I1914">
            <v>0</v>
          </cell>
          <cell r="J1914" t="str">
            <v>VERIFICAR</v>
          </cell>
        </row>
        <row r="1915">
          <cell r="A1915" t="str">
            <v>2.1.1.1.01.011348</v>
          </cell>
          <cell r="B1915" t="str">
            <v>NATALIA RODRIGUES SOARES</v>
          </cell>
          <cell r="C1915" t="str">
            <v>6.116,00</v>
          </cell>
          <cell r="D1915" t="str">
            <v>5.874,00</v>
          </cell>
          <cell r="E1915" t="str">
            <v>0,00</v>
          </cell>
          <cell r="F1915" t="str">
            <v>0,00</v>
          </cell>
          <cell r="G1915" t="str">
            <v>242,00</v>
          </cell>
          <cell r="H1915" t="str">
            <v>0,00</v>
          </cell>
          <cell r="I1915">
            <v>-242</v>
          </cell>
          <cell r="J1915" t="str">
            <v>VERIFICAR</v>
          </cell>
        </row>
        <row r="1916">
          <cell r="A1916" t="str">
            <v>2.1.1.1.01.011362</v>
          </cell>
          <cell r="B1916" t="str">
            <v>PROMA PROMOCOES LTDA</v>
          </cell>
          <cell r="C1916" t="str">
            <v>44.930,68</v>
          </cell>
          <cell r="D1916" t="str">
            <v>45.646,27</v>
          </cell>
          <cell r="E1916" t="str">
            <v>0,00</v>
          </cell>
          <cell r="F1916" t="str">
            <v>0,00</v>
          </cell>
          <cell r="G1916" t="str">
            <v>0,00</v>
          </cell>
          <cell r="H1916" t="str">
            <v>715,59</v>
          </cell>
          <cell r="I1916">
            <v>715.59</v>
          </cell>
          <cell r="J1916" t="str">
            <v>VERIFICAR</v>
          </cell>
        </row>
        <row r="1917">
          <cell r="A1917" t="str">
            <v>2.1.1.1.01.011363</v>
          </cell>
          <cell r="B1917" t="str">
            <v>DHL EXPRESS  BRAZIL  LTDA</v>
          </cell>
          <cell r="C1917" t="str">
            <v>13.866,43</v>
          </cell>
          <cell r="D1917" t="str">
            <v>12.969,99</v>
          </cell>
          <cell r="E1917" t="str">
            <v>0,00</v>
          </cell>
          <cell r="F1917" t="str">
            <v>0,00</v>
          </cell>
          <cell r="G1917" t="str">
            <v>896,44</v>
          </cell>
          <cell r="H1917" t="str">
            <v>0,00</v>
          </cell>
          <cell r="I1917">
            <v>-896.44</v>
          </cell>
          <cell r="J1917" t="str">
            <v>VERIFICAR</v>
          </cell>
        </row>
        <row r="1918">
          <cell r="A1918" t="str">
            <v>2.1.1.1.01.011646</v>
          </cell>
          <cell r="B1918" t="str">
            <v>GOIABEIRAS AUTO CENTER LTDA</v>
          </cell>
          <cell r="C1918" t="str">
            <v>11.204,13</v>
          </cell>
          <cell r="D1918" t="str">
            <v>11.204,13</v>
          </cell>
          <cell r="E1918" t="str">
            <v>0,00</v>
          </cell>
          <cell r="F1918" t="str">
            <v>974,30</v>
          </cell>
          <cell r="G1918" t="str">
            <v>0,00</v>
          </cell>
          <cell r="H1918" t="str">
            <v>974,30</v>
          </cell>
          <cell r="I1918">
            <v>974.3</v>
          </cell>
          <cell r="J1918" t="str">
            <v>VERIFICAR</v>
          </cell>
        </row>
        <row r="1919">
          <cell r="A1919" t="str">
            <v>2.1.1.1.01.011656</v>
          </cell>
          <cell r="B1919" t="str">
            <v>STECK INDUSTRIA ELETRICA LTDA</v>
          </cell>
          <cell r="C1919" t="str">
            <v>78.116,00</v>
          </cell>
          <cell r="D1919" t="str">
            <v>85.732,44</v>
          </cell>
          <cell r="E1919" t="str">
            <v>13.328,75</v>
          </cell>
          <cell r="F1919" t="str">
            <v>16.775,65</v>
          </cell>
          <cell r="G1919" t="str">
            <v>0,00</v>
          </cell>
          <cell r="H1919" t="str">
            <v>11.063,34</v>
          </cell>
          <cell r="I1919">
            <v>11063.34</v>
          </cell>
          <cell r="J1919" t="str">
            <v>VERIFICAR</v>
          </cell>
        </row>
        <row r="1920">
          <cell r="A1920" t="str">
            <v>2.1.1.1.01.011657</v>
          </cell>
          <cell r="B1920" t="str">
            <v>MOVIDA PARTICIPACOES S.A.</v>
          </cell>
          <cell r="C1920" t="str">
            <v>170.103,85</v>
          </cell>
          <cell r="D1920" t="str">
            <v>170.103,85</v>
          </cell>
          <cell r="E1920" t="str">
            <v>18.475,25</v>
          </cell>
          <cell r="F1920" t="str">
            <v>40.007,36</v>
          </cell>
          <cell r="G1920" t="str">
            <v>0,00</v>
          </cell>
          <cell r="H1920" t="str">
            <v>21.532,11</v>
          </cell>
          <cell r="I1920">
            <v>21532.11</v>
          </cell>
          <cell r="J1920" t="str">
            <v>VERIFICAR</v>
          </cell>
        </row>
        <row r="1921">
          <cell r="A1921" t="str">
            <v>2.1.1.1.01.011679</v>
          </cell>
          <cell r="B1921" t="str">
            <v>SOARES LUBRIFICANTES E PRODUTOS</v>
          </cell>
          <cell r="C1921" t="str">
            <v>14.975,42</v>
          </cell>
          <cell r="D1921" t="str">
            <v>22.392,92</v>
          </cell>
          <cell r="E1921" t="str">
            <v>2.472,50</v>
          </cell>
          <cell r="F1921" t="str">
            <v>4.900,00</v>
          </cell>
          <cell r="G1921" t="str">
            <v>0,00</v>
          </cell>
          <cell r="H1921" t="str">
            <v>9.845,00</v>
          </cell>
          <cell r="I1921">
            <v>9845</v>
          </cell>
          <cell r="J1921" t="str">
            <v>VERIFICAR</v>
          </cell>
        </row>
        <row r="1922">
          <cell r="A1922" t="str">
            <v>2.1.1.1.01.011707</v>
          </cell>
          <cell r="B1922" t="str">
            <v>BTS MÁQUINAS E EQUIPAMENTOS LTDA</v>
          </cell>
          <cell r="C1922" t="str">
            <v>121.800,00</v>
          </cell>
          <cell r="D1922" t="str">
            <v>159.600,00</v>
          </cell>
          <cell r="E1922" t="str">
            <v>25.197,76</v>
          </cell>
          <cell r="F1922" t="str">
            <v>6.300,00</v>
          </cell>
          <cell r="G1922" t="str">
            <v>0,00</v>
          </cell>
          <cell r="H1922" t="str">
            <v>18.902,24</v>
          </cell>
          <cell r="I1922">
            <v>18902.240000000002</v>
          </cell>
          <cell r="J1922" t="str">
            <v>VERIFICAR</v>
          </cell>
        </row>
        <row r="1923">
          <cell r="A1923" t="str">
            <v>2.1.1.1.01.011708</v>
          </cell>
          <cell r="B1923" t="str">
            <v>COOPERATIVA AGRARIA DOS CAFEICULTORES DE</v>
          </cell>
          <cell r="C1923" t="str">
            <v>20.000,00</v>
          </cell>
          <cell r="D1923" t="str">
            <v>70.000,00</v>
          </cell>
          <cell r="E1923" t="str">
            <v>50.000,00</v>
          </cell>
          <cell r="F1923" t="str">
            <v>0,00</v>
          </cell>
          <cell r="G1923" t="str">
            <v>0,00</v>
          </cell>
          <cell r="H1923" t="str">
            <v>0,00</v>
          </cell>
          <cell r="I1923">
            <v>0</v>
          </cell>
          <cell r="J1923" t="str">
            <v>VERIFICAR</v>
          </cell>
        </row>
        <row r="1924">
          <cell r="A1924" t="str">
            <v>2.1.1.1.01.011712</v>
          </cell>
          <cell r="B1924" t="str">
            <v>VR BENEFICIOS E SERVICOS DE PROCESSAMENT</v>
          </cell>
          <cell r="C1924" t="str">
            <v>3.867,84</v>
          </cell>
          <cell r="D1924" t="str">
            <v>3.867,84</v>
          </cell>
          <cell r="E1924" t="str">
            <v>324,44</v>
          </cell>
          <cell r="F1924" t="str">
            <v>324,44</v>
          </cell>
          <cell r="G1924" t="str">
            <v>0,00</v>
          </cell>
          <cell r="H1924" t="str">
            <v>0,00</v>
          </cell>
          <cell r="I1924">
            <v>0</v>
          </cell>
          <cell r="J1924" t="str">
            <v>VERIFICAR</v>
          </cell>
        </row>
        <row r="1925">
          <cell r="A1925" t="str">
            <v>2.1.1.1.01.011791</v>
          </cell>
          <cell r="B1925" t="str">
            <v>HYDRACO INDUSTRIA METALURGICA LTDA</v>
          </cell>
          <cell r="C1925" t="str">
            <v>16.289,49</v>
          </cell>
          <cell r="D1925" t="str">
            <v>23.526,89</v>
          </cell>
          <cell r="E1925" t="str">
            <v>7.237,40</v>
          </cell>
          <cell r="F1925" t="str">
            <v>0,00</v>
          </cell>
          <cell r="G1925" t="str">
            <v>0,00</v>
          </cell>
          <cell r="H1925" t="str">
            <v>0,00</v>
          </cell>
          <cell r="I1925">
            <v>0</v>
          </cell>
          <cell r="J1925" t="str">
            <v>VERIFICAR</v>
          </cell>
        </row>
        <row r="1926">
          <cell r="A1926" t="str">
            <v>2.1.1.1.01.011829</v>
          </cell>
          <cell r="B1926" t="str">
            <v>61.573.396 CARLOS LUIS DE AZEVEDO LIMA</v>
          </cell>
          <cell r="C1926" t="str">
            <v>54.302,60</v>
          </cell>
          <cell r="D1926" t="str">
            <v>54.302,60</v>
          </cell>
          <cell r="E1926" t="str">
            <v>5.972,43</v>
          </cell>
          <cell r="F1926" t="str">
            <v>5.972,43</v>
          </cell>
          <cell r="G1926" t="str">
            <v>0,00</v>
          </cell>
          <cell r="H1926" t="str">
            <v>0,00</v>
          </cell>
          <cell r="I1926">
            <v>0</v>
          </cell>
          <cell r="J1926" t="str">
            <v>VERIFICAR</v>
          </cell>
        </row>
        <row r="1927">
          <cell r="A1927" t="str">
            <v>2.1.1.1.01.011834</v>
          </cell>
          <cell r="B1927" t="str">
            <v>MARTFER COMÉRCIO DE FERRAMENTAS LTDA.</v>
          </cell>
          <cell r="C1927" t="str">
            <v>53.959,69</v>
          </cell>
          <cell r="D1927" t="str">
            <v>53.959,69</v>
          </cell>
          <cell r="E1927" t="str">
            <v>6.219,71</v>
          </cell>
          <cell r="F1927" t="str">
            <v>12.059,81</v>
          </cell>
          <cell r="G1927" t="str">
            <v>0,00</v>
          </cell>
          <cell r="H1927" t="str">
            <v>5.840,10</v>
          </cell>
          <cell r="I1927">
            <v>5840.1</v>
          </cell>
          <cell r="J1927" t="str">
            <v>VERIFICAR</v>
          </cell>
        </row>
        <row r="1928">
          <cell r="A1928" t="str">
            <v>2.1.1.1.01.011854</v>
          </cell>
          <cell r="B1928" t="str">
            <v>D4S SERVICOS EM TECNOLOGIA LTDA</v>
          </cell>
          <cell r="C1928" t="str">
            <v>5.202,36</v>
          </cell>
          <cell r="D1928" t="str">
            <v>5.202,36</v>
          </cell>
          <cell r="E1928" t="str">
            <v>199,90</v>
          </cell>
          <cell r="F1928" t="str">
            <v>199,90</v>
          </cell>
          <cell r="G1928" t="str">
            <v>0,00</v>
          </cell>
          <cell r="H1928" t="str">
            <v>0,00</v>
          </cell>
          <cell r="I1928">
            <v>0</v>
          </cell>
          <cell r="J1928" t="str">
            <v>VERIFICAR</v>
          </cell>
        </row>
        <row r="1929">
          <cell r="A1929" t="str">
            <v>2.1.1.1.01.011865</v>
          </cell>
          <cell r="B1929" t="str">
            <v>FRAZILLIO SOLUCOES DE TECNOLOGIA LTDA</v>
          </cell>
          <cell r="C1929" t="str">
            <v>37.800,00</v>
          </cell>
          <cell r="D1929" t="str">
            <v>63.000,00</v>
          </cell>
          <cell r="E1929" t="str">
            <v>6.300,00</v>
          </cell>
          <cell r="F1929" t="str">
            <v>0,00</v>
          </cell>
          <cell r="G1929" t="str">
            <v>0,00</v>
          </cell>
          <cell r="H1929" t="str">
            <v>18.900,00</v>
          </cell>
          <cell r="I1929">
            <v>18900</v>
          </cell>
          <cell r="J1929" t="str">
            <v>VERIFICAR</v>
          </cell>
        </row>
        <row r="1930">
          <cell r="A1930" t="str">
            <v>2.1.1.1.01.011867</v>
          </cell>
          <cell r="B1930" t="str">
            <v>L.A DE SOUZA AMORA ELETRICA</v>
          </cell>
          <cell r="C1930" t="str">
            <v>830,00</v>
          </cell>
          <cell r="D1930" t="str">
            <v>830,00</v>
          </cell>
          <cell r="E1930" t="str">
            <v>600,00</v>
          </cell>
          <cell r="F1930" t="str">
            <v>600,00</v>
          </cell>
          <cell r="G1930" t="str">
            <v>0,00</v>
          </cell>
          <cell r="H1930" t="str">
            <v>0,00</v>
          </cell>
          <cell r="I1930">
            <v>0</v>
          </cell>
          <cell r="J1930" t="str">
            <v>VERIFICAR</v>
          </cell>
        </row>
        <row r="1931">
          <cell r="A1931" t="str">
            <v>2.1.1.1.01.011876</v>
          </cell>
          <cell r="B1931" t="str">
            <v>TRIBUNAL DE JUSTICA DO ESPIRITO SANTO</v>
          </cell>
          <cell r="C1931" t="str">
            <v>353,81</v>
          </cell>
          <cell r="D1931" t="str">
            <v>0,00</v>
          </cell>
          <cell r="E1931" t="str">
            <v>0,00</v>
          </cell>
          <cell r="F1931" t="str">
            <v>0,00</v>
          </cell>
          <cell r="G1931" t="str">
            <v>353,81</v>
          </cell>
          <cell r="H1931" t="str">
            <v>0,00</v>
          </cell>
          <cell r="I1931">
            <v>-353.81</v>
          </cell>
          <cell r="J1931" t="str">
            <v>VERIFICAR</v>
          </cell>
        </row>
        <row r="1932">
          <cell r="A1932" t="str">
            <v>2.1.1.1.01.011895</v>
          </cell>
          <cell r="B1932" t="str">
            <v>CABO SERVICOS DE TELECOMUNICACOES S.A.</v>
          </cell>
          <cell r="C1932" t="str">
            <v>10.850,34</v>
          </cell>
          <cell r="D1932" t="str">
            <v>10.850,34</v>
          </cell>
          <cell r="E1932" t="str">
            <v>0,00</v>
          </cell>
          <cell r="F1932" t="str">
            <v>1.123,14</v>
          </cell>
          <cell r="G1932" t="str">
            <v>0,00</v>
          </cell>
          <cell r="H1932" t="str">
            <v>1.123,14</v>
          </cell>
          <cell r="I1932">
            <v>1123.1400000000001</v>
          </cell>
          <cell r="J1932" t="str">
            <v>VERIFICAR</v>
          </cell>
        </row>
        <row r="1933">
          <cell r="A1933" t="str">
            <v>2.1.1.1.01.011901</v>
          </cell>
          <cell r="B1933" t="str">
            <v>AGENCIA DE AGUAS DO ESTADO DE SAO PAULO</v>
          </cell>
          <cell r="C1933" t="str">
            <v>113,15</v>
          </cell>
          <cell r="D1933" t="str">
            <v>113,15</v>
          </cell>
          <cell r="E1933" t="str">
            <v>57,15</v>
          </cell>
          <cell r="F1933" t="str">
            <v>0,00</v>
          </cell>
          <cell r="G1933" t="str">
            <v>57,15</v>
          </cell>
          <cell r="H1933" t="str">
            <v>0,00</v>
          </cell>
          <cell r="I1933">
            <v>-57.15</v>
          </cell>
          <cell r="J1933" t="str">
            <v>VERIFICAR</v>
          </cell>
        </row>
        <row r="1934">
          <cell r="A1934" t="str">
            <v>2.1.1.1.01.011902</v>
          </cell>
          <cell r="B1934" t="str">
            <v>ROLFAYA EXTRACAO E BRITAGEM LTDA - ME</v>
          </cell>
          <cell r="C1934" t="str">
            <v>0,00</v>
          </cell>
          <cell r="D1934" t="str">
            <v>5.000,00</v>
          </cell>
          <cell r="E1934" t="str">
            <v>0,00</v>
          </cell>
          <cell r="F1934" t="str">
            <v>0,00</v>
          </cell>
          <cell r="G1934" t="str">
            <v>0,00</v>
          </cell>
          <cell r="H1934" t="str">
            <v>5.000,00</v>
          </cell>
          <cell r="I1934">
            <v>5000</v>
          </cell>
          <cell r="J1934" t="str">
            <v>VERIFICAR</v>
          </cell>
        </row>
        <row r="1935">
          <cell r="A1935" t="str">
            <v>2.1.1.1.01.011908</v>
          </cell>
          <cell r="B1935" t="str">
            <v>RODRIGO PIRES RICETO</v>
          </cell>
          <cell r="C1935" t="str">
            <v>3.619,81</v>
          </cell>
          <cell r="D1935" t="str">
            <v>3.619,81</v>
          </cell>
          <cell r="E1935" t="str">
            <v>595,95</v>
          </cell>
          <cell r="F1935" t="str">
            <v>595,95</v>
          </cell>
          <cell r="G1935" t="str">
            <v>0,00</v>
          </cell>
          <cell r="H1935" t="str">
            <v>0,00</v>
          </cell>
          <cell r="I1935">
            <v>0</v>
          </cell>
          <cell r="J1935" t="str">
            <v>VERIFICAR</v>
          </cell>
        </row>
        <row r="1936">
          <cell r="A1936" t="str">
            <v>2.1.1.1.01.011914</v>
          </cell>
          <cell r="B1936" t="str">
            <v>THOR GRANITOS E MARMORES LTDA</v>
          </cell>
          <cell r="C1936" t="str">
            <v>0,00</v>
          </cell>
          <cell r="D1936" t="str">
            <v>10.000,00</v>
          </cell>
          <cell r="E1936" t="str">
            <v>0,00</v>
          </cell>
          <cell r="F1936" t="str">
            <v>0,00</v>
          </cell>
          <cell r="G1936" t="str">
            <v>0,00</v>
          </cell>
          <cell r="H1936" t="str">
            <v>10.000,00</v>
          </cell>
          <cell r="I1936">
            <v>10000</v>
          </cell>
          <cell r="J1936" t="str">
            <v>VERIFICAR</v>
          </cell>
        </row>
        <row r="1937">
          <cell r="A1937" t="str">
            <v>2.1.1.1.01.011916</v>
          </cell>
          <cell r="B1937" t="str">
            <v>62.021.772 JAIR - SER</v>
          </cell>
          <cell r="C1937" t="str">
            <v>45.118,14</v>
          </cell>
          <cell r="D1937" t="str">
            <v>45.118,14</v>
          </cell>
          <cell r="E1937" t="str">
            <v>4.000,00</v>
          </cell>
          <cell r="F1937" t="str">
            <v>4.000,00</v>
          </cell>
          <cell r="G1937" t="str">
            <v>0,00</v>
          </cell>
          <cell r="H1937" t="str">
            <v>0,00</v>
          </cell>
          <cell r="I1937">
            <v>0</v>
          </cell>
          <cell r="J1937" t="str">
            <v>VERIFICAR</v>
          </cell>
        </row>
        <row r="1938">
          <cell r="A1938" t="str">
            <v>2.1.1.1.01.011917</v>
          </cell>
          <cell r="B1938" t="str">
            <v>VIC BRITA MATERIAIS DE CONSTRUCAO LTDA</v>
          </cell>
          <cell r="C1938" t="str">
            <v>0,00</v>
          </cell>
          <cell r="D1938" t="str">
            <v>5.000,00</v>
          </cell>
          <cell r="E1938" t="str">
            <v>0,00</v>
          </cell>
          <cell r="F1938" t="str">
            <v>0,00</v>
          </cell>
          <cell r="G1938" t="str">
            <v>0,00</v>
          </cell>
          <cell r="H1938" t="str">
            <v>5.000,00</v>
          </cell>
          <cell r="I1938">
            <v>5000</v>
          </cell>
          <cell r="J1938" t="str">
            <v>VERIFICAR</v>
          </cell>
        </row>
        <row r="1939">
          <cell r="A1939" t="str">
            <v>2.1.1.1.01.011925</v>
          </cell>
          <cell r="B1939" t="str">
            <v>A.M. TELECOM E SUPRIMENTOS DE INFORMATICA LTDA</v>
          </cell>
          <cell r="C1939" t="str">
            <v>155,00</v>
          </cell>
          <cell r="D1939" t="str">
            <v>155,00</v>
          </cell>
          <cell r="E1939" t="str">
            <v>456,80</v>
          </cell>
          <cell r="F1939" t="str">
            <v>456,80</v>
          </cell>
          <cell r="G1939" t="str">
            <v>0,00</v>
          </cell>
          <cell r="H1939" t="str">
            <v>0,00</v>
          </cell>
          <cell r="I1939">
            <v>0</v>
          </cell>
          <cell r="J1939" t="str">
            <v>VERIFICAR</v>
          </cell>
        </row>
        <row r="1940">
          <cell r="A1940" t="str">
            <v>2.1.1.1.01.011941</v>
          </cell>
          <cell r="B1940" t="str">
            <v>VEDACENTRO INDUSTRIA E COMERCIO DE VEDACOES INDUST</v>
          </cell>
          <cell r="C1940" t="str">
            <v>3.081,00</v>
          </cell>
          <cell r="D1940" t="str">
            <v>3.081,00</v>
          </cell>
          <cell r="E1940" t="str">
            <v>440,00</v>
          </cell>
          <cell r="F1940" t="str">
            <v>440,00</v>
          </cell>
          <cell r="G1940" t="str">
            <v>0,00</v>
          </cell>
          <cell r="H1940" t="str">
            <v>0,00</v>
          </cell>
          <cell r="I1940">
            <v>0</v>
          </cell>
          <cell r="J1940" t="str">
            <v>VERIFICAR</v>
          </cell>
        </row>
        <row r="1941">
          <cell r="A1941" t="str">
            <v>2.1.1.1.01.011964</v>
          </cell>
          <cell r="B1941" t="str">
            <v>ADAO AFONSO RODUI MINERACAO</v>
          </cell>
          <cell r="C1941" t="str">
            <v>0,00</v>
          </cell>
          <cell r="D1941" t="str">
            <v>5.000,00</v>
          </cell>
          <cell r="E1941" t="str">
            <v>0,00</v>
          </cell>
          <cell r="F1941" t="str">
            <v>0,00</v>
          </cell>
          <cell r="G1941" t="str">
            <v>0,00</v>
          </cell>
          <cell r="H1941" t="str">
            <v>5.000,00</v>
          </cell>
          <cell r="I1941">
            <v>5000</v>
          </cell>
          <cell r="J1941" t="str">
            <v>VERIFICAR</v>
          </cell>
        </row>
        <row r="1942">
          <cell r="A1942" t="str">
            <v>2.1.1.1.01.011970</v>
          </cell>
          <cell r="B1942" t="str">
            <v>PEDREIRA ORATORIOS LTDA</v>
          </cell>
          <cell r="C1942" t="str">
            <v>0,00</v>
          </cell>
          <cell r="D1942" t="str">
            <v>5.000,00</v>
          </cell>
          <cell r="E1942" t="str">
            <v>0,00</v>
          </cell>
          <cell r="F1942" t="str">
            <v>0,00</v>
          </cell>
          <cell r="G1942" t="str">
            <v>0,00</v>
          </cell>
          <cell r="H1942" t="str">
            <v>5.000,00</v>
          </cell>
          <cell r="I1942">
            <v>5000</v>
          </cell>
          <cell r="J1942" t="str">
            <v>VERIFICAR</v>
          </cell>
        </row>
        <row r="1943">
          <cell r="A1943" t="str">
            <v>2.1.1.1.01.011973</v>
          </cell>
          <cell r="B1943" t="str">
            <v>L FELIPE COMMERCIO FRANZON</v>
          </cell>
          <cell r="C1943" t="str">
            <v>41.487,85</v>
          </cell>
          <cell r="D1943" t="str">
            <v>41.487,85</v>
          </cell>
          <cell r="E1943" t="str">
            <v>7.026,52</v>
          </cell>
          <cell r="F1943" t="str">
            <v>7.026,52</v>
          </cell>
          <cell r="G1943" t="str">
            <v>0,00</v>
          </cell>
          <cell r="H1943" t="str">
            <v>0,00</v>
          </cell>
          <cell r="I1943">
            <v>0</v>
          </cell>
          <cell r="J1943" t="str">
            <v>VERIFICAR</v>
          </cell>
        </row>
        <row r="1944">
          <cell r="A1944" t="str">
            <v>2.1.1.1.01.011975</v>
          </cell>
          <cell r="B1944" t="str">
            <v>INDELBROM DO BRASIL INDUSTRIA ELETRONICA DE BROCAS</v>
          </cell>
          <cell r="C1944" t="str">
            <v>4.925,67</v>
          </cell>
          <cell r="D1944" t="str">
            <v>16.681,77</v>
          </cell>
          <cell r="E1944" t="str">
            <v>3.918,70</v>
          </cell>
          <cell r="F1944" t="str">
            <v>0,00</v>
          </cell>
          <cell r="G1944" t="str">
            <v>0,00</v>
          </cell>
          <cell r="H1944" t="str">
            <v>7.837,40</v>
          </cell>
          <cell r="I1944">
            <v>7837.4</v>
          </cell>
          <cell r="J1944" t="str">
            <v>VERIFICAR</v>
          </cell>
        </row>
        <row r="1945">
          <cell r="A1945" t="str">
            <v>2.1.1.1.01.011976</v>
          </cell>
          <cell r="B1945" t="str">
            <v>MJR ASSESSORIA EMPRESARIAL LTDA</v>
          </cell>
          <cell r="C1945" t="str">
            <v>18.839,87</v>
          </cell>
          <cell r="D1945" t="str">
            <v>18.839,87</v>
          </cell>
          <cell r="E1945" t="str">
            <v>902,62</v>
          </cell>
          <cell r="F1945" t="str">
            <v>902,62</v>
          </cell>
          <cell r="G1945" t="str">
            <v>0,00</v>
          </cell>
          <cell r="H1945" t="str">
            <v>0,00</v>
          </cell>
          <cell r="I1945">
            <v>0</v>
          </cell>
          <cell r="J1945" t="str">
            <v>VERIFICAR</v>
          </cell>
        </row>
        <row r="1946">
          <cell r="A1946" t="str">
            <v>2.1.1.1.01.011977</v>
          </cell>
          <cell r="B1946" t="str">
            <v>RODRIGO PIRES RICETO</v>
          </cell>
          <cell r="C1946" t="str">
            <v>82.603,32</v>
          </cell>
          <cell r="D1946" t="str">
            <v>82.603,32</v>
          </cell>
          <cell r="E1946" t="str">
            <v>8.329,15</v>
          </cell>
          <cell r="F1946" t="str">
            <v>8.329,15</v>
          </cell>
          <cell r="G1946" t="str">
            <v>0,00</v>
          </cell>
          <cell r="H1946" t="str">
            <v>0,00</v>
          </cell>
          <cell r="I1946">
            <v>0</v>
          </cell>
          <cell r="J1946" t="str">
            <v>VERIFICAR</v>
          </cell>
        </row>
        <row r="1947">
          <cell r="A1947" t="str">
            <v>2.1.1.1.01.011995</v>
          </cell>
          <cell r="B1947" t="str">
            <v>LUIS FELIPE COMMERCIO FRANZON</v>
          </cell>
          <cell r="C1947" t="str">
            <v>15.214,59</v>
          </cell>
          <cell r="D1947" t="str">
            <v>15.214,59</v>
          </cell>
          <cell r="E1947" t="str">
            <v>2.405,34</v>
          </cell>
          <cell r="F1947" t="str">
            <v>2.405,34</v>
          </cell>
          <cell r="G1947" t="str">
            <v>0,00</v>
          </cell>
          <cell r="H1947" t="str">
            <v>0,00</v>
          </cell>
          <cell r="I1947">
            <v>0</v>
          </cell>
          <cell r="J1947" t="str">
            <v>VERIFICAR</v>
          </cell>
        </row>
        <row r="1948">
          <cell r="A1948" t="str">
            <v>2.1.1.1.01.012355</v>
          </cell>
          <cell r="B1948" t="str">
            <v>PAVITRANS MINERACAO LOCACAO E TRANSPORTES LTDA</v>
          </cell>
          <cell r="C1948" t="str">
            <v>0,00</v>
          </cell>
          <cell r="D1948" t="str">
            <v>5.000,00</v>
          </cell>
          <cell r="E1948" t="str">
            <v>0,00</v>
          </cell>
          <cell r="F1948" t="str">
            <v>0,00</v>
          </cell>
          <cell r="G1948" t="str">
            <v>0,00</v>
          </cell>
          <cell r="H1948" t="str">
            <v>5.000,00</v>
          </cell>
          <cell r="I1948">
            <v>5000</v>
          </cell>
          <cell r="J1948" t="str">
            <v>VERIFICAR</v>
          </cell>
        </row>
        <row r="1949">
          <cell r="A1949" t="str">
            <v>2.1.1.1.01.012358</v>
          </cell>
          <cell r="B1949" t="str">
            <v>ARMAZEM DOS PALETES LTDA</v>
          </cell>
          <cell r="C1949" t="str">
            <v>10.325,00</v>
          </cell>
          <cell r="D1949" t="str">
            <v>12.675,00</v>
          </cell>
          <cell r="E1949" t="str">
            <v>2.350,00</v>
          </cell>
          <cell r="F1949" t="str">
            <v>2.350,00</v>
          </cell>
          <cell r="G1949" t="str">
            <v>0,00</v>
          </cell>
          <cell r="H1949" t="str">
            <v>2.350,00</v>
          </cell>
          <cell r="I1949">
            <v>2350</v>
          </cell>
          <cell r="J1949" t="str">
            <v>VERIFICAR</v>
          </cell>
        </row>
        <row r="1950">
          <cell r="A1950" t="str">
            <v>2.1.1.1.01.012370</v>
          </cell>
          <cell r="B1950" t="str">
            <v>FRANCISCO ROMÁRIO FÉLIX DA SILVA</v>
          </cell>
          <cell r="C1950" t="str">
            <v>8.892,80</v>
          </cell>
          <cell r="D1950" t="str">
            <v>8.892,80</v>
          </cell>
          <cell r="E1950" t="str">
            <v>1.800,00</v>
          </cell>
          <cell r="F1950" t="str">
            <v>1.800,00</v>
          </cell>
          <cell r="G1950" t="str">
            <v>0,00</v>
          </cell>
          <cell r="H1950" t="str">
            <v>0,00</v>
          </cell>
          <cell r="I1950">
            <v>0</v>
          </cell>
          <cell r="J1950" t="str">
            <v>VERIFICAR</v>
          </cell>
        </row>
        <row r="1951">
          <cell r="A1951" t="str">
            <v>2.1.1.1.01.012376</v>
          </cell>
          <cell r="B1951" t="str">
            <v>THOR GRANITOS E MARMORES LTDA</v>
          </cell>
          <cell r="C1951" t="str">
            <v>0,00</v>
          </cell>
          <cell r="D1951" t="str">
            <v>5.000,00</v>
          </cell>
          <cell r="E1951" t="str">
            <v>0,00</v>
          </cell>
          <cell r="F1951" t="str">
            <v>0,00</v>
          </cell>
          <cell r="G1951" t="str">
            <v>0,00</v>
          </cell>
          <cell r="H1951" t="str">
            <v>5.000,00</v>
          </cell>
          <cell r="I1951">
            <v>5000</v>
          </cell>
          <cell r="J1951" t="str">
            <v>VERIFICAR</v>
          </cell>
        </row>
        <row r="1952">
          <cell r="A1952" t="str">
            <v>2.1.1.1.01.012401</v>
          </cell>
          <cell r="B1952" t="str">
            <v>SALVADOR COMERCIAL DE MAQUINAS E EQUIPAMENTOS DE R</v>
          </cell>
          <cell r="C1952" t="str">
            <v>3.841,95</v>
          </cell>
          <cell r="D1952" t="str">
            <v>3.841,95</v>
          </cell>
          <cell r="E1952" t="str">
            <v>3.606,20</v>
          </cell>
          <cell r="F1952" t="str">
            <v>3.606,20</v>
          </cell>
          <cell r="G1952" t="str">
            <v>0,00</v>
          </cell>
          <cell r="H1952" t="str">
            <v>0,00</v>
          </cell>
          <cell r="I1952">
            <v>0</v>
          </cell>
          <cell r="J1952" t="str">
            <v>VERIFICAR</v>
          </cell>
        </row>
        <row r="1953">
          <cell r="A1953" t="str">
            <v>2.1.1.1.01.012404</v>
          </cell>
          <cell r="B1953" t="str">
            <v>Granitos Gramarcal Ltda</v>
          </cell>
          <cell r="C1953" t="str">
            <v>0,00</v>
          </cell>
          <cell r="D1953" t="str">
            <v>100.000,00</v>
          </cell>
          <cell r="E1953" t="str">
            <v>0,00</v>
          </cell>
          <cell r="F1953" t="str">
            <v>0,00</v>
          </cell>
          <cell r="G1953" t="str">
            <v>0,00</v>
          </cell>
          <cell r="H1953" t="str">
            <v>100.000,00</v>
          </cell>
          <cell r="I1953">
            <v>100000</v>
          </cell>
          <cell r="J1953" t="str">
            <v>VERIFICAR</v>
          </cell>
        </row>
        <row r="1954">
          <cell r="A1954" t="str">
            <v>2.1.1.1.01.012406</v>
          </cell>
          <cell r="B1954" t="str">
            <v>JOSE CELINALDO GOMES - EPP</v>
          </cell>
          <cell r="C1954" t="str">
            <v>2.417,00</v>
          </cell>
          <cell r="D1954" t="str">
            <v>2.836,95</v>
          </cell>
          <cell r="E1954" t="str">
            <v>419,95</v>
          </cell>
          <cell r="F1954" t="str">
            <v>301,00</v>
          </cell>
          <cell r="G1954" t="str">
            <v>0,00</v>
          </cell>
          <cell r="H1954" t="str">
            <v>301,00</v>
          </cell>
          <cell r="I1954">
            <v>301</v>
          </cell>
          <cell r="J1954" t="str">
            <v>VERIFICAR</v>
          </cell>
        </row>
        <row r="1955">
          <cell r="A1955" t="str">
            <v>2.1.1.1.01.012421</v>
          </cell>
          <cell r="B1955" t="str">
            <v>VIP SERVICE COMERCIO E SERVICOS AUTOMOTIVOS LTDA</v>
          </cell>
          <cell r="C1955" t="str">
            <v>8.403,66</v>
          </cell>
          <cell r="D1955" t="str">
            <v>8.853,66</v>
          </cell>
          <cell r="E1955" t="str">
            <v>450,00</v>
          </cell>
          <cell r="F1955" t="str">
            <v>12.000,00</v>
          </cell>
          <cell r="G1955" t="str">
            <v>0,00</v>
          </cell>
          <cell r="H1955" t="str">
            <v>12.000,00</v>
          </cell>
          <cell r="I1955">
            <v>12000</v>
          </cell>
          <cell r="J1955" t="str">
            <v>VERIFICAR</v>
          </cell>
        </row>
        <row r="1956">
          <cell r="A1956" t="str">
            <v>2.1.1.1.01.012463</v>
          </cell>
          <cell r="B1956" t="str">
            <v>61.917.691 LUCIANA SANTANA NASCIMENTO</v>
          </cell>
          <cell r="C1956" t="str">
            <v>1.360,00</v>
          </cell>
          <cell r="D1956" t="str">
            <v>1.360,00</v>
          </cell>
          <cell r="E1956" t="str">
            <v>2.200,00</v>
          </cell>
          <cell r="F1956" t="str">
            <v>2.200,00</v>
          </cell>
          <cell r="G1956" t="str">
            <v>0,00</v>
          </cell>
          <cell r="H1956" t="str">
            <v>0,00</v>
          </cell>
          <cell r="I1956">
            <v>0</v>
          </cell>
          <cell r="J1956" t="str">
            <v>VERIFICAR</v>
          </cell>
        </row>
        <row r="1957">
          <cell r="A1957" t="str">
            <v>2.1.1.1.01.012466</v>
          </cell>
          <cell r="B1957" t="str">
            <v>METALURGICA BARRA DO PIRAI S/A</v>
          </cell>
          <cell r="C1957" t="str">
            <v>118.390,01</v>
          </cell>
          <cell r="D1957" t="str">
            <v>118.390,00</v>
          </cell>
          <cell r="E1957" t="str">
            <v>0,00</v>
          </cell>
          <cell r="F1957" t="str">
            <v>0,00</v>
          </cell>
          <cell r="G1957" t="str">
            <v>0,01</v>
          </cell>
          <cell r="H1957" t="str">
            <v>0,00</v>
          </cell>
          <cell r="I1957">
            <v>-0.01</v>
          </cell>
          <cell r="J1957" t="str">
            <v>VERIFICAR</v>
          </cell>
        </row>
        <row r="1958">
          <cell r="A1958" t="str">
            <v>2.1.1.1.01.012467</v>
          </cell>
          <cell r="B1958" t="str">
            <v>Mpwood Embalagens LTDA</v>
          </cell>
          <cell r="C1958" t="str">
            <v>2.964,00</v>
          </cell>
          <cell r="D1958" t="str">
            <v>2.964,00</v>
          </cell>
          <cell r="E1958" t="str">
            <v>988,00</v>
          </cell>
          <cell r="F1958" t="str">
            <v>988,00</v>
          </cell>
          <cell r="G1958" t="str">
            <v>0,00</v>
          </cell>
          <cell r="H1958" t="str">
            <v>0,00</v>
          </cell>
          <cell r="I1958">
            <v>0</v>
          </cell>
          <cell r="J1958" t="str">
            <v>VERIFICAR</v>
          </cell>
        </row>
        <row r="1959">
          <cell r="A1959" t="str">
            <v>2.1.1.1.01.012474</v>
          </cell>
          <cell r="B1959" t="str">
            <v>IMPRESSAO ANDRADENSE LTDA</v>
          </cell>
          <cell r="C1959" t="str">
            <v>6.670,60</v>
          </cell>
          <cell r="D1959" t="str">
            <v>6.691,75</v>
          </cell>
          <cell r="E1959" t="str">
            <v>0,00</v>
          </cell>
          <cell r="F1959" t="str">
            <v>0,00</v>
          </cell>
          <cell r="G1959" t="str">
            <v>0,00</v>
          </cell>
          <cell r="H1959" t="str">
            <v>21,15</v>
          </cell>
          <cell r="I1959">
            <v>21.15</v>
          </cell>
          <cell r="J1959" t="str">
            <v>VERIFICAR</v>
          </cell>
        </row>
        <row r="1960">
          <cell r="A1960" t="str">
            <v>2.1.1.1.01.012478</v>
          </cell>
          <cell r="B1960" t="str">
            <v>GUILHERME SOUZA</v>
          </cell>
          <cell r="C1960" t="str">
            <v>7.475,39</v>
          </cell>
          <cell r="D1960" t="str">
            <v>7.475,39</v>
          </cell>
          <cell r="E1960" t="str">
            <v>3.216,68</v>
          </cell>
          <cell r="F1960" t="str">
            <v>3.216,68</v>
          </cell>
          <cell r="G1960" t="str">
            <v>0,00</v>
          </cell>
          <cell r="H1960" t="str">
            <v>0,00</v>
          </cell>
          <cell r="I1960">
            <v>0</v>
          </cell>
          <cell r="J1960" t="str">
            <v>VERIFICAR</v>
          </cell>
        </row>
        <row r="1961">
          <cell r="A1961" t="str">
            <v>2.1.1.1.01.012483</v>
          </cell>
          <cell r="B1961" t="str">
            <v>GENIVALDO ALVES DE SOUZA</v>
          </cell>
          <cell r="C1961" t="str">
            <v>0,00</v>
          </cell>
          <cell r="D1961" t="str">
            <v>5.000,00</v>
          </cell>
          <cell r="E1961" t="str">
            <v>0,00</v>
          </cell>
          <cell r="F1961" t="str">
            <v>0,00</v>
          </cell>
          <cell r="G1961" t="str">
            <v>0,00</v>
          </cell>
          <cell r="H1961" t="str">
            <v>5.000,00</v>
          </cell>
          <cell r="I1961">
            <v>5000</v>
          </cell>
          <cell r="J1961" t="str">
            <v>VERIFICAR</v>
          </cell>
        </row>
        <row r="1962">
          <cell r="A1962" t="str">
            <v>2.1.1.1.01.012489</v>
          </cell>
          <cell r="B1962" t="str">
            <v>DG ARCANJO LTDA</v>
          </cell>
          <cell r="C1962" t="str">
            <v>84.994,74</v>
          </cell>
          <cell r="D1962" t="str">
            <v>84.994,74</v>
          </cell>
          <cell r="E1962" t="str">
            <v>8.493,34</v>
          </cell>
          <cell r="F1962" t="str">
            <v>8.493,34</v>
          </cell>
          <cell r="G1962" t="str">
            <v>0,00</v>
          </cell>
          <cell r="H1962" t="str">
            <v>0,00</v>
          </cell>
          <cell r="I1962">
            <v>0</v>
          </cell>
          <cell r="J1962" t="str">
            <v>VERIFICAR</v>
          </cell>
        </row>
        <row r="1963">
          <cell r="A1963" t="str">
            <v>2.1.1.1.01.012490</v>
          </cell>
          <cell r="B1963" t="str">
            <v>GUIDONI INVESTIMENTOS IMOBILIARIOS LTDA</v>
          </cell>
          <cell r="C1963" t="str">
            <v>22.500,00</v>
          </cell>
          <cell r="D1963" t="str">
            <v>22.500,00</v>
          </cell>
          <cell r="E1963" t="str">
            <v>4.500,00</v>
          </cell>
          <cell r="F1963" t="str">
            <v>4.500,00</v>
          </cell>
          <cell r="G1963" t="str">
            <v>0,00</v>
          </cell>
          <cell r="H1963" t="str">
            <v>0,00</v>
          </cell>
          <cell r="I1963">
            <v>0</v>
          </cell>
          <cell r="J1963" t="str">
            <v>VERIFICAR</v>
          </cell>
        </row>
        <row r="1964">
          <cell r="A1964" t="str">
            <v>2.1.1.1.01.03639</v>
          </cell>
          <cell r="B1964" t="str">
            <v>SP ACOS - COMERCIO DE TUBOS DE ACO E PER</v>
          </cell>
          <cell r="C1964" t="str">
            <v>76.523,17</v>
          </cell>
          <cell r="D1964" t="str">
            <v>78.218,12</v>
          </cell>
          <cell r="E1964" t="str">
            <v>1.694,95</v>
          </cell>
          <cell r="F1964" t="str">
            <v>0,00</v>
          </cell>
          <cell r="G1964" t="str">
            <v>0,00</v>
          </cell>
          <cell r="H1964" t="str">
            <v>0,00</v>
          </cell>
          <cell r="I1964">
            <v>0</v>
          </cell>
          <cell r="J1964" t="str">
            <v>VERIFICAR</v>
          </cell>
        </row>
        <row r="1965">
          <cell r="A1965" t="str">
            <v>2.1.1.1.01.03653</v>
          </cell>
          <cell r="B1965" t="str">
            <v>FERNADA DO CARMO</v>
          </cell>
          <cell r="C1965" t="str">
            <v>20.320,00</v>
          </cell>
          <cell r="D1965" t="str">
            <v>20.320,00</v>
          </cell>
          <cell r="E1965" t="str">
            <v>770,00</v>
          </cell>
          <cell r="F1965" t="str">
            <v>770,00</v>
          </cell>
          <cell r="G1965" t="str">
            <v>0,00</v>
          </cell>
          <cell r="H1965" t="str">
            <v>0,00</v>
          </cell>
          <cell r="I1965">
            <v>0</v>
          </cell>
          <cell r="J1965" t="str">
            <v>VERIFICAR</v>
          </cell>
        </row>
        <row r="1966">
          <cell r="A1966" t="str">
            <v>2.1.1.1.01.03664</v>
          </cell>
          <cell r="B1966" t="str">
            <v>EMPILHAUTO MANUTENCAO DE EMPILHADEIRA LT</v>
          </cell>
          <cell r="C1966" t="str">
            <v>9.655,08</v>
          </cell>
          <cell r="D1966" t="str">
            <v>9.655,09</v>
          </cell>
          <cell r="E1966" t="str">
            <v>0,00</v>
          </cell>
          <cell r="F1966" t="str">
            <v>0,00</v>
          </cell>
          <cell r="G1966" t="str">
            <v>0,00</v>
          </cell>
          <cell r="H1966" t="str">
            <v>0,01</v>
          </cell>
          <cell r="I1966">
            <v>0.01</v>
          </cell>
          <cell r="J1966" t="str">
            <v>VERIFICAR</v>
          </cell>
        </row>
        <row r="1967">
          <cell r="A1967" t="str">
            <v>2.1.1.1.01.03665</v>
          </cell>
          <cell r="B1967" t="str">
            <v>PNEUDRIVE FORTALEZA COMERCIO DE PNEUS E</v>
          </cell>
          <cell r="C1967" t="str">
            <v>8.244,34</v>
          </cell>
          <cell r="D1967" t="str">
            <v>8.244,32</v>
          </cell>
          <cell r="E1967" t="str">
            <v>0,00</v>
          </cell>
          <cell r="F1967" t="str">
            <v>0,00</v>
          </cell>
          <cell r="G1967" t="str">
            <v>0,02</v>
          </cell>
          <cell r="H1967" t="str">
            <v>0,00</v>
          </cell>
          <cell r="I1967">
            <v>-0.02</v>
          </cell>
          <cell r="J1967" t="str">
            <v>VERIFICAR</v>
          </cell>
        </row>
        <row r="1968">
          <cell r="A1968" t="str">
            <v>2.1.1.1.01.03670</v>
          </cell>
          <cell r="B1968" t="str">
            <v>EDVARD SILVA LIMA 73359637372</v>
          </cell>
          <cell r="C1968" t="str">
            <v>10.610,00</v>
          </cell>
          <cell r="D1968" t="str">
            <v>10.610,00</v>
          </cell>
          <cell r="E1968" t="str">
            <v>960,00</v>
          </cell>
          <cell r="F1968" t="str">
            <v>960,00</v>
          </cell>
          <cell r="G1968" t="str">
            <v>0,00</v>
          </cell>
          <cell r="H1968" t="str">
            <v>0,00</v>
          </cell>
          <cell r="I1968">
            <v>0</v>
          </cell>
          <cell r="J1968" t="str">
            <v>VERIFICAR</v>
          </cell>
        </row>
        <row r="1969">
          <cell r="A1969" t="str">
            <v>2.1.1.1.01.03687</v>
          </cell>
          <cell r="B1969" t="str">
            <v>SV COMERCIO DE MATERIAL ELETRICO LTDA</v>
          </cell>
          <cell r="C1969" t="str">
            <v>1.392,48</v>
          </cell>
          <cell r="D1969" t="str">
            <v>1.392,48</v>
          </cell>
          <cell r="E1969" t="str">
            <v>0,00</v>
          </cell>
          <cell r="F1969" t="str">
            <v>345,00</v>
          </cell>
          <cell r="G1969" t="str">
            <v>0,00</v>
          </cell>
          <cell r="H1969" t="str">
            <v>345,00</v>
          </cell>
          <cell r="I1969">
            <v>345</v>
          </cell>
          <cell r="J1969" t="str">
            <v>VERIFICAR</v>
          </cell>
        </row>
        <row r="1970">
          <cell r="A1970" t="str">
            <v>2.1.1.1.01.03696</v>
          </cell>
          <cell r="B1970" t="str">
            <v>SANDERIS ARAGAO FARIAS CRISPIM 028370173</v>
          </cell>
          <cell r="C1970" t="str">
            <v>829,40</v>
          </cell>
          <cell r="D1970" t="str">
            <v>829,40</v>
          </cell>
          <cell r="E1970" t="str">
            <v>400,00</v>
          </cell>
          <cell r="F1970" t="str">
            <v>400,00</v>
          </cell>
          <cell r="G1970" t="str">
            <v>0,00</v>
          </cell>
          <cell r="H1970" t="str">
            <v>0,00</v>
          </cell>
          <cell r="I1970">
            <v>0</v>
          </cell>
          <cell r="J1970" t="str">
            <v>VERIFICAR</v>
          </cell>
        </row>
        <row r="1971">
          <cell r="A1971" t="str">
            <v>2.1.1.1.01.03723</v>
          </cell>
          <cell r="B1971" t="str">
            <v>MAURO FREITAS LOUZADA</v>
          </cell>
          <cell r="C1971" t="str">
            <v>21.000,00</v>
          </cell>
          <cell r="D1971" t="str">
            <v>21.000,00</v>
          </cell>
          <cell r="E1971" t="str">
            <v>1.500,00</v>
          </cell>
          <cell r="F1971" t="str">
            <v>1.500,00</v>
          </cell>
          <cell r="G1971" t="str">
            <v>0,00</v>
          </cell>
          <cell r="H1971" t="str">
            <v>0,00</v>
          </cell>
          <cell r="I1971">
            <v>0</v>
          </cell>
          <cell r="J1971" t="str">
            <v>VERIFICAR</v>
          </cell>
        </row>
        <row r="1972">
          <cell r="A1972" t="str">
            <v>2.1.1.1.01.03725</v>
          </cell>
          <cell r="B1972" t="str">
            <v>ALFREDO JUNIOR MACHADO BOONE</v>
          </cell>
          <cell r="C1972" t="str">
            <v>19.634,86</v>
          </cell>
          <cell r="D1972" t="str">
            <v>21.168,97</v>
          </cell>
          <cell r="E1972" t="str">
            <v>1.534,11</v>
          </cell>
          <cell r="F1972" t="str">
            <v>0,00</v>
          </cell>
          <cell r="G1972" t="str">
            <v>0,00</v>
          </cell>
          <cell r="H1972" t="str">
            <v>0,00</v>
          </cell>
          <cell r="I1972">
            <v>0</v>
          </cell>
          <cell r="J1972" t="str">
            <v>VERIFICAR</v>
          </cell>
        </row>
        <row r="1973">
          <cell r="A1973" t="str">
            <v>2.1.1.1.01.03728</v>
          </cell>
          <cell r="B1973" t="str">
            <v>DRAGÃO DOS PARAFUSOS</v>
          </cell>
          <cell r="C1973" t="str">
            <v>4.420,64</v>
          </cell>
          <cell r="D1973" t="str">
            <v>5.186,21</v>
          </cell>
          <cell r="E1973" t="str">
            <v>765,57</v>
          </cell>
          <cell r="F1973" t="str">
            <v>0,00</v>
          </cell>
          <cell r="G1973" t="str">
            <v>0,00</v>
          </cell>
          <cell r="H1973" t="str">
            <v>0,00</v>
          </cell>
          <cell r="I1973">
            <v>0</v>
          </cell>
          <cell r="J1973" t="str">
            <v>VERIFICAR</v>
          </cell>
        </row>
        <row r="1974">
          <cell r="A1974" t="str">
            <v>2.1.1.1.01.03750</v>
          </cell>
          <cell r="B1974" t="str">
            <v>CARGO SHIPPING SAO PAULO LTDA</v>
          </cell>
          <cell r="C1974" t="str">
            <v>274.354,64</v>
          </cell>
          <cell r="D1974" t="str">
            <v>274.354,64</v>
          </cell>
          <cell r="E1974" t="str">
            <v>2.223,60</v>
          </cell>
          <cell r="F1974" t="str">
            <v>2.258,60</v>
          </cell>
          <cell r="G1974" t="str">
            <v>0,00</v>
          </cell>
          <cell r="H1974" t="str">
            <v>35,00</v>
          </cell>
          <cell r="I1974">
            <v>35</v>
          </cell>
          <cell r="J1974" t="str">
            <v>VERIFICAR</v>
          </cell>
        </row>
        <row r="1975">
          <cell r="A1975" t="str">
            <v>2.1.1.1.01.03755</v>
          </cell>
          <cell r="B1975" t="str">
            <v>ECONET BOLETIM TRIBUTARIO E CONTABIL LTD</v>
          </cell>
          <cell r="C1975" t="str">
            <v>13.050,72</v>
          </cell>
          <cell r="D1975" t="str">
            <v>13.050,72</v>
          </cell>
          <cell r="E1975" t="str">
            <v>686,88</v>
          </cell>
          <cell r="F1975" t="str">
            <v>686,88</v>
          </cell>
          <cell r="G1975" t="str">
            <v>0,00</v>
          </cell>
          <cell r="H1975" t="str">
            <v>0,00</v>
          </cell>
          <cell r="I1975">
            <v>0</v>
          </cell>
          <cell r="J1975" t="str">
            <v>VERIFICAR</v>
          </cell>
        </row>
        <row r="1976">
          <cell r="A1976" t="str">
            <v>2.1.1.1.01.03788</v>
          </cell>
          <cell r="B1976" t="str">
            <v>ALFA LASER SERVICOS DE CORTE E DOBRA EM</v>
          </cell>
          <cell r="C1976" t="str">
            <v>26.728,66</v>
          </cell>
          <cell r="D1976" t="str">
            <v>26.728,67</v>
          </cell>
          <cell r="E1976" t="str">
            <v>0,00</v>
          </cell>
          <cell r="F1976" t="str">
            <v>0,00</v>
          </cell>
          <cell r="G1976" t="str">
            <v>0,00</v>
          </cell>
          <cell r="H1976" t="str">
            <v>0,01</v>
          </cell>
          <cell r="I1976">
            <v>0.01</v>
          </cell>
          <cell r="J1976" t="str">
            <v>VERIFICAR</v>
          </cell>
        </row>
        <row r="1977">
          <cell r="A1977" t="str">
            <v>2.1.1.1.01.03790</v>
          </cell>
          <cell r="B1977" t="str">
            <v>UNIMED LESTE PAULISTA COOPERATIVA DE TRA</v>
          </cell>
          <cell r="C1977" t="str">
            <v>742.939,61</v>
          </cell>
          <cell r="D1977" t="str">
            <v>742.939,61</v>
          </cell>
          <cell r="E1977" t="str">
            <v>29.062,42</v>
          </cell>
          <cell r="F1977" t="str">
            <v>29.062,42</v>
          </cell>
          <cell r="G1977" t="str">
            <v>0,00</v>
          </cell>
          <cell r="H1977" t="str">
            <v>0,00</v>
          </cell>
          <cell r="I1977">
            <v>0</v>
          </cell>
          <cell r="J1977" t="str">
            <v>VERIFICAR</v>
          </cell>
        </row>
        <row r="1978">
          <cell r="A1978" t="str">
            <v>2.1.1.1.01.03796</v>
          </cell>
          <cell r="B1978" t="str">
            <v>ENERBRAZ MATERIAIS ELETRICOS</v>
          </cell>
          <cell r="C1978" t="str">
            <v>3.834,00</v>
          </cell>
          <cell r="D1978" t="str">
            <v>3.834,00</v>
          </cell>
          <cell r="E1978" t="str">
            <v>79,90</v>
          </cell>
          <cell r="F1978" t="str">
            <v>79,90</v>
          </cell>
          <cell r="G1978" t="str">
            <v>0,00</v>
          </cell>
          <cell r="H1978" t="str">
            <v>0,00</v>
          </cell>
          <cell r="I1978">
            <v>0</v>
          </cell>
          <cell r="J1978" t="str">
            <v>VERIFICAR</v>
          </cell>
        </row>
        <row r="1979">
          <cell r="A1979" t="str">
            <v>2.1.1.1.01.03823</v>
          </cell>
          <cell r="B1979" t="str">
            <v>STEEL HORIZON PRESTACAO DE SERVICOS INDU</v>
          </cell>
          <cell r="C1979" t="str">
            <v>16.116,67</v>
          </cell>
          <cell r="D1979" t="str">
            <v>20.002,17</v>
          </cell>
          <cell r="E1979" t="str">
            <v>5.087,35</v>
          </cell>
          <cell r="F1979" t="str">
            <v>2.203,05</v>
          </cell>
          <cell r="G1979" t="str">
            <v>0,00</v>
          </cell>
          <cell r="H1979" t="str">
            <v>1.001,20</v>
          </cell>
          <cell r="I1979">
            <v>1001.2</v>
          </cell>
          <cell r="J1979" t="str">
            <v>VERIFICAR</v>
          </cell>
        </row>
        <row r="1980">
          <cell r="A1980" t="str">
            <v>2.1.1.1.01.038260</v>
          </cell>
          <cell r="B1980" t="str">
            <v>F2N TRANSPORTE, LOCACAO, TERRAPLANAGEM E</v>
          </cell>
          <cell r="C1980" t="str">
            <v>7.910,00</v>
          </cell>
          <cell r="D1980" t="str">
            <v>9.960,00</v>
          </cell>
          <cell r="E1980" t="str">
            <v>0,00</v>
          </cell>
          <cell r="F1980" t="str">
            <v>0,00</v>
          </cell>
          <cell r="G1980" t="str">
            <v>0,00</v>
          </cell>
          <cell r="H1980" t="str">
            <v>2.050,00</v>
          </cell>
          <cell r="I1980">
            <v>2050</v>
          </cell>
          <cell r="J1980" t="str">
            <v>VERIFICAR</v>
          </cell>
        </row>
        <row r="1981">
          <cell r="A1981" t="str">
            <v>2.1.1.1.01.03944</v>
          </cell>
          <cell r="B1981" t="str">
            <v>GRAMARCAL GRANITOS,MARMORES E CALCAREOS</v>
          </cell>
          <cell r="C1981" t="str">
            <v>190.000,00</v>
          </cell>
          <cell r="D1981" t="str">
            <v>240.000,00</v>
          </cell>
          <cell r="E1981" t="str">
            <v>0,00</v>
          </cell>
          <cell r="F1981" t="str">
            <v>0,00</v>
          </cell>
          <cell r="G1981" t="str">
            <v>0,00</v>
          </cell>
          <cell r="H1981" t="str">
            <v>50.000,00</v>
          </cell>
          <cell r="I1981">
            <v>50000</v>
          </cell>
          <cell r="J1981" t="str">
            <v>VERIFICAR</v>
          </cell>
        </row>
        <row r="1982">
          <cell r="A1982" t="str">
            <v>2.1.1.1.01.03955</v>
          </cell>
          <cell r="B1982" t="str">
            <v>PNEUBRAS COMERCIO DE PNEUS LTDA</v>
          </cell>
          <cell r="C1982" t="str">
            <v>660,00</v>
          </cell>
          <cell r="D1982" t="str">
            <v>1.090,90</v>
          </cell>
          <cell r="E1982" t="str">
            <v>430,90</v>
          </cell>
          <cell r="F1982" t="str">
            <v>0,00</v>
          </cell>
          <cell r="G1982" t="str">
            <v>0,00</v>
          </cell>
          <cell r="H1982" t="str">
            <v>0,00</v>
          </cell>
          <cell r="I1982">
            <v>0</v>
          </cell>
          <cell r="J1982" t="str">
            <v>VERIFICAR</v>
          </cell>
        </row>
        <row r="1983">
          <cell r="A1983" t="str">
            <v>2.1.1.1.01.03957</v>
          </cell>
          <cell r="B1983" t="str">
            <v>J.J. SOLUÇÕES INDUSTRIAIS LTDA</v>
          </cell>
          <cell r="C1983" t="str">
            <v>209.899,32</v>
          </cell>
          <cell r="D1983" t="str">
            <v>209.899,32</v>
          </cell>
          <cell r="E1983" t="str">
            <v>12.007,50</v>
          </cell>
          <cell r="F1983" t="str">
            <v>17.007,50</v>
          </cell>
          <cell r="G1983" t="str">
            <v>0,00</v>
          </cell>
          <cell r="H1983" t="str">
            <v>5.000,00</v>
          </cell>
          <cell r="I1983">
            <v>5000</v>
          </cell>
          <cell r="J1983" t="str">
            <v>VERIFICAR</v>
          </cell>
        </row>
        <row r="1984">
          <cell r="A1984" t="str">
            <v>2.1.1.1.01.03989</v>
          </cell>
          <cell r="B1984" t="str">
            <v>REGENFER INDUSTRIA E COMERCIO DE FERRO E</v>
          </cell>
          <cell r="C1984" t="str">
            <v>293.920,91</v>
          </cell>
          <cell r="D1984" t="str">
            <v>316.091,70</v>
          </cell>
          <cell r="E1984" t="str">
            <v>16.299,60</v>
          </cell>
          <cell r="F1984" t="str">
            <v>12.130,21</v>
          </cell>
          <cell r="G1984" t="str">
            <v>0,00</v>
          </cell>
          <cell r="H1984" t="str">
            <v>18.001,40</v>
          </cell>
          <cell r="I1984">
            <v>18001.400000000001</v>
          </cell>
          <cell r="J1984" t="str">
            <v>VERIFICAR</v>
          </cell>
        </row>
        <row r="1985">
          <cell r="A1985" t="str">
            <v>2.1.1.1.01.03990</v>
          </cell>
          <cell r="B1985" t="str">
            <v>BATERCAMP COMERCIO DE BATERIAS E ACESSOR</v>
          </cell>
          <cell r="C1985" t="str">
            <v>38.371,00</v>
          </cell>
          <cell r="D1985" t="str">
            <v>48.367,00</v>
          </cell>
          <cell r="E1985" t="str">
            <v>3.332,00</v>
          </cell>
          <cell r="F1985" t="str">
            <v>0,00</v>
          </cell>
          <cell r="G1985" t="str">
            <v>0,00</v>
          </cell>
          <cell r="H1985" t="str">
            <v>6.664,00</v>
          </cell>
          <cell r="I1985">
            <v>6664</v>
          </cell>
          <cell r="J1985" t="str">
            <v>VERIFICAR</v>
          </cell>
        </row>
        <row r="1986">
          <cell r="A1986" t="str">
            <v>2.1.1.1.01.03993</v>
          </cell>
          <cell r="B1986" t="str">
            <v>FNX COMERCIO DE FERRAMENTAS LTDA</v>
          </cell>
          <cell r="C1986" t="str">
            <v>310.316,48</v>
          </cell>
          <cell r="D1986" t="str">
            <v>398.196,03</v>
          </cell>
          <cell r="E1986" t="str">
            <v>45.340,03</v>
          </cell>
          <cell r="F1986" t="str">
            <v>66.340,02</v>
          </cell>
          <cell r="G1986" t="str">
            <v>0,00</v>
          </cell>
          <cell r="H1986" t="str">
            <v>108.879,54</v>
          </cell>
          <cell r="I1986">
            <v>108879.54</v>
          </cell>
          <cell r="J1986" t="str">
            <v>VERIFICAR</v>
          </cell>
        </row>
        <row r="1987">
          <cell r="A1987" t="str">
            <v>2.1.1.1.01.04007</v>
          </cell>
          <cell r="B1987" t="str">
            <v>60.744.569 FABIANO DA SILVA BALBINO DIAS</v>
          </cell>
          <cell r="C1987" t="str">
            <v>73.178,05</v>
          </cell>
          <cell r="D1987" t="str">
            <v>73.178,05</v>
          </cell>
          <cell r="E1987" t="str">
            <v>10.369,69</v>
          </cell>
          <cell r="F1987" t="str">
            <v>10.369,69</v>
          </cell>
          <cell r="G1987" t="str">
            <v>0,00</v>
          </cell>
          <cell r="H1987" t="str">
            <v>0,00</v>
          </cell>
          <cell r="I1987">
            <v>0</v>
          </cell>
          <cell r="J1987" t="str">
            <v>VERIFICAR</v>
          </cell>
        </row>
        <row r="1988">
          <cell r="A1988" t="str">
            <v>2.1.1.1.01.04008</v>
          </cell>
          <cell r="B1988" t="str">
            <v>60.744.953 WESLEY HENRIQUE DE OLIVEIRA C</v>
          </cell>
          <cell r="C1988" t="str">
            <v>82.502,73</v>
          </cell>
          <cell r="D1988" t="str">
            <v>82.502,73</v>
          </cell>
          <cell r="E1988" t="str">
            <v>11.852,87</v>
          </cell>
          <cell r="F1988" t="str">
            <v>11.852,87</v>
          </cell>
          <cell r="G1988" t="str">
            <v>0,00</v>
          </cell>
          <cell r="H1988" t="str">
            <v>0,00</v>
          </cell>
          <cell r="I1988">
            <v>0</v>
          </cell>
          <cell r="J1988" t="str">
            <v>VERIFICAR</v>
          </cell>
        </row>
        <row r="1989">
          <cell r="A1989" t="str">
            <v>2.1.1.1.01.04010</v>
          </cell>
          <cell r="B1989" t="str">
            <v>PECAS FEIRA LTDA</v>
          </cell>
          <cell r="C1989" t="str">
            <v>19.959,00</v>
          </cell>
          <cell r="D1989" t="str">
            <v>20.379,00</v>
          </cell>
          <cell r="E1989" t="str">
            <v>1.185,00</v>
          </cell>
          <cell r="F1989" t="str">
            <v>765,00</v>
          </cell>
          <cell r="G1989" t="str">
            <v>0,00</v>
          </cell>
          <cell r="H1989" t="str">
            <v>0,00</v>
          </cell>
          <cell r="I1989">
            <v>0</v>
          </cell>
          <cell r="J1989" t="str">
            <v>VERIFICAR</v>
          </cell>
        </row>
        <row r="1990">
          <cell r="A1990" t="str">
            <v>2.1.1.1.01.04019</v>
          </cell>
          <cell r="B1990" t="str">
            <v>TEREOS ACUCAR E ENERGIA BRASIL S.A.</v>
          </cell>
          <cell r="C1990" t="str">
            <v>48.589,56</v>
          </cell>
          <cell r="D1990" t="str">
            <v>48.589,56</v>
          </cell>
          <cell r="E1990" t="str">
            <v>13.394,05</v>
          </cell>
          <cell r="F1990" t="str">
            <v>13.394,05</v>
          </cell>
          <cell r="G1990" t="str">
            <v>0,00</v>
          </cell>
          <cell r="H1990" t="str">
            <v>0,00</v>
          </cell>
          <cell r="I1990">
            <v>0</v>
          </cell>
          <cell r="J1990" t="str">
            <v>VERIFICAR</v>
          </cell>
        </row>
        <row r="1991">
          <cell r="A1991" t="str">
            <v>2.1.1.1.01.04027</v>
          </cell>
          <cell r="B1991" t="str">
            <v>ADMILSON DONIZETI ALVES MOURA </v>
          </cell>
          <cell r="C1991" t="str">
            <v>600,00</v>
          </cell>
          <cell r="D1991" t="str">
            <v>600,00</v>
          </cell>
          <cell r="E1991" t="str">
            <v>700,00</v>
          </cell>
          <cell r="F1991" t="str">
            <v>700,00</v>
          </cell>
          <cell r="G1991" t="str">
            <v>0,00</v>
          </cell>
          <cell r="H1991" t="str">
            <v>0,00</v>
          </cell>
          <cell r="I1991">
            <v>0</v>
          </cell>
          <cell r="J1991" t="str">
            <v>VERIFICAR</v>
          </cell>
        </row>
        <row r="1992">
          <cell r="A1992" t="str">
            <v>2.1.1.1.01.04055</v>
          </cell>
          <cell r="B1992" t="str">
            <v>EMF PEÇAS</v>
          </cell>
          <cell r="C1992" t="str">
            <v>4.030,61</v>
          </cell>
          <cell r="D1992" t="str">
            <v>6.300,61</v>
          </cell>
          <cell r="E1992" t="str">
            <v>2.270,00</v>
          </cell>
          <cell r="F1992" t="str">
            <v>300,00</v>
          </cell>
          <cell r="G1992" t="str">
            <v>0,00</v>
          </cell>
          <cell r="H1992" t="str">
            <v>300,00</v>
          </cell>
          <cell r="I1992">
            <v>300</v>
          </cell>
          <cell r="J1992" t="str">
            <v>VERIFICAR</v>
          </cell>
        </row>
        <row r="1993">
          <cell r="A1993" t="str">
            <v>2.1.1.1.01.04063</v>
          </cell>
          <cell r="B1993" t="str">
            <v>MKRAFT COMERCIO DE METAIS LTDA - MATRIZ</v>
          </cell>
          <cell r="C1993" t="str">
            <v>41.641,91</v>
          </cell>
          <cell r="D1993" t="str">
            <v>41.641,90</v>
          </cell>
          <cell r="E1993" t="str">
            <v>0,00</v>
          </cell>
          <cell r="F1993" t="str">
            <v>0,00</v>
          </cell>
          <cell r="G1993" t="str">
            <v>0,01</v>
          </cell>
          <cell r="H1993" t="str">
            <v>0,00</v>
          </cell>
          <cell r="I1993">
            <v>-0.01</v>
          </cell>
          <cell r="J1993" t="str">
            <v>VERIFICAR</v>
          </cell>
        </row>
        <row r="1994">
          <cell r="A1994" t="str">
            <v>2.1.1.1.01.04097</v>
          </cell>
          <cell r="B1994" t="str">
            <v>INDUSTRIA MARILIA DE AUTO PECAS S/A</v>
          </cell>
          <cell r="C1994" t="str">
            <v>1.068,37</v>
          </cell>
          <cell r="D1994" t="str">
            <v>1.068,37</v>
          </cell>
          <cell r="E1994" t="str">
            <v>1.068,37</v>
          </cell>
          <cell r="F1994" t="str">
            <v>1.068,37</v>
          </cell>
          <cell r="G1994" t="str">
            <v>0,00</v>
          </cell>
          <cell r="H1994" t="str">
            <v>0,00</v>
          </cell>
          <cell r="I1994">
            <v>0</v>
          </cell>
          <cell r="J1994" t="str">
            <v>VERIFICAR</v>
          </cell>
        </row>
        <row r="1995">
          <cell r="A1995" t="str">
            <v>2.1.1.1.01.04103</v>
          </cell>
          <cell r="B1995" t="str">
            <v>IDEAL AUTOPECAS E MECANICA LTDA - ME</v>
          </cell>
          <cell r="C1995" t="str">
            <v>3.400,00</v>
          </cell>
          <cell r="D1995" t="str">
            <v>3.400,01</v>
          </cell>
          <cell r="E1995" t="str">
            <v>0,00</v>
          </cell>
          <cell r="F1995" t="str">
            <v>0,00</v>
          </cell>
          <cell r="G1995" t="str">
            <v>0,00</v>
          </cell>
          <cell r="H1995" t="str">
            <v>0,01</v>
          </cell>
          <cell r="I1995">
            <v>0.01</v>
          </cell>
          <cell r="J1995" t="str">
            <v>VERIFICAR</v>
          </cell>
        </row>
        <row r="1996">
          <cell r="A1996" t="str">
            <v>2.1.1.1.01.04114</v>
          </cell>
          <cell r="B1996" t="str">
            <v>LYSI AUTOMACAO COMERCIO DE ELETRONICOS LTDA</v>
          </cell>
          <cell r="C1996" t="str">
            <v>18.052,45</v>
          </cell>
          <cell r="D1996" t="str">
            <v>19.372,45</v>
          </cell>
          <cell r="E1996" t="str">
            <v>1.320,00</v>
          </cell>
          <cell r="F1996" t="str">
            <v>1.100,00</v>
          </cell>
          <cell r="G1996" t="str">
            <v>0,00</v>
          </cell>
          <cell r="H1996" t="str">
            <v>1.100,00</v>
          </cell>
          <cell r="I1996">
            <v>1100</v>
          </cell>
          <cell r="J1996" t="str">
            <v>VERIFICAR</v>
          </cell>
        </row>
        <row r="1997">
          <cell r="A1997" t="str">
            <v>2.1.1.1.01.04129</v>
          </cell>
          <cell r="B1997" t="str">
            <v>CAUCHO PRODUTOS DE BORRACHAS LTDA</v>
          </cell>
          <cell r="C1997" t="str">
            <v>1.260,00</v>
          </cell>
          <cell r="D1997" t="str">
            <v>3.260,00</v>
          </cell>
          <cell r="E1997" t="str">
            <v>3.250,00</v>
          </cell>
          <cell r="F1997" t="str">
            <v>2.500,00</v>
          </cell>
          <cell r="G1997" t="str">
            <v>0,00</v>
          </cell>
          <cell r="H1997" t="str">
            <v>1.250,00</v>
          </cell>
          <cell r="I1997">
            <v>1250</v>
          </cell>
          <cell r="J1997" t="str">
            <v>VERIFICAR</v>
          </cell>
        </row>
        <row r="1998">
          <cell r="A1998" t="str">
            <v>2.1.1.1.01.04130</v>
          </cell>
          <cell r="B1998" t="str">
            <v>L A COMERCIO DE ADESIVOS LTDA</v>
          </cell>
          <cell r="C1998" t="str">
            <v>14.176,25</v>
          </cell>
          <cell r="D1998" t="str">
            <v>15.783,75</v>
          </cell>
          <cell r="E1998" t="str">
            <v>5.955,00</v>
          </cell>
          <cell r="F1998" t="str">
            <v>4.347,50</v>
          </cell>
          <cell r="G1998" t="str">
            <v>0,00</v>
          </cell>
          <cell r="H1998" t="str">
            <v>0,00</v>
          </cell>
          <cell r="I1998">
            <v>0</v>
          </cell>
          <cell r="J1998" t="str">
            <v>VERIFICAR</v>
          </cell>
        </row>
        <row r="1999">
          <cell r="A1999" t="str">
            <v>2.1.1.1.01.04132</v>
          </cell>
          <cell r="B1999" t="str">
            <v>ROMÃO GOGOLLA INDÚSTRIA DE ABRASIVOS E GRANALHAS L</v>
          </cell>
          <cell r="C1999" t="str">
            <v>46.256,00</v>
          </cell>
          <cell r="D1999" t="str">
            <v>46.256,00</v>
          </cell>
          <cell r="E1999" t="str">
            <v>0,00</v>
          </cell>
          <cell r="F1999" t="str">
            <v>9.912,00</v>
          </cell>
          <cell r="G1999" t="str">
            <v>0,00</v>
          </cell>
          <cell r="H1999" t="str">
            <v>9.912,00</v>
          </cell>
          <cell r="I1999">
            <v>9912</v>
          </cell>
          <cell r="J1999" t="str">
            <v>VERIFICAR</v>
          </cell>
        </row>
        <row r="2000">
          <cell r="A2000" t="str">
            <v>2.1.1.1.01.04138</v>
          </cell>
          <cell r="B2000" t="str">
            <v>BALLAST EQUIPAMENTOS INDUSTRIAIS LTDA</v>
          </cell>
          <cell r="C2000" t="str">
            <v>4.155,11</v>
          </cell>
          <cell r="D2000" t="str">
            <v>4.155,11</v>
          </cell>
          <cell r="E2000" t="str">
            <v>1.081,41</v>
          </cell>
          <cell r="F2000" t="str">
            <v>1.081,41</v>
          </cell>
          <cell r="G2000" t="str">
            <v>0,00</v>
          </cell>
          <cell r="H2000" t="str">
            <v>0,00</v>
          </cell>
          <cell r="I2000">
            <v>0</v>
          </cell>
          <cell r="J2000" t="str">
            <v>VERIFICAR</v>
          </cell>
        </row>
        <row r="2001">
          <cell r="A2001" t="str">
            <v>2.1.1.1.01.04145</v>
          </cell>
          <cell r="B2001" t="str">
            <v>TRIEX COMERCIO DE PECAS E SERVICOS LTDA</v>
          </cell>
          <cell r="C2001" t="str">
            <v>585,90</v>
          </cell>
          <cell r="D2001" t="str">
            <v>1.650,63</v>
          </cell>
          <cell r="E2001" t="str">
            <v>1.064,73</v>
          </cell>
          <cell r="F2001" t="str">
            <v>465,35</v>
          </cell>
          <cell r="G2001" t="str">
            <v>0,00</v>
          </cell>
          <cell r="H2001" t="str">
            <v>465,35</v>
          </cell>
          <cell r="I2001">
            <v>465.35</v>
          </cell>
          <cell r="J2001" t="str">
            <v>VERIFICAR</v>
          </cell>
        </row>
        <row r="2002">
          <cell r="A2002" t="str">
            <v>2.1.1.1.01.04158</v>
          </cell>
          <cell r="B2002" t="str">
            <v>FLUID CENTER AUTOMACAO INDUSTRIAL LTDA</v>
          </cell>
          <cell r="C2002" t="str">
            <v>9.473,33</v>
          </cell>
          <cell r="D2002" t="str">
            <v>10.150,00</v>
          </cell>
          <cell r="E2002" t="str">
            <v>676,67</v>
          </cell>
          <cell r="F2002" t="str">
            <v>0,00</v>
          </cell>
          <cell r="G2002" t="str">
            <v>0,00</v>
          </cell>
          <cell r="H2002" t="str">
            <v>0,00</v>
          </cell>
          <cell r="I2002">
            <v>0</v>
          </cell>
          <cell r="J2002" t="str">
            <v>VERIFICAR</v>
          </cell>
        </row>
        <row r="2003">
          <cell r="A2003" t="str">
            <v>2.1.1.1.01.04178</v>
          </cell>
          <cell r="B2003" t="str">
            <v>ARCOZ DISTRIBUIDORA LTDA</v>
          </cell>
          <cell r="C2003" t="str">
            <v>91,89</v>
          </cell>
          <cell r="D2003" t="str">
            <v>91,89</v>
          </cell>
          <cell r="E2003" t="str">
            <v>166,89</v>
          </cell>
          <cell r="F2003" t="str">
            <v>166,89</v>
          </cell>
          <cell r="G2003" t="str">
            <v>0,00</v>
          </cell>
          <cell r="H2003" t="str">
            <v>0,00</v>
          </cell>
          <cell r="I2003">
            <v>0</v>
          </cell>
          <cell r="J2003" t="str">
            <v>VERIFICAR</v>
          </cell>
        </row>
        <row r="2004">
          <cell r="A2004" t="str">
            <v>2.1.1.1.01.04182</v>
          </cell>
          <cell r="B2004" t="str">
            <v>INFRACEA CONTROLE DO ESPACO AEREO</v>
          </cell>
          <cell r="C2004" t="str">
            <v>141,92</v>
          </cell>
          <cell r="D2004" t="str">
            <v>0,00</v>
          </cell>
          <cell r="E2004" t="str">
            <v>0,00</v>
          </cell>
          <cell r="F2004" t="str">
            <v>0,00</v>
          </cell>
          <cell r="G2004" t="str">
            <v>141,92</v>
          </cell>
          <cell r="H2004" t="str">
            <v>0,00</v>
          </cell>
          <cell r="I2004">
            <v>-141.91999999999999</v>
          </cell>
          <cell r="J2004" t="str">
            <v>VERIFICAR</v>
          </cell>
        </row>
        <row r="2005">
          <cell r="A2005" t="str">
            <v>2.1.1.1.01.04184</v>
          </cell>
          <cell r="B2005" t="str">
            <v>PNEUBRAS COMERCIO DE PNEUS LTDA</v>
          </cell>
          <cell r="C2005" t="str">
            <v>4.890,66</v>
          </cell>
          <cell r="D2005" t="str">
            <v>5.472,00</v>
          </cell>
          <cell r="E2005" t="str">
            <v>581,34</v>
          </cell>
          <cell r="F2005" t="str">
            <v>0,00</v>
          </cell>
          <cell r="G2005" t="str">
            <v>0,00</v>
          </cell>
          <cell r="H2005" t="str">
            <v>0,00</v>
          </cell>
          <cell r="I2005">
            <v>0</v>
          </cell>
          <cell r="J2005" t="str">
            <v>VERIFICAR</v>
          </cell>
        </row>
        <row r="2006">
          <cell r="A2006" t="str">
            <v>2.1.1.1.01.04190</v>
          </cell>
          <cell r="B2006" t="str">
            <v>ACOTUBO SOLUCOES EM ACO LTDA</v>
          </cell>
          <cell r="C2006" t="str">
            <v>129.082,86</v>
          </cell>
          <cell r="D2006" t="str">
            <v>188.975,97</v>
          </cell>
          <cell r="E2006" t="str">
            <v>55.300,17</v>
          </cell>
          <cell r="F2006" t="str">
            <v>52.792,13</v>
          </cell>
          <cell r="G2006" t="str">
            <v>0,00</v>
          </cell>
          <cell r="H2006" t="str">
            <v>57.385,07</v>
          </cell>
          <cell r="I2006">
            <v>57385.07</v>
          </cell>
          <cell r="J2006" t="str">
            <v>VERIFICAR</v>
          </cell>
        </row>
        <row r="2007">
          <cell r="A2007" t="str">
            <v>2.1.1.1.01.04217</v>
          </cell>
          <cell r="B2007" t="str">
            <v>SURFACE PEDRAS DO BRASIL LTDA</v>
          </cell>
          <cell r="C2007" t="str">
            <v>0,00</v>
          </cell>
          <cell r="D2007" t="str">
            <v>100.000,00</v>
          </cell>
          <cell r="E2007" t="str">
            <v>0,00</v>
          </cell>
          <cell r="F2007" t="str">
            <v>0,00</v>
          </cell>
          <cell r="G2007" t="str">
            <v>0,00</v>
          </cell>
          <cell r="H2007" t="str">
            <v>100.000,00</v>
          </cell>
          <cell r="I2007">
            <v>100000</v>
          </cell>
          <cell r="J2007" t="str">
            <v>VERIFICAR</v>
          </cell>
        </row>
        <row r="2008">
          <cell r="A2008" t="str">
            <v>2.1.1.1.01.04220</v>
          </cell>
          <cell r="B2008" t="str">
            <v>MANCHESTER COMERCIO DE TUBOS E CONEXÕES LTDA</v>
          </cell>
          <cell r="C2008" t="str">
            <v>1.813,36</v>
          </cell>
          <cell r="D2008" t="str">
            <v>1.813,36</v>
          </cell>
          <cell r="E2008" t="str">
            <v>0,00</v>
          </cell>
          <cell r="F2008" t="str">
            <v>771,00</v>
          </cell>
          <cell r="G2008" t="str">
            <v>0,00</v>
          </cell>
          <cell r="H2008" t="str">
            <v>771,00</v>
          </cell>
          <cell r="I2008">
            <v>771</v>
          </cell>
          <cell r="J2008" t="str">
            <v>VERIFICAR</v>
          </cell>
        </row>
        <row r="2009">
          <cell r="A2009" t="str">
            <v>2.1.1.1.01.04284</v>
          </cell>
          <cell r="B2009" t="str">
            <v>PTD COMERCIO DE PECAS LTDA</v>
          </cell>
          <cell r="C2009" t="str">
            <v>7.300,50</v>
          </cell>
          <cell r="D2009" t="str">
            <v>8.323,00</v>
          </cell>
          <cell r="E2009" t="str">
            <v>1.022,50</v>
          </cell>
          <cell r="F2009" t="str">
            <v>0,00</v>
          </cell>
          <cell r="G2009" t="str">
            <v>0,00</v>
          </cell>
          <cell r="H2009" t="str">
            <v>0,00</v>
          </cell>
          <cell r="I2009">
            <v>0</v>
          </cell>
          <cell r="J2009" t="str">
            <v>VERIFICAR</v>
          </cell>
        </row>
        <row r="2010">
          <cell r="A2010" t="str">
            <v>2.1.1.1.01.04285</v>
          </cell>
          <cell r="B2010" t="str">
            <v>GAS AIR TECNOLOGIA EM  GASES</v>
          </cell>
          <cell r="C2010" t="str">
            <v>1.093,00</v>
          </cell>
          <cell r="D2010" t="str">
            <v>1.093,00</v>
          </cell>
          <cell r="E2010" t="str">
            <v>0,00</v>
          </cell>
          <cell r="F2010" t="str">
            <v>90,00</v>
          </cell>
          <cell r="G2010" t="str">
            <v>0,00</v>
          </cell>
          <cell r="H2010" t="str">
            <v>90,00</v>
          </cell>
          <cell r="I2010">
            <v>90</v>
          </cell>
          <cell r="J2010" t="str">
            <v>VERIFICAR</v>
          </cell>
        </row>
        <row r="2011">
          <cell r="A2011" t="str">
            <v>2.1.1.1.01.04286</v>
          </cell>
          <cell r="B2011" t="str">
            <v>HIDROTECNICA COMERCIO E SERVIÇOS INDUSTRIAIS LTDA</v>
          </cell>
          <cell r="C2011" t="str">
            <v>6.729,78</v>
          </cell>
          <cell r="D2011" t="str">
            <v>10.794,36</v>
          </cell>
          <cell r="E2011" t="str">
            <v>2.032,29</v>
          </cell>
          <cell r="F2011" t="str">
            <v>1.647,00</v>
          </cell>
          <cell r="G2011" t="str">
            <v>0,00</v>
          </cell>
          <cell r="H2011" t="str">
            <v>3.679,29</v>
          </cell>
          <cell r="I2011">
            <v>3679.29</v>
          </cell>
          <cell r="J2011" t="str">
            <v>VERIFICAR</v>
          </cell>
        </row>
        <row r="2012">
          <cell r="A2012" t="str">
            <v>2.1.1.1.01.04291</v>
          </cell>
          <cell r="B2012" t="str">
            <v>58.503.781 ADILSON PEREIRA DE JESUS</v>
          </cell>
          <cell r="C2012" t="str">
            <v>0,00</v>
          </cell>
          <cell r="D2012" t="str">
            <v>0,00</v>
          </cell>
          <cell r="E2012" t="str">
            <v>3.000,00</v>
          </cell>
          <cell r="F2012" t="str">
            <v>3.000,00</v>
          </cell>
          <cell r="G2012" t="str">
            <v>0,00</v>
          </cell>
          <cell r="H2012" t="str">
            <v>0,00</v>
          </cell>
          <cell r="I2012">
            <v>0</v>
          </cell>
          <cell r="J2012" t="str">
            <v>VERIFICAR</v>
          </cell>
        </row>
        <row r="2013">
          <cell r="A2013" t="str">
            <v>2.1.1.1.01.04292</v>
          </cell>
          <cell r="B2013" t="str">
            <v>CASA ELETRICA MATERIAL DE CONSTRUCAO LTDA</v>
          </cell>
          <cell r="C2013" t="str">
            <v>0,00</v>
          </cell>
          <cell r="D2013" t="str">
            <v>0,00</v>
          </cell>
          <cell r="E2013" t="str">
            <v>4.109,49</v>
          </cell>
          <cell r="F2013" t="str">
            <v>4.109,49</v>
          </cell>
          <cell r="G2013" t="str">
            <v>0,00</v>
          </cell>
          <cell r="H2013" t="str">
            <v>0,00</v>
          </cell>
          <cell r="I2013">
            <v>0</v>
          </cell>
          <cell r="J2013" t="str">
            <v>VERIFICAR</v>
          </cell>
        </row>
        <row r="2014">
          <cell r="A2014" t="str">
            <v>2.1.1.1.01.04295</v>
          </cell>
          <cell r="B2014" t="str">
            <v>EMPRESA LUZ E FORCA SANTA MARIA S/A</v>
          </cell>
          <cell r="C2014" t="str">
            <v>317,50</v>
          </cell>
          <cell r="D2014" t="str">
            <v>318,92</v>
          </cell>
          <cell r="E2014" t="str">
            <v>105,03</v>
          </cell>
          <cell r="F2014" t="str">
            <v>0,00</v>
          </cell>
          <cell r="G2014" t="str">
            <v>103,61</v>
          </cell>
          <cell r="H2014" t="str">
            <v>0,00</v>
          </cell>
          <cell r="I2014">
            <v>-103.61</v>
          </cell>
          <cell r="J2014" t="str">
            <v>VERIFICAR</v>
          </cell>
        </row>
        <row r="2015">
          <cell r="A2015" t="str">
            <v>2.1.1.1.01.04319</v>
          </cell>
          <cell r="B2015" t="str">
            <v>PROLLABOR CLINICA INTEGRADA SAUDE E SEGURANCA DO T</v>
          </cell>
          <cell r="C2015" t="str">
            <v>472,57</v>
          </cell>
          <cell r="D2015" t="str">
            <v>495,60</v>
          </cell>
          <cell r="E2015" t="str">
            <v>0,00</v>
          </cell>
          <cell r="F2015" t="str">
            <v>0,00</v>
          </cell>
          <cell r="G2015" t="str">
            <v>0,00</v>
          </cell>
          <cell r="H2015" t="str">
            <v>23,03</v>
          </cell>
          <cell r="I2015">
            <v>23.03</v>
          </cell>
          <cell r="J2015" t="str">
            <v>VERIFICAR</v>
          </cell>
        </row>
        <row r="2016">
          <cell r="A2016" t="str">
            <v>2.1.1.1.01.04340</v>
          </cell>
          <cell r="B2016" t="str">
            <v>BONK SUPRIMENTOS INDUSTRIAIS LTDA</v>
          </cell>
          <cell r="C2016" t="str">
            <v>0,00</v>
          </cell>
          <cell r="D2016" t="str">
            <v>514,67</v>
          </cell>
          <cell r="E2016" t="str">
            <v>514,67</v>
          </cell>
          <cell r="F2016" t="str">
            <v>0,00</v>
          </cell>
          <cell r="G2016" t="str">
            <v>0,00</v>
          </cell>
          <cell r="H2016" t="str">
            <v>0,00</v>
          </cell>
          <cell r="I2016">
            <v>0</v>
          </cell>
          <cell r="J2016" t="str">
            <v>VERIFICAR</v>
          </cell>
        </row>
        <row r="2017">
          <cell r="A2017" t="str">
            <v>2.1.1.1.01.04370</v>
          </cell>
          <cell r="B2017" t="str">
            <v>SHERWIN-WILLIAMS DO BRASIL INDUSTRIA E COMERCIO LT</v>
          </cell>
          <cell r="C2017" t="str">
            <v>19.424,54</v>
          </cell>
          <cell r="D2017" t="str">
            <v>55.202,38</v>
          </cell>
          <cell r="E2017" t="str">
            <v>44.850,00</v>
          </cell>
          <cell r="F2017" t="str">
            <v>28.133,14</v>
          </cell>
          <cell r="G2017" t="str">
            <v>0,00</v>
          </cell>
          <cell r="H2017" t="str">
            <v>19.060,98</v>
          </cell>
          <cell r="I2017">
            <v>19060.98</v>
          </cell>
          <cell r="J2017" t="str">
            <v>VERIFICAR</v>
          </cell>
        </row>
        <row r="2018">
          <cell r="A2018" t="str">
            <v>2.1.1.1.01.04378</v>
          </cell>
          <cell r="B2018" t="str">
            <v>EDSON DA SILVA FERREIRA</v>
          </cell>
          <cell r="C2018" t="str">
            <v>600,00</v>
          </cell>
          <cell r="D2018" t="str">
            <v>600,00</v>
          </cell>
          <cell r="E2018" t="str">
            <v>300,00</v>
          </cell>
          <cell r="F2018" t="str">
            <v>300,00</v>
          </cell>
          <cell r="G2018" t="str">
            <v>0,00</v>
          </cell>
          <cell r="H2018" t="str">
            <v>0,00</v>
          </cell>
          <cell r="I2018">
            <v>0</v>
          </cell>
          <cell r="J2018" t="str">
            <v>VERIFICAR</v>
          </cell>
        </row>
        <row r="2019">
          <cell r="A2019" t="str">
            <v>2.1.1.1.01.04393</v>
          </cell>
          <cell r="B2019" t="str">
            <v>GEHFER INDUSTRIAL LTDA</v>
          </cell>
          <cell r="C2019" t="str">
            <v>19.885,68</v>
          </cell>
          <cell r="D2019" t="str">
            <v>29.831,51</v>
          </cell>
          <cell r="E2019" t="str">
            <v>9.945,83</v>
          </cell>
          <cell r="F2019" t="str">
            <v>0,00</v>
          </cell>
          <cell r="G2019" t="str">
            <v>0,00</v>
          </cell>
          <cell r="H2019" t="str">
            <v>0,00</v>
          </cell>
          <cell r="I2019">
            <v>0</v>
          </cell>
          <cell r="J2019" t="str">
            <v>VERIFICAR</v>
          </cell>
        </row>
        <row r="2020">
          <cell r="A2020" t="str">
            <v>2.1.1.1.01.04408</v>
          </cell>
          <cell r="B2020" t="str">
            <v>QUARTZBLUE MINERACAO LTDA</v>
          </cell>
          <cell r="C2020" t="str">
            <v>0,00</v>
          </cell>
          <cell r="D2020" t="str">
            <v>15.000,00</v>
          </cell>
          <cell r="E2020" t="str">
            <v>0,00</v>
          </cell>
          <cell r="F2020" t="str">
            <v>0,00</v>
          </cell>
          <cell r="G2020" t="str">
            <v>0,00</v>
          </cell>
          <cell r="H2020" t="str">
            <v>15.000,00</v>
          </cell>
          <cell r="I2020">
            <v>15000</v>
          </cell>
          <cell r="J2020" t="str">
            <v>VERIFICAR</v>
          </cell>
        </row>
        <row r="2021">
          <cell r="A2021" t="str">
            <v>2.1.1.1.01.04409</v>
          </cell>
          <cell r="B2021" t="str">
            <v>49.334.140 CICERO PAIA BUENO</v>
          </cell>
          <cell r="C2021" t="str">
            <v>6.700,00</v>
          </cell>
          <cell r="D2021" t="str">
            <v>6.700,00</v>
          </cell>
          <cell r="E2021" t="str">
            <v>0,00</v>
          </cell>
          <cell r="F2021" t="str">
            <v>3.100,00</v>
          </cell>
          <cell r="G2021" t="str">
            <v>0,00</v>
          </cell>
          <cell r="H2021" t="str">
            <v>3.100,00</v>
          </cell>
          <cell r="I2021">
            <v>3100</v>
          </cell>
          <cell r="J2021" t="str">
            <v>VERIFICAR</v>
          </cell>
        </row>
        <row r="2022">
          <cell r="A2022" t="str">
            <v>2.1.1.1.01.04412</v>
          </cell>
          <cell r="B2022" t="str">
            <v>ROTA BRASIL LOGISTICA E TRANSPORTE DE CARGAS SENSI</v>
          </cell>
          <cell r="C2022" t="str">
            <v>20.868,00</v>
          </cell>
          <cell r="D2022" t="str">
            <v>20.868,00</v>
          </cell>
          <cell r="E2022" t="str">
            <v>1.250,00</v>
          </cell>
          <cell r="F2022" t="str">
            <v>1.250,00</v>
          </cell>
          <cell r="G2022" t="str">
            <v>0,00</v>
          </cell>
          <cell r="H2022" t="str">
            <v>0,00</v>
          </cell>
          <cell r="I2022">
            <v>0</v>
          </cell>
          <cell r="J2022" t="str">
            <v>VERIFICAR</v>
          </cell>
        </row>
        <row r="2023">
          <cell r="A2023" t="str">
            <v>2.1.1.1.01.04413</v>
          </cell>
          <cell r="B2023" t="str">
            <v>FATOMAQ INDUSTRIA DE MAQUINAS AGRICOLAS LTDA</v>
          </cell>
          <cell r="C2023" t="str">
            <v>5.326,02</v>
          </cell>
          <cell r="D2023" t="str">
            <v>5.326,02</v>
          </cell>
          <cell r="E2023" t="str">
            <v>1.393,06</v>
          </cell>
          <cell r="F2023" t="str">
            <v>1.393,06</v>
          </cell>
          <cell r="G2023" t="str">
            <v>0,00</v>
          </cell>
          <cell r="H2023" t="str">
            <v>0,00</v>
          </cell>
          <cell r="I2023">
            <v>0</v>
          </cell>
          <cell r="J2023" t="str">
            <v>VERIFICAR</v>
          </cell>
        </row>
        <row r="2024">
          <cell r="A2024" t="str">
            <v>2.1.1.1.01.04417</v>
          </cell>
          <cell r="B2024" t="str">
            <v>ANTONIO CEZAR BIANCHINI</v>
          </cell>
          <cell r="C2024" t="str">
            <v>2.400,00</v>
          </cell>
          <cell r="D2024" t="str">
            <v>2.400,00</v>
          </cell>
          <cell r="E2024" t="str">
            <v>1.200,00</v>
          </cell>
          <cell r="F2024" t="str">
            <v>1.200,00</v>
          </cell>
          <cell r="G2024" t="str">
            <v>0,00</v>
          </cell>
          <cell r="H2024" t="str">
            <v>0,00</v>
          </cell>
          <cell r="I2024">
            <v>0</v>
          </cell>
          <cell r="J2024" t="str">
            <v>VERIFICAR</v>
          </cell>
        </row>
        <row r="2025">
          <cell r="A2025" t="str">
            <v>2.1.1.1.01.04427</v>
          </cell>
          <cell r="B2025" t="str">
            <v>FIX RIO METALURGICA E COMERCIO DE PARAFUSOS LTDA</v>
          </cell>
          <cell r="C2025" t="str">
            <v>677,19</v>
          </cell>
          <cell r="D2025" t="str">
            <v>677,19</v>
          </cell>
          <cell r="E2025" t="str">
            <v>1.202,12</v>
          </cell>
          <cell r="F2025" t="str">
            <v>1.202,12</v>
          </cell>
          <cell r="G2025" t="str">
            <v>0,00</v>
          </cell>
          <cell r="H2025" t="str">
            <v>0,00</v>
          </cell>
          <cell r="I2025">
            <v>0</v>
          </cell>
          <cell r="J2025" t="str">
            <v>VERIFICAR</v>
          </cell>
        </row>
        <row r="2026">
          <cell r="A2026" t="str">
            <v>2.1.1.1.01.04432</v>
          </cell>
          <cell r="B2026" t="str">
            <v>ALBINO CEZAR LEITE DE OLIVEIRA JUNIOR</v>
          </cell>
          <cell r="C2026" t="str">
            <v>19.426,39</v>
          </cell>
          <cell r="D2026" t="str">
            <v>20.000,00</v>
          </cell>
          <cell r="E2026" t="str">
            <v>0,00</v>
          </cell>
          <cell r="F2026" t="str">
            <v>0,00</v>
          </cell>
          <cell r="G2026" t="str">
            <v>0,00</v>
          </cell>
          <cell r="H2026" t="str">
            <v>573,61</v>
          </cell>
          <cell r="I2026">
            <v>573.61</v>
          </cell>
          <cell r="J2026" t="str">
            <v>VERIFICAR</v>
          </cell>
        </row>
        <row r="2027">
          <cell r="A2027" t="str">
            <v>2.1.1.1.01.04435</v>
          </cell>
          <cell r="B2027" t="str">
            <v>JEFERSON CARLOS DA SILVA</v>
          </cell>
          <cell r="C2027" t="str">
            <v>4.432,20</v>
          </cell>
          <cell r="D2027" t="str">
            <v>4.432,20</v>
          </cell>
          <cell r="E2027" t="str">
            <v>1.691,00</v>
          </cell>
          <cell r="F2027" t="str">
            <v>1.691,00</v>
          </cell>
          <cell r="G2027" t="str">
            <v>0,00</v>
          </cell>
          <cell r="H2027" t="str">
            <v>0,00</v>
          </cell>
          <cell r="I2027">
            <v>0</v>
          </cell>
          <cell r="J2027" t="str">
            <v>VERIFICAR</v>
          </cell>
        </row>
        <row r="2028">
          <cell r="A2028" t="str">
            <v>2.1.1.1.01.04455</v>
          </cell>
          <cell r="B2028" t="str">
            <v>STEELON MOVEIS LTDA</v>
          </cell>
          <cell r="C2028" t="str">
            <v>0,00</v>
          </cell>
          <cell r="D2028" t="str">
            <v>834,77</v>
          </cell>
          <cell r="E2028" t="str">
            <v>834,77</v>
          </cell>
          <cell r="F2028" t="str">
            <v>0,00</v>
          </cell>
          <cell r="G2028" t="str">
            <v>0,00</v>
          </cell>
          <cell r="H2028" t="str">
            <v>0,00</v>
          </cell>
          <cell r="I2028">
            <v>0</v>
          </cell>
          <cell r="J2028" t="str">
            <v>VERIFICAR</v>
          </cell>
        </row>
        <row r="2029">
          <cell r="A2029" t="str">
            <v>2.1.1.1.01.04463</v>
          </cell>
          <cell r="B2029" t="str">
            <v>TEC LTDA</v>
          </cell>
          <cell r="C2029" t="str">
            <v>281,65</v>
          </cell>
          <cell r="D2029" t="str">
            <v>281,65</v>
          </cell>
          <cell r="E2029" t="str">
            <v>284,66</v>
          </cell>
          <cell r="F2029" t="str">
            <v>284,66</v>
          </cell>
          <cell r="G2029" t="str">
            <v>0,00</v>
          </cell>
          <cell r="H2029" t="str">
            <v>0,00</v>
          </cell>
          <cell r="I2029">
            <v>0</v>
          </cell>
          <cell r="J2029" t="str">
            <v>VERIFICAR</v>
          </cell>
        </row>
        <row r="2030">
          <cell r="A2030" t="str">
            <v>2.1.1.1.01.04466</v>
          </cell>
          <cell r="B2030" t="str">
            <v>RENAVI DISTRIBUIDORA DE AUTO PECAS LTDA</v>
          </cell>
          <cell r="C2030" t="str">
            <v>242,10</v>
          </cell>
          <cell r="D2030" t="str">
            <v>242,10</v>
          </cell>
          <cell r="E2030" t="str">
            <v>242,10</v>
          </cell>
          <cell r="F2030" t="str">
            <v>242,10</v>
          </cell>
          <cell r="G2030" t="str">
            <v>0,00</v>
          </cell>
          <cell r="H2030" t="str">
            <v>0,00</v>
          </cell>
          <cell r="I2030">
            <v>0</v>
          </cell>
          <cell r="J2030" t="str">
            <v>VERIFICAR</v>
          </cell>
        </row>
        <row r="2031">
          <cell r="A2031" t="str">
            <v>2.1.1.1.01.04469</v>
          </cell>
          <cell r="B2031" t="str">
            <v>ADEMILSON ALVES CORREIA</v>
          </cell>
          <cell r="C2031" t="str">
            <v>1.212,00</v>
          </cell>
          <cell r="D2031" t="str">
            <v>0,00</v>
          </cell>
          <cell r="E2031" t="str">
            <v>0,00</v>
          </cell>
          <cell r="F2031" t="str">
            <v>0,00</v>
          </cell>
          <cell r="G2031" t="str">
            <v>1.212,00</v>
          </cell>
          <cell r="H2031" t="str">
            <v>0,00</v>
          </cell>
          <cell r="I2031">
            <v>-1212</v>
          </cell>
          <cell r="J2031" t="str">
            <v>VERIFICAR</v>
          </cell>
        </row>
        <row r="2032">
          <cell r="A2032" t="str">
            <v>2.1.1.1.01.04470</v>
          </cell>
          <cell r="B2032" t="str">
            <v>GUSTAVO BERBEL FAIDIGA</v>
          </cell>
          <cell r="C2032" t="str">
            <v>1.212,00</v>
          </cell>
          <cell r="D2032" t="str">
            <v>0,00</v>
          </cell>
          <cell r="E2032" t="str">
            <v>0,00</v>
          </cell>
          <cell r="F2032" t="str">
            <v>0,00</v>
          </cell>
          <cell r="G2032" t="str">
            <v>1.212,00</v>
          </cell>
          <cell r="H2032" t="str">
            <v>0,00</v>
          </cell>
          <cell r="I2032">
            <v>-1212</v>
          </cell>
          <cell r="J2032" t="str">
            <v>VERIFICAR</v>
          </cell>
        </row>
        <row r="2033">
          <cell r="A2033" t="str">
            <v>2.1.1.1.01.04475</v>
          </cell>
          <cell r="B2033" t="str">
            <v>IRMAOS PACIFICO COMERCIO ATACADISTA</v>
          </cell>
          <cell r="C2033" t="str">
            <v>916,66</v>
          </cell>
          <cell r="D2033" t="str">
            <v>2.750,00</v>
          </cell>
          <cell r="E2033" t="str">
            <v>916,67</v>
          </cell>
          <cell r="F2033" t="str">
            <v>0,00</v>
          </cell>
          <cell r="G2033" t="str">
            <v>0,00</v>
          </cell>
          <cell r="H2033" t="str">
            <v>916,67</v>
          </cell>
          <cell r="I2033">
            <v>916.67</v>
          </cell>
          <cell r="J2033" t="str">
            <v>VERIFICAR</v>
          </cell>
        </row>
        <row r="2034">
          <cell r="A2034" t="str">
            <v>2.1.1.1.01.04480</v>
          </cell>
          <cell r="B2034" t="str">
            <v>KARMAQ COMÉRCIO DE MÁQUINAS E PNEUMÁTICOS</v>
          </cell>
          <cell r="C2034" t="str">
            <v>0,00</v>
          </cell>
          <cell r="D2034" t="str">
            <v>842,52</v>
          </cell>
          <cell r="E2034" t="str">
            <v>1.381,76</v>
          </cell>
          <cell r="F2034" t="str">
            <v>1.078,48</v>
          </cell>
          <cell r="G2034" t="str">
            <v>0,00</v>
          </cell>
          <cell r="H2034" t="str">
            <v>539,24</v>
          </cell>
          <cell r="I2034">
            <v>539.24</v>
          </cell>
          <cell r="J2034" t="str">
            <v>VERIFICAR</v>
          </cell>
        </row>
        <row r="2035">
          <cell r="A2035" t="str">
            <v>2.1.1.1.01.04488</v>
          </cell>
          <cell r="B2035" t="str">
            <v>EASYTECH TECNOLOGIA COMERCIO E SERVICOS LTDA</v>
          </cell>
          <cell r="C2035" t="str">
            <v>1.018,00</v>
          </cell>
          <cell r="D2035" t="str">
            <v>1.018,00</v>
          </cell>
          <cell r="E2035" t="str">
            <v>509,00</v>
          </cell>
          <cell r="F2035" t="str">
            <v>509,00</v>
          </cell>
          <cell r="G2035" t="str">
            <v>0,00</v>
          </cell>
          <cell r="H2035" t="str">
            <v>0,00</v>
          </cell>
          <cell r="I2035">
            <v>0</v>
          </cell>
          <cell r="J2035" t="str">
            <v>VERIFICAR</v>
          </cell>
        </row>
        <row r="2036">
          <cell r="A2036" t="str">
            <v>2.1.1.1.01.04490</v>
          </cell>
          <cell r="B2036" t="str">
            <v>WBL GRAFICA E EDITORA LTDA</v>
          </cell>
          <cell r="C2036" t="str">
            <v>471,82</v>
          </cell>
          <cell r="D2036" t="str">
            <v>471,82</v>
          </cell>
          <cell r="E2036" t="str">
            <v>105,02</v>
          </cell>
          <cell r="F2036" t="str">
            <v>105,02</v>
          </cell>
          <cell r="G2036" t="str">
            <v>0,00</v>
          </cell>
          <cell r="H2036" t="str">
            <v>0,00</v>
          </cell>
          <cell r="I2036">
            <v>0</v>
          </cell>
          <cell r="J2036" t="str">
            <v>VERIFICAR</v>
          </cell>
        </row>
        <row r="2037">
          <cell r="A2037" t="str">
            <v>2.1.1.1.01.04506</v>
          </cell>
          <cell r="B2037" t="str">
            <v>BELLA CASA ACABAMENTOS E CONSTRUCAO LTDA</v>
          </cell>
          <cell r="C2037" t="str">
            <v>4.560,83</v>
          </cell>
          <cell r="D2037" t="str">
            <v>4.560,86</v>
          </cell>
          <cell r="E2037" t="str">
            <v>0,00</v>
          </cell>
          <cell r="F2037" t="str">
            <v>0,00</v>
          </cell>
          <cell r="G2037" t="str">
            <v>0,00</v>
          </cell>
          <cell r="H2037" t="str">
            <v>0,03</v>
          </cell>
          <cell r="I2037">
            <v>0.03</v>
          </cell>
          <cell r="J2037" t="str">
            <v>VERIFICAR</v>
          </cell>
        </row>
        <row r="2038">
          <cell r="A2038" t="str">
            <v>2.1.1.1.01.04509</v>
          </cell>
          <cell r="B2038" t="str">
            <v>HANSA-FLEX DO BRASIL LTDA</v>
          </cell>
          <cell r="C2038" t="str">
            <v>0,00</v>
          </cell>
          <cell r="D2038" t="str">
            <v>191,50</v>
          </cell>
          <cell r="E2038" t="str">
            <v>191,50</v>
          </cell>
          <cell r="F2038" t="str">
            <v>0,00</v>
          </cell>
          <cell r="G2038" t="str">
            <v>0,00</v>
          </cell>
          <cell r="H2038" t="str">
            <v>0,00</v>
          </cell>
          <cell r="I2038">
            <v>0</v>
          </cell>
          <cell r="J2038" t="str">
            <v>VERIFICAR</v>
          </cell>
        </row>
        <row r="2039">
          <cell r="A2039" t="str">
            <v>2.1.1.1.01.04511</v>
          </cell>
          <cell r="B2039" t="str">
            <v>EASYTECH TECNOLOGIA COMERCIO E SERVICOS LTDA</v>
          </cell>
          <cell r="C2039" t="str">
            <v>638,00</v>
          </cell>
          <cell r="D2039" t="str">
            <v>638,00</v>
          </cell>
          <cell r="E2039" t="str">
            <v>1.315,63</v>
          </cell>
          <cell r="F2039" t="str">
            <v>1.315,63</v>
          </cell>
          <cell r="G2039" t="str">
            <v>0,00</v>
          </cell>
          <cell r="H2039" t="str">
            <v>0,00</v>
          </cell>
          <cell r="I2039">
            <v>0</v>
          </cell>
          <cell r="J2039" t="str">
            <v>VERIFICAR</v>
          </cell>
        </row>
        <row r="2040">
          <cell r="A2040" t="str">
            <v>2.1.1.1.01.04519</v>
          </cell>
          <cell r="B2040" t="str">
            <v>AUTOPECAS LACERDA LTDA</v>
          </cell>
          <cell r="C2040" t="str">
            <v>0,00</v>
          </cell>
          <cell r="D2040" t="str">
            <v>1.580,00</v>
          </cell>
          <cell r="E2040" t="str">
            <v>1.580,00</v>
          </cell>
          <cell r="F2040" t="str">
            <v>0,00</v>
          </cell>
          <cell r="G2040" t="str">
            <v>0,00</v>
          </cell>
          <cell r="H2040" t="str">
            <v>0,00</v>
          </cell>
          <cell r="I2040">
            <v>0</v>
          </cell>
          <cell r="J2040" t="str">
            <v>VERIFICAR</v>
          </cell>
        </row>
        <row r="2041">
          <cell r="A2041" t="str">
            <v>2.1.1.1.01.04524</v>
          </cell>
          <cell r="B2041" t="str">
            <v>AGNALDO NATALINO DE PADUA</v>
          </cell>
          <cell r="C2041" t="str">
            <v>0,00</v>
          </cell>
          <cell r="D2041" t="str">
            <v>0,00</v>
          </cell>
          <cell r="E2041" t="str">
            <v>500,00</v>
          </cell>
          <cell r="F2041" t="str">
            <v>500,00</v>
          </cell>
          <cell r="G2041" t="str">
            <v>0,00</v>
          </cell>
          <cell r="H2041" t="str">
            <v>0,00</v>
          </cell>
          <cell r="I2041">
            <v>0</v>
          </cell>
          <cell r="J2041" t="str">
            <v>VERIFICAR</v>
          </cell>
        </row>
        <row r="2042">
          <cell r="A2042" t="str">
            <v>2.1.1.1.01.04527</v>
          </cell>
          <cell r="B2042" t="str">
            <v>MONJARDIM HIDRAULIACA E PNEUMATICA</v>
          </cell>
          <cell r="C2042" t="str">
            <v>0,00</v>
          </cell>
          <cell r="D2042" t="str">
            <v>1.050,00</v>
          </cell>
          <cell r="E2042" t="str">
            <v>1.050,00</v>
          </cell>
          <cell r="F2042" t="str">
            <v>0,00</v>
          </cell>
          <cell r="G2042" t="str">
            <v>0,00</v>
          </cell>
          <cell r="H2042" t="str">
            <v>0,00</v>
          </cell>
          <cell r="I2042">
            <v>0</v>
          </cell>
          <cell r="J2042" t="str">
            <v>VERIFICAR</v>
          </cell>
        </row>
        <row r="2043">
          <cell r="A2043" t="str">
            <v>2.1.1.1.01.04532</v>
          </cell>
          <cell r="B2043" t="str">
            <v>TEKNI MAS MAQUINAS LTDA</v>
          </cell>
          <cell r="C2043" t="str">
            <v>332,99</v>
          </cell>
          <cell r="D2043" t="str">
            <v>332,99</v>
          </cell>
          <cell r="E2043" t="str">
            <v>183,92</v>
          </cell>
          <cell r="F2043" t="str">
            <v>183,92</v>
          </cell>
          <cell r="G2043" t="str">
            <v>0,00</v>
          </cell>
          <cell r="H2043" t="str">
            <v>0,00</v>
          </cell>
          <cell r="I2043">
            <v>0</v>
          </cell>
          <cell r="J2043" t="str">
            <v>VERIFICAR</v>
          </cell>
        </row>
        <row r="2044">
          <cell r="A2044" t="str">
            <v>2.1.1.1.01.04543</v>
          </cell>
          <cell r="B2044" t="str">
            <v>STARHOUSE MEGA STORE LTDA</v>
          </cell>
          <cell r="C2044" t="str">
            <v>129,90</v>
          </cell>
          <cell r="D2044" t="str">
            <v>129,90</v>
          </cell>
          <cell r="E2044" t="str">
            <v>134,90</v>
          </cell>
          <cell r="F2044" t="str">
            <v>134,90</v>
          </cell>
          <cell r="G2044" t="str">
            <v>0,00</v>
          </cell>
          <cell r="H2044" t="str">
            <v>0,00</v>
          </cell>
          <cell r="I2044">
            <v>0</v>
          </cell>
          <cell r="J2044" t="str">
            <v>VERIFICAR</v>
          </cell>
        </row>
        <row r="2045">
          <cell r="A2045" t="str">
            <v>2.1.1.1.01.04544</v>
          </cell>
          <cell r="B2045" t="str">
            <v>NEW AÇO IMPORTAÇÃO E COMERDIO DE PERFIS METALICOS</v>
          </cell>
          <cell r="C2045" t="str">
            <v>0,00</v>
          </cell>
          <cell r="D2045" t="str">
            <v>2.173,41</v>
          </cell>
          <cell r="E2045" t="str">
            <v>1.448,94</v>
          </cell>
          <cell r="F2045" t="str">
            <v>0,00</v>
          </cell>
          <cell r="G2045" t="str">
            <v>0,00</v>
          </cell>
          <cell r="H2045" t="str">
            <v>724,47</v>
          </cell>
          <cell r="I2045">
            <v>724.47</v>
          </cell>
          <cell r="J2045" t="str">
            <v>VERIFICAR</v>
          </cell>
        </row>
        <row r="2046">
          <cell r="A2046" t="str">
            <v>2.1.1.1.01.04548</v>
          </cell>
          <cell r="B2046" t="str">
            <v>ACO NOBRE LTDA</v>
          </cell>
          <cell r="C2046" t="str">
            <v>0,00</v>
          </cell>
          <cell r="D2046" t="str">
            <v>1.798,74</v>
          </cell>
          <cell r="E2046" t="str">
            <v>1.798,74</v>
          </cell>
          <cell r="F2046" t="str">
            <v>0,00</v>
          </cell>
          <cell r="G2046" t="str">
            <v>0,00</v>
          </cell>
          <cell r="H2046" t="str">
            <v>0,00</v>
          </cell>
          <cell r="I2046">
            <v>0</v>
          </cell>
          <cell r="J2046" t="str">
            <v>VERIFICAR</v>
          </cell>
        </row>
        <row r="2047">
          <cell r="A2047" t="str">
            <v>2.1.1.1.01.04550</v>
          </cell>
          <cell r="B2047" t="str">
            <v>40.750.447 GABRIEL BOSCAGLIA ZAGOTO</v>
          </cell>
          <cell r="C2047" t="str">
            <v>0,00</v>
          </cell>
          <cell r="D2047" t="str">
            <v>0,00</v>
          </cell>
          <cell r="E2047" t="str">
            <v>700,00</v>
          </cell>
          <cell r="F2047" t="str">
            <v>700,00</v>
          </cell>
          <cell r="G2047" t="str">
            <v>0,00</v>
          </cell>
          <cell r="H2047" t="str">
            <v>0,00</v>
          </cell>
          <cell r="I2047">
            <v>0</v>
          </cell>
          <cell r="J2047" t="str">
            <v>VERIFICAR</v>
          </cell>
        </row>
        <row r="2048">
          <cell r="A2048" t="str">
            <v>2.1.1.1.01.04553</v>
          </cell>
          <cell r="B2048" t="str">
            <v>BEBIDAS GEGE LTDA</v>
          </cell>
          <cell r="C2048" t="str">
            <v>0,00</v>
          </cell>
          <cell r="D2048" t="str">
            <v>0,00</v>
          </cell>
          <cell r="E2048" t="str">
            <v>3.318,00</v>
          </cell>
          <cell r="F2048" t="str">
            <v>3.318,00</v>
          </cell>
          <cell r="G2048" t="str">
            <v>0,00</v>
          </cell>
          <cell r="H2048" t="str">
            <v>0,00</v>
          </cell>
          <cell r="I2048">
            <v>0</v>
          </cell>
          <cell r="J2048" t="str">
            <v>VERIFICAR</v>
          </cell>
        </row>
        <row r="2049">
          <cell r="A2049" t="str">
            <v>2.1.1.1.01.04561</v>
          </cell>
          <cell r="B2049" t="str">
            <v>31.441.567 DIEGO MOREIRA DE SOUZA</v>
          </cell>
          <cell r="C2049" t="str">
            <v>0,00</v>
          </cell>
          <cell r="D2049" t="str">
            <v>0,00</v>
          </cell>
          <cell r="E2049" t="str">
            <v>1.000,00</v>
          </cell>
          <cell r="F2049" t="str">
            <v>1.000,00</v>
          </cell>
          <cell r="G2049" t="str">
            <v>0,00</v>
          </cell>
          <cell r="H2049" t="str">
            <v>0,00</v>
          </cell>
          <cell r="I2049">
            <v>0</v>
          </cell>
          <cell r="J2049" t="str">
            <v>VERIFICAR</v>
          </cell>
        </row>
        <row r="2050">
          <cell r="A2050" t="str">
            <v>2.1.1.1.01.04562</v>
          </cell>
          <cell r="B2050" t="str">
            <v>NOROESTE EXTINTORES E SERVICOS LTDA</v>
          </cell>
          <cell r="C2050" t="str">
            <v>0,00</v>
          </cell>
          <cell r="D2050" t="str">
            <v>0,00</v>
          </cell>
          <cell r="E2050" t="str">
            <v>420,00</v>
          </cell>
          <cell r="F2050" t="str">
            <v>420,00</v>
          </cell>
          <cell r="G2050" t="str">
            <v>0,00</v>
          </cell>
          <cell r="H2050" t="str">
            <v>0,00</v>
          </cell>
          <cell r="I2050">
            <v>0</v>
          </cell>
          <cell r="J2050" t="str">
            <v>VERIFICAR</v>
          </cell>
        </row>
        <row r="2051">
          <cell r="A2051" t="str">
            <v>2.1.1.1.01.04563</v>
          </cell>
          <cell r="B2051" t="str">
            <v>INDUSTRIA DE ARTEFATOS DE METAIS SANTA CRUZ LTDA</v>
          </cell>
          <cell r="C2051" t="str">
            <v>0,00</v>
          </cell>
          <cell r="D2051" t="str">
            <v>0,00</v>
          </cell>
          <cell r="E2051" t="str">
            <v>0,00</v>
          </cell>
          <cell r="F2051" t="str">
            <v>3.510,00</v>
          </cell>
          <cell r="G2051" t="str">
            <v>0,00</v>
          </cell>
          <cell r="H2051" t="str">
            <v>3.510,00</v>
          </cell>
          <cell r="I2051">
            <v>3510</v>
          </cell>
          <cell r="J2051" t="str">
            <v>VERIFICAR</v>
          </cell>
        </row>
        <row r="2052">
          <cell r="A2052" t="str">
            <v>2.1.1.1.01.04564</v>
          </cell>
          <cell r="B2052" t="str">
            <v>JB TRANSPORTES EIRELI</v>
          </cell>
          <cell r="C2052" t="str">
            <v>0,00</v>
          </cell>
          <cell r="D2052" t="str">
            <v>2.800,00</v>
          </cell>
          <cell r="E2052" t="str">
            <v>2.800,00</v>
          </cell>
          <cell r="F2052" t="str">
            <v>0,00</v>
          </cell>
          <cell r="G2052" t="str">
            <v>0,00</v>
          </cell>
          <cell r="H2052" t="str">
            <v>0,00</v>
          </cell>
          <cell r="I2052">
            <v>0</v>
          </cell>
          <cell r="J2052" t="str">
            <v>VERIFICAR</v>
          </cell>
        </row>
        <row r="2053">
          <cell r="A2053" t="str">
            <v>2.1.1.1.01.04566</v>
          </cell>
          <cell r="B2053" t="str">
            <v>54.394.436 ANDERSON GONCALVES VIANA</v>
          </cell>
          <cell r="C2053" t="str">
            <v>0,00</v>
          </cell>
          <cell r="D2053" t="str">
            <v>0,00</v>
          </cell>
          <cell r="E2053" t="str">
            <v>598,00</v>
          </cell>
          <cell r="F2053" t="str">
            <v>598,00</v>
          </cell>
          <cell r="G2053" t="str">
            <v>0,00</v>
          </cell>
          <cell r="H2053" t="str">
            <v>0,00</v>
          </cell>
          <cell r="I2053">
            <v>0</v>
          </cell>
          <cell r="J2053" t="str">
            <v>VERIFICAR</v>
          </cell>
        </row>
        <row r="2054">
          <cell r="A2054" t="str">
            <v>2.1.1.1.01.04568</v>
          </cell>
          <cell r="B2054" t="str">
            <v>DEMOLIDORA E MADEIREIRA OTABOL LTDA</v>
          </cell>
          <cell r="C2054" t="str">
            <v>0,00</v>
          </cell>
          <cell r="D2054" t="str">
            <v>5.000,00</v>
          </cell>
          <cell r="E2054" t="str">
            <v>0,00</v>
          </cell>
          <cell r="F2054" t="str">
            <v>0,00</v>
          </cell>
          <cell r="G2054" t="str">
            <v>0,00</v>
          </cell>
          <cell r="H2054" t="str">
            <v>5.000,00</v>
          </cell>
          <cell r="I2054">
            <v>5000</v>
          </cell>
          <cell r="J2054" t="str">
            <v>VERIFICAR</v>
          </cell>
        </row>
        <row r="2055">
          <cell r="A2055" t="str">
            <v>2.1.1.1.01.04574</v>
          </cell>
          <cell r="B2055" t="str">
            <v>AMC LTDA</v>
          </cell>
          <cell r="C2055" t="str">
            <v>0,00</v>
          </cell>
          <cell r="D2055" t="str">
            <v>0,00</v>
          </cell>
          <cell r="E2055" t="str">
            <v>254,26</v>
          </cell>
          <cell r="F2055" t="str">
            <v>254,26</v>
          </cell>
          <cell r="G2055" t="str">
            <v>0,00</v>
          </cell>
          <cell r="H2055" t="str">
            <v>0,00</v>
          </cell>
          <cell r="I2055">
            <v>0</v>
          </cell>
          <cell r="J2055" t="str">
            <v>VERIFICAR</v>
          </cell>
        </row>
        <row r="2056">
          <cell r="A2056" t="str">
            <v>2.1.1.1.01.04575</v>
          </cell>
          <cell r="B2056" t="str">
            <v>ROBINSON POMBO GLORIA</v>
          </cell>
          <cell r="C2056" t="str">
            <v>0,00</v>
          </cell>
          <cell r="D2056" t="str">
            <v>0,00</v>
          </cell>
          <cell r="E2056" t="str">
            <v>244,52</v>
          </cell>
          <cell r="F2056" t="str">
            <v>244,52</v>
          </cell>
          <cell r="G2056" t="str">
            <v>0,00</v>
          </cell>
          <cell r="H2056" t="str">
            <v>0,00</v>
          </cell>
          <cell r="I2056">
            <v>0</v>
          </cell>
          <cell r="J2056" t="str">
            <v>VERIFICAR</v>
          </cell>
        </row>
        <row r="2057">
          <cell r="A2057" t="str">
            <v>2.1.1.1.01.04576</v>
          </cell>
          <cell r="B2057" t="str">
            <v>DEMATEC MATERIAIS PARA CONSTRUCOES LTDA</v>
          </cell>
          <cell r="C2057" t="str">
            <v>0,00</v>
          </cell>
          <cell r="D2057" t="str">
            <v>0,00</v>
          </cell>
          <cell r="E2057" t="str">
            <v>232,00</v>
          </cell>
          <cell r="F2057" t="str">
            <v>232,00</v>
          </cell>
          <cell r="G2057" t="str">
            <v>0,00</v>
          </cell>
          <cell r="H2057" t="str">
            <v>0,00</v>
          </cell>
          <cell r="I2057">
            <v>0</v>
          </cell>
          <cell r="J2057" t="str">
            <v>VERIFICAR</v>
          </cell>
        </row>
        <row r="2058">
          <cell r="A2058" t="str">
            <v>2.1.1.1.01.04577</v>
          </cell>
          <cell r="B2058" t="str">
            <v>OPCAO PARAFUSOS E FERRAMENTAS LTDA</v>
          </cell>
          <cell r="C2058" t="str">
            <v>0,00</v>
          </cell>
          <cell r="D2058" t="str">
            <v>0,00</v>
          </cell>
          <cell r="E2058" t="str">
            <v>371,60</v>
          </cell>
          <cell r="F2058" t="str">
            <v>371,60</v>
          </cell>
          <cell r="G2058" t="str">
            <v>0,00</v>
          </cell>
          <cell r="H2058" t="str">
            <v>0,00</v>
          </cell>
          <cell r="I2058">
            <v>0</v>
          </cell>
          <cell r="J2058" t="str">
            <v>VERIFICAR</v>
          </cell>
        </row>
        <row r="2059">
          <cell r="A2059" t="str">
            <v>2.1.1.1.01.04578</v>
          </cell>
          <cell r="B2059" t="str">
            <v>O CONSTRUTOR FERRAMENTAS E FERRAGENS LTDA</v>
          </cell>
          <cell r="C2059" t="str">
            <v>0,00</v>
          </cell>
          <cell r="D2059" t="str">
            <v>0,00</v>
          </cell>
          <cell r="E2059" t="str">
            <v>181,90</v>
          </cell>
          <cell r="F2059" t="str">
            <v>181,90</v>
          </cell>
          <cell r="G2059" t="str">
            <v>0,00</v>
          </cell>
          <cell r="H2059" t="str">
            <v>0,00</v>
          </cell>
          <cell r="I2059">
            <v>0</v>
          </cell>
          <cell r="J2059" t="str">
            <v>VERIFICAR</v>
          </cell>
        </row>
        <row r="2060">
          <cell r="A2060" t="str">
            <v>2.1.1.1.01.04582</v>
          </cell>
          <cell r="B2060" t="str">
            <v>O M L SILVA LTDA</v>
          </cell>
          <cell r="C2060" t="str">
            <v>0,00</v>
          </cell>
          <cell r="D2060" t="str">
            <v>0,00</v>
          </cell>
          <cell r="E2060" t="str">
            <v>250,00</v>
          </cell>
          <cell r="F2060" t="str">
            <v>250,00</v>
          </cell>
          <cell r="G2060" t="str">
            <v>0,00</v>
          </cell>
          <cell r="H2060" t="str">
            <v>0,00</v>
          </cell>
          <cell r="I2060">
            <v>0</v>
          </cell>
          <cell r="J2060" t="str">
            <v>VERIFICAR</v>
          </cell>
        </row>
        <row r="2061">
          <cell r="A2061" t="str">
            <v>2.1.1.1.01.04583</v>
          </cell>
          <cell r="B2061" t="str">
            <v>MIL PRESENTES COMERCIAL LTDA</v>
          </cell>
          <cell r="C2061" t="str">
            <v>0,00</v>
          </cell>
          <cell r="D2061" t="str">
            <v>0,00</v>
          </cell>
          <cell r="E2061" t="str">
            <v>292,97</v>
          </cell>
          <cell r="F2061" t="str">
            <v>292,97</v>
          </cell>
          <cell r="G2061" t="str">
            <v>0,00</v>
          </cell>
          <cell r="H2061" t="str">
            <v>0,00</v>
          </cell>
          <cell r="I2061">
            <v>0</v>
          </cell>
          <cell r="J2061" t="str">
            <v>VERIFICAR</v>
          </cell>
        </row>
        <row r="2062">
          <cell r="A2062" t="str">
            <v>2.1.1.1.01.04587</v>
          </cell>
          <cell r="B2062" t="str">
            <v>TOOLS WORLD LLC MUNDO DAS FERRAMENTAS DO BRASIL LT</v>
          </cell>
          <cell r="C2062" t="str">
            <v>0,00</v>
          </cell>
          <cell r="D2062" t="str">
            <v>0,00</v>
          </cell>
          <cell r="E2062" t="str">
            <v>78,76</v>
          </cell>
          <cell r="F2062" t="str">
            <v>78,76</v>
          </cell>
          <cell r="G2062" t="str">
            <v>0,00</v>
          </cell>
          <cell r="H2062" t="str">
            <v>0,00</v>
          </cell>
          <cell r="I2062">
            <v>0</v>
          </cell>
          <cell r="J2062" t="str">
            <v>VERIFICAR</v>
          </cell>
        </row>
        <row r="2063">
          <cell r="A2063" t="str">
            <v>2.1.1.1.01.04588</v>
          </cell>
          <cell r="B2063" t="str">
            <v>RITEC COMERCIAL E IMPORTADORA LIMITADA</v>
          </cell>
          <cell r="C2063" t="str">
            <v>0,00</v>
          </cell>
          <cell r="D2063" t="str">
            <v>0,00</v>
          </cell>
          <cell r="E2063" t="str">
            <v>67,65</v>
          </cell>
          <cell r="F2063" t="str">
            <v>67,65</v>
          </cell>
          <cell r="G2063" t="str">
            <v>0,00</v>
          </cell>
          <cell r="H2063" t="str">
            <v>0,00</v>
          </cell>
          <cell r="I2063">
            <v>0</v>
          </cell>
          <cell r="J2063" t="str">
            <v>VERIFICAR</v>
          </cell>
        </row>
        <row r="2064">
          <cell r="A2064" t="str">
            <v>2.1.1.1.01.04589</v>
          </cell>
          <cell r="B2064" t="str">
            <v>OXI-MAQ - COMERCIAL E INDUSTRIAL DE EQUIPAMENTOS L</v>
          </cell>
          <cell r="C2064" t="str">
            <v>0,00</v>
          </cell>
          <cell r="D2064" t="str">
            <v>0,00</v>
          </cell>
          <cell r="E2064" t="str">
            <v>817,14</v>
          </cell>
          <cell r="F2064" t="str">
            <v>817,14</v>
          </cell>
          <cell r="G2064" t="str">
            <v>0,00</v>
          </cell>
          <cell r="H2064" t="str">
            <v>0,00</v>
          </cell>
          <cell r="I2064">
            <v>0</v>
          </cell>
          <cell r="J2064" t="str">
            <v>VERIFICAR</v>
          </cell>
        </row>
        <row r="2065">
          <cell r="A2065" t="str">
            <v>2.1.1.1.01.04591</v>
          </cell>
          <cell r="B2065" t="str">
            <v>LOJA MACONICA TEMPLARIOS UNIDOS</v>
          </cell>
          <cell r="C2065" t="str">
            <v>0,00</v>
          </cell>
          <cell r="D2065" t="str">
            <v>0,00</v>
          </cell>
          <cell r="E2065" t="str">
            <v>1.000,00</v>
          </cell>
          <cell r="F2065" t="str">
            <v>1.000,00</v>
          </cell>
          <cell r="G2065" t="str">
            <v>0,00</v>
          </cell>
          <cell r="H2065" t="str">
            <v>0,00</v>
          </cell>
          <cell r="I2065">
            <v>0</v>
          </cell>
          <cell r="J2065" t="str">
            <v>VERIFICAR</v>
          </cell>
        </row>
        <row r="2066">
          <cell r="A2066" t="str">
            <v>2.1.1.1.01.04593</v>
          </cell>
          <cell r="B2066" t="str">
            <v>TIAGO FELIPE CANTARIM</v>
          </cell>
          <cell r="C2066" t="str">
            <v>0,00</v>
          </cell>
          <cell r="D2066" t="str">
            <v>0,00</v>
          </cell>
          <cell r="E2066" t="str">
            <v>685,80</v>
          </cell>
          <cell r="F2066" t="str">
            <v>685,80</v>
          </cell>
          <cell r="G2066" t="str">
            <v>0,00</v>
          </cell>
          <cell r="H2066" t="str">
            <v>0,00</v>
          </cell>
          <cell r="I2066">
            <v>0</v>
          </cell>
          <cell r="J2066" t="str">
            <v>VERIFICAR</v>
          </cell>
        </row>
        <row r="2067">
          <cell r="A2067" t="str">
            <v>2.1.1.1.01.04594</v>
          </cell>
          <cell r="B2067" t="str">
            <v>METALNISA COMERCIO DE METAIS LTDA.</v>
          </cell>
          <cell r="C2067" t="str">
            <v>0,00</v>
          </cell>
          <cell r="D2067" t="str">
            <v>0,00</v>
          </cell>
          <cell r="E2067" t="str">
            <v>0,00</v>
          </cell>
          <cell r="F2067" t="str">
            <v>1.413,00</v>
          </cell>
          <cell r="G2067" t="str">
            <v>0,00</v>
          </cell>
          <cell r="H2067" t="str">
            <v>1.413,00</v>
          </cell>
          <cell r="I2067">
            <v>1413</v>
          </cell>
          <cell r="J2067" t="str">
            <v>VERIFICAR</v>
          </cell>
        </row>
        <row r="2068">
          <cell r="A2068" t="str">
            <v>2.1.1.1.01.04598</v>
          </cell>
          <cell r="B2068" t="str">
            <v>LUIS CARLOS LEITE DE JESUS</v>
          </cell>
          <cell r="C2068" t="str">
            <v>0,00</v>
          </cell>
          <cell r="D2068" t="str">
            <v>0,00</v>
          </cell>
          <cell r="E2068" t="str">
            <v>1.000,00</v>
          </cell>
          <cell r="F2068" t="str">
            <v>500,00</v>
          </cell>
          <cell r="G2068" t="str">
            <v>500,00</v>
          </cell>
          <cell r="H2068" t="str">
            <v>0,00</v>
          </cell>
          <cell r="I2068">
            <v>-500</v>
          </cell>
          <cell r="J2068" t="str">
            <v>VERIFICAR</v>
          </cell>
        </row>
        <row r="2069">
          <cell r="A2069" t="str">
            <v>2.1.1.1.01.04603</v>
          </cell>
          <cell r="B2069" t="str">
            <v>MELO SERVICE DE TRATORES LTDA</v>
          </cell>
          <cell r="C2069" t="str">
            <v>0,00</v>
          </cell>
          <cell r="D2069" t="str">
            <v>0,00</v>
          </cell>
          <cell r="E2069" t="str">
            <v>700,00</v>
          </cell>
          <cell r="F2069" t="str">
            <v>700,00</v>
          </cell>
          <cell r="G2069" t="str">
            <v>0,00</v>
          </cell>
          <cell r="H2069" t="str">
            <v>0,00</v>
          </cell>
          <cell r="I2069">
            <v>0</v>
          </cell>
          <cell r="J2069" t="str">
            <v>VERIFICAR</v>
          </cell>
        </row>
        <row r="2070">
          <cell r="A2070" t="str">
            <v>2.1.1.1.01.04604</v>
          </cell>
          <cell r="B2070" t="str">
            <v>METALÚRGICA VAZZOLER LTDA ME</v>
          </cell>
          <cell r="C2070" t="str">
            <v>0,00</v>
          </cell>
          <cell r="D2070" t="str">
            <v>0,00</v>
          </cell>
          <cell r="E2070" t="str">
            <v>312,50</v>
          </cell>
          <cell r="F2070" t="str">
            <v>312,50</v>
          </cell>
          <cell r="G2070" t="str">
            <v>0,00</v>
          </cell>
          <cell r="H2070" t="str">
            <v>0,00</v>
          </cell>
          <cell r="I2070">
            <v>0</v>
          </cell>
          <cell r="J2070" t="str">
            <v>VERIFICAR</v>
          </cell>
        </row>
        <row r="2071">
          <cell r="A2071" t="str">
            <v>2.1.1.1.01.04606</v>
          </cell>
          <cell r="B2071" t="str">
            <v>R D PLAS INDUSTRIA E COMERCIO DE PLASTICOS LTDA</v>
          </cell>
          <cell r="C2071" t="str">
            <v>0,00</v>
          </cell>
          <cell r="D2071" t="str">
            <v>0,00</v>
          </cell>
          <cell r="E2071" t="str">
            <v>33,46</v>
          </cell>
          <cell r="F2071" t="str">
            <v>33,46</v>
          </cell>
          <cell r="G2071" t="str">
            <v>0,00</v>
          </cell>
          <cell r="H2071" t="str">
            <v>0,00</v>
          </cell>
          <cell r="I2071">
            <v>0</v>
          </cell>
          <cell r="J2071" t="str">
            <v>VERIFICAR</v>
          </cell>
        </row>
        <row r="2072">
          <cell r="A2072" t="str">
            <v>2.1.1.1.01.04607</v>
          </cell>
          <cell r="B2072" t="str">
            <v>DIAMOND INDUSTRIA E COMERCIO DE ACESSORIOS AUTOMOT</v>
          </cell>
          <cell r="C2072" t="str">
            <v>0,00</v>
          </cell>
          <cell r="D2072" t="str">
            <v>0,00</v>
          </cell>
          <cell r="E2072" t="str">
            <v>24,90</v>
          </cell>
          <cell r="F2072" t="str">
            <v>24,90</v>
          </cell>
          <cell r="G2072" t="str">
            <v>0,00</v>
          </cell>
          <cell r="H2072" t="str">
            <v>0,00</v>
          </cell>
          <cell r="I2072">
            <v>0</v>
          </cell>
          <cell r="J2072" t="str">
            <v>VERIFICAR</v>
          </cell>
        </row>
        <row r="2073">
          <cell r="A2073" t="str">
            <v>2.1.1.1.01.04608</v>
          </cell>
          <cell r="B2073" t="str">
            <v>ALMAG COMERCIO DE AUTO PECAS LTDA</v>
          </cell>
          <cell r="C2073" t="str">
            <v>0,00</v>
          </cell>
          <cell r="D2073" t="str">
            <v>0,00</v>
          </cell>
          <cell r="E2073" t="str">
            <v>33,90</v>
          </cell>
          <cell r="F2073" t="str">
            <v>33,90</v>
          </cell>
          <cell r="G2073" t="str">
            <v>0,00</v>
          </cell>
          <cell r="H2073" t="str">
            <v>0,00</v>
          </cell>
          <cell r="I2073">
            <v>0</v>
          </cell>
          <cell r="J2073" t="str">
            <v>VERIFICAR</v>
          </cell>
        </row>
        <row r="2074">
          <cell r="A2074" t="str">
            <v>2.1.1.1.01.04610</v>
          </cell>
          <cell r="B2074" t="str">
            <v>J.B. COMERCIO E MANUTENCAO DE EQUIPAMENTOS INDUSTR</v>
          </cell>
          <cell r="C2074" t="str">
            <v>0,00</v>
          </cell>
          <cell r="D2074" t="str">
            <v>0,00</v>
          </cell>
          <cell r="E2074" t="str">
            <v>235,23</v>
          </cell>
          <cell r="F2074" t="str">
            <v>235,23</v>
          </cell>
          <cell r="G2074" t="str">
            <v>0,00</v>
          </cell>
          <cell r="H2074" t="str">
            <v>0,00</v>
          </cell>
          <cell r="I2074">
            <v>0</v>
          </cell>
          <cell r="J2074" t="str">
            <v>VERIFICAR</v>
          </cell>
        </row>
        <row r="2075">
          <cell r="A2075" t="str">
            <v>2.1.1.1.01.04611</v>
          </cell>
          <cell r="B2075" t="str">
            <v>56.891.711 JOSE RILDO DOS SANTOS CARLOS</v>
          </cell>
          <cell r="C2075" t="str">
            <v>0,00</v>
          </cell>
          <cell r="D2075" t="str">
            <v>0,00</v>
          </cell>
          <cell r="E2075" t="str">
            <v>143,70</v>
          </cell>
          <cell r="F2075" t="str">
            <v>143,70</v>
          </cell>
          <cell r="G2075" t="str">
            <v>0,00</v>
          </cell>
          <cell r="H2075" t="str">
            <v>0,00</v>
          </cell>
          <cell r="I2075">
            <v>0</v>
          </cell>
          <cell r="J2075" t="str">
            <v>VERIFICAR</v>
          </cell>
        </row>
        <row r="2076">
          <cell r="A2076" t="str">
            <v>2.1.1.1.01.04612</v>
          </cell>
          <cell r="B2076" t="str">
            <v>ELLO EQUIPAMENTOS HIDRAULICOS LTDA</v>
          </cell>
          <cell r="C2076" t="str">
            <v>0,00</v>
          </cell>
          <cell r="D2076" t="str">
            <v>0,00</v>
          </cell>
          <cell r="E2076" t="str">
            <v>65,80</v>
          </cell>
          <cell r="F2076" t="str">
            <v>65,80</v>
          </cell>
          <cell r="G2076" t="str">
            <v>0,00</v>
          </cell>
          <cell r="H2076" t="str">
            <v>0,00</v>
          </cell>
          <cell r="I2076">
            <v>0</v>
          </cell>
          <cell r="J2076" t="str">
            <v>VERIFICAR</v>
          </cell>
        </row>
        <row r="2077">
          <cell r="A2077" t="str">
            <v>2.1.1.1.01.04613</v>
          </cell>
          <cell r="B2077" t="str">
            <v>VG AUTOMOTIVE CENTRO ESTETICO VEICULAR LTDA</v>
          </cell>
          <cell r="C2077" t="str">
            <v>0,00</v>
          </cell>
          <cell r="D2077" t="str">
            <v>0,00</v>
          </cell>
          <cell r="E2077" t="str">
            <v>0,00</v>
          </cell>
          <cell r="F2077" t="str">
            <v>907,50</v>
          </cell>
          <cell r="G2077" t="str">
            <v>0,00</v>
          </cell>
          <cell r="H2077" t="str">
            <v>907,50</v>
          </cell>
          <cell r="I2077">
            <v>907.5</v>
          </cell>
          <cell r="J2077" t="str">
            <v>VERIFICAR</v>
          </cell>
        </row>
        <row r="2078">
          <cell r="A2078" t="str">
            <v>2.1.1.1.01.04614</v>
          </cell>
          <cell r="B2078" t="str">
            <v>HJ MAGAZINE COMERCIO DE ELETRO ELETRONICOS E ARTIG</v>
          </cell>
          <cell r="C2078" t="str">
            <v>0,00</v>
          </cell>
          <cell r="D2078" t="str">
            <v>0,00</v>
          </cell>
          <cell r="E2078" t="str">
            <v>1.093,17</v>
          </cell>
          <cell r="F2078" t="str">
            <v>526,63</v>
          </cell>
          <cell r="G2078" t="str">
            <v>566,54</v>
          </cell>
          <cell r="H2078" t="str">
            <v>0,00</v>
          </cell>
          <cell r="I2078">
            <v>-566.54</v>
          </cell>
          <cell r="J2078" t="str">
            <v>VERIFICAR</v>
          </cell>
        </row>
        <row r="2079">
          <cell r="A2079" t="str">
            <v>2.1.1.1.01.04615</v>
          </cell>
          <cell r="B2079" t="str">
            <v>JOSE AFONSO GASPAR E CIA LTDA</v>
          </cell>
          <cell r="C2079" t="str">
            <v>0,00</v>
          </cell>
          <cell r="D2079" t="str">
            <v>0,00</v>
          </cell>
          <cell r="E2079" t="str">
            <v>495,00</v>
          </cell>
          <cell r="F2079" t="str">
            <v>495,00</v>
          </cell>
          <cell r="G2079" t="str">
            <v>0,00</v>
          </cell>
          <cell r="H2079" t="str">
            <v>0,00</v>
          </cell>
          <cell r="I2079">
            <v>0</v>
          </cell>
          <cell r="J2079" t="str">
            <v>VERIFICAR</v>
          </cell>
        </row>
        <row r="2080">
          <cell r="A2080" t="str">
            <v>2.1.1.1.01.04616</v>
          </cell>
          <cell r="B2080" t="str">
            <v>62.365.059 ECRISLEI CRUZ DA SILVA</v>
          </cell>
          <cell r="C2080" t="str">
            <v>0,00</v>
          </cell>
          <cell r="D2080" t="str">
            <v>0,00</v>
          </cell>
          <cell r="E2080" t="str">
            <v>300,00</v>
          </cell>
          <cell r="F2080" t="str">
            <v>300,00</v>
          </cell>
          <cell r="G2080" t="str">
            <v>0,00</v>
          </cell>
          <cell r="H2080" t="str">
            <v>0,00</v>
          </cell>
          <cell r="I2080">
            <v>0</v>
          </cell>
          <cell r="J2080" t="str">
            <v>VERIFICAR</v>
          </cell>
        </row>
        <row r="2081">
          <cell r="A2081" t="str">
            <v>2.1.1.1.01.04617</v>
          </cell>
          <cell r="B2081" t="str">
            <v>14.205.465 RODRIGO FARIA CORDEIRO</v>
          </cell>
          <cell r="C2081" t="str">
            <v>0,00</v>
          </cell>
          <cell r="D2081" t="str">
            <v>0,00</v>
          </cell>
          <cell r="E2081" t="str">
            <v>460,00</v>
          </cell>
          <cell r="F2081" t="str">
            <v>460,00</v>
          </cell>
          <cell r="G2081" t="str">
            <v>0,00</v>
          </cell>
          <cell r="H2081" t="str">
            <v>0,00</v>
          </cell>
          <cell r="I2081">
            <v>0</v>
          </cell>
          <cell r="J2081" t="str">
            <v>VERIFICAR</v>
          </cell>
        </row>
        <row r="2082">
          <cell r="A2082" t="str">
            <v>2.1.1.1.01.04619</v>
          </cell>
          <cell r="B2082" t="str">
            <v>DALPLAN MAQUINAS E ENGENHARIA LTDA</v>
          </cell>
          <cell r="C2082" t="str">
            <v>0,00</v>
          </cell>
          <cell r="D2082" t="str">
            <v>0,00</v>
          </cell>
          <cell r="E2082" t="str">
            <v>1.100,00</v>
          </cell>
          <cell r="F2082" t="str">
            <v>1.100,00</v>
          </cell>
          <cell r="G2082" t="str">
            <v>0,00</v>
          </cell>
          <cell r="H2082" t="str">
            <v>0,00</v>
          </cell>
          <cell r="I2082">
            <v>0</v>
          </cell>
          <cell r="J2082" t="str">
            <v>VERIFICAR</v>
          </cell>
        </row>
        <row r="2083">
          <cell r="A2083" t="str">
            <v>2.1.1.1.01.04620</v>
          </cell>
          <cell r="B2083" t="str">
            <v>DEFAN COMERCIO DE MATERIAIS ELETRICOS LTDA</v>
          </cell>
          <cell r="C2083" t="str">
            <v>0,00</v>
          </cell>
          <cell r="D2083" t="str">
            <v>0,00</v>
          </cell>
          <cell r="E2083" t="str">
            <v>32,97</v>
          </cell>
          <cell r="F2083" t="str">
            <v>32,97</v>
          </cell>
          <cell r="G2083" t="str">
            <v>0,00</v>
          </cell>
          <cell r="H2083" t="str">
            <v>0,00</v>
          </cell>
          <cell r="I2083">
            <v>0</v>
          </cell>
          <cell r="J2083" t="str">
            <v>VERIFICAR</v>
          </cell>
        </row>
        <row r="2084">
          <cell r="A2084" t="str">
            <v>2.1.1.1.01.04621</v>
          </cell>
          <cell r="B2084" t="str">
            <v>MASTER TECNOLOGIA INDUSTRIAL LTDA.</v>
          </cell>
          <cell r="C2084" t="str">
            <v>0,00</v>
          </cell>
          <cell r="D2084" t="str">
            <v>0,00</v>
          </cell>
          <cell r="E2084" t="str">
            <v>354,69</v>
          </cell>
          <cell r="F2084" t="str">
            <v>354,69</v>
          </cell>
          <cell r="G2084" t="str">
            <v>0,00</v>
          </cell>
          <cell r="H2084" t="str">
            <v>0,00</v>
          </cell>
          <cell r="I2084">
            <v>0</v>
          </cell>
          <cell r="J2084" t="str">
            <v>VERIFICAR</v>
          </cell>
        </row>
        <row r="2085">
          <cell r="A2085" t="str">
            <v>2.1.1.1.01.04622</v>
          </cell>
          <cell r="B2085" t="str">
            <v>FLYPETRO COMERCIO DE COMBUSTIVEIS LTDA.</v>
          </cell>
          <cell r="C2085" t="str">
            <v>0,00</v>
          </cell>
          <cell r="D2085" t="str">
            <v>0,00</v>
          </cell>
          <cell r="E2085" t="str">
            <v>12.340,00</v>
          </cell>
          <cell r="F2085" t="str">
            <v>12.340,00</v>
          </cell>
          <cell r="G2085" t="str">
            <v>0,00</v>
          </cell>
          <cell r="H2085" t="str">
            <v>0,00</v>
          </cell>
          <cell r="I2085">
            <v>0</v>
          </cell>
          <cell r="J2085" t="str">
            <v>VERIFICAR</v>
          </cell>
        </row>
        <row r="2086">
          <cell r="A2086" t="str">
            <v>2.1.1.1.01.04623</v>
          </cell>
          <cell r="B2086" t="str">
            <v>GURGELMIX MAQUINAS E FERRAMENTAS S.A.</v>
          </cell>
          <cell r="C2086" t="str">
            <v>0,00</v>
          </cell>
          <cell r="D2086" t="str">
            <v>0,00</v>
          </cell>
          <cell r="E2086" t="str">
            <v>962,20</v>
          </cell>
          <cell r="F2086" t="str">
            <v>962,20</v>
          </cell>
          <cell r="G2086" t="str">
            <v>0,00</v>
          </cell>
          <cell r="H2086" t="str">
            <v>0,00</v>
          </cell>
          <cell r="I2086">
            <v>0</v>
          </cell>
          <cell r="J2086" t="str">
            <v>VERIFICAR</v>
          </cell>
        </row>
        <row r="2087">
          <cell r="A2087" t="str">
            <v>2.1.1.1.01.04626</v>
          </cell>
          <cell r="B2087" t="str">
            <v>SUL USINAGEM INDUSTRIA E COMERCIO LTDA</v>
          </cell>
          <cell r="C2087" t="str">
            <v>0,00</v>
          </cell>
          <cell r="D2087" t="str">
            <v>0,00</v>
          </cell>
          <cell r="E2087" t="str">
            <v>150,00</v>
          </cell>
          <cell r="F2087" t="str">
            <v>150,00</v>
          </cell>
          <cell r="G2087" t="str">
            <v>0,00</v>
          </cell>
          <cell r="H2087" t="str">
            <v>0,00</v>
          </cell>
          <cell r="I2087">
            <v>0</v>
          </cell>
          <cell r="J2087" t="str">
            <v>VERIFICAR</v>
          </cell>
        </row>
        <row r="2088">
          <cell r="A2088" t="str">
            <v>2.1.1.1.01.04632</v>
          </cell>
          <cell r="B2088" t="str">
            <v>SANDER VESTUARIO E PRESENTES LTDA</v>
          </cell>
          <cell r="C2088" t="str">
            <v>0,00</v>
          </cell>
          <cell r="D2088" t="str">
            <v>0,00</v>
          </cell>
          <cell r="E2088" t="str">
            <v>60,20</v>
          </cell>
          <cell r="F2088" t="str">
            <v>60,20</v>
          </cell>
          <cell r="G2088" t="str">
            <v>0,00</v>
          </cell>
          <cell r="H2088" t="str">
            <v>0,00</v>
          </cell>
          <cell r="I2088">
            <v>0</v>
          </cell>
          <cell r="J2088" t="str">
            <v>VERIFICAR</v>
          </cell>
        </row>
        <row r="2089">
          <cell r="A2089" t="str">
            <v>2.1.1.1.01.04633</v>
          </cell>
          <cell r="B2089" t="str">
            <v>KMI PLASTICOS COMERCIO DE PRODUTOS LTDA</v>
          </cell>
          <cell r="C2089" t="str">
            <v>0,00</v>
          </cell>
          <cell r="D2089" t="str">
            <v>0,00</v>
          </cell>
          <cell r="E2089" t="str">
            <v>78,10</v>
          </cell>
          <cell r="F2089" t="str">
            <v>78,10</v>
          </cell>
          <cell r="G2089" t="str">
            <v>0,00</v>
          </cell>
          <cell r="H2089" t="str">
            <v>0,00</v>
          </cell>
          <cell r="I2089">
            <v>0</v>
          </cell>
          <cell r="J2089" t="str">
            <v>VERIFICAR</v>
          </cell>
        </row>
        <row r="2090">
          <cell r="A2090" t="str">
            <v>2.1.1.1.01.04634</v>
          </cell>
          <cell r="B2090" t="str">
            <v>ESPACO COR SOLUCOES DIGITAIS LTDA</v>
          </cell>
          <cell r="C2090" t="str">
            <v>0,00</v>
          </cell>
          <cell r="D2090" t="str">
            <v>0,00</v>
          </cell>
          <cell r="E2090" t="str">
            <v>83,92</v>
          </cell>
          <cell r="F2090" t="str">
            <v>83,92</v>
          </cell>
          <cell r="G2090" t="str">
            <v>0,00</v>
          </cell>
          <cell r="H2090" t="str">
            <v>0,00</v>
          </cell>
          <cell r="I2090">
            <v>0</v>
          </cell>
          <cell r="J2090" t="str">
            <v>VERIFICAR</v>
          </cell>
        </row>
        <row r="2091">
          <cell r="A2091" t="str">
            <v>2.1.1.1.01.04635</v>
          </cell>
          <cell r="B2091" t="str">
            <v>VB INDUSTRIA E COMERCIO ATACADISTA DE FERRAGENS LT</v>
          </cell>
          <cell r="C2091" t="str">
            <v>0,00</v>
          </cell>
          <cell r="D2091" t="str">
            <v>0,00</v>
          </cell>
          <cell r="E2091" t="str">
            <v>154,90</v>
          </cell>
          <cell r="F2091" t="str">
            <v>154,90</v>
          </cell>
          <cell r="G2091" t="str">
            <v>0,00</v>
          </cell>
          <cell r="H2091" t="str">
            <v>0,00</v>
          </cell>
          <cell r="I2091">
            <v>0</v>
          </cell>
          <cell r="J2091" t="str">
            <v>VERIFICAR</v>
          </cell>
        </row>
        <row r="2092">
          <cell r="A2092" t="str">
            <v>2.1.1.1.01.04637</v>
          </cell>
          <cell r="B2092" t="str">
            <v>SHOPING DO GRANITO LTDA</v>
          </cell>
          <cell r="C2092" t="str">
            <v>0,00</v>
          </cell>
          <cell r="D2092" t="str">
            <v>0,00</v>
          </cell>
          <cell r="E2092" t="str">
            <v>0,00</v>
          </cell>
          <cell r="F2092" t="str">
            <v>552,00</v>
          </cell>
          <cell r="G2092" t="str">
            <v>0,00</v>
          </cell>
          <cell r="H2092" t="str">
            <v>552,00</v>
          </cell>
          <cell r="I2092">
            <v>552</v>
          </cell>
          <cell r="J2092" t="str">
            <v>VERIFICAR</v>
          </cell>
        </row>
        <row r="2093">
          <cell r="A2093" t="str">
            <v>2.1.1.1.01.04639</v>
          </cell>
          <cell r="B2093" t="str">
            <v>WILLIAN DANIEL PAULINO</v>
          </cell>
          <cell r="C2093" t="str">
            <v>0,00</v>
          </cell>
          <cell r="D2093" t="str">
            <v>0,00</v>
          </cell>
          <cell r="E2093" t="str">
            <v>160,00</v>
          </cell>
          <cell r="F2093" t="str">
            <v>160,00</v>
          </cell>
          <cell r="G2093" t="str">
            <v>0,00</v>
          </cell>
          <cell r="H2093" t="str">
            <v>0,00</v>
          </cell>
          <cell r="I2093">
            <v>0</v>
          </cell>
          <cell r="J2093" t="str">
            <v>VERIFICAR</v>
          </cell>
        </row>
        <row r="2094">
          <cell r="A2094" t="str">
            <v>2.1.1.1.01.04640</v>
          </cell>
          <cell r="B2094" t="str">
            <v>RAFAEL FRANCISCO DE OLIVEIRA DE SOUZA</v>
          </cell>
          <cell r="C2094" t="str">
            <v>0,00</v>
          </cell>
          <cell r="D2094" t="str">
            <v>0,00</v>
          </cell>
          <cell r="E2094" t="str">
            <v>160,00</v>
          </cell>
          <cell r="F2094" t="str">
            <v>160,00</v>
          </cell>
          <cell r="G2094" t="str">
            <v>0,00</v>
          </cell>
          <cell r="H2094" t="str">
            <v>0,00</v>
          </cell>
          <cell r="I2094">
            <v>0</v>
          </cell>
          <cell r="J2094" t="str">
            <v>VERIFICAR</v>
          </cell>
        </row>
        <row r="2095">
          <cell r="A2095" t="str">
            <v>2.1.1.1.01.04641</v>
          </cell>
          <cell r="B2095" t="str">
            <v>KONBINI TRENDS LTDA</v>
          </cell>
          <cell r="C2095" t="str">
            <v>0,00</v>
          </cell>
          <cell r="D2095" t="str">
            <v>0,00</v>
          </cell>
          <cell r="E2095" t="str">
            <v>57,40</v>
          </cell>
          <cell r="F2095" t="str">
            <v>57,40</v>
          </cell>
          <cell r="G2095" t="str">
            <v>0,00</v>
          </cell>
          <cell r="H2095" t="str">
            <v>0,00</v>
          </cell>
          <cell r="I2095">
            <v>0</v>
          </cell>
          <cell r="J2095" t="str">
            <v>VERIFICAR</v>
          </cell>
        </row>
        <row r="2096">
          <cell r="A2096" t="str">
            <v>2.1.1.1.01.04642</v>
          </cell>
          <cell r="B2096" t="str">
            <v>CASA FACIL COMERCIO E SOLUCOES LTDA</v>
          </cell>
          <cell r="C2096" t="str">
            <v>0,00</v>
          </cell>
          <cell r="D2096" t="str">
            <v>0,00</v>
          </cell>
          <cell r="E2096" t="str">
            <v>25,90</v>
          </cell>
          <cell r="F2096" t="str">
            <v>25,90</v>
          </cell>
          <cell r="G2096" t="str">
            <v>0,00</v>
          </cell>
          <cell r="H2096" t="str">
            <v>0,00</v>
          </cell>
          <cell r="I2096">
            <v>0</v>
          </cell>
          <cell r="J2096" t="str">
            <v>VERIFICAR</v>
          </cell>
        </row>
        <row r="2097">
          <cell r="A2097" t="str">
            <v>2.1.1.1.01.04643</v>
          </cell>
          <cell r="B2097" t="str">
            <v>MOVEIS IBERIA LTDA</v>
          </cell>
          <cell r="C2097" t="str">
            <v>0,00</v>
          </cell>
          <cell r="D2097" t="str">
            <v>0,00</v>
          </cell>
          <cell r="E2097" t="str">
            <v>227,73</v>
          </cell>
          <cell r="F2097" t="str">
            <v>227,73</v>
          </cell>
          <cell r="G2097" t="str">
            <v>0,00</v>
          </cell>
          <cell r="H2097" t="str">
            <v>0,00</v>
          </cell>
          <cell r="I2097">
            <v>0</v>
          </cell>
          <cell r="J2097" t="str">
            <v>VERIFICAR</v>
          </cell>
        </row>
        <row r="2098">
          <cell r="A2098" t="str">
            <v>2.1.1.1.01.04644</v>
          </cell>
          <cell r="B2098" t="str">
            <v>RODPRIME UTILIDADES LTDA</v>
          </cell>
          <cell r="C2098" t="str">
            <v>0,00</v>
          </cell>
          <cell r="D2098" t="str">
            <v>0,00</v>
          </cell>
          <cell r="E2098" t="str">
            <v>229,20</v>
          </cell>
          <cell r="F2098" t="str">
            <v>229,20</v>
          </cell>
          <cell r="G2098" t="str">
            <v>0,00</v>
          </cell>
          <cell r="H2098" t="str">
            <v>0,00</v>
          </cell>
          <cell r="I2098">
            <v>0</v>
          </cell>
          <cell r="J2098" t="str">
            <v>VERIFICAR</v>
          </cell>
        </row>
        <row r="2099">
          <cell r="A2099" t="str">
            <v>2.1.1.1.01.04645</v>
          </cell>
          <cell r="B2099" t="str">
            <v>DM DIESEL LTDA</v>
          </cell>
          <cell r="C2099" t="str">
            <v>0,00</v>
          </cell>
          <cell r="D2099" t="str">
            <v>0,00</v>
          </cell>
          <cell r="E2099" t="str">
            <v>0,00</v>
          </cell>
          <cell r="F2099" t="str">
            <v>450,00</v>
          </cell>
          <cell r="G2099" t="str">
            <v>0,00</v>
          </cell>
          <cell r="H2099" t="str">
            <v>450,00</v>
          </cell>
          <cell r="I2099">
            <v>450</v>
          </cell>
          <cell r="J2099" t="str">
            <v>VERIFICAR</v>
          </cell>
        </row>
        <row r="2100">
          <cell r="A2100" t="str">
            <v>2.1.1.1.01.04646</v>
          </cell>
          <cell r="B2100" t="str">
            <v>JOEL DA SILVA SENA</v>
          </cell>
          <cell r="C2100" t="str">
            <v>0,00</v>
          </cell>
          <cell r="D2100" t="str">
            <v>0,00</v>
          </cell>
          <cell r="E2100" t="str">
            <v>1.958,00</v>
          </cell>
          <cell r="F2100" t="str">
            <v>1.958,00</v>
          </cell>
          <cell r="G2100" t="str">
            <v>0,00</v>
          </cell>
          <cell r="H2100" t="str">
            <v>0,00</v>
          </cell>
          <cell r="I2100">
            <v>0</v>
          </cell>
          <cell r="J2100" t="str">
            <v>VERIFICAR</v>
          </cell>
        </row>
        <row r="2101">
          <cell r="A2101" t="str">
            <v>2.1.1.1.01.04648</v>
          </cell>
          <cell r="B2101" t="str">
            <v>M M CASES COMERCIO E VARIEDADES LTDA</v>
          </cell>
          <cell r="C2101" t="str">
            <v>0,00</v>
          </cell>
          <cell r="D2101" t="str">
            <v>0,00</v>
          </cell>
          <cell r="E2101" t="str">
            <v>29,16</v>
          </cell>
          <cell r="F2101" t="str">
            <v>29,16</v>
          </cell>
          <cell r="G2101" t="str">
            <v>0,00</v>
          </cell>
          <cell r="H2101" t="str">
            <v>0,00</v>
          </cell>
          <cell r="I2101">
            <v>0</v>
          </cell>
          <cell r="J2101" t="str">
            <v>VERIFICAR</v>
          </cell>
        </row>
        <row r="2102">
          <cell r="A2102" t="str">
            <v>2.1.1.1.01.04649</v>
          </cell>
          <cell r="B2102" t="str">
            <v>EDUAR COMERCIO DE MATERIAIS PARA SOLDA LTDA</v>
          </cell>
          <cell r="C2102" t="str">
            <v>0,00</v>
          </cell>
          <cell r="D2102" t="str">
            <v>0,00</v>
          </cell>
          <cell r="E2102" t="str">
            <v>29,00</v>
          </cell>
          <cell r="F2102" t="str">
            <v>29,00</v>
          </cell>
          <cell r="G2102" t="str">
            <v>0,00</v>
          </cell>
          <cell r="H2102" t="str">
            <v>0,00</v>
          </cell>
          <cell r="I2102">
            <v>0</v>
          </cell>
          <cell r="J2102" t="str">
            <v>VERIFICAR</v>
          </cell>
        </row>
        <row r="2103">
          <cell r="A2103" t="str">
            <v>2.1.1.1.01.04655</v>
          </cell>
          <cell r="B2103" t="str">
            <v>LC MACHADO TRANSPORTES LTDA</v>
          </cell>
          <cell r="C2103" t="str">
            <v>0,00</v>
          </cell>
          <cell r="D2103" t="str">
            <v>0,00</v>
          </cell>
          <cell r="E2103" t="str">
            <v>0,00</v>
          </cell>
          <cell r="F2103" t="str">
            <v>6.498,00</v>
          </cell>
          <cell r="G2103" t="str">
            <v>0,00</v>
          </cell>
          <cell r="H2103" t="str">
            <v>6.498,00</v>
          </cell>
          <cell r="I2103">
            <v>6498</v>
          </cell>
          <cell r="J2103" t="str">
            <v>VERIFICAR</v>
          </cell>
        </row>
        <row r="2104">
          <cell r="A2104" t="str">
            <v>2.1.1.1.01.04681</v>
          </cell>
          <cell r="B2104" t="str">
            <v>JENNIFER VITÓRIA NASCIMENTO CORREA</v>
          </cell>
          <cell r="C2104" t="str">
            <v>0,00</v>
          </cell>
          <cell r="D2104" t="str">
            <v>0,00</v>
          </cell>
          <cell r="E2104" t="str">
            <v>180,00</v>
          </cell>
          <cell r="F2104" t="str">
            <v>180,00</v>
          </cell>
          <cell r="G2104" t="str">
            <v>0,00</v>
          </cell>
          <cell r="H2104" t="str">
            <v>0,00</v>
          </cell>
          <cell r="I2104">
            <v>0</v>
          </cell>
          <cell r="J2104" t="str">
            <v>VERIFICAR</v>
          </cell>
        </row>
        <row r="2105">
          <cell r="A2105" t="str">
            <v>2.1.1.1.01.07022</v>
          </cell>
          <cell r="B2105" t="str">
            <v>DNA INDUSTRIA</v>
          </cell>
          <cell r="C2105" t="str">
            <v>4.760,20</v>
          </cell>
          <cell r="D2105" t="str">
            <v>4.760,20</v>
          </cell>
          <cell r="E2105" t="str">
            <v>0,00</v>
          </cell>
          <cell r="F2105" t="str">
            <v>5.020,00</v>
          </cell>
          <cell r="G2105" t="str">
            <v>0,00</v>
          </cell>
          <cell r="H2105" t="str">
            <v>5.020,00</v>
          </cell>
          <cell r="I2105">
            <v>5020</v>
          </cell>
          <cell r="J2105" t="str">
            <v>VERIFICAR</v>
          </cell>
        </row>
        <row r="2106">
          <cell r="A2106" t="str">
            <v>2.1.1.1.01.07164</v>
          </cell>
          <cell r="B2106" t="str">
            <v>ENERGISA MATO GROSSO - DISTRIBUIDORA DE ENERGIA S.</v>
          </cell>
          <cell r="C2106" t="str">
            <v>1.462,98</v>
          </cell>
          <cell r="D2106" t="str">
            <v>1.462,98</v>
          </cell>
          <cell r="E2106" t="str">
            <v>239,61</v>
          </cell>
          <cell r="F2106" t="str">
            <v>239,61</v>
          </cell>
          <cell r="G2106" t="str">
            <v>0,00</v>
          </cell>
          <cell r="H2106" t="str">
            <v>0,00</v>
          </cell>
          <cell r="I2106">
            <v>0</v>
          </cell>
          <cell r="J2106" t="str">
            <v>VERIFICAR</v>
          </cell>
        </row>
        <row r="2107">
          <cell r="A2107" t="str">
            <v>2.1.1.1.01.07166</v>
          </cell>
          <cell r="B2107" t="str">
            <v>GAS AIR LTDA</v>
          </cell>
          <cell r="C2107" t="str">
            <v>647,00</v>
          </cell>
          <cell r="D2107" t="str">
            <v>647,00</v>
          </cell>
          <cell r="E2107" t="str">
            <v>110,00</v>
          </cell>
          <cell r="F2107" t="str">
            <v>110,00</v>
          </cell>
          <cell r="G2107" t="str">
            <v>0,00</v>
          </cell>
          <cell r="H2107" t="str">
            <v>0,00</v>
          </cell>
          <cell r="I2107">
            <v>0</v>
          </cell>
          <cell r="J2107" t="str">
            <v>VERIFICAR</v>
          </cell>
        </row>
        <row r="2108">
          <cell r="A2108" t="str">
            <v>2.1.1.1.01.07172</v>
          </cell>
          <cell r="B2108" t="str">
            <v>MANETONI DISTRIBUIDORA DE PRODUTOS SIDERURGICOS IM</v>
          </cell>
          <cell r="C2108" t="str">
            <v>62.714,10</v>
          </cell>
          <cell r="D2108" t="str">
            <v>105.747,87</v>
          </cell>
          <cell r="E2108" t="str">
            <v>27.188,89</v>
          </cell>
          <cell r="F2108" t="str">
            <v>0,00</v>
          </cell>
          <cell r="G2108" t="str">
            <v>0,00</v>
          </cell>
          <cell r="H2108" t="str">
            <v>15.844,88</v>
          </cell>
          <cell r="I2108">
            <v>15844.88</v>
          </cell>
          <cell r="J2108" t="str">
            <v>VERIFICAR</v>
          </cell>
        </row>
        <row r="2109">
          <cell r="A2109" t="str">
            <v>2.1.1.1.01.07174</v>
          </cell>
          <cell r="B2109" t="str">
            <v>FAIM FERREIRA ARPAIA INDUSTRIA METALURGICA LTDA</v>
          </cell>
          <cell r="C2109" t="str">
            <v>3.060,65</v>
          </cell>
          <cell r="D2109" t="str">
            <v>3.060,65</v>
          </cell>
          <cell r="E2109" t="str">
            <v>2.194,98</v>
          </cell>
          <cell r="F2109" t="str">
            <v>2.194,98</v>
          </cell>
          <cell r="G2109" t="str">
            <v>0,00</v>
          </cell>
          <cell r="H2109" t="str">
            <v>0,00</v>
          </cell>
          <cell r="I2109">
            <v>0</v>
          </cell>
          <cell r="J2109" t="str">
            <v>VERIFICAR</v>
          </cell>
        </row>
        <row r="2110">
          <cell r="A2110" t="str">
            <v>2.1.1.1.01.07185</v>
          </cell>
          <cell r="B2110" t="str">
            <v>UNIFUZI COMERCIO DE ARTEFATOS METALICOS LTDA</v>
          </cell>
          <cell r="C2110" t="str">
            <v>8.150,22</v>
          </cell>
          <cell r="D2110" t="str">
            <v>8.150,22</v>
          </cell>
          <cell r="E2110" t="str">
            <v>3.215,21</v>
          </cell>
          <cell r="F2110" t="str">
            <v>5.944,11</v>
          </cell>
          <cell r="G2110" t="str">
            <v>0,00</v>
          </cell>
          <cell r="H2110" t="str">
            <v>2.728,90</v>
          </cell>
          <cell r="I2110">
            <v>2728.9</v>
          </cell>
          <cell r="J2110" t="str">
            <v>VERIFICAR</v>
          </cell>
        </row>
        <row r="2111">
          <cell r="A2111" t="str">
            <v>2.1.1.1.01.07189</v>
          </cell>
          <cell r="B2111" t="str">
            <v>MARCIA ROCHA LIMA ROSA</v>
          </cell>
          <cell r="C2111" t="str">
            <v>0,00</v>
          </cell>
          <cell r="D2111" t="str">
            <v>70.000,00</v>
          </cell>
          <cell r="E2111" t="str">
            <v>0,00</v>
          </cell>
          <cell r="F2111" t="str">
            <v>0,00</v>
          </cell>
          <cell r="G2111" t="str">
            <v>0,00</v>
          </cell>
          <cell r="H2111" t="str">
            <v>70.000,00</v>
          </cell>
          <cell r="I2111">
            <v>70000</v>
          </cell>
          <cell r="J2111" t="str">
            <v>VERIFICAR</v>
          </cell>
        </row>
        <row r="2112">
          <cell r="A2112" t="str">
            <v>2.1.1.1.01.07191</v>
          </cell>
          <cell r="B2112" t="str">
            <v>JOAO BRUNO</v>
          </cell>
          <cell r="C2112" t="str">
            <v>2.860,00</v>
          </cell>
          <cell r="D2112" t="str">
            <v>2.860,00</v>
          </cell>
          <cell r="E2112" t="str">
            <v>740,00</v>
          </cell>
          <cell r="F2112" t="str">
            <v>740,00</v>
          </cell>
          <cell r="G2112" t="str">
            <v>0,00</v>
          </cell>
          <cell r="H2112" t="str">
            <v>0,00</v>
          </cell>
          <cell r="I2112">
            <v>0</v>
          </cell>
          <cell r="J2112" t="str">
            <v>VERIFICAR</v>
          </cell>
        </row>
        <row r="2113">
          <cell r="A2113" t="str">
            <v>2.1.1.1.01.07193</v>
          </cell>
          <cell r="B2113" t="str">
            <v>E V SILVA BATERIAS SP1 LTDA</v>
          </cell>
          <cell r="C2113" t="str">
            <v>2.875,00</v>
          </cell>
          <cell r="D2113" t="str">
            <v>5.875,00</v>
          </cell>
          <cell r="E2113" t="str">
            <v>3.000,00</v>
          </cell>
          <cell r="F2113" t="str">
            <v>0,00</v>
          </cell>
          <cell r="G2113" t="str">
            <v>0,00</v>
          </cell>
          <cell r="H2113" t="str">
            <v>0,00</v>
          </cell>
          <cell r="I2113">
            <v>0</v>
          </cell>
          <cell r="J2113" t="str">
            <v>VERIFICAR</v>
          </cell>
        </row>
        <row r="2114">
          <cell r="A2114" t="str">
            <v>2.1.1.1.01.07197</v>
          </cell>
          <cell r="B2114" t="str">
            <v>INOVA SISTEMAS ELETRONICOS LTDA</v>
          </cell>
          <cell r="C2114" t="str">
            <v>6.046,08</v>
          </cell>
          <cell r="D2114" t="str">
            <v>9.110,07</v>
          </cell>
          <cell r="E2114" t="str">
            <v>4.704,72</v>
          </cell>
          <cell r="F2114" t="str">
            <v>1.640,73</v>
          </cell>
          <cell r="G2114" t="str">
            <v>0,00</v>
          </cell>
          <cell r="H2114" t="str">
            <v>0,00</v>
          </cell>
          <cell r="I2114">
            <v>0</v>
          </cell>
          <cell r="J2114" t="str">
            <v>VERIFICAR</v>
          </cell>
        </row>
        <row r="2115">
          <cell r="A2115" t="str">
            <v>2.1.1.1.01.07210</v>
          </cell>
          <cell r="B2115" t="str">
            <v>JCM COMERCIO DE MATERIAIS HIDRAULICOS E ELETRICOS</v>
          </cell>
          <cell r="C2115" t="str">
            <v>0,00</v>
          </cell>
          <cell r="D2115" t="str">
            <v>0,00</v>
          </cell>
          <cell r="E2115" t="str">
            <v>0,00</v>
          </cell>
          <cell r="F2115" t="str">
            <v>2.248,32</v>
          </cell>
          <cell r="G2115" t="str">
            <v>0,00</v>
          </cell>
          <cell r="H2115" t="str">
            <v>2.248,32</v>
          </cell>
          <cell r="I2115">
            <v>2248.3200000000002</v>
          </cell>
          <cell r="J2115" t="str">
            <v>VERIFICAR</v>
          </cell>
        </row>
        <row r="2116">
          <cell r="A2116" t="str">
            <v>2.1.1.1.01.07211</v>
          </cell>
          <cell r="B2116" t="str">
            <v>G4 PLASTICOS DE ENGENHARIA LTDA</v>
          </cell>
          <cell r="C2116" t="str">
            <v>0,00</v>
          </cell>
          <cell r="D2116" t="str">
            <v>875,96</v>
          </cell>
          <cell r="E2116" t="str">
            <v>875,96</v>
          </cell>
          <cell r="F2116" t="str">
            <v>0,00</v>
          </cell>
          <cell r="G2116" t="str">
            <v>0,00</v>
          </cell>
          <cell r="H2116" t="str">
            <v>0,00</v>
          </cell>
          <cell r="I2116">
            <v>0</v>
          </cell>
          <cell r="J2116" t="str">
            <v>VERIFICAR</v>
          </cell>
        </row>
        <row r="2117">
          <cell r="A2117" t="str">
            <v>2.1.1.1.01.07214</v>
          </cell>
          <cell r="B2117" t="str">
            <v>CILTECH HIDRAULICA LTDA</v>
          </cell>
          <cell r="C2117" t="str">
            <v>1.622,77</v>
          </cell>
          <cell r="D2117" t="str">
            <v>4.917,48</v>
          </cell>
          <cell r="E2117" t="str">
            <v>3.294,71</v>
          </cell>
          <cell r="F2117" t="str">
            <v>0,00</v>
          </cell>
          <cell r="G2117" t="str">
            <v>0,00</v>
          </cell>
          <cell r="H2117" t="str">
            <v>0,00</v>
          </cell>
          <cell r="I2117">
            <v>0</v>
          </cell>
          <cell r="J2117" t="str">
            <v>VERIFICAR</v>
          </cell>
        </row>
        <row r="2118">
          <cell r="A2118" t="str">
            <v>2.1.1.1.01.07215</v>
          </cell>
          <cell r="B2118" t="str">
            <v>FINOTTI E SCATAMBURLO LTDA.</v>
          </cell>
          <cell r="C2118" t="str">
            <v>7.137,00</v>
          </cell>
          <cell r="D2118" t="str">
            <v>93.855,46</v>
          </cell>
          <cell r="E2118" t="str">
            <v>54.159,47</v>
          </cell>
          <cell r="F2118" t="str">
            <v>10.955,00</v>
          </cell>
          <cell r="G2118" t="str">
            <v>0,00</v>
          </cell>
          <cell r="H2118" t="str">
            <v>43.513,99</v>
          </cell>
          <cell r="I2118">
            <v>43513.99</v>
          </cell>
          <cell r="J2118" t="str">
            <v>VERIFICAR</v>
          </cell>
        </row>
        <row r="2119">
          <cell r="A2119" t="str">
            <v>2.1.1.1.01.07221</v>
          </cell>
          <cell r="B2119" t="str">
            <v>YAWEI BRASIL COMERCIO DE MAQUINAS LTDA</v>
          </cell>
          <cell r="C2119" t="str">
            <v>340,85</v>
          </cell>
          <cell r="D2119" t="str">
            <v>340,85</v>
          </cell>
          <cell r="E2119" t="str">
            <v>280,94</v>
          </cell>
          <cell r="F2119" t="str">
            <v>280,94</v>
          </cell>
          <cell r="G2119" t="str">
            <v>0,00</v>
          </cell>
          <cell r="H2119" t="str">
            <v>0,00</v>
          </cell>
          <cell r="I2119">
            <v>0</v>
          </cell>
          <cell r="J2119" t="str">
            <v>VERIFICAR</v>
          </cell>
        </row>
        <row r="2120">
          <cell r="A2120" t="str">
            <v>2.1.1.1.01.07222</v>
          </cell>
          <cell r="B2120" t="str">
            <v>L.A.G PECAS PARA MOTORES LTDA</v>
          </cell>
          <cell r="C2120" t="str">
            <v>0,00</v>
          </cell>
          <cell r="D2120" t="str">
            <v>2.863,00</v>
          </cell>
          <cell r="E2120" t="str">
            <v>2.863,00</v>
          </cell>
          <cell r="F2120" t="str">
            <v>0,00</v>
          </cell>
          <cell r="G2120" t="str">
            <v>0,00</v>
          </cell>
          <cell r="H2120" t="str">
            <v>0,00</v>
          </cell>
          <cell r="I2120">
            <v>0</v>
          </cell>
          <cell r="J2120" t="str">
            <v>VERIFICAR</v>
          </cell>
        </row>
        <row r="2121">
          <cell r="A2121" t="str">
            <v>2.1.1.1.01.07226</v>
          </cell>
          <cell r="B2121" t="str">
            <v>MAXI RUBBER INDÚSTRIAS QUÍMICAS LTDA</v>
          </cell>
          <cell r="C2121" t="str">
            <v>0,00</v>
          </cell>
          <cell r="D2121" t="str">
            <v>0,00</v>
          </cell>
          <cell r="E2121" t="str">
            <v>6.051,15</v>
          </cell>
          <cell r="F2121" t="str">
            <v>6.051,15</v>
          </cell>
          <cell r="G2121" t="str">
            <v>0,00</v>
          </cell>
          <cell r="H2121" t="str">
            <v>0,00</v>
          </cell>
          <cell r="I2121">
            <v>0</v>
          </cell>
          <cell r="J2121" t="str">
            <v>VERIFICAR</v>
          </cell>
        </row>
        <row r="2122">
          <cell r="A2122" t="str">
            <v>2.1.1.1.01.07227</v>
          </cell>
          <cell r="B2122" t="str">
            <v>ROTOR MASTER IND. COM. EIRELI</v>
          </cell>
          <cell r="C2122" t="str">
            <v>0,00</v>
          </cell>
          <cell r="D2122" t="str">
            <v>0,00</v>
          </cell>
          <cell r="E2122" t="str">
            <v>5.700,00</v>
          </cell>
          <cell r="F2122" t="str">
            <v>5.700,00</v>
          </cell>
          <cell r="G2122" t="str">
            <v>0,00</v>
          </cell>
          <cell r="H2122" t="str">
            <v>0,00</v>
          </cell>
          <cell r="I2122">
            <v>0</v>
          </cell>
          <cell r="J2122" t="str">
            <v>VERIFICAR</v>
          </cell>
        </row>
        <row r="2123">
          <cell r="A2123" t="str">
            <v>2.1.1.1.01.07229</v>
          </cell>
          <cell r="B2123" t="str">
            <v>J C ARAUJO BORGES EIRELI – ME.</v>
          </cell>
          <cell r="C2123" t="str">
            <v>0,00</v>
          </cell>
          <cell r="D2123" t="str">
            <v>0,00</v>
          </cell>
          <cell r="E2123" t="str">
            <v>2.232,00</v>
          </cell>
          <cell r="F2123" t="str">
            <v>2.232,00</v>
          </cell>
          <cell r="G2123" t="str">
            <v>0,00</v>
          </cell>
          <cell r="H2123" t="str">
            <v>0,00</v>
          </cell>
          <cell r="I2123">
            <v>0</v>
          </cell>
          <cell r="J2123" t="str">
            <v>VERIFICAR</v>
          </cell>
        </row>
        <row r="2124">
          <cell r="A2124" t="str">
            <v>2.1.1.1.01.07230</v>
          </cell>
          <cell r="B2124" t="str">
            <v>SOLAR LIGHT REFLETORES SOLARES LTDA</v>
          </cell>
          <cell r="C2124" t="str">
            <v>0,00</v>
          </cell>
          <cell r="D2124" t="str">
            <v>0,00</v>
          </cell>
          <cell r="E2124" t="str">
            <v>3.330,00</v>
          </cell>
          <cell r="F2124" t="str">
            <v>3.330,00</v>
          </cell>
          <cell r="G2124" t="str">
            <v>0,00</v>
          </cell>
          <cell r="H2124" t="str">
            <v>0,00</v>
          </cell>
          <cell r="I2124">
            <v>0</v>
          </cell>
          <cell r="J2124" t="str">
            <v>VERIFICAR</v>
          </cell>
        </row>
        <row r="2125">
          <cell r="A2125" t="str">
            <v>2.1.1.1.01.07231</v>
          </cell>
          <cell r="B2125" t="str">
            <v>GRAN DEUS ENGENHARIA MINERAL LTDA</v>
          </cell>
          <cell r="C2125" t="str">
            <v>0,00</v>
          </cell>
          <cell r="D2125" t="str">
            <v>0,00</v>
          </cell>
          <cell r="E2125" t="str">
            <v>0,00</v>
          </cell>
          <cell r="F2125" t="str">
            <v>15.000,00</v>
          </cell>
          <cell r="G2125" t="str">
            <v>0,00</v>
          </cell>
          <cell r="H2125" t="str">
            <v>15.000,00</v>
          </cell>
          <cell r="I2125">
            <v>15000</v>
          </cell>
          <cell r="J2125" t="str">
            <v>VERIFICAR</v>
          </cell>
        </row>
        <row r="2126">
          <cell r="A2126" t="str">
            <v>2.1.1.1.01.07232</v>
          </cell>
          <cell r="B2126" t="str">
            <v>WALSYWA INDUSTRIA E COMERCIO DE PRODUTOS METALURGI</v>
          </cell>
          <cell r="C2126" t="str">
            <v>0,00</v>
          </cell>
          <cell r="D2126" t="str">
            <v>0,00</v>
          </cell>
          <cell r="E2126" t="str">
            <v>0,00</v>
          </cell>
          <cell r="F2126" t="str">
            <v>2.557,56</v>
          </cell>
          <cell r="G2126" t="str">
            <v>0,00</v>
          </cell>
          <cell r="H2126" t="str">
            <v>2.557,56</v>
          </cell>
          <cell r="I2126">
            <v>2557.56</v>
          </cell>
          <cell r="J2126" t="str">
            <v>VERIFICAR</v>
          </cell>
        </row>
        <row r="2127">
          <cell r="A2127" t="str">
            <v>2.1.1.1.01.07233</v>
          </cell>
          <cell r="B2127" t="str">
            <v>TNTINFO COMERCIO DE MATERIAIS DE INFORMATICA LTDA</v>
          </cell>
          <cell r="C2127" t="str">
            <v>0,00</v>
          </cell>
          <cell r="D2127" t="str">
            <v>0,00</v>
          </cell>
          <cell r="E2127" t="str">
            <v>526,39</v>
          </cell>
          <cell r="F2127" t="str">
            <v>526,39</v>
          </cell>
          <cell r="G2127" t="str">
            <v>0,00</v>
          </cell>
          <cell r="H2127" t="str">
            <v>0,00</v>
          </cell>
          <cell r="I2127">
            <v>0</v>
          </cell>
          <cell r="J2127" t="str">
            <v>VERIFICAR</v>
          </cell>
        </row>
        <row r="2128">
          <cell r="A2128" t="str">
            <v>2.1.1.1.01.07234</v>
          </cell>
          <cell r="B2128" t="str">
            <v>P. V. V. DE PAULA LTDA</v>
          </cell>
          <cell r="C2128" t="str">
            <v>0,00</v>
          </cell>
          <cell r="D2128" t="str">
            <v>0,00</v>
          </cell>
          <cell r="E2128" t="str">
            <v>2.107,38</v>
          </cell>
          <cell r="F2128" t="str">
            <v>2.107,38</v>
          </cell>
          <cell r="G2128" t="str">
            <v>0,00</v>
          </cell>
          <cell r="H2128" t="str">
            <v>0,00</v>
          </cell>
          <cell r="I2128">
            <v>0</v>
          </cell>
          <cell r="J2128" t="str">
            <v>VERIFICAR</v>
          </cell>
        </row>
        <row r="2129">
          <cell r="A2129" t="str">
            <v>2.1.1.1.01.07238</v>
          </cell>
          <cell r="B2129" t="str">
            <v>44.492.728 CLAUCIRLEI ALVES DE OLIVEIRA</v>
          </cell>
          <cell r="C2129" t="str">
            <v>0,00</v>
          </cell>
          <cell r="D2129" t="str">
            <v>0,00</v>
          </cell>
          <cell r="E2129" t="str">
            <v>5.960,00</v>
          </cell>
          <cell r="F2129" t="str">
            <v>5.960,00</v>
          </cell>
          <cell r="G2129" t="str">
            <v>0,00</v>
          </cell>
          <cell r="H2129" t="str">
            <v>0,00</v>
          </cell>
          <cell r="I2129">
            <v>0</v>
          </cell>
          <cell r="J2129" t="str">
            <v>VERIFICAR</v>
          </cell>
        </row>
        <row r="2130">
          <cell r="A2130" t="str">
            <v>2.1.1.1.01.6279</v>
          </cell>
          <cell r="B2130" t="str">
            <v>BRASPRESS TRANSPORTES URGENTES LTDA</v>
          </cell>
          <cell r="C2130" t="str">
            <v>1.317,50</v>
          </cell>
          <cell r="D2130" t="str">
            <v>1.317,50</v>
          </cell>
          <cell r="E2130" t="str">
            <v>207,40</v>
          </cell>
          <cell r="F2130" t="str">
            <v>207,40</v>
          </cell>
          <cell r="G2130" t="str">
            <v>0,00</v>
          </cell>
          <cell r="H2130" t="str">
            <v>0,00</v>
          </cell>
          <cell r="I2130">
            <v>0</v>
          </cell>
          <cell r="J2130" t="str">
            <v>VERIFICAR</v>
          </cell>
        </row>
        <row r="2131">
          <cell r="A2131" t="str">
            <v>2.1.1.1.01.MUNIC</v>
          </cell>
          <cell r="B2131" t="str">
            <v>MUNICIPIO</v>
          </cell>
          <cell r="C2131" t="str">
            <v>120.488,54</v>
          </cell>
          <cell r="D2131" t="str">
            <v>99.028,70</v>
          </cell>
          <cell r="E2131" t="str">
            <v>6.513,74</v>
          </cell>
          <cell r="F2131" t="str">
            <v>0,00</v>
          </cell>
          <cell r="G2131" t="str">
            <v>27.973,58</v>
          </cell>
          <cell r="H2131" t="str">
            <v>0,00</v>
          </cell>
          <cell r="I2131">
            <v>-27973.58</v>
          </cell>
          <cell r="J2131" t="str">
            <v>VERIFICAR</v>
          </cell>
        </row>
        <row r="2132">
          <cell r="A2132" t="str">
            <v>2.1.1.1.01.UNIAO</v>
          </cell>
          <cell r="B2132" t="str">
            <v>UNIAO</v>
          </cell>
          <cell r="C2132" t="str">
            <v>272.632,27</v>
          </cell>
          <cell r="D2132" t="str">
            <v>79.109,96</v>
          </cell>
          <cell r="E2132" t="str">
            <v>0,00</v>
          </cell>
          <cell r="F2132" t="str">
            <v>0,00</v>
          </cell>
          <cell r="G2132" t="str">
            <v>193.522,31</v>
          </cell>
          <cell r="H2132" t="str">
            <v>0,00</v>
          </cell>
          <cell r="I2132">
            <v>-193522.31</v>
          </cell>
          <cell r="J2132" t="str">
            <v>VERIFICAR</v>
          </cell>
        </row>
        <row r="2133">
          <cell r="A2133" t="str">
            <v>2.1.1.1.02</v>
          </cell>
          <cell r="B2133" t="str">
            <v>FORNECEDOR - COMPRAS PARA ENTREGA FUTURA</v>
          </cell>
          <cell r="C2133" t="str">
            <v>0,00</v>
          </cell>
          <cell r="D2133" t="str">
            <v>0,00</v>
          </cell>
          <cell r="E2133" t="str">
            <v>0,00</v>
          </cell>
          <cell r="F2133" t="str">
            <v>0,00</v>
          </cell>
          <cell r="G2133" t="str">
            <v>0,00</v>
          </cell>
          <cell r="H2133" t="str">
            <v>0,00</v>
          </cell>
          <cell r="I2133">
            <v>0</v>
          </cell>
          <cell r="J2133" t="str">
            <v>VERIFICAR</v>
          </cell>
        </row>
        <row r="2134">
          <cell r="A2134" t="str">
            <v>2.1.1.1.02.00001</v>
          </cell>
          <cell r="B2134" t="str">
            <v>FORNECEDOR -RECEBIMENTO P/ENTREGA FUTURA</v>
          </cell>
          <cell r="C2134" t="str">
            <v>204.474,54</v>
          </cell>
          <cell r="D2134" t="str">
            <v>173.992,64</v>
          </cell>
          <cell r="E2134" t="str">
            <v>0,00</v>
          </cell>
          <cell r="F2134" t="str">
            <v>0,00</v>
          </cell>
          <cell r="G2134" t="str">
            <v>30.481,90</v>
          </cell>
          <cell r="H2134" t="str">
            <v>0,00</v>
          </cell>
          <cell r="I2134">
            <v>-30481.9</v>
          </cell>
          <cell r="J2134" t="str">
            <v>VERIFICAR</v>
          </cell>
        </row>
        <row r="2135">
          <cell r="A2135" t="str">
            <v>2.1.1.1.02.00002</v>
          </cell>
          <cell r="B2135" t="str">
            <v>(-) FORNECEDOR - REC. P/ENTREGA FUTURA</v>
          </cell>
          <cell r="C2135" t="str">
            <v>173.992,64</v>
          </cell>
          <cell r="D2135" t="str">
            <v>204.474,54</v>
          </cell>
          <cell r="E2135" t="str">
            <v>0,00</v>
          </cell>
          <cell r="F2135" t="str">
            <v>0,00</v>
          </cell>
          <cell r="G2135" t="str">
            <v>0,00</v>
          </cell>
          <cell r="H2135" t="str">
            <v>30.481,90</v>
          </cell>
          <cell r="I2135">
            <v>30481.9</v>
          </cell>
          <cell r="J2135" t="str">
            <v>VERIFICAR</v>
          </cell>
        </row>
        <row r="2136">
          <cell r="A2136" t="str">
            <v>2.1.1.1.03</v>
          </cell>
          <cell r="B2136" t="str">
            <v>FORNECEDORES NO EXTERIOR</v>
          </cell>
          <cell r="C2136" t="str">
            <v>0,00</v>
          </cell>
          <cell r="D2136" t="str">
            <v>0,00</v>
          </cell>
          <cell r="E2136" t="str">
            <v>1.703.188,29</v>
          </cell>
          <cell r="F2136" t="str">
            <v>1.588.315,70</v>
          </cell>
          <cell r="G2136" t="str">
            <v>0,00</v>
          </cell>
          <cell r="H2136" t="str">
            <v>399.135,03</v>
          </cell>
          <cell r="I2136">
            <v>399135.03</v>
          </cell>
          <cell r="J2136" t="str">
            <v>VERIFICAR</v>
          </cell>
        </row>
        <row r="2137">
          <cell r="A2137" t="str">
            <v>2.1.1.1.03.000518</v>
          </cell>
          <cell r="B2137" t="str">
            <v>TREVI BENNE S P A</v>
          </cell>
          <cell r="C2137" t="str">
            <v>11.465.556,73</v>
          </cell>
          <cell r="D2137" t="str">
            <v>11.631.231,08</v>
          </cell>
          <cell r="E2137" t="str">
            <v>0,00</v>
          </cell>
          <cell r="F2137" t="str">
            <v>130,93</v>
          </cell>
          <cell r="G2137" t="str">
            <v>0,00</v>
          </cell>
          <cell r="H2137" t="str">
            <v>165.805,28</v>
          </cell>
          <cell r="I2137">
            <v>165805.28</v>
          </cell>
          <cell r="J2137" t="str">
            <v>VERIFICAR</v>
          </cell>
        </row>
        <row r="2138">
          <cell r="A2138" t="str">
            <v>2.1.1.1.03.000544</v>
          </cell>
          <cell r="B2138" t="str">
            <v>YANTAI EDDIE PRECISION MACHINERY CO,L</v>
          </cell>
          <cell r="C2138" t="str">
            <v>85.503.973,11</v>
          </cell>
          <cell r="D2138" t="str">
            <v>85.875.650,21</v>
          </cell>
          <cell r="E2138" t="str">
            <v>1.088.708,74</v>
          </cell>
          <cell r="F2138" t="str">
            <v>717.031,65</v>
          </cell>
          <cell r="G2138" t="str">
            <v>0,00</v>
          </cell>
          <cell r="H2138" t="str">
            <v>0,01</v>
          </cell>
          <cell r="I2138">
            <v>0.01</v>
          </cell>
          <cell r="J2138" t="str">
            <v>VERIFICAR</v>
          </cell>
        </row>
        <row r="2139">
          <cell r="A2139" t="str">
            <v>2.1.1.1.03.002164</v>
          </cell>
          <cell r="B2139" t="str">
            <v>YUEQING ZHICHENG  ELECTRICAL EQUIPMENT C</v>
          </cell>
          <cell r="C2139" t="str">
            <v>229.030,60</v>
          </cell>
          <cell r="D2139" t="str">
            <v>229.030,60</v>
          </cell>
          <cell r="E2139" t="str">
            <v>16.935,56</v>
          </cell>
          <cell r="F2139" t="str">
            <v>16.935,56</v>
          </cell>
          <cell r="G2139" t="str">
            <v>0,00</v>
          </cell>
          <cell r="H2139" t="str">
            <v>0,00</v>
          </cell>
          <cell r="I2139">
            <v>0</v>
          </cell>
          <cell r="J2139" t="str">
            <v>VERIFICAR</v>
          </cell>
        </row>
        <row r="2140">
          <cell r="A2140" t="str">
            <v>2.1.1.1.03.002647</v>
          </cell>
          <cell r="B2140" t="str">
            <v>SICHUAN MACHINERY I/E CORP.</v>
          </cell>
          <cell r="C2140" t="str">
            <v>191.807,63</v>
          </cell>
          <cell r="D2140" t="str">
            <v>191.807,64</v>
          </cell>
          <cell r="E2140" t="str">
            <v>0,00</v>
          </cell>
          <cell r="F2140" t="str">
            <v>0,00</v>
          </cell>
          <cell r="G2140" t="str">
            <v>0,00</v>
          </cell>
          <cell r="H2140" t="str">
            <v>0,01</v>
          </cell>
          <cell r="I2140">
            <v>0.01</v>
          </cell>
          <cell r="J2140" t="str">
            <v>VERIFICAR</v>
          </cell>
        </row>
        <row r="2141">
          <cell r="A2141" t="str">
            <v>2.1.1.1.03.003211</v>
          </cell>
          <cell r="B2141" t="str">
            <v>JIANGSU ZHONGYE HYDRAULIC COMPONENT CO.,</v>
          </cell>
          <cell r="C2141" t="str">
            <v>134.539,53</v>
          </cell>
          <cell r="D2141" t="str">
            <v>134.539,53</v>
          </cell>
          <cell r="E2141" t="str">
            <v>1.579,36</v>
          </cell>
          <cell r="F2141" t="str">
            <v>1.579,36</v>
          </cell>
          <cell r="G2141" t="str">
            <v>0,00</v>
          </cell>
          <cell r="H2141" t="str">
            <v>0,00</v>
          </cell>
          <cell r="I2141">
            <v>0</v>
          </cell>
          <cell r="J2141" t="str">
            <v>VERIFICAR</v>
          </cell>
        </row>
        <row r="2142">
          <cell r="A2142" t="str">
            <v>2.1.1.1.03.003252</v>
          </cell>
          <cell r="B2142" t="str">
            <v>YANTAI HAETE HYDRAULIC MACHINERY CO., LT</v>
          </cell>
          <cell r="C2142" t="str">
            <v>491.760,13</v>
          </cell>
          <cell r="D2142" t="str">
            <v>491.760,13</v>
          </cell>
          <cell r="E2142" t="str">
            <v>0,00</v>
          </cell>
          <cell r="F2142" t="str">
            <v>44.283,30</v>
          </cell>
          <cell r="G2142" t="str">
            <v>0,00</v>
          </cell>
          <cell r="H2142" t="str">
            <v>44.283,30</v>
          </cell>
          <cell r="I2142">
            <v>44283.3</v>
          </cell>
          <cell r="J2142" t="str">
            <v>VERIFICAR</v>
          </cell>
        </row>
        <row r="2143">
          <cell r="A2143" t="str">
            <v>2.1.1.1.03.003272</v>
          </cell>
          <cell r="B2143" t="str">
            <v>XIAN HEAVEN ABUNDANT MINING EQUIPMENT CO</v>
          </cell>
          <cell r="C2143" t="str">
            <v>102.206,58</v>
          </cell>
          <cell r="D2143" t="str">
            <v>102.206,58</v>
          </cell>
          <cell r="E2143" t="str">
            <v>13.384,28</v>
          </cell>
          <cell r="F2143" t="str">
            <v>13.384,28</v>
          </cell>
          <cell r="G2143" t="str">
            <v>0,00</v>
          </cell>
          <cell r="H2143" t="str">
            <v>0,00</v>
          </cell>
          <cell r="I2143">
            <v>0</v>
          </cell>
          <cell r="J2143" t="str">
            <v>VERIFICAR</v>
          </cell>
        </row>
        <row r="2144">
          <cell r="A2144" t="str">
            <v>2.1.1.1.03.003332</v>
          </cell>
          <cell r="B2144" t="str">
            <v>KAISHAN COMPRESSOR (HONGKONG) CO., LIMIT</v>
          </cell>
          <cell r="C2144" t="str">
            <v>14.206.643,08</v>
          </cell>
          <cell r="D2144" t="str">
            <v>14.206.818,16</v>
          </cell>
          <cell r="E2144" t="str">
            <v>0,00</v>
          </cell>
          <cell r="F2144" t="str">
            <v>384.506,55</v>
          </cell>
          <cell r="G2144" t="str">
            <v>0,00</v>
          </cell>
          <cell r="H2144" t="str">
            <v>384.681,63</v>
          </cell>
          <cell r="I2144">
            <v>384681.63</v>
          </cell>
          <cell r="J2144" t="str">
            <v>VERIFICAR</v>
          </cell>
        </row>
        <row r="2145">
          <cell r="A2145" t="str">
            <v>2.1.1.1.03.003518</v>
          </cell>
          <cell r="B2145" t="str">
            <v>JINAN SHENGLEI BEARING CO.,LTD</v>
          </cell>
          <cell r="C2145" t="str">
            <v>757.818,21</v>
          </cell>
          <cell r="D2145" t="str">
            <v>757.820,82</v>
          </cell>
          <cell r="E2145" t="str">
            <v>0,00</v>
          </cell>
          <cell r="F2145" t="str">
            <v>0,00</v>
          </cell>
          <cell r="G2145" t="str">
            <v>0,00</v>
          </cell>
          <cell r="H2145" t="str">
            <v>2,61</v>
          </cell>
          <cell r="I2145">
            <v>2.61</v>
          </cell>
          <cell r="J2145" t="str">
            <v>VERIFICAR</v>
          </cell>
        </row>
        <row r="2146">
          <cell r="A2146" t="str">
            <v>2.1.1.1.03.003543</v>
          </cell>
          <cell r="B2146" t="str">
            <v>WENZHOU GIANT ELEC. APPLIANCES CO., LTD</v>
          </cell>
          <cell r="C2146" t="str">
            <v>48.556,90</v>
          </cell>
          <cell r="D2146" t="str">
            <v>48.555,72</v>
          </cell>
          <cell r="E2146" t="str">
            <v>0,00</v>
          </cell>
          <cell r="F2146" t="str">
            <v>0,00</v>
          </cell>
          <cell r="G2146" t="str">
            <v>1,18</v>
          </cell>
          <cell r="H2146" t="str">
            <v>0,00</v>
          </cell>
          <cell r="I2146">
            <v>-1.18</v>
          </cell>
          <cell r="J2146" t="str">
            <v>VERIFICAR</v>
          </cell>
        </row>
        <row r="2147">
          <cell r="A2147" t="str">
            <v>2.1.1.1.03.005155</v>
          </cell>
          <cell r="B2147" t="str">
            <v>NINGBO TOSION INTERNATIONAL TRADE CO.,L</v>
          </cell>
          <cell r="C2147" t="str">
            <v>933.773,45</v>
          </cell>
          <cell r="D2147" t="str">
            <v>933.773,44</v>
          </cell>
          <cell r="E2147" t="str">
            <v>14.928,62</v>
          </cell>
          <cell r="F2147" t="str">
            <v>14.928,62</v>
          </cell>
          <cell r="G2147" t="str">
            <v>0,01</v>
          </cell>
          <cell r="H2147" t="str">
            <v>0,00</v>
          </cell>
          <cell r="I2147">
            <v>-0.01</v>
          </cell>
          <cell r="J2147" t="str">
            <v>VERIFICAR</v>
          </cell>
        </row>
        <row r="2148">
          <cell r="A2148" t="str">
            <v>2.1.1.1.03.005258</v>
          </cell>
          <cell r="B2148" t="str">
            <v>SHANDONG MINGDE MACHINERY CO., LTD.</v>
          </cell>
          <cell r="C2148" t="str">
            <v>2.659.493,60</v>
          </cell>
          <cell r="D2148" t="str">
            <v>2.659.493,61</v>
          </cell>
          <cell r="E2148" t="str">
            <v>0,00</v>
          </cell>
          <cell r="F2148" t="str">
            <v>0,00</v>
          </cell>
          <cell r="G2148" t="str">
            <v>0,00</v>
          </cell>
          <cell r="H2148" t="str">
            <v>0,01</v>
          </cell>
          <cell r="I2148">
            <v>0.01</v>
          </cell>
          <cell r="J2148" t="str">
            <v>VERIFICAR</v>
          </cell>
        </row>
        <row r="2149">
          <cell r="A2149" t="str">
            <v>2.1.1.1.03.005740</v>
          </cell>
          <cell r="B2149" t="str">
            <v>ZHEJIANG FANGDUN INSTRUMENT VALVE CO.,LT</v>
          </cell>
          <cell r="C2149" t="str">
            <v>172.991,74</v>
          </cell>
          <cell r="D2149" t="str">
            <v>172.991,73</v>
          </cell>
          <cell r="E2149" t="str">
            <v>0,00</v>
          </cell>
          <cell r="F2149" t="str">
            <v>0,00</v>
          </cell>
          <cell r="G2149" t="str">
            <v>0,01</v>
          </cell>
          <cell r="H2149" t="str">
            <v>0,00</v>
          </cell>
          <cell r="I2149">
            <v>-0.01</v>
          </cell>
          <cell r="J2149" t="str">
            <v>VERIFICAR</v>
          </cell>
        </row>
        <row r="2150">
          <cell r="A2150" t="str">
            <v>2.1.1.1.03.005781</v>
          </cell>
          <cell r="B2150" t="str">
            <v>HONGKONG LANDTEK INSTRUMENTS CO LTD</v>
          </cell>
          <cell r="C2150" t="str">
            <v>1.087,96</v>
          </cell>
          <cell r="D2150" t="str">
            <v>1.087,97</v>
          </cell>
          <cell r="E2150" t="str">
            <v>0,00</v>
          </cell>
          <cell r="F2150" t="str">
            <v>0,00</v>
          </cell>
          <cell r="G2150" t="str">
            <v>0,00</v>
          </cell>
          <cell r="H2150" t="str">
            <v>0,01</v>
          </cell>
          <cell r="I2150">
            <v>0.01</v>
          </cell>
          <cell r="J2150" t="str">
            <v>VERIFICAR</v>
          </cell>
        </row>
        <row r="2151">
          <cell r="A2151" t="str">
            <v>2.1.1.1.03.006091</v>
          </cell>
          <cell r="B2151" t="str">
            <v>WENZHOU LIANZHONG CONNECTOR CO., LTD</v>
          </cell>
          <cell r="C2151" t="str">
            <v>82.189,56</v>
          </cell>
          <cell r="D2151" t="str">
            <v>82.189,56</v>
          </cell>
          <cell r="E2151" t="str">
            <v>32.074,90</v>
          </cell>
          <cell r="F2151" t="str">
            <v>32.074,90</v>
          </cell>
          <cell r="G2151" t="str">
            <v>0,00</v>
          </cell>
          <cell r="H2151" t="str">
            <v>0,00</v>
          </cell>
          <cell r="I2151">
            <v>0</v>
          </cell>
          <cell r="J2151" t="str">
            <v>VERIFICAR</v>
          </cell>
        </row>
        <row r="2152">
          <cell r="A2152" t="str">
            <v>2.1.1.1.03.006170</v>
          </cell>
          <cell r="B2152" t="str">
            <v>JIANGXI JARULAN INDUSTRIAL BELT CO.,LTD</v>
          </cell>
          <cell r="C2152" t="str">
            <v>404.619,91</v>
          </cell>
          <cell r="D2152" t="str">
            <v>404.619,91</v>
          </cell>
          <cell r="E2152" t="str">
            <v>14.260,18</v>
          </cell>
          <cell r="F2152" t="str">
            <v>14.260,18</v>
          </cell>
          <cell r="G2152" t="str">
            <v>0,00</v>
          </cell>
          <cell r="H2152" t="str">
            <v>0,00</v>
          </cell>
          <cell r="I2152">
            <v>0</v>
          </cell>
          <cell r="J2152" t="str">
            <v>VERIFICAR</v>
          </cell>
        </row>
        <row r="2153">
          <cell r="A2153" t="str">
            <v>2.1.1.1.03.006282</v>
          </cell>
          <cell r="B2153" t="str">
            <v>TAIAN TAIZHUO MACHINERY MANUFACTURING CO</v>
          </cell>
          <cell r="C2153" t="str">
            <v>1.070.016,17</v>
          </cell>
          <cell r="D2153" t="str">
            <v>1.070.016,17</v>
          </cell>
          <cell r="E2153" t="str">
            <v>71.411,93</v>
          </cell>
          <cell r="F2153" t="str">
            <v>71.411,94</v>
          </cell>
          <cell r="G2153" t="str">
            <v>0,00</v>
          </cell>
          <cell r="H2153" t="str">
            <v>0,01</v>
          </cell>
          <cell r="I2153">
            <v>0.01</v>
          </cell>
          <cell r="J2153" t="str">
            <v>VERIFICAR</v>
          </cell>
        </row>
        <row r="2154">
          <cell r="A2154" t="str">
            <v>2.1.1.1.03.006370</v>
          </cell>
          <cell r="B2154" t="str">
            <v>MANYU GLOBAL</v>
          </cell>
          <cell r="C2154" t="str">
            <v>360.465,64</v>
          </cell>
          <cell r="D2154" t="str">
            <v>360.465,66</v>
          </cell>
          <cell r="E2154" t="str">
            <v>0,00</v>
          </cell>
          <cell r="F2154" t="str">
            <v>0,00</v>
          </cell>
          <cell r="G2154" t="str">
            <v>0,00</v>
          </cell>
          <cell r="H2154" t="str">
            <v>0,02</v>
          </cell>
          <cell r="I2154">
            <v>0.02</v>
          </cell>
          <cell r="J2154" t="str">
            <v>VERIFICAR</v>
          </cell>
        </row>
        <row r="2155">
          <cell r="A2155" t="str">
            <v>2.1.1.1.03.006949</v>
          </cell>
          <cell r="B2155" t="str">
            <v>NINGDE CONTEMPORARY ELECTRIC TECHNOLOGY</v>
          </cell>
          <cell r="C2155" t="str">
            <v>3.773.590,87</v>
          </cell>
          <cell r="D2155" t="str">
            <v>3.773.590,87</v>
          </cell>
          <cell r="E2155" t="str">
            <v>170.447,48</v>
          </cell>
          <cell r="F2155" t="str">
            <v>170.447,48</v>
          </cell>
          <cell r="G2155" t="str">
            <v>0,00</v>
          </cell>
          <cell r="H2155" t="str">
            <v>0,00</v>
          </cell>
          <cell r="I2155">
            <v>0</v>
          </cell>
          <cell r="J2155" t="str">
            <v>VERIFICAR</v>
          </cell>
        </row>
        <row r="2156">
          <cell r="A2156" t="str">
            <v>2.1.1.1.03.007091</v>
          </cell>
          <cell r="B2156" t="str">
            <v>LUIGI PAINI</v>
          </cell>
          <cell r="C2156" t="str">
            <v>194.012,83</v>
          </cell>
          <cell r="D2156" t="str">
            <v>194.012,83</v>
          </cell>
          <cell r="E2156" t="str">
            <v>2.644,57</v>
          </cell>
          <cell r="F2156" t="str">
            <v>2.644,57</v>
          </cell>
          <cell r="G2156" t="str">
            <v>0,00</v>
          </cell>
          <cell r="H2156" t="str">
            <v>0,00</v>
          </cell>
          <cell r="I2156">
            <v>0</v>
          </cell>
          <cell r="J2156" t="str">
            <v>VERIFICAR</v>
          </cell>
        </row>
        <row r="2157">
          <cell r="A2157" t="str">
            <v>2.1.1.1.03.009355</v>
          </cell>
          <cell r="B2157" t="str">
            <v>WONKE ELECTRIC CO.,LTD.</v>
          </cell>
          <cell r="C2157" t="str">
            <v>31.326,44</v>
          </cell>
          <cell r="D2157" t="str">
            <v>31.326,64</v>
          </cell>
          <cell r="E2157" t="str">
            <v>0,00</v>
          </cell>
          <cell r="F2157" t="str">
            <v>0,00</v>
          </cell>
          <cell r="G2157" t="str">
            <v>0,00</v>
          </cell>
          <cell r="H2157" t="str">
            <v>0,20</v>
          </cell>
          <cell r="I2157">
            <v>0.2</v>
          </cell>
          <cell r="J2157" t="str">
            <v>VERIFICAR</v>
          </cell>
        </row>
        <row r="2158">
          <cell r="A2158" t="str">
            <v>2.1.1.1.03.009444</v>
          </cell>
          <cell r="B2158" t="str">
            <v>DONG GUAN SHI XIN JI TONG CO.,LTD</v>
          </cell>
          <cell r="C2158" t="str">
            <v>16.517,13</v>
          </cell>
          <cell r="D2158" t="str">
            <v>16.517,14</v>
          </cell>
          <cell r="E2158" t="str">
            <v>0,00</v>
          </cell>
          <cell r="F2158" t="str">
            <v>0,00</v>
          </cell>
          <cell r="G2158" t="str">
            <v>0,00</v>
          </cell>
          <cell r="H2158" t="str">
            <v>0,01</v>
          </cell>
          <cell r="I2158">
            <v>0.01</v>
          </cell>
          <cell r="J2158" t="str">
            <v>VERIFICAR</v>
          </cell>
        </row>
        <row r="2159">
          <cell r="A2159" t="str">
            <v>2.1.1.1.03.011019</v>
          </cell>
          <cell r="B2159" t="str">
            <v>ZHONGHAI TRANSMISSION TECHNOLOGY  GUANGZ</v>
          </cell>
          <cell r="C2159" t="str">
            <v>6.985,33</v>
          </cell>
          <cell r="D2159" t="str">
            <v>7.032,90</v>
          </cell>
          <cell r="E2159" t="str">
            <v>0,00</v>
          </cell>
          <cell r="F2159" t="str">
            <v>0,00</v>
          </cell>
          <cell r="G2159" t="str">
            <v>0,00</v>
          </cell>
          <cell r="H2159" t="str">
            <v>47,57</v>
          </cell>
          <cell r="I2159">
            <v>47.57</v>
          </cell>
          <cell r="J2159" t="str">
            <v>VERIFICAR</v>
          </cell>
        </row>
        <row r="2160">
          <cell r="A2160" t="str">
            <v>2.1.1.1.03.011089</v>
          </cell>
          <cell r="B2160" t="str">
            <v>CANGZHOU DONGLING MACHINERY</v>
          </cell>
          <cell r="C2160" t="str">
            <v>3.467,68</v>
          </cell>
          <cell r="D2160" t="str">
            <v>3.467,28</v>
          </cell>
          <cell r="E2160" t="str">
            <v>0,00</v>
          </cell>
          <cell r="F2160" t="str">
            <v>0,00</v>
          </cell>
          <cell r="G2160" t="str">
            <v>0,40</v>
          </cell>
          <cell r="H2160" t="str">
            <v>0,00</v>
          </cell>
          <cell r="I2160">
            <v>-0.4</v>
          </cell>
          <cell r="J2160" t="str">
            <v>VERIFICAR</v>
          </cell>
        </row>
        <row r="2161">
          <cell r="A2161" t="str">
            <v>2.1.1.1.03.011090</v>
          </cell>
          <cell r="B2161" t="str">
            <v>HXH-GLOBAL COMPANY LIMITED</v>
          </cell>
          <cell r="C2161" t="str">
            <v>4.025,23</v>
          </cell>
          <cell r="D2161" t="str">
            <v>4.025,23</v>
          </cell>
          <cell r="E2161" t="str">
            <v>6.206,92</v>
          </cell>
          <cell r="F2161" t="str">
            <v>6.206,92</v>
          </cell>
          <cell r="G2161" t="str">
            <v>0,00</v>
          </cell>
          <cell r="H2161" t="str">
            <v>0,00</v>
          </cell>
          <cell r="I2161">
            <v>0</v>
          </cell>
          <cell r="J2161" t="str">
            <v>VERIFICAR</v>
          </cell>
        </row>
        <row r="2162">
          <cell r="A2162" t="str">
            <v>2.1.1.1.03.011190</v>
          </cell>
          <cell r="B2162" t="str">
            <v>JINAN TIANCHEN LASERTECHNOLOGY</v>
          </cell>
          <cell r="C2162" t="str">
            <v>240.973,21</v>
          </cell>
          <cell r="D2162" t="str">
            <v>221.024,43</v>
          </cell>
          <cell r="E2162" t="str">
            <v>0,00</v>
          </cell>
          <cell r="F2162" t="str">
            <v>0,00</v>
          </cell>
          <cell r="G2162" t="str">
            <v>19.948,78</v>
          </cell>
          <cell r="H2162" t="str">
            <v>0,00</v>
          </cell>
          <cell r="I2162">
            <v>-19948.78</v>
          </cell>
          <cell r="J2162" t="str">
            <v>VERIFICAR</v>
          </cell>
        </row>
        <row r="2163">
          <cell r="A2163" t="str">
            <v>2.1.1.1.03.011209</v>
          </cell>
          <cell r="B2163" t="str">
            <v>WANG CHUNXIAO</v>
          </cell>
          <cell r="C2163" t="str">
            <v>107.032,23</v>
          </cell>
          <cell r="D2163" t="str">
            <v>107.032,24</v>
          </cell>
          <cell r="E2163" t="str">
            <v>10.173,94</v>
          </cell>
          <cell r="F2163" t="str">
            <v>10.173,94</v>
          </cell>
          <cell r="G2163" t="str">
            <v>0,00</v>
          </cell>
          <cell r="H2163" t="str">
            <v>0,01</v>
          </cell>
          <cell r="I2163">
            <v>0.01</v>
          </cell>
          <cell r="J2163" t="str">
            <v>VERIFICAR</v>
          </cell>
        </row>
        <row r="2164">
          <cell r="A2164" t="str">
            <v>2.1.1.1.03.011349</v>
          </cell>
          <cell r="B2164" t="str">
            <v>ZHONGSHAN TAPLINK TECHNOLOGY CO.,LTD</v>
          </cell>
          <cell r="C2164" t="str">
            <v>13.191,56</v>
          </cell>
          <cell r="D2164" t="str">
            <v>13.191,46</v>
          </cell>
          <cell r="E2164" t="str">
            <v>0,00</v>
          </cell>
          <cell r="F2164" t="str">
            <v>0,00</v>
          </cell>
          <cell r="G2164" t="str">
            <v>0,10</v>
          </cell>
          <cell r="H2164" t="str">
            <v>0,00</v>
          </cell>
          <cell r="I2164">
            <v>-0.1</v>
          </cell>
          <cell r="J2164" t="str">
            <v>VERIFICAR</v>
          </cell>
        </row>
        <row r="2165">
          <cell r="A2165" t="str">
            <v>2.1.1.1.03.011818</v>
          </cell>
          <cell r="B2165" t="str">
            <v>GUANGDONG SHANGKUN INDUSTRIAL TECHNOLOGY</v>
          </cell>
          <cell r="C2165" t="str">
            <v>3.791,32</v>
          </cell>
          <cell r="D2165" t="str">
            <v>3.791,32</v>
          </cell>
          <cell r="E2165" t="str">
            <v>8.008,24</v>
          </cell>
          <cell r="F2165" t="str">
            <v>8.008,24</v>
          </cell>
          <cell r="G2165" t="str">
            <v>0,00</v>
          </cell>
          <cell r="H2165" t="str">
            <v>0,00</v>
          </cell>
          <cell r="I2165">
            <v>0</v>
          </cell>
          <cell r="J2165" t="str">
            <v>VERIFICAR</v>
          </cell>
        </row>
        <row r="2166">
          <cell r="A2166" t="str">
            <v>2.1.1.1.03.011850</v>
          </cell>
          <cell r="B2166" t="str">
            <v>JINING JINJIA HYDRAULIC CO., LTD</v>
          </cell>
          <cell r="C2166" t="str">
            <v>211.735,74</v>
          </cell>
          <cell r="D2166" t="str">
            <v>208.116,85</v>
          </cell>
          <cell r="E2166" t="str">
            <v>0,00</v>
          </cell>
          <cell r="F2166" t="str">
            <v>0,00</v>
          </cell>
          <cell r="G2166" t="str">
            <v>3.618,89</v>
          </cell>
          <cell r="H2166" t="str">
            <v>0,00</v>
          </cell>
          <cell r="I2166">
            <v>-3618.89</v>
          </cell>
          <cell r="J2166" t="str">
            <v>VERIFICAR</v>
          </cell>
        </row>
        <row r="2167">
          <cell r="A2167" t="str">
            <v>2.1.1.1.03.011944</v>
          </cell>
          <cell r="B2167" t="str">
            <v>HANGZHOU YIDING TRANSMISSION MACHINERY CO.,LTD.</v>
          </cell>
          <cell r="C2167" t="str">
            <v>214.665,20</v>
          </cell>
          <cell r="D2167" t="str">
            <v>214.665,20</v>
          </cell>
          <cell r="E2167" t="str">
            <v>74.802,35</v>
          </cell>
          <cell r="F2167" t="str">
            <v>74.802,36</v>
          </cell>
          <cell r="G2167" t="str">
            <v>0,00</v>
          </cell>
          <cell r="H2167" t="str">
            <v>0,01</v>
          </cell>
          <cell r="I2167">
            <v>0.01</v>
          </cell>
          <cell r="J2167" t="str">
            <v>VERIFICAR</v>
          </cell>
        </row>
        <row r="2168">
          <cell r="A2168" t="str">
            <v>2.1.1.1.03.012388</v>
          </cell>
          <cell r="B2168" t="str">
            <v>JIA HAO TECHNOLOGY CO., LTD.</v>
          </cell>
          <cell r="C2168" t="str">
            <v>1.916,27</v>
          </cell>
          <cell r="D2168" t="str">
            <v>1.916,27</v>
          </cell>
          <cell r="E2168" t="str">
            <v>4.172,77</v>
          </cell>
          <cell r="F2168" t="str">
            <v>4.172,76</v>
          </cell>
          <cell r="G2168" t="str">
            <v>0,01</v>
          </cell>
          <cell r="H2168" t="str">
            <v>0,00</v>
          </cell>
          <cell r="I2168">
            <v>-0.01</v>
          </cell>
          <cell r="J2168" t="str">
            <v>VERIFICAR</v>
          </cell>
        </row>
        <row r="2169">
          <cell r="A2169" t="str">
            <v>2.1.1.1.03.012400</v>
          </cell>
          <cell r="B2169" t="str">
            <v>XUZHOU GLOBAL PRECISION STEEL TUBE CO.,LTD</v>
          </cell>
          <cell r="C2169" t="str">
            <v>52.666,87</v>
          </cell>
          <cell r="D2169" t="str">
            <v>52.666,88</v>
          </cell>
          <cell r="E2169" t="str">
            <v>0,00</v>
          </cell>
          <cell r="F2169" t="str">
            <v>0,00</v>
          </cell>
          <cell r="G2169" t="str">
            <v>0,00</v>
          </cell>
          <cell r="H2169" t="str">
            <v>0,01</v>
          </cell>
          <cell r="I2169">
            <v>0.01</v>
          </cell>
          <cell r="J2169" t="str">
            <v>VERIFICAR</v>
          </cell>
        </row>
        <row r="2170">
          <cell r="A2170" t="str">
            <v>2.1.1.1.03.012498</v>
          </cell>
          <cell r="B2170" t="str">
            <v>ITAÚ UNIBANCO</v>
          </cell>
          <cell r="C2170" t="str">
            <v>0,00</v>
          </cell>
          <cell r="D2170" t="str">
            <v>0,00</v>
          </cell>
          <cell r="E2170" t="str">
            <v>172.116,29</v>
          </cell>
          <cell r="F2170" t="str">
            <v>0,00</v>
          </cell>
          <cell r="G2170" t="str">
            <v>172.116,29</v>
          </cell>
          <cell r="H2170" t="str">
            <v>0,00</v>
          </cell>
          <cell r="I2170">
            <v>-172116.29</v>
          </cell>
          <cell r="J2170" t="str">
            <v>VERIFICAR</v>
          </cell>
        </row>
        <row r="2171">
          <cell r="A2171" t="str">
            <v>2.1.1.1.03.04273</v>
          </cell>
          <cell r="B2171" t="str">
            <v>ZHEJIANG JICHUAN VALVETECHNOLOGY CO., LTD.</v>
          </cell>
          <cell r="C2171" t="str">
            <v>1.115,10</v>
          </cell>
          <cell r="D2171" t="str">
            <v>1.115,10</v>
          </cell>
          <cell r="E2171" t="str">
            <v>1.332,16</v>
          </cell>
          <cell r="F2171" t="str">
            <v>1.332,16</v>
          </cell>
          <cell r="G2171" t="str">
            <v>0,00</v>
          </cell>
          <cell r="H2171" t="str">
            <v>0,00</v>
          </cell>
          <cell r="I2171">
            <v>0</v>
          </cell>
          <cell r="J2171" t="str">
            <v>VERIFICAR</v>
          </cell>
        </row>
        <row r="2172">
          <cell r="A2172" t="str">
            <v>2.1.1.2</v>
          </cell>
          <cell r="B2172" t="str">
            <v>EMPRESTIMOS E FINANCIMENTOS - TERCEIROS</v>
          </cell>
          <cell r="C2172" t="str">
            <v>0,00</v>
          </cell>
          <cell r="D2172" t="str">
            <v>0,00</v>
          </cell>
          <cell r="E2172" t="str">
            <v>1.927.668,46</v>
          </cell>
          <cell r="F2172" t="str">
            <v>3.903.050,08</v>
          </cell>
          <cell r="G2172" t="str">
            <v>0,00</v>
          </cell>
          <cell r="H2172" t="str">
            <v>17.653.379,07</v>
          </cell>
          <cell r="I2172">
            <v>17653379.07</v>
          </cell>
          <cell r="J2172" t="str">
            <v>VERIFICAR</v>
          </cell>
        </row>
        <row r="2173">
          <cell r="A2173" t="str">
            <v>2.1.1.2.01</v>
          </cell>
          <cell r="B2173" t="str">
            <v>EMPRESTIMOS CAPITAL DE GIRO</v>
          </cell>
          <cell r="C2173" t="str">
            <v>0,00</v>
          </cell>
          <cell r="D2173" t="str">
            <v>0,00</v>
          </cell>
          <cell r="E2173" t="str">
            <v>0,00</v>
          </cell>
          <cell r="F2173" t="str">
            <v>0,00</v>
          </cell>
          <cell r="G2173" t="str">
            <v>0,02</v>
          </cell>
          <cell r="H2173" t="str">
            <v>0,00</v>
          </cell>
          <cell r="I2173">
            <v>-0.02</v>
          </cell>
          <cell r="J2173" t="str">
            <v>VERIFICAR</v>
          </cell>
        </row>
        <row r="2174">
          <cell r="A2174" t="str">
            <v>2.1.1.2.01.00001</v>
          </cell>
          <cell r="B2174" t="str">
            <v>ITAU - BNDES PROGEREN</v>
          </cell>
          <cell r="C2174" t="str">
            <v>9.312.355,21</v>
          </cell>
          <cell r="D2174" t="str">
            <v>9.312.355,19</v>
          </cell>
          <cell r="E2174" t="str">
            <v>0,00</v>
          </cell>
          <cell r="F2174" t="str">
            <v>0,00</v>
          </cell>
          <cell r="G2174" t="str">
            <v>0,02</v>
          </cell>
          <cell r="H2174" t="str">
            <v>0,00</v>
          </cell>
          <cell r="I2174">
            <v>-0.02</v>
          </cell>
          <cell r="J2174" t="str">
            <v>VERIFICAR</v>
          </cell>
        </row>
        <row r="2175">
          <cell r="A2175" t="str">
            <v>2.1.1.2.02</v>
          </cell>
          <cell r="B2175" t="str">
            <v>EMPRESTIMOS - ATIVO FIXO</v>
          </cell>
          <cell r="C2175" t="str">
            <v>0,00</v>
          </cell>
          <cell r="D2175" t="str">
            <v>0,00</v>
          </cell>
          <cell r="E2175" t="str">
            <v>476.266,66</v>
          </cell>
          <cell r="F2175" t="str">
            <v>500.025,99</v>
          </cell>
          <cell r="G2175" t="str">
            <v>0,00</v>
          </cell>
          <cell r="H2175" t="str">
            <v>4.816.376,33</v>
          </cell>
          <cell r="I2175">
            <v>4816376.33</v>
          </cell>
          <cell r="J2175" t="str">
            <v>VERIFICAR</v>
          </cell>
        </row>
        <row r="2176">
          <cell r="A2176" t="str">
            <v>2.1.1.2.02.00020</v>
          </cell>
          <cell r="B2176" t="str">
            <v>FINAME NO 60064357-01</v>
          </cell>
          <cell r="C2176" t="str">
            <v>78.578,12</v>
          </cell>
          <cell r="D2176" t="str">
            <v>79.700,00</v>
          </cell>
          <cell r="E2176" t="str">
            <v>0,00</v>
          </cell>
          <cell r="F2176" t="str">
            <v>0,00</v>
          </cell>
          <cell r="G2176" t="str">
            <v>0,00</v>
          </cell>
          <cell r="H2176" t="str">
            <v>1.121,88</v>
          </cell>
          <cell r="I2176">
            <v>1121.8800000000001</v>
          </cell>
          <cell r="J2176" t="str">
            <v>VERIFICAR</v>
          </cell>
        </row>
        <row r="2177">
          <cell r="A2177" t="str">
            <v>2.1.1.2.02.00040</v>
          </cell>
          <cell r="B2177" t="str">
            <v>ITAU CDC 077061403-0</v>
          </cell>
          <cell r="C2177" t="str">
            <v>78.395,08</v>
          </cell>
          <cell r="D2177" t="str">
            <v>82.225,20</v>
          </cell>
          <cell r="E2177" t="str">
            <v>0,00</v>
          </cell>
          <cell r="F2177" t="str">
            <v>0,00</v>
          </cell>
          <cell r="G2177" t="str">
            <v>0,00</v>
          </cell>
          <cell r="H2177" t="str">
            <v>3.830,12</v>
          </cell>
          <cell r="I2177">
            <v>3830.12</v>
          </cell>
          <cell r="J2177" t="str">
            <v>VERIFICAR</v>
          </cell>
        </row>
        <row r="2178">
          <cell r="A2178" t="str">
            <v>2.1.1.2.02.00042</v>
          </cell>
          <cell r="B2178" t="str">
            <v>LEASING SANTANDER 8752133</v>
          </cell>
          <cell r="C2178" t="str">
            <v>103.425,28</v>
          </cell>
          <cell r="D2178" t="str">
            <v>103.692,00</v>
          </cell>
          <cell r="E2178" t="str">
            <v>0,00</v>
          </cell>
          <cell r="F2178" t="str">
            <v>0,00</v>
          </cell>
          <cell r="G2178" t="str">
            <v>0,00</v>
          </cell>
          <cell r="H2178" t="str">
            <v>266,72</v>
          </cell>
          <cell r="I2178">
            <v>266.72000000000003</v>
          </cell>
          <cell r="J2178" t="str">
            <v>VERIFICAR</v>
          </cell>
        </row>
        <row r="2179">
          <cell r="A2179" t="str">
            <v>2.1.1.2.02.00055</v>
          </cell>
          <cell r="B2179" t="str">
            <v>ITAU CDC - SAVEIRO 23490067</v>
          </cell>
          <cell r="C2179" t="str">
            <v>33.858,18</v>
          </cell>
          <cell r="D2179" t="str">
            <v>42.348,13</v>
          </cell>
          <cell r="E2179" t="str">
            <v>1.112,58</v>
          </cell>
          <cell r="F2179" t="str">
            <v>0,00</v>
          </cell>
          <cell r="G2179" t="str">
            <v>0,00</v>
          </cell>
          <cell r="H2179" t="str">
            <v>7.377,37</v>
          </cell>
          <cell r="I2179">
            <v>7377.37</v>
          </cell>
          <cell r="J2179" t="str">
            <v>VERIFICAR</v>
          </cell>
        </row>
        <row r="2180">
          <cell r="A2180" t="str">
            <v>2.1.1.2.02.00056</v>
          </cell>
          <cell r="B2180" t="str">
            <v>(-) ENCARGOS ITAU CDC - SAVEIRO 23490067</v>
          </cell>
          <cell r="C2180" t="str">
            <v>10.540,65</v>
          </cell>
          <cell r="D2180" t="str">
            <v>10.930,43</v>
          </cell>
          <cell r="E2180" t="str">
            <v>110,19</v>
          </cell>
          <cell r="F2180" t="str">
            <v>0,00</v>
          </cell>
          <cell r="G2180" t="str">
            <v>0,00</v>
          </cell>
          <cell r="H2180" t="str">
            <v>279,59</v>
          </cell>
          <cell r="I2180">
            <v>279.58999999999997</v>
          </cell>
          <cell r="J2180" t="str">
            <v>VERIFICAR</v>
          </cell>
        </row>
        <row r="2181">
          <cell r="A2181" t="str">
            <v>2.1.1.2.02.00057</v>
          </cell>
          <cell r="B2181" t="str">
            <v>BANCO CNH CDB - IVECO TRACTOPR</v>
          </cell>
          <cell r="C2181" t="str">
            <v>127.783,80</v>
          </cell>
          <cell r="D2181" t="str">
            <v>198.503,65</v>
          </cell>
          <cell r="E2181" t="str">
            <v>5.375,00</v>
          </cell>
          <cell r="F2181" t="str">
            <v>6.279,40</v>
          </cell>
          <cell r="G2181" t="str">
            <v>0,00</v>
          </cell>
          <cell r="H2181" t="str">
            <v>71.624,25</v>
          </cell>
          <cell r="I2181">
            <v>71624.25</v>
          </cell>
          <cell r="J2181" t="str">
            <v>VERIFICAR</v>
          </cell>
        </row>
        <row r="2182">
          <cell r="A2182" t="str">
            <v>2.1.1.2.02.00058</v>
          </cell>
          <cell r="B2182" t="str">
            <v>(-) ENCARGOS BANCO CNH - IVECO TRACTOR</v>
          </cell>
          <cell r="C2182" t="str">
            <v>52.823,32</v>
          </cell>
          <cell r="D2182" t="str">
            <v>65.257,43</v>
          </cell>
          <cell r="E2182" t="str">
            <v>1.350,23</v>
          </cell>
          <cell r="F2182" t="str">
            <v>650,10</v>
          </cell>
          <cell r="G2182" t="str">
            <v>0,00</v>
          </cell>
          <cell r="H2182" t="str">
            <v>11.733,98</v>
          </cell>
          <cell r="I2182">
            <v>11733.98</v>
          </cell>
          <cell r="J2182" t="str">
            <v>VERIFICAR</v>
          </cell>
        </row>
        <row r="2183">
          <cell r="A2183" t="str">
            <v>2.1.1.2.02.00059</v>
          </cell>
          <cell r="B2183" t="str">
            <v>ITAU CDC - SAVEIRO 24321932</v>
          </cell>
          <cell r="C2183" t="str">
            <v>54.782,94</v>
          </cell>
          <cell r="D2183" t="str">
            <v>80.972,38</v>
          </cell>
          <cell r="E2183" t="str">
            <v>4.330,52</v>
          </cell>
          <cell r="F2183" t="str">
            <v>0,00</v>
          </cell>
          <cell r="G2183" t="str">
            <v>0,00</v>
          </cell>
          <cell r="H2183" t="str">
            <v>21.858,92</v>
          </cell>
          <cell r="I2183">
            <v>21858.92</v>
          </cell>
          <cell r="J2183" t="str">
            <v>VERIFICAR</v>
          </cell>
        </row>
        <row r="2184">
          <cell r="A2184" t="str">
            <v>2.1.1.2.02.00060</v>
          </cell>
          <cell r="B2184" t="str">
            <v>(-) ENCARGOS ITAU CDC - SAVEIRO 24321932</v>
          </cell>
          <cell r="C2184" t="str">
            <v>18.024,99</v>
          </cell>
          <cell r="D2184" t="str">
            <v>19.838,20</v>
          </cell>
          <cell r="E2184" t="str">
            <v>0,00</v>
          </cell>
          <cell r="F2184" t="str">
            <v>0,00</v>
          </cell>
          <cell r="G2184" t="str">
            <v>0,00</v>
          </cell>
          <cell r="H2184" t="str">
            <v>1.813,21</v>
          </cell>
          <cell r="I2184">
            <v>1813.21</v>
          </cell>
          <cell r="J2184" t="str">
            <v>VERIFICAR</v>
          </cell>
        </row>
        <row r="2185">
          <cell r="A2185" t="str">
            <v>2.1.1.2.02.00061</v>
          </cell>
          <cell r="B2185" t="str">
            <v>ITAU SANTANDER - POLO 00006720</v>
          </cell>
          <cell r="C2185" t="str">
            <v>28.852,29</v>
          </cell>
          <cell r="D2185" t="str">
            <v>40.740,68</v>
          </cell>
          <cell r="E2185" t="str">
            <v>1.074,09</v>
          </cell>
          <cell r="F2185" t="str">
            <v>0,00</v>
          </cell>
          <cell r="G2185" t="str">
            <v>0,00</v>
          </cell>
          <cell r="H2185" t="str">
            <v>10.814,30</v>
          </cell>
          <cell r="I2185">
            <v>10814.3</v>
          </cell>
          <cell r="J2185" t="str">
            <v>VERIFICAR</v>
          </cell>
        </row>
        <row r="2186">
          <cell r="A2186" t="str">
            <v>2.1.1.2.02.00062</v>
          </cell>
          <cell r="B2186" t="str">
            <v>(-) ENCARGOS SANTADER CDC - POLO 6720</v>
          </cell>
          <cell r="C2186" t="str">
            <v>8.840,30</v>
          </cell>
          <cell r="D2186" t="str">
            <v>9.727,34</v>
          </cell>
          <cell r="E2186" t="str">
            <v>0,00</v>
          </cell>
          <cell r="F2186" t="str">
            <v>0,00</v>
          </cell>
          <cell r="G2186" t="str">
            <v>0,00</v>
          </cell>
          <cell r="H2186" t="str">
            <v>887,04</v>
          </cell>
          <cell r="I2186">
            <v>887.04</v>
          </cell>
          <cell r="J2186" t="str">
            <v>VERIFICAR</v>
          </cell>
        </row>
        <row r="2187">
          <cell r="A2187" t="str">
            <v>2.1.1.2.02.00063</v>
          </cell>
          <cell r="B2187" t="str">
            <v>SANTANDER FINIMP 4131</v>
          </cell>
          <cell r="C2187" t="str">
            <v>1.133.333,38</v>
          </cell>
          <cell r="D2187" t="str">
            <v>1.933.333,43</v>
          </cell>
          <cell r="E2187" t="str">
            <v>66.666,67</v>
          </cell>
          <cell r="F2187" t="str">
            <v>66.666,67</v>
          </cell>
          <cell r="G2187" t="str">
            <v>0,00</v>
          </cell>
          <cell r="H2187" t="str">
            <v>800.000,05</v>
          </cell>
          <cell r="I2187">
            <v>800000.05</v>
          </cell>
          <cell r="J2187" t="str">
            <v>VERIFICAR</v>
          </cell>
        </row>
        <row r="2188">
          <cell r="A2188" t="str">
            <v>2.1.1.2.02.00064</v>
          </cell>
          <cell r="B2188" t="str">
            <v>(-)ENCARGOS SANTANDER FINIMP 4131</v>
          </cell>
          <cell r="C2188" t="str">
            <v>391.594,88</v>
          </cell>
          <cell r="D2188" t="str">
            <v>456.312,59</v>
          </cell>
          <cell r="E2188" t="str">
            <v>9.489,38</v>
          </cell>
          <cell r="F2188" t="str">
            <v>729,95</v>
          </cell>
          <cell r="G2188" t="str">
            <v>0,00</v>
          </cell>
          <cell r="H2188" t="str">
            <v>55.958,28</v>
          </cell>
          <cell r="I2188">
            <v>55958.28</v>
          </cell>
          <cell r="J2188" t="str">
            <v>VERIFICAR</v>
          </cell>
        </row>
        <row r="2189">
          <cell r="A2189" t="str">
            <v>2.1.1.2.02.00065</v>
          </cell>
          <cell r="B2189" t="str">
            <v>4131 ITAU</v>
          </cell>
          <cell r="C2189" t="str">
            <v>6.215.591,41</v>
          </cell>
          <cell r="D2189" t="str">
            <v>9.213.205,00</v>
          </cell>
          <cell r="E2189" t="str">
            <v>316.785,60</v>
          </cell>
          <cell r="F2189" t="str">
            <v>352.642,78</v>
          </cell>
          <cell r="G2189" t="str">
            <v>0,00</v>
          </cell>
          <cell r="H2189" t="str">
            <v>3.033.470,77</v>
          </cell>
          <cell r="I2189">
            <v>3033470.77</v>
          </cell>
          <cell r="J2189" t="str">
            <v>VERIFICAR</v>
          </cell>
        </row>
        <row r="2190">
          <cell r="A2190" t="str">
            <v>2.1.1.2.02.00066</v>
          </cell>
          <cell r="B2190" t="str">
            <v>(-)ENCARGOS ITAU 4131</v>
          </cell>
          <cell r="C2190" t="str">
            <v>1.390.441,60</v>
          </cell>
          <cell r="D2190" t="str">
            <v>2.074.909,27</v>
          </cell>
          <cell r="E2190" t="str">
            <v>59.766,26</v>
          </cell>
          <cell r="F2190" t="str">
            <v>65.201,39</v>
          </cell>
          <cell r="G2190" t="str">
            <v>0,00</v>
          </cell>
          <cell r="H2190" t="str">
            <v>689.902,80</v>
          </cell>
          <cell r="I2190">
            <v>689902.8</v>
          </cell>
          <cell r="J2190" t="str">
            <v>VERIFICAR</v>
          </cell>
        </row>
        <row r="2191">
          <cell r="A2191" t="str">
            <v>2.1.1.2.02.00067</v>
          </cell>
          <cell r="B2191" t="str">
            <v>COMISSAO 4131 ITAU</v>
          </cell>
          <cell r="C2191" t="str">
            <v>106.875,88</v>
          </cell>
          <cell r="D2191" t="str">
            <v>127.784,57</v>
          </cell>
          <cell r="E2191" t="str">
            <v>2.966,24</v>
          </cell>
          <cell r="F2191" t="str">
            <v>615,80</v>
          </cell>
          <cell r="G2191" t="str">
            <v>0,00</v>
          </cell>
          <cell r="H2191" t="str">
            <v>18.558,25</v>
          </cell>
          <cell r="I2191">
            <v>18558.25</v>
          </cell>
          <cell r="J2191" t="str">
            <v>VERIFICAR</v>
          </cell>
        </row>
        <row r="2192">
          <cell r="A2192" t="str">
            <v>2.1.1.2.02.00068</v>
          </cell>
          <cell r="B2192" t="str">
            <v>SANTANDER CDC635413</v>
          </cell>
          <cell r="C2192" t="str">
            <v>47.950,98</v>
          </cell>
          <cell r="D2192" t="str">
            <v>74.106,06</v>
          </cell>
          <cell r="E2192" t="str">
            <v>2.179,59</v>
          </cell>
          <cell r="F2192" t="str">
            <v>2.179,59</v>
          </cell>
          <cell r="G2192" t="str">
            <v>0,00</v>
          </cell>
          <cell r="H2192" t="str">
            <v>26.155,08</v>
          </cell>
          <cell r="I2192">
            <v>26155.08</v>
          </cell>
          <cell r="J2192" t="str">
            <v>VERIFICAR</v>
          </cell>
        </row>
        <row r="2193">
          <cell r="A2193" t="str">
            <v>2.1.1.2.02.00069</v>
          </cell>
          <cell r="B2193" t="str">
            <v>(-) ENCARGOS SANTANDER CDC635413</v>
          </cell>
          <cell r="C2193" t="str">
            <v>14.579,18</v>
          </cell>
          <cell r="D2193" t="str">
            <v>22.531,46</v>
          </cell>
          <cell r="E2193" t="str">
            <v>662,69</v>
          </cell>
          <cell r="F2193" t="str">
            <v>662,69</v>
          </cell>
          <cell r="G2193" t="str">
            <v>0,00</v>
          </cell>
          <cell r="H2193" t="str">
            <v>7.952,28</v>
          </cell>
          <cell r="I2193">
            <v>7952.28</v>
          </cell>
          <cell r="J2193" t="str">
            <v>VERIFICAR</v>
          </cell>
        </row>
        <row r="2194">
          <cell r="A2194" t="str">
            <v>2.1.1.2.02.00070</v>
          </cell>
          <cell r="B2194" t="str">
            <v>SANTANDER CDC002348821</v>
          </cell>
          <cell r="C2194" t="str">
            <v>39.053,34</v>
          </cell>
          <cell r="D2194" t="str">
            <v>65.088,90</v>
          </cell>
          <cell r="E2194" t="str">
            <v>2.169,63</v>
          </cell>
          <cell r="F2194" t="str">
            <v>2.169,63</v>
          </cell>
          <cell r="G2194" t="str">
            <v>0,00</v>
          </cell>
          <cell r="H2194" t="str">
            <v>26.035,56</v>
          </cell>
          <cell r="I2194">
            <v>26035.56</v>
          </cell>
          <cell r="J2194" t="str">
            <v>VERIFICAR</v>
          </cell>
        </row>
        <row r="2195">
          <cell r="A2195" t="str">
            <v>2.1.1.2.02.00071</v>
          </cell>
          <cell r="B2195" t="str">
            <v>(-) ENCARGOS SANTANDER CDC002348821</v>
          </cell>
          <cell r="C2195" t="str">
            <v>12.564,72</v>
          </cell>
          <cell r="D2195" t="str">
            <v>20.941,20</v>
          </cell>
          <cell r="E2195" t="str">
            <v>698,04</v>
          </cell>
          <cell r="F2195" t="str">
            <v>698,04</v>
          </cell>
          <cell r="G2195" t="str">
            <v>0,00</v>
          </cell>
          <cell r="H2195" t="str">
            <v>8.376,48</v>
          </cell>
          <cell r="I2195">
            <v>8376.48</v>
          </cell>
          <cell r="J2195" t="str">
            <v>VERIFICAR</v>
          </cell>
        </row>
        <row r="2196">
          <cell r="A2196" t="str">
            <v>2.1.1.2.02.00072</v>
          </cell>
          <cell r="B2196" t="str">
            <v>SAFRA VINCULADA SAVEIRO 001334455</v>
          </cell>
          <cell r="C2196" t="str">
            <v>18.519,36</v>
          </cell>
          <cell r="D2196" t="str">
            <v>32.408,88</v>
          </cell>
          <cell r="E2196" t="str">
            <v>1.157,46</v>
          </cell>
          <cell r="F2196" t="str">
            <v>1.157,46</v>
          </cell>
          <cell r="G2196" t="str">
            <v>0,00</v>
          </cell>
          <cell r="H2196" t="str">
            <v>13.889,52</v>
          </cell>
          <cell r="I2196">
            <v>13889.52</v>
          </cell>
          <cell r="J2196" t="str">
            <v>VERIFICAR</v>
          </cell>
        </row>
        <row r="2197">
          <cell r="A2197" t="str">
            <v>2.1.1.2.02.00073</v>
          </cell>
          <cell r="B2197" t="str">
            <v>(-) ENCARGOS SAFRA SAVEIRO 001334455</v>
          </cell>
          <cell r="C2197" t="str">
            <v>5.959,84</v>
          </cell>
          <cell r="D2197" t="str">
            <v>10.429,72</v>
          </cell>
          <cell r="E2197" t="str">
            <v>372,49</v>
          </cell>
          <cell r="F2197" t="str">
            <v>372,49</v>
          </cell>
          <cell r="G2197" t="str">
            <v>0,00</v>
          </cell>
          <cell r="H2197" t="str">
            <v>4.469,88</v>
          </cell>
          <cell r="I2197">
            <v>4469.88</v>
          </cell>
          <cell r="J2197" t="str">
            <v>VERIFICAR</v>
          </cell>
        </row>
        <row r="2198">
          <cell r="A2198" t="str">
            <v>2.1.1.2.03</v>
          </cell>
          <cell r="B2198" t="str">
            <v>FINANCIAMENTO DE IMPORTACAO</v>
          </cell>
          <cell r="C2198" t="str">
            <v>0,00</v>
          </cell>
          <cell r="D2198" t="str">
            <v>0,00</v>
          </cell>
          <cell r="E2198" t="str">
            <v>1.451.401,80</v>
          </cell>
          <cell r="F2198" t="str">
            <v>3.403.024,09</v>
          </cell>
          <cell r="G2198" t="str">
            <v>0,00</v>
          </cell>
          <cell r="H2198" t="str">
            <v>12.837.002,76</v>
          </cell>
          <cell r="I2198">
            <v>12837002.76</v>
          </cell>
          <cell r="J2198" t="str">
            <v>VERIFICAR</v>
          </cell>
        </row>
        <row r="2199">
          <cell r="A2199" t="str">
            <v>2.1.1.2.03.00003</v>
          </cell>
          <cell r="B2199" t="str">
            <v>FINIMP ITAU - EDT 129</v>
          </cell>
          <cell r="C2199" t="str">
            <v>1.098.790,99</v>
          </cell>
          <cell r="D2199" t="str">
            <v>1.098.790,98</v>
          </cell>
          <cell r="E2199" t="str">
            <v>0,00</v>
          </cell>
          <cell r="F2199" t="str">
            <v>0,00</v>
          </cell>
          <cell r="G2199" t="str">
            <v>0,01</v>
          </cell>
          <cell r="H2199" t="str">
            <v>0,00</v>
          </cell>
          <cell r="I2199">
            <v>-0.01</v>
          </cell>
          <cell r="J2199" t="str">
            <v>VERIFICAR</v>
          </cell>
        </row>
        <row r="2200">
          <cell r="A2200" t="str">
            <v>2.1.1.2.03.00004</v>
          </cell>
          <cell r="B2200" t="str">
            <v>(-) ENCARGOS FINIMP ITAU EDT129</v>
          </cell>
          <cell r="C2200" t="str">
            <v>68.452,45</v>
          </cell>
          <cell r="D2200" t="str">
            <v>68.452,44</v>
          </cell>
          <cell r="E2200" t="str">
            <v>0,00</v>
          </cell>
          <cell r="F2200" t="str">
            <v>0,00</v>
          </cell>
          <cell r="G2200" t="str">
            <v>0,01</v>
          </cell>
          <cell r="H2200" t="str">
            <v>0,00</v>
          </cell>
          <cell r="I2200">
            <v>-0.01</v>
          </cell>
          <cell r="J2200" t="str">
            <v>VERIFICAR</v>
          </cell>
        </row>
        <row r="2201">
          <cell r="A2201" t="str">
            <v>2.1.1.2.03.00005</v>
          </cell>
          <cell r="B2201" t="str">
            <v>(-) ENCARGOS FINIMP SAFRA EDT128</v>
          </cell>
          <cell r="C2201" t="str">
            <v>100.624,07</v>
          </cell>
          <cell r="D2201" t="str">
            <v>100.624,11</v>
          </cell>
          <cell r="E2201" t="str">
            <v>0,00</v>
          </cell>
          <cell r="F2201" t="str">
            <v>0,00</v>
          </cell>
          <cell r="G2201" t="str">
            <v>0,00</v>
          </cell>
          <cell r="H2201" t="str">
            <v>0,04</v>
          </cell>
          <cell r="I2201">
            <v>0.04</v>
          </cell>
          <cell r="J2201" t="str">
            <v>VERIFICAR</v>
          </cell>
        </row>
        <row r="2202">
          <cell r="A2202" t="str">
            <v>2.1.1.2.03.00006</v>
          </cell>
          <cell r="B2202" t="str">
            <v>COMISSAO FINIMP ITAU - EDT 129</v>
          </cell>
          <cell r="C2202" t="str">
            <v>30.109,87</v>
          </cell>
          <cell r="D2202" t="str">
            <v>30.109,86</v>
          </cell>
          <cell r="E2202" t="str">
            <v>0,00</v>
          </cell>
          <cell r="F2202" t="str">
            <v>0,00</v>
          </cell>
          <cell r="G2202" t="str">
            <v>0,01</v>
          </cell>
          <cell r="H2202" t="str">
            <v>0,00</v>
          </cell>
          <cell r="I2202">
            <v>-0.01</v>
          </cell>
          <cell r="J2202" t="str">
            <v>VERIFICAR</v>
          </cell>
        </row>
        <row r="2203">
          <cell r="A2203" t="str">
            <v>2.1.1.2.03.00014</v>
          </cell>
          <cell r="B2203" t="str">
            <v>FINIMP ITAU - EDT 142</v>
          </cell>
          <cell r="C2203" t="str">
            <v>1.222.662,68</v>
          </cell>
          <cell r="D2203" t="str">
            <v>1.222.662,67</v>
          </cell>
          <cell r="E2203" t="str">
            <v>0,00</v>
          </cell>
          <cell r="F2203" t="str">
            <v>0,00</v>
          </cell>
          <cell r="G2203" t="str">
            <v>0,01</v>
          </cell>
          <cell r="H2203" t="str">
            <v>0,00</v>
          </cell>
          <cell r="I2203">
            <v>-0.01</v>
          </cell>
          <cell r="J2203" t="str">
            <v>VERIFICAR</v>
          </cell>
        </row>
        <row r="2204">
          <cell r="A2204" t="str">
            <v>2.1.1.2.03.00017</v>
          </cell>
          <cell r="B2204" t="str">
            <v>(-) ENCARGOS FINIMP ITAU EDT 145</v>
          </cell>
          <cell r="C2204" t="str">
            <v>59.094,46</v>
          </cell>
          <cell r="D2204" t="str">
            <v>59.094,45</v>
          </cell>
          <cell r="E2204" t="str">
            <v>0,00</v>
          </cell>
          <cell r="F2204" t="str">
            <v>0,00</v>
          </cell>
          <cell r="G2204" t="str">
            <v>0,01</v>
          </cell>
          <cell r="H2204" t="str">
            <v>0,00</v>
          </cell>
          <cell r="I2204">
            <v>-0.01</v>
          </cell>
          <cell r="J2204" t="str">
            <v>VERIFICAR</v>
          </cell>
        </row>
        <row r="2205">
          <cell r="A2205" t="str">
            <v>2.1.1.2.03.00018</v>
          </cell>
          <cell r="B2205" t="str">
            <v>COMISSAO FINIMP ITAU - EDT 145</v>
          </cell>
          <cell r="C2205" t="str">
            <v>25.471,41</v>
          </cell>
          <cell r="D2205" t="str">
            <v>25.471,48</v>
          </cell>
          <cell r="E2205" t="str">
            <v>0,00</v>
          </cell>
          <cell r="F2205" t="str">
            <v>0,00</v>
          </cell>
          <cell r="G2205" t="str">
            <v>0,00</v>
          </cell>
          <cell r="H2205" t="str">
            <v>0,07</v>
          </cell>
          <cell r="I2205">
            <v>7.0000000000000007E-2</v>
          </cell>
          <cell r="J2205" t="str">
            <v>VERIFICAR</v>
          </cell>
        </row>
        <row r="2206">
          <cell r="A2206" t="str">
            <v>2.1.1.2.03.00019</v>
          </cell>
          <cell r="B2206" t="str">
            <v>FINIMP ITAU - EDT 149 151 E KAISHAN 32</v>
          </cell>
          <cell r="C2206" t="str">
            <v>2.134.232,69</v>
          </cell>
          <cell r="D2206" t="str">
            <v>2.134.232,68</v>
          </cell>
          <cell r="E2206" t="str">
            <v>0,00</v>
          </cell>
          <cell r="F2206" t="str">
            <v>0,00</v>
          </cell>
          <cell r="G2206" t="str">
            <v>0,01</v>
          </cell>
          <cell r="H2206" t="str">
            <v>0,00</v>
          </cell>
          <cell r="I2206">
            <v>-0.01</v>
          </cell>
          <cell r="J2206" t="str">
            <v>VERIFICAR</v>
          </cell>
        </row>
        <row r="2207">
          <cell r="A2207" t="str">
            <v>2.1.1.2.03.00020</v>
          </cell>
          <cell r="B2207" t="str">
            <v>(-) ENCARGOS FINIMP ITAU EDT 149 151 E K</v>
          </cell>
          <cell r="C2207" t="str">
            <v>156.299,16</v>
          </cell>
          <cell r="D2207" t="str">
            <v>156.299,15</v>
          </cell>
          <cell r="E2207" t="str">
            <v>0,00</v>
          </cell>
          <cell r="F2207" t="str">
            <v>0,00</v>
          </cell>
          <cell r="G2207" t="str">
            <v>0,01</v>
          </cell>
          <cell r="H2207" t="str">
            <v>0,00</v>
          </cell>
          <cell r="I2207">
            <v>-0.01</v>
          </cell>
          <cell r="J2207" t="str">
            <v>VERIFICAR</v>
          </cell>
        </row>
        <row r="2208">
          <cell r="A2208" t="str">
            <v>2.1.1.2.03.00022</v>
          </cell>
          <cell r="B2208" t="str">
            <v>FINIMP SANTANDER - EDT 155 E 157</v>
          </cell>
          <cell r="C2208" t="str">
            <v>1.350.168,61</v>
          </cell>
          <cell r="D2208" t="str">
            <v>1.350.167,39</v>
          </cell>
          <cell r="E2208" t="str">
            <v>0,00</v>
          </cell>
          <cell r="F2208" t="str">
            <v>0,00</v>
          </cell>
          <cell r="G2208" t="str">
            <v>1,22</v>
          </cell>
          <cell r="H2208" t="str">
            <v>0,00</v>
          </cell>
          <cell r="I2208">
            <v>-1.22</v>
          </cell>
          <cell r="J2208" t="str">
            <v>VERIFICAR</v>
          </cell>
        </row>
        <row r="2209">
          <cell r="A2209" t="str">
            <v>2.1.1.2.03.00025</v>
          </cell>
          <cell r="B2209" t="str">
            <v>(-) ENCARGOS FINIMP SANTANDER - KAI 38</v>
          </cell>
          <cell r="C2209" t="str">
            <v>70.296,01</v>
          </cell>
          <cell r="D2209" t="str">
            <v>70.296,00</v>
          </cell>
          <cell r="E2209" t="str">
            <v>0,00</v>
          </cell>
          <cell r="F2209" t="str">
            <v>0,00</v>
          </cell>
          <cell r="G2209" t="str">
            <v>0,01</v>
          </cell>
          <cell r="H2209" t="str">
            <v>0,00</v>
          </cell>
          <cell r="I2209">
            <v>-0.01</v>
          </cell>
          <cell r="J2209" t="str">
            <v>VERIFICAR</v>
          </cell>
        </row>
        <row r="2210">
          <cell r="A2210" t="str">
            <v>2.1.1.2.03.00028</v>
          </cell>
          <cell r="B2210" t="str">
            <v>FINIMP ITAU - KAI 28</v>
          </cell>
          <cell r="C2210" t="str">
            <v>527.627,13</v>
          </cell>
          <cell r="D2210" t="str">
            <v>527.627,34</v>
          </cell>
          <cell r="E2210" t="str">
            <v>0,00</v>
          </cell>
          <cell r="F2210" t="str">
            <v>0,00</v>
          </cell>
          <cell r="G2210" t="str">
            <v>0,00</v>
          </cell>
          <cell r="H2210" t="str">
            <v>0,21</v>
          </cell>
          <cell r="I2210">
            <v>0.21</v>
          </cell>
          <cell r="J2210" t="str">
            <v>VERIFICAR</v>
          </cell>
        </row>
        <row r="2211">
          <cell r="A2211" t="str">
            <v>2.1.1.2.03.00031</v>
          </cell>
          <cell r="B2211" t="str">
            <v>FINIMP ITAU - EDT 162 E EDT 164</v>
          </cell>
          <cell r="C2211" t="str">
            <v>1.546.722,69</v>
          </cell>
          <cell r="D2211" t="str">
            <v>1.725.003,75</v>
          </cell>
          <cell r="E2211" t="str">
            <v>178.280,97</v>
          </cell>
          <cell r="F2211" t="str">
            <v>0,00</v>
          </cell>
          <cell r="G2211" t="str">
            <v>0,00</v>
          </cell>
          <cell r="H2211" t="str">
            <v>0,09</v>
          </cell>
          <cell r="I2211">
            <v>0.09</v>
          </cell>
          <cell r="J2211" t="str">
            <v>VERIFICAR</v>
          </cell>
        </row>
        <row r="2212">
          <cell r="A2212" t="str">
            <v>2.1.1.2.03.00032</v>
          </cell>
          <cell r="B2212" t="str">
            <v>(-) ENCARGOS FINIMP ITAU -EDT 162 EDT164</v>
          </cell>
          <cell r="C2212" t="str">
            <v>119.763,67</v>
          </cell>
          <cell r="D2212" t="str">
            <v>122.576,37</v>
          </cell>
          <cell r="E2212" t="str">
            <v>2.813,05</v>
          </cell>
          <cell r="F2212" t="str">
            <v>0,00</v>
          </cell>
          <cell r="G2212" t="str">
            <v>0,35</v>
          </cell>
          <cell r="H2212" t="str">
            <v>0,00</v>
          </cell>
          <cell r="I2212">
            <v>-0.35</v>
          </cell>
          <cell r="J2212" t="str">
            <v>VERIFICAR</v>
          </cell>
        </row>
        <row r="2213">
          <cell r="A2213" t="str">
            <v>2.1.1.2.03.00034</v>
          </cell>
          <cell r="B2213" t="str">
            <v>FINIMP SANTANDER - KAISHAN 39</v>
          </cell>
          <cell r="C2213" t="str">
            <v>369.713,69</v>
          </cell>
          <cell r="D2213" t="str">
            <v>369.713,30</v>
          </cell>
          <cell r="E2213" t="str">
            <v>0,00</v>
          </cell>
          <cell r="F2213" t="str">
            <v>0,00</v>
          </cell>
          <cell r="G2213" t="str">
            <v>0,39</v>
          </cell>
          <cell r="H2213" t="str">
            <v>0,00</v>
          </cell>
          <cell r="I2213">
            <v>-0.39</v>
          </cell>
          <cell r="J2213" t="str">
            <v>VERIFICAR</v>
          </cell>
        </row>
        <row r="2214">
          <cell r="A2214" t="str">
            <v>2.1.1.2.03.00035</v>
          </cell>
          <cell r="B2214" t="str">
            <v>(-) ENCARGOS FINIMP SANTANDER KAISHAN39</v>
          </cell>
          <cell r="C2214" t="str">
            <v>31.322,59</v>
          </cell>
          <cell r="D2214" t="str">
            <v>31.316,93</v>
          </cell>
          <cell r="E2214" t="str">
            <v>0,00</v>
          </cell>
          <cell r="F2214" t="str">
            <v>0,00</v>
          </cell>
          <cell r="G2214" t="str">
            <v>5,66</v>
          </cell>
          <cell r="H2214" t="str">
            <v>0,00</v>
          </cell>
          <cell r="I2214">
            <v>-5.66</v>
          </cell>
          <cell r="J2214" t="str">
            <v>VERIFICAR</v>
          </cell>
        </row>
        <row r="2215">
          <cell r="A2215" t="str">
            <v>2.1.1.2.03.00036</v>
          </cell>
          <cell r="B2215" t="str">
            <v>FININP SANT TREVI 49-CURTO PRAZO</v>
          </cell>
          <cell r="C2215" t="str">
            <v>765.680,04</v>
          </cell>
          <cell r="D2215" t="str">
            <v>861.357,24</v>
          </cell>
          <cell r="E2215" t="str">
            <v>0,00</v>
          </cell>
          <cell r="F2215" t="str">
            <v>74,52</v>
          </cell>
          <cell r="G2215" t="str">
            <v>0,00</v>
          </cell>
          <cell r="H2215" t="str">
            <v>95.751,72</v>
          </cell>
          <cell r="I2215">
            <v>95751.72</v>
          </cell>
          <cell r="J2215" t="str">
            <v>VERIFICAR</v>
          </cell>
        </row>
        <row r="2216">
          <cell r="A2216" t="str">
            <v>2.1.1.2.03.00037</v>
          </cell>
          <cell r="B2216" t="str">
            <v>(-) ENCARGOS FININP TREVI 49 CURTO PRAZO</v>
          </cell>
          <cell r="C2216" t="str">
            <v>70.629,19</v>
          </cell>
          <cell r="D2216" t="str">
            <v>72.447,06</v>
          </cell>
          <cell r="E2216" t="str">
            <v>0,00</v>
          </cell>
          <cell r="F2216" t="str">
            <v>1,42</v>
          </cell>
          <cell r="G2216" t="str">
            <v>0,00</v>
          </cell>
          <cell r="H2216" t="str">
            <v>1.819,29</v>
          </cell>
          <cell r="I2216">
            <v>1819.29</v>
          </cell>
          <cell r="J2216" t="str">
            <v>VERIFICAR</v>
          </cell>
        </row>
        <row r="2217">
          <cell r="A2217" t="str">
            <v>2.1.1.2.03.00038</v>
          </cell>
          <cell r="B2217" t="str">
            <v>FINIMP SANTANDER -EDT167 170 CURTO PRAZO</v>
          </cell>
          <cell r="C2217" t="str">
            <v>881.401,38</v>
          </cell>
          <cell r="D2217" t="str">
            <v>982.812,47</v>
          </cell>
          <cell r="E2217" t="str">
            <v>0,00</v>
          </cell>
          <cell r="F2217" t="str">
            <v>2.400,46</v>
          </cell>
          <cell r="G2217" t="str">
            <v>0,00</v>
          </cell>
          <cell r="H2217" t="str">
            <v>103.811,55</v>
          </cell>
          <cell r="I2217">
            <v>103811.55</v>
          </cell>
          <cell r="J2217" t="str">
            <v>VERIFICAR</v>
          </cell>
        </row>
        <row r="2218">
          <cell r="A2218" t="str">
            <v>2.1.1.2.03.00039</v>
          </cell>
          <cell r="B2218" t="str">
            <v>(-) ENCARGOS SANTANDER EDT 167 170 CP</v>
          </cell>
          <cell r="C2218" t="str">
            <v>74.689,23</v>
          </cell>
          <cell r="D2218" t="str">
            <v>76.415,77</v>
          </cell>
          <cell r="E2218" t="str">
            <v>0,00</v>
          </cell>
          <cell r="F2218" t="str">
            <v>40,87</v>
          </cell>
          <cell r="G2218" t="str">
            <v>0,00</v>
          </cell>
          <cell r="H2218" t="str">
            <v>1.767,41</v>
          </cell>
          <cell r="I2218">
            <v>1767.41</v>
          </cell>
          <cell r="J2218" t="str">
            <v>VERIFICAR</v>
          </cell>
        </row>
        <row r="2219">
          <cell r="A2219" t="str">
            <v>2.1.1.2.03.00040</v>
          </cell>
          <cell r="B2219" t="str">
            <v>FINIMP ITAU EDT 171 169 CURTO PRAZO</v>
          </cell>
          <cell r="C2219" t="str">
            <v>1.357.394,55</v>
          </cell>
          <cell r="D2219" t="str">
            <v>1.708.398,20</v>
          </cell>
          <cell r="E2219" t="str">
            <v>175.262,31</v>
          </cell>
          <cell r="F2219" t="str">
            <v>3.914,77</v>
          </cell>
          <cell r="G2219" t="str">
            <v>0,00</v>
          </cell>
          <cell r="H2219" t="str">
            <v>179.656,11</v>
          </cell>
          <cell r="I2219">
            <v>179656.11</v>
          </cell>
          <cell r="J2219" t="str">
            <v>VERIFICAR</v>
          </cell>
        </row>
        <row r="2220">
          <cell r="A2220" t="str">
            <v>2.1.1.2.03.00041</v>
          </cell>
          <cell r="B2220" t="str">
            <v>(- ) ENCARGOS FINIMP ITAU EDT 171 169</v>
          </cell>
          <cell r="C2220" t="str">
            <v>96.252,60</v>
          </cell>
          <cell r="D2220" t="str">
            <v>103.098,98</v>
          </cell>
          <cell r="E2220" t="str">
            <v>4.507,33</v>
          </cell>
          <cell r="F2220" t="str">
            <v>48,47</v>
          </cell>
          <cell r="G2220" t="str">
            <v>0,00</v>
          </cell>
          <cell r="H2220" t="str">
            <v>2.387,52</v>
          </cell>
          <cell r="I2220">
            <v>2387.52</v>
          </cell>
          <cell r="J2220" t="str">
            <v>VERIFICAR</v>
          </cell>
        </row>
        <row r="2221">
          <cell r="A2221" t="str">
            <v>2.1.1.2.03.00043</v>
          </cell>
          <cell r="B2221" t="str">
            <v>FINIMP SANTANDER EDT168 CURTO PRAZO</v>
          </cell>
          <cell r="C2221" t="str">
            <v>554.603,68</v>
          </cell>
          <cell r="D2221" t="str">
            <v>702.328,40</v>
          </cell>
          <cell r="E2221" t="str">
            <v>0,00</v>
          </cell>
          <cell r="F2221" t="str">
            <v>3.496,74</v>
          </cell>
          <cell r="G2221" t="str">
            <v>0,00</v>
          </cell>
          <cell r="H2221" t="str">
            <v>151.221,46</v>
          </cell>
          <cell r="I2221">
            <v>151221.46</v>
          </cell>
          <cell r="J2221" t="str">
            <v>VERIFICAR</v>
          </cell>
        </row>
        <row r="2222">
          <cell r="A2222" t="str">
            <v>2.1.1.2.03.00044</v>
          </cell>
          <cell r="B2222" t="str">
            <v>(-) ENCARGOS FINIMP EDT168 CURTO PRAZO</v>
          </cell>
          <cell r="C2222" t="str">
            <v>51.340,39</v>
          </cell>
          <cell r="D2222" t="str">
            <v>54.633,70</v>
          </cell>
          <cell r="E2222" t="str">
            <v>0,00</v>
          </cell>
          <cell r="F2222" t="str">
            <v>77,95</v>
          </cell>
          <cell r="G2222" t="str">
            <v>0,00</v>
          </cell>
          <cell r="H2222" t="str">
            <v>3.371,26</v>
          </cell>
          <cell r="I2222">
            <v>3371.26</v>
          </cell>
          <cell r="J2222" t="str">
            <v>VERIFICAR</v>
          </cell>
        </row>
        <row r="2223">
          <cell r="A2223" t="str">
            <v>2.1.1.2.03.00045</v>
          </cell>
          <cell r="B2223" t="str">
            <v>FINIMP SANTANDER EDT173 174 CURTO PRAZO</v>
          </cell>
          <cell r="C2223" t="str">
            <v>911.505,48</v>
          </cell>
          <cell r="D2223" t="str">
            <v>1.159.103,95</v>
          </cell>
          <cell r="E2223" t="str">
            <v>0,00</v>
          </cell>
          <cell r="F2223" t="str">
            <v>5.860,81</v>
          </cell>
          <cell r="G2223" t="str">
            <v>0,00</v>
          </cell>
          <cell r="H2223" t="str">
            <v>253.459,28</v>
          </cell>
          <cell r="I2223">
            <v>253459.28</v>
          </cell>
          <cell r="J2223" t="str">
            <v>VERIFICAR</v>
          </cell>
        </row>
        <row r="2224">
          <cell r="A2224" t="str">
            <v>2.1.1.2.03.00046</v>
          </cell>
          <cell r="B2224" t="str">
            <v>(-) ENCARGO FINIMP EDT173/174 CURTO PRAZ</v>
          </cell>
          <cell r="C2224" t="str">
            <v>80.986,28</v>
          </cell>
          <cell r="D2224" t="str">
            <v>87.043,84</v>
          </cell>
          <cell r="E2224" t="str">
            <v>0,00</v>
          </cell>
          <cell r="F2224" t="str">
            <v>143,39</v>
          </cell>
          <cell r="G2224" t="str">
            <v>0,00</v>
          </cell>
          <cell r="H2224" t="str">
            <v>6.200,95</v>
          </cell>
          <cell r="I2224">
            <v>6200.95</v>
          </cell>
          <cell r="J2224" t="str">
            <v>VERIFICAR</v>
          </cell>
        </row>
        <row r="2225">
          <cell r="A2225" t="str">
            <v>2.1.1.2.03.00047</v>
          </cell>
          <cell r="B2225" t="str">
            <v>FINIMP ITAU EDT 172 175 177 CURTO PRAZO</v>
          </cell>
          <cell r="C2225" t="str">
            <v>1.262.775,71</v>
          </cell>
          <cell r="D2225" t="str">
            <v>1.858.500,26</v>
          </cell>
          <cell r="E2225" t="str">
            <v>0,00</v>
          </cell>
          <cell r="F2225" t="str">
            <v>14.101,17</v>
          </cell>
          <cell r="G2225" t="str">
            <v>0,00</v>
          </cell>
          <cell r="H2225" t="str">
            <v>609.825,72</v>
          </cell>
          <cell r="I2225">
            <v>609825.72</v>
          </cell>
          <cell r="J2225" t="str">
            <v>VERIFICAR</v>
          </cell>
        </row>
        <row r="2226">
          <cell r="A2226" t="str">
            <v>2.1.1.2.03.00048</v>
          </cell>
          <cell r="B2226" t="str">
            <v>(-) ENCARGOS EDT 172 175 177 CURTO PRAZO</v>
          </cell>
          <cell r="C2226" t="str">
            <v>109.897,15</v>
          </cell>
          <cell r="D2226" t="str">
            <v>127.483,69</v>
          </cell>
          <cell r="E2226" t="str">
            <v>0,00</v>
          </cell>
          <cell r="F2226" t="str">
            <v>416,28</v>
          </cell>
          <cell r="G2226" t="str">
            <v>0,00</v>
          </cell>
          <cell r="H2226" t="str">
            <v>18.002,82</v>
          </cell>
          <cell r="I2226">
            <v>18002.82</v>
          </cell>
          <cell r="J2226" t="str">
            <v>VERIFICAR</v>
          </cell>
        </row>
        <row r="2227">
          <cell r="A2227" t="str">
            <v>2.1.1.2.03.00049</v>
          </cell>
          <cell r="B2227" t="str">
            <v>FINIMP ITAU EDT 178 180 CURTO PRAZO</v>
          </cell>
          <cell r="C2227" t="str">
            <v>700.624,89</v>
          </cell>
          <cell r="D2227" t="str">
            <v>815.683,93</v>
          </cell>
          <cell r="E2227" t="str">
            <v>0,00</v>
          </cell>
          <cell r="F2227" t="str">
            <v>2.723,52</v>
          </cell>
          <cell r="G2227" t="str">
            <v>0,00</v>
          </cell>
          <cell r="H2227" t="str">
            <v>117.782,56</v>
          </cell>
          <cell r="I2227">
            <v>117782.56</v>
          </cell>
          <cell r="J2227" t="str">
            <v>VERIFICAR</v>
          </cell>
        </row>
        <row r="2228">
          <cell r="A2228" t="str">
            <v>2.1.1.2.03.00050</v>
          </cell>
          <cell r="B2228" t="str">
            <v>(-) ENCARGOS FINIMP ITAU EDT 178 180</v>
          </cell>
          <cell r="C2228" t="str">
            <v>61.434,06</v>
          </cell>
          <cell r="D2228" t="str">
            <v>66.593,26</v>
          </cell>
          <cell r="E2228" t="str">
            <v>0,00</v>
          </cell>
          <cell r="F2228" t="str">
            <v>122,12</v>
          </cell>
          <cell r="G2228" t="str">
            <v>0,00</v>
          </cell>
          <cell r="H2228" t="str">
            <v>5.281,32</v>
          </cell>
          <cell r="I2228">
            <v>5281.32</v>
          </cell>
          <cell r="J2228" t="str">
            <v>VERIFICAR</v>
          </cell>
        </row>
        <row r="2229">
          <cell r="A2229" t="str">
            <v>2.1.1.2.03.00052</v>
          </cell>
          <cell r="B2229" t="str">
            <v>FINIMP SANTANDER EDT 179 182 KAISHAN 46</v>
          </cell>
          <cell r="C2229" t="str">
            <v>915.387,89</v>
          </cell>
          <cell r="D2229" t="str">
            <v>1.283.018,77</v>
          </cell>
          <cell r="E2229" t="str">
            <v>189.455,82</v>
          </cell>
          <cell r="F2229" t="str">
            <v>9.992,40</v>
          </cell>
          <cell r="G2229" t="str">
            <v>0,00</v>
          </cell>
          <cell r="H2229" t="str">
            <v>188.167,46</v>
          </cell>
          <cell r="I2229">
            <v>188167.46</v>
          </cell>
          <cell r="J2229" t="str">
            <v>VERIFICAR</v>
          </cell>
        </row>
        <row r="2230">
          <cell r="A2230" t="str">
            <v>2.1.1.2.03.00053</v>
          </cell>
          <cell r="B2230" t="str">
            <v>(-) ENCARGOS FIN SANTANDER EDT 179 182 K</v>
          </cell>
          <cell r="C2230" t="str">
            <v>81.162,63</v>
          </cell>
          <cell r="D2230" t="str">
            <v>99.112,10</v>
          </cell>
          <cell r="E2230" t="str">
            <v>10.571,65</v>
          </cell>
          <cell r="F2230" t="str">
            <v>496,88</v>
          </cell>
          <cell r="G2230" t="str">
            <v>0,00</v>
          </cell>
          <cell r="H2230" t="str">
            <v>7.874,70</v>
          </cell>
          <cell r="I2230">
            <v>7874.7</v>
          </cell>
          <cell r="J2230" t="str">
            <v>VERIFICAR</v>
          </cell>
        </row>
        <row r="2231">
          <cell r="A2231" t="str">
            <v>2.1.1.2.03.00054</v>
          </cell>
          <cell r="B2231" t="str">
            <v>FINIMP SANTANDER EDT 181 183 KAISHAN 47</v>
          </cell>
          <cell r="C2231" t="str">
            <v>757.823,60</v>
          </cell>
          <cell r="D2231" t="str">
            <v>1.134.043,61</v>
          </cell>
          <cell r="E2231" t="str">
            <v>47.161,42</v>
          </cell>
          <cell r="F2231" t="str">
            <v>7.926,11</v>
          </cell>
          <cell r="G2231" t="str">
            <v>0,00</v>
          </cell>
          <cell r="H2231" t="str">
            <v>336.984,70</v>
          </cell>
          <cell r="I2231">
            <v>336984.7</v>
          </cell>
          <cell r="J2231" t="str">
            <v>VERIFICAR</v>
          </cell>
        </row>
        <row r="2232">
          <cell r="A2232" t="str">
            <v>2.1.1.2.03.00055</v>
          </cell>
          <cell r="B2232" t="str">
            <v>(-) ENCARGOS FINIMP SANT EDT 181 183</v>
          </cell>
          <cell r="C2232" t="str">
            <v>61.511,54</v>
          </cell>
          <cell r="D2232" t="str">
            <v>74.630,31</v>
          </cell>
          <cell r="E2232" t="str">
            <v>2.390,71</v>
          </cell>
          <cell r="F2232" t="str">
            <v>260,89</v>
          </cell>
          <cell r="G2232" t="str">
            <v>0,00</v>
          </cell>
          <cell r="H2232" t="str">
            <v>10.988,95</v>
          </cell>
          <cell r="I2232">
            <v>10988.95</v>
          </cell>
          <cell r="J2232" t="str">
            <v>VERIFICAR</v>
          </cell>
        </row>
        <row r="2233">
          <cell r="A2233" t="str">
            <v>2.1.1.2.03.00057</v>
          </cell>
          <cell r="B2233" t="str">
            <v>FINIMP EDT 184 185</v>
          </cell>
          <cell r="C2233" t="str">
            <v>671.180,03</v>
          </cell>
          <cell r="D2233" t="str">
            <v>671.180,04</v>
          </cell>
          <cell r="E2233" t="str">
            <v>0,00</v>
          </cell>
          <cell r="F2233" t="str">
            <v>590.472,71</v>
          </cell>
          <cell r="G2233" t="str">
            <v>0,00</v>
          </cell>
          <cell r="H2233" t="str">
            <v>590.472,72</v>
          </cell>
          <cell r="I2233">
            <v>590472.72</v>
          </cell>
          <cell r="J2233" t="str">
            <v>VERIFICAR</v>
          </cell>
        </row>
        <row r="2234">
          <cell r="A2234" t="str">
            <v>2.1.1.2.03.00058</v>
          </cell>
          <cell r="B2234" t="str">
            <v>(-) ENCARGOS EDT 184 185</v>
          </cell>
          <cell r="C2234" t="str">
            <v>63.986,39</v>
          </cell>
          <cell r="D2234" t="str">
            <v>63.986,38</v>
          </cell>
          <cell r="E2234" t="str">
            <v>0,00</v>
          </cell>
          <cell r="F2234" t="str">
            <v>21.337,74</v>
          </cell>
          <cell r="G2234" t="str">
            <v>0,00</v>
          </cell>
          <cell r="H2234" t="str">
            <v>21.337,73</v>
          </cell>
          <cell r="I2234">
            <v>21337.73</v>
          </cell>
          <cell r="J2234" t="str">
            <v>VERIFICAR</v>
          </cell>
        </row>
        <row r="2235">
          <cell r="A2235" t="str">
            <v>2.1.1.2.03.00059</v>
          </cell>
          <cell r="B2235" t="str">
            <v>FINIMP ITAU FIN CONOLIDADA JUNHO</v>
          </cell>
          <cell r="C2235" t="str">
            <v>766.549,65</v>
          </cell>
          <cell r="D2235" t="str">
            <v>1.370.473,56</v>
          </cell>
          <cell r="E2235" t="str">
            <v>200.734,66</v>
          </cell>
          <cell r="F2235" t="str">
            <v>8.956,93</v>
          </cell>
          <cell r="G2235" t="str">
            <v>0,00</v>
          </cell>
          <cell r="H2235" t="str">
            <v>412.146,18</v>
          </cell>
          <cell r="I2235">
            <v>412146.18</v>
          </cell>
          <cell r="J2235" t="str">
            <v>VERIFICAR</v>
          </cell>
        </row>
        <row r="2236">
          <cell r="A2236" t="str">
            <v>2.1.1.2.03.00060</v>
          </cell>
          <cell r="B2236" t="str">
            <v>ENCARGO FINIMP ITAU FIN CONOLIDADA JUNHO</v>
          </cell>
          <cell r="C2236" t="str">
            <v>68.699,61</v>
          </cell>
          <cell r="D2236" t="str">
            <v>101.706,26</v>
          </cell>
          <cell r="E2236" t="str">
            <v>13.486,37</v>
          </cell>
          <cell r="F2236" t="str">
            <v>415,38</v>
          </cell>
          <cell r="G2236" t="str">
            <v>0,00</v>
          </cell>
          <cell r="H2236" t="str">
            <v>19.935,66</v>
          </cell>
          <cell r="I2236">
            <v>19935.66</v>
          </cell>
          <cell r="J2236" t="str">
            <v>VERIFICAR</v>
          </cell>
        </row>
        <row r="2237">
          <cell r="A2237" t="str">
            <v>2.1.1.2.03.00061</v>
          </cell>
          <cell r="B2237" t="str">
            <v>4131 SANTANDER JUNHO</v>
          </cell>
          <cell r="C2237" t="str">
            <v>1.750.829,51</v>
          </cell>
          <cell r="D2237" t="str">
            <v>3.414.694,83</v>
          </cell>
          <cell r="E2237" t="str">
            <v>141.526,22</v>
          </cell>
          <cell r="F2237" t="str">
            <v>38.973,45</v>
          </cell>
          <cell r="G2237" t="str">
            <v>0,00</v>
          </cell>
          <cell r="H2237" t="str">
            <v>1.561.312,55</v>
          </cell>
          <cell r="I2237">
            <v>1561312.55</v>
          </cell>
          <cell r="J2237" t="str">
            <v>VERIFICAR</v>
          </cell>
        </row>
        <row r="2238">
          <cell r="A2238" t="str">
            <v>2.1.1.2.03.00062</v>
          </cell>
          <cell r="B2238" t="str">
            <v>(-) ENCARGOS 4131 SANTANDER JUNHO</v>
          </cell>
          <cell r="C2238" t="str">
            <v>296.420,83</v>
          </cell>
          <cell r="D2238" t="str">
            <v>481.380,49</v>
          </cell>
          <cell r="E2238" t="str">
            <v>20.185,99</v>
          </cell>
          <cell r="F2238" t="str">
            <v>4.319,46</v>
          </cell>
          <cell r="G2238" t="str">
            <v>0,00</v>
          </cell>
          <cell r="H2238" t="str">
            <v>169.093,13</v>
          </cell>
          <cell r="I2238">
            <v>169093.13</v>
          </cell>
          <cell r="J2238" t="str">
            <v>VERIFICAR</v>
          </cell>
        </row>
        <row r="2239">
          <cell r="A2239" t="str">
            <v>2.1.1.2.03.00063</v>
          </cell>
          <cell r="B2239" t="str">
            <v>FINIMP FIN JULHO EDT KAI CURTO PRAZO</v>
          </cell>
          <cell r="C2239" t="str">
            <v>517.962,27</v>
          </cell>
          <cell r="D2239" t="str">
            <v>957.268,92</v>
          </cell>
          <cell r="E2239" t="str">
            <v>0,00</v>
          </cell>
          <cell r="F2239" t="str">
            <v>342,16</v>
          </cell>
          <cell r="G2239" t="str">
            <v>0,00</v>
          </cell>
          <cell r="H2239" t="str">
            <v>439.648,81</v>
          </cell>
          <cell r="I2239">
            <v>439648.81</v>
          </cell>
          <cell r="J2239" t="str">
            <v>VERIFICAR</v>
          </cell>
        </row>
        <row r="2240">
          <cell r="A2240" t="str">
            <v>2.1.1.2.03.00064</v>
          </cell>
          <cell r="B2240" t="str">
            <v>(-) ENCARGO FIN JULHO EDT KAI CURTO PRAZ</v>
          </cell>
          <cell r="C2240" t="str">
            <v>32.591,03</v>
          </cell>
          <cell r="D2240" t="str">
            <v>48.763,33</v>
          </cell>
          <cell r="E2240" t="str">
            <v>0,00</v>
          </cell>
          <cell r="F2240" t="str">
            <v>12,60</v>
          </cell>
          <cell r="G2240" t="str">
            <v>0,00</v>
          </cell>
          <cell r="H2240" t="str">
            <v>16.184,90</v>
          </cell>
          <cell r="I2240">
            <v>16184.9</v>
          </cell>
          <cell r="J2240" t="str">
            <v>VERIFICAR</v>
          </cell>
        </row>
        <row r="2241">
          <cell r="A2241" t="str">
            <v>2.1.1.2.03.00065</v>
          </cell>
          <cell r="B2241" t="str">
            <v>FINIMP SANTANDER EDT 193 194 195</v>
          </cell>
          <cell r="C2241" t="str">
            <v>468.547,43</v>
          </cell>
          <cell r="D2241" t="str">
            <v>606.623,40</v>
          </cell>
          <cell r="E2241" t="str">
            <v>0,00</v>
          </cell>
          <cell r="F2241" t="str">
            <v>427.301,30</v>
          </cell>
          <cell r="G2241" t="str">
            <v>0,00</v>
          </cell>
          <cell r="H2241" t="str">
            <v>565.377,27</v>
          </cell>
          <cell r="I2241">
            <v>565377.27</v>
          </cell>
          <cell r="J2241" t="str">
            <v>VERIFICAR</v>
          </cell>
        </row>
        <row r="2242">
          <cell r="A2242" t="str">
            <v>2.1.1.2.03.00066</v>
          </cell>
          <cell r="B2242" t="str">
            <v>(-) ENCARGOS FINIMP SANTANDER EDT 193 194 195</v>
          </cell>
          <cell r="C2242" t="str">
            <v>43.447,70</v>
          </cell>
          <cell r="D2242" t="str">
            <v>52.836,50</v>
          </cell>
          <cell r="E2242" t="str">
            <v>0,00</v>
          </cell>
          <cell r="F2242" t="str">
            <v>17.289,69</v>
          </cell>
          <cell r="G2242" t="str">
            <v>0,00</v>
          </cell>
          <cell r="H2242" t="str">
            <v>26.678,49</v>
          </cell>
          <cell r="I2242">
            <v>26678.49</v>
          </cell>
          <cell r="J2242" t="str">
            <v>VERIFICAR</v>
          </cell>
        </row>
        <row r="2243">
          <cell r="A2243" t="str">
            <v>2.1.1.2.03.00067</v>
          </cell>
          <cell r="B2243" t="str">
            <v>FINIMP ITAU CONS SET 2025</v>
          </cell>
          <cell r="C2243" t="str">
            <v>537.564,46</v>
          </cell>
          <cell r="D2243" t="str">
            <v>995.224,43</v>
          </cell>
          <cell r="E2243" t="str">
            <v>231.759,13</v>
          </cell>
          <cell r="F2243" t="str">
            <v>3.107,38</v>
          </cell>
          <cell r="G2243" t="str">
            <v>0,00</v>
          </cell>
          <cell r="H2243" t="str">
            <v>229.008,22</v>
          </cell>
          <cell r="I2243">
            <v>229008.22</v>
          </cell>
          <cell r="J2243" t="str">
            <v>VERIFICAR</v>
          </cell>
        </row>
        <row r="2244">
          <cell r="A2244" t="str">
            <v>2.1.1.2.03.00068</v>
          </cell>
          <cell r="B2244" t="str">
            <v>(-) ENCARGOS FINIMP ITAU CONS SET 2025</v>
          </cell>
          <cell r="C2244" t="str">
            <v>35.829,56</v>
          </cell>
          <cell r="D2244" t="str">
            <v>58.564,53</v>
          </cell>
          <cell r="E2244" t="str">
            <v>12.568,18</v>
          </cell>
          <cell r="F2244" t="str">
            <v>166,99</v>
          </cell>
          <cell r="G2244" t="str">
            <v>0,00</v>
          </cell>
          <cell r="H2244" t="str">
            <v>10.333,78</v>
          </cell>
          <cell r="I2244">
            <v>10333.780000000001</v>
          </cell>
          <cell r="J2244" t="str">
            <v>VERIFICAR</v>
          </cell>
        </row>
        <row r="2245">
          <cell r="A2245" t="str">
            <v>2.1.1.2.03.00069</v>
          </cell>
          <cell r="B2245" t="str">
            <v>FINIMP SANT OUTUBRO CURTO PRAZO</v>
          </cell>
          <cell r="C2245" t="str">
            <v>288.079,20</v>
          </cell>
          <cell r="D2245" t="str">
            <v>523.803,46</v>
          </cell>
          <cell r="E2245" t="str">
            <v>0,00</v>
          </cell>
          <cell r="F2245" t="str">
            <v>5.579,74</v>
          </cell>
          <cell r="G2245" t="str">
            <v>0,00</v>
          </cell>
          <cell r="H2245" t="str">
            <v>241.304,00</v>
          </cell>
          <cell r="I2245">
            <v>241304</v>
          </cell>
          <cell r="J2245" t="str">
            <v>VERIFICAR</v>
          </cell>
        </row>
        <row r="2246">
          <cell r="A2246" t="str">
            <v>2.1.1.2.03.00070</v>
          </cell>
          <cell r="B2246" t="str">
            <v>( - ) ENCARGOS FINIMP SANT OUTUBRO</v>
          </cell>
          <cell r="C2246" t="str">
            <v>27.877,20</v>
          </cell>
          <cell r="D2246" t="str">
            <v>44.792,53</v>
          </cell>
          <cell r="E2246" t="str">
            <v>0,00</v>
          </cell>
          <cell r="F2246" t="str">
            <v>400,40</v>
          </cell>
          <cell r="G2246" t="str">
            <v>0,00</v>
          </cell>
          <cell r="H2246" t="str">
            <v>17.315,73</v>
          </cell>
          <cell r="I2246">
            <v>17315.73</v>
          </cell>
          <cell r="J2246" t="str">
            <v>VERIFICAR</v>
          </cell>
        </row>
        <row r="2247">
          <cell r="A2247" t="str">
            <v>2.1.1.2.03.00071</v>
          </cell>
          <cell r="B2247" t="str">
            <v>FINIMP FIN DEZ 1</v>
          </cell>
          <cell r="C2247" t="str">
            <v>145.941,96</v>
          </cell>
          <cell r="D2247" t="str">
            <v>468.087,54</v>
          </cell>
          <cell r="E2247" t="str">
            <v>110.484,24</v>
          </cell>
          <cell r="F2247" t="str">
            <v>8.185,98</v>
          </cell>
          <cell r="G2247" t="str">
            <v>0,00</v>
          </cell>
          <cell r="H2247" t="str">
            <v>219.847,32</v>
          </cell>
          <cell r="I2247">
            <v>219847.32</v>
          </cell>
          <cell r="J2247" t="str">
            <v>VERIFICAR</v>
          </cell>
        </row>
        <row r="2248">
          <cell r="A2248" t="str">
            <v>2.1.1.2.03.00072</v>
          </cell>
          <cell r="B2248" t="str">
            <v>( - ) ENCARGOS FINIMP FIN DEZ 1</v>
          </cell>
          <cell r="C2248" t="str">
            <v>13.431,60</v>
          </cell>
          <cell r="D2248" t="str">
            <v>36.903,47</v>
          </cell>
          <cell r="E2248" t="str">
            <v>9.391,68</v>
          </cell>
          <cell r="F2248" t="str">
            <v>603,25</v>
          </cell>
          <cell r="G2248" t="str">
            <v>0,00</v>
          </cell>
          <cell r="H2248" t="str">
            <v>14.683,44</v>
          </cell>
          <cell r="I2248">
            <v>14683.44</v>
          </cell>
          <cell r="J2248" t="str">
            <v>VERIFICAR</v>
          </cell>
        </row>
        <row r="2249">
          <cell r="A2249" t="str">
            <v>2.1.1.2.03.00073</v>
          </cell>
          <cell r="B2249" t="str">
            <v>FINIMP FIN EDT 2</v>
          </cell>
          <cell r="C2249" t="str">
            <v>67.685,37</v>
          </cell>
          <cell r="D2249" t="str">
            <v>215.410,06</v>
          </cell>
          <cell r="E2249" t="str">
            <v>49.252,28</v>
          </cell>
          <cell r="F2249" t="str">
            <v>2.341,87</v>
          </cell>
          <cell r="G2249" t="str">
            <v>0,00</v>
          </cell>
          <cell r="H2249" t="str">
            <v>100.814,28</v>
          </cell>
          <cell r="I2249">
            <v>100814.28</v>
          </cell>
          <cell r="J2249" t="str">
            <v>VERIFICAR</v>
          </cell>
        </row>
        <row r="2250">
          <cell r="A2250" t="str">
            <v>2.1.1.2.03.00074</v>
          </cell>
          <cell r="B2250" t="str">
            <v>( - ) ENCARGOS FINIMP FIN EDT 2</v>
          </cell>
          <cell r="C2250" t="str">
            <v>6.309,59</v>
          </cell>
          <cell r="D2250" t="str">
            <v>17.066,27</v>
          </cell>
          <cell r="E2250" t="str">
            <v>4.243,66</v>
          </cell>
          <cell r="F2250" t="str">
            <v>155,11</v>
          </cell>
          <cell r="G2250" t="str">
            <v>0,00</v>
          </cell>
          <cell r="H2250" t="str">
            <v>6.668,13</v>
          </cell>
          <cell r="I2250">
            <v>6668.13</v>
          </cell>
          <cell r="J2250" t="str">
            <v>VERIFICAR</v>
          </cell>
        </row>
        <row r="2251">
          <cell r="A2251" t="str">
            <v>2.1.1.2.03.00075</v>
          </cell>
          <cell r="B2251" t="str">
            <v>FIN ITAU NOVEMBRO 012428</v>
          </cell>
          <cell r="C2251" t="str">
            <v>427.681,90</v>
          </cell>
          <cell r="D2251" t="str">
            <v>803.887,65</v>
          </cell>
          <cell r="E2251" t="str">
            <v>0,00</v>
          </cell>
          <cell r="F2251" t="str">
            <v>8.905,26</v>
          </cell>
          <cell r="G2251" t="str">
            <v>0,00</v>
          </cell>
          <cell r="H2251" t="str">
            <v>385.111,01</v>
          </cell>
          <cell r="I2251">
            <v>385111.01</v>
          </cell>
          <cell r="J2251" t="str">
            <v>VERIFICAR</v>
          </cell>
        </row>
        <row r="2252">
          <cell r="A2252" t="str">
            <v>2.1.1.2.03.00076</v>
          </cell>
          <cell r="B2252" t="str">
            <v>( - ) ENC FIN ITAU NOVEMBRO 012428</v>
          </cell>
          <cell r="C2252" t="str">
            <v>38.581,53</v>
          </cell>
          <cell r="D2252" t="str">
            <v>63.959,07</v>
          </cell>
          <cell r="E2252" t="str">
            <v>0,00</v>
          </cell>
          <cell r="F2252" t="str">
            <v>600,70</v>
          </cell>
          <cell r="G2252" t="str">
            <v>0,00</v>
          </cell>
          <cell r="H2252" t="str">
            <v>25.978,24</v>
          </cell>
          <cell r="I2252">
            <v>25978.240000000002</v>
          </cell>
          <cell r="J2252" t="str">
            <v>VERIFICAR</v>
          </cell>
        </row>
        <row r="2253">
          <cell r="A2253" t="str">
            <v>2.1.1.2.03.00077</v>
          </cell>
          <cell r="B2253" t="str">
            <v>FINIMP ITAU EDT JAN AGE1687634/1 CURTO PRAZO</v>
          </cell>
          <cell r="C2253" t="str">
            <v>237.577,47</v>
          </cell>
          <cell r="D2253" t="str">
            <v>764.094,07</v>
          </cell>
          <cell r="E2253" t="str">
            <v>0,00</v>
          </cell>
          <cell r="F2253" t="str">
            <v>12.462,98</v>
          </cell>
          <cell r="G2253" t="str">
            <v>0,00</v>
          </cell>
          <cell r="H2253" t="str">
            <v>538.979,58</v>
          </cell>
          <cell r="I2253">
            <v>538979.57999999996</v>
          </cell>
          <cell r="J2253" t="str">
            <v>VERIFICAR</v>
          </cell>
        </row>
        <row r="2254">
          <cell r="A2254" t="str">
            <v>2.1.1.2.03.00078</v>
          </cell>
          <cell r="B2254" t="str">
            <v>(-) ENCARGOS FINIMP ITAU EDT JAN AGE1687634/1</v>
          </cell>
          <cell r="C2254" t="str">
            <v>21.952,97</v>
          </cell>
          <cell r="D2254" t="str">
            <v>60.383,38</v>
          </cell>
          <cell r="E2254" t="str">
            <v>0,00</v>
          </cell>
          <cell r="F2254" t="str">
            <v>909,67</v>
          </cell>
          <cell r="G2254" t="str">
            <v>0,00</v>
          </cell>
          <cell r="H2254" t="str">
            <v>39.340,08</v>
          </cell>
          <cell r="I2254">
            <v>39340.080000000002</v>
          </cell>
          <cell r="J2254" t="str">
            <v>VERIFICAR</v>
          </cell>
        </row>
        <row r="2255">
          <cell r="A2255" t="str">
            <v>2.1.1.2.03.00079</v>
          </cell>
          <cell r="B2255" t="str">
            <v>FINSANFEV I</v>
          </cell>
          <cell r="C2255" t="str">
            <v>179.773,20</v>
          </cell>
          <cell r="D2255" t="str">
            <v>630.199,31</v>
          </cell>
          <cell r="E2255" t="str">
            <v>0,00</v>
          </cell>
          <cell r="F2255" t="str">
            <v>10.661,87</v>
          </cell>
          <cell r="G2255" t="str">
            <v>0,00</v>
          </cell>
          <cell r="H2255" t="str">
            <v>461.087,98</v>
          </cell>
          <cell r="I2255">
            <v>461087.98</v>
          </cell>
          <cell r="J2255" t="str">
            <v>VERIFICAR</v>
          </cell>
        </row>
        <row r="2256">
          <cell r="A2256" t="str">
            <v>2.1.1.2.03.00080</v>
          </cell>
          <cell r="B2256" t="str">
            <v>(-) ENCARGOS FINSANFEV I</v>
          </cell>
          <cell r="C2256" t="str">
            <v>17.662,07</v>
          </cell>
          <cell r="D2256" t="str">
            <v>52.115,80</v>
          </cell>
          <cell r="E2256" t="str">
            <v>0,00</v>
          </cell>
          <cell r="F2256" t="str">
            <v>815,54</v>
          </cell>
          <cell r="G2256" t="str">
            <v>0,00</v>
          </cell>
          <cell r="H2256" t="str">
            <v>35.269,27</v>
          </cell>
          <cell r="I2256">
            <v>35269.269999999997</v>
          </cell>
          <cell r="J2256" t="str">
            <v>VERIFICAR</v>
          </cell>
        </row>
        <row r="2257">
          <cell r="A2257" t="str">
            <v>2.1.1.2.03.00081</v>
          </cell>
          <cell r="B2257" t="str">
            <v>FINSANFEV II</v>
          </cell>
          <cell r="C2257" t="str">
            <v>7.985,17</v>
          </cell>
          <cell r="D2257" t="str">
            <v>151.228,12</v>
          </cell>
          <cell r="E2257" t="str">
            <v>35.912,72</v>
          </cell>
          <cell r="F2257" t="str">
            <v>2.644,96</v>
          </cell>
          <cell r="G2257" t="str">
            <v>0,00</v>
          </cell>
          <cell r="H2257" t="str">
            <v>109.975,19</v>
          </cell>
          <cell r="I2257">
            <v>109975.19</v>
          </cell>
          <cell r="J2257" t="str">
            <v>VERIFICAR</v>
          </cell>
        </row>
        <row r="2258">
          <cell r="A2258" t="str">
            <v>2.1.1.2.03.00082</v>
          </cell>
          <cell r="B2258" t="str">
            <v>(-) ENCARGOS FINSANFEV II</v>
          </cell>
          <cell r="C2258" t="str">
            <v>655,94</v>
          </cell>
          <cell r="D2258" t="str">
            <v>12.422,59</v>
          </cell>
          <cell r="E2258" t="str">
            <v>3.667,37</v>
          </cell>
          <cell r="F2258" t="str">
            <v>168,63</v>
          </cell>
          <cell r="G2258" t="str">
            <v>0,00</v>
          </cell>
          <cell r="H2258" t="str">
            <v>8.267,91</v>
          </cell>
          <cell r="I2258">
            <v>8267.91</v>
          </cell>
          <cell r="J2258" t="str">
            <v>VERIFICAR</v>
          </cell>
        </row>
        <row r="2259">
          <cell r="A2259" t="str">
            <v>2.1.1.2.03.00083</v>
          </cell>
          <cell r="B2259" t="str">
            <v>FINITAMAR CURTO PRAZO</v>
          </cell>
          <cell r="C2259" t="str">
            <v>37.581,11</v>
          </cell>
          <cell r="D2259" t="str">
            <v>725.896,65</v>
          </cell>
          <cell r="E2259" t="str">
            <v>0,00</v>
          </cell>
          <cell r="F2259" t="str">
            <v>16.292,86</v>
          </cell>
          <cell r="G2259" t="str">
            <v>0,00</v>
          </cell>
          <cell r="H2259" t="str">
            <v>704.608,40</v>
          </cell>
          <cell r="I2259">
            <v>704608.4</v>
          </cell>
          <cell r="J2259" t="str">
            <v>VERIFICAR</v>
          </cell>
        </row>
        <row r="2260">
          <cell r="A2260" t="str">
            <v>2.1.1.2.03.00084</v>
          </cell>
          <cell r="B2260" t="str">
            <v>(-) ENCARGOS FINITAMAR</v>
          </cell>
          <cell r="C2260" t="str">
            <v>2.954,53</v>
          </cell>
          <cell r="D2260" t="str">
            <v>57.068,11</v>
          </cell>
          <cell r="E2260" t="str">
            <v>0,00</v>
          </cell>
          <cell r="F2260" t="str">
            <v>1.280,90</v>
          </cell>
          <cell r="G2260" t="str">
            <v>0,00</v>
          </cell>
          <cell r="H2260" t="str">
            <v>55.394,48</v>
          </cell>
          <cell r="I2260">
            <v>55394.48</v>
          </cell>
          <cell r="J2260" t="str">
            <v>VERIFICAR</v>
          </cell>
        </row>
        <row r="2261">
          <cell r="A2261" t="str">
            <v>2.1.1.2.03.00085</v>
          </cell>
          <cell r="B2261" t="str">
            <v>FINIMP FINITAABR CURTO PRAZO</v>
          </cell>
          <cell r="C2261" t="str">
            <v>113.873,30</v>
          </cell>
          <cell r="D2261" t="str">
            <v>802.188,79</v>
          </cell>
          <cell r="E2261" t="str">
            <v>0,00</v>
          </cell>
          <cell r="F2261" t="str">
            <v>16.292,86</v>
          </cell>
          <cell r="G2261" t="str">
            <v>0,00</v>
          </cell>
          <cell r="H2261" t="str">
            <v>704.608,35</v>
          </cell>
          <cell r="I2261">
            <v>704608.35</v>
          </cell>
          <cell r="J2261" t="str">
            <v>VERIFICAR</v>
          </cell>
        </row>
        <row r="2262">
          <cell r="A2262" t="str">
            <v>2.1.1.2.03.00086</v>
          </cell>
          <cell r="B2262" t="str">
            <v>(-) ENCARGOS FINIMP FINITAABR</v>
          </cell>
          <cell r="C2262" t="str">
            <v>0,00</v>
          </cell>
          <cell r="D2262" t="str">
            <v>54.113,58</v>
          </cell>
          <cell r="E2262" t="str">
            <v>0,00</v>
          </cell>
          <cell r="F2262" t="str">
            <v>1.280,90</v>
          </cell>
          <cell r="G2262" t="str">
            <v>0,00</v>
          </cell>
          <cell r="H2262" t="str">
            <v>55.394,48</v>
          </cell>
          <cell r="I2262">
            <v>55394.48</v>
          </cell>
          <cell r="J2262" t="str">
            <v>VERIFICAR</v>
          </cell>
        </row>
        <row r="2263">
          <cell r="A2263" t="str">
            <v>2.1.1.2.03.00087</v>
          </cell>
          <cell r="B2263" t="str">
            <v>FIN SANTANDER MAIO CURTO PRAZO</v>
          </cell>
          <cell r="C2263" t="str">
            <v>1.268,51</v>
          </cell>
          <cell r="D2263" t="str">
            <v>755.941,86</v>
          </cell>
          <cell r="E2263" t="str">
            <v>0,00</v>
          </cell>
          <cell r="F2263" t="str">
            <v>17.863,59</v>
          </cell>
          <cell r="G2263" t="str">
            <v>0,00</v>
          </cell>
          <cell r="H2263" t="str">
            <v>772.536,94</v>
          </cell>
          <cell r="I2263">
            <v>772536.94</v>
          </cell>
          <cell r="J2263" t="str">
            <v>VERIFICAR</v>
          </cell>
        </row>
        <row r="2264">
          <cell r="A2264" t="str">
            <v>2.1.1.2.03.00088</v>
          </cell>
          <cell r="B2264" t="str">
            <v>(-)ENCARGOS FIN SANTANDER MAIO CURTO PRAZO</v>
          </cell>
          <cell r="C2264" t="str">
            <v>102,37</v>
          </cell>
          <cell r="D2264" t="str">
            <v>61.006,97</v>
          </cell>
          <cell r="E2264" t="str">
            <v>0,00</v>
          </cell>
          <cell r="F2264" t="str">
            <v>1.441,65</v>
          </cell>
          <cell r="G2264" t="str">
            <v>0,00</v>
          </cell>
          <cell r="H2264" t="str">
            <v>62.346,25</v>
          </cell>
          <cell r="I2264">
            <v>62346.25</v>
          </cell>
          <cell r="J2264" t="str">
            <v>VERIFICAR</v>
          </cell>
        </row>
        <row r="2265">
          <cell r="A2265" t="str">
            <v>2.1.1.2.03.00089</v>
          </cell>
          <cell r="B2265" t="str">
            <v>FIN FINJUNITA AGE1714640</v>
          </cell>
          <cell r="C2265" t="str">
            <v>0,00</v>
          </cell>
          <cell r="D2265" t="str">
            <v>0,00</v>
          </cell>
          <cell r="E2265" t="str">
            <v>7.555,34</v>
          </cell>
          <cell r="F2265" t="str">
            <v>2.076.917,96</v>
          </cell>
          <cell r="G2265" t="str">
            <v>0,00</v>
          </cell>
          <cell r="H2265" t="str">
            <v>2.069.362,62</v>
          </cell>
          <cell r="I2265">
            <v>2069362.62</v>
          </cell>
          <cell r="J2265" t="str">
            <v>VERIFICAR</v>
          </cell>
        </row>
        <row r="2266">
          <cell r="A2266" t="str">
            <v>2.1.1.2.03.00090</v>
          </cell>
          <cell r="B2266" t="str">
            <v>(- ) ENCARGOS FIN FINJUNITA AGE1714640 CURTO PRAZO</v>
          </cell>
          <cell r="C2266" t="str">
            <v>0,00</v>
          </cell>
          <cell r="D2266" t="str">
            <v>0,00</v>
          </cell>
          <cell r="E2266" t="str">
            <v>190,70</v>
          </cell>
          <cell r="F2266" t="str">
            <v>52.422,85</v>
          </cell>
          <cell r="G2266" t="str">
            <v>0,00</v>
          </cell>
          <cell r="H2266" t="str">
            <v>52.232,15</v>
          </cell>
          <cell r="I2266">
            <v>52232.15</v>
          </cell>
          <cell r="J2266" t="str">
            <v>VERIFICAR</v>
          </cell>
        </row>
        <row r="2267">
          <cell r="A2267" t="str">
            <v>2.1.1.4</v>
          </cell>
          <cell r="B2267" t="str">
            <v>SALARIOS E ENCARGOS SOCIAIS</v>
          </cell>
          <cell r="C2267" t="str">
            <v>0,00</v>
          </cell>
          <cell r="D2267" t="str">
            <v>0,00</v>
          </cell>
          <cell r="E2267" t="str">
            <v>1.127.304,53</v>
          </cell>
          <cell r="F2267" t="str">
            <v>115.292,39</v>
          </cell>
          <cell r="G2267" t="str">
            <v>0,00</v>
          </cell>
          <cell r="H2267" t="str">
            <v>572.158,74</v>
          </cell>
          <cell r="I2267">
            <v>572158.74</v>
          </cell>
          <cell r="J2267" t="str">
            <v>VERIFICAR</v>
          </cell>
        </row>
        <row r="2268">
          <cell r="A2268" t="str">
            <v>2.1.1.4.01</v>
          </cell>
          <cell r="B2268" t="str">
            <v>SALARIOS</v>
          </cell>
          <cell r="C2268" t="str">
            <v>0,00</v>
          </cell>
          <cell r="D2268" t="str">
            <v>0,00</v>
          </cell>
          <cell r="E2268" t="str">
            <v>729.943,46</v>
          </cell>
          <cell r="F2268" t="str">
            <v>103.281,49</v>
          </cell>
          <cell r="G2268" t="str">
            <v>654.341,69</v>
          </cell>
          <cell r="H2268" t="str">
            <v>0,00</v>
          </cell>
          <cell r="I2268">
            <v>-654341.68999999994</v>
          </cell>
          <cell r="J2268" t="str">
            <v>VERIFICAR</v>
          </cell>
        </row>
        <row r="2269">
          <cell r="A2269" t="str">
            <v>2.1.1.4.01.00001</v>
          </cell>
          <cell r="B2269" t="str">
            <v>SALARIOS</v>
          </cell>
          <cell r="C2269" t="str">
            <v>54.544.434,03</v>
          </cell>
          <cell r="D2269" t="str">
            <v>54.453.424,46</v>
          </cell>
          <cell r="E2269" t="str">
            <v>666.510,34</v>
          </cell>
          <cell r="F2269" t="str">
            <v>99.956,33</v>
          </cell>
          <cell r="G2269" t="str">
            <v>657.563,58</v>
          </cell>
          <cell r="H2269" t="str">
            <v>0,00</v>
          </cell>
          <cell r="I2269">
            <v>-657563.57999999996</v>
          </cell>
          <cell r="J2269" t="str">
            <v>VERIFICAR</v>
          </cell>
        </row>
        <row r="2270">
          <cell r="A2270" t="str">
            <v>2.1.1.4.01.00002</v>
          </cell>
          <cell r="B2270" t="str">
            <v>PRO-LABORE/HONORARIOS</v>
          </cell>
          <cell r="C2270" t="str">
            <v>234.781,14</v>
          </cell>
          <cell r="D2270" t="str">
            <v>241.265,14</v>
          </cell>
          <cell r="E2270" t="str">
            <v>0,00</v>
          </cell>
          <cell r="F2270" t="str">
            <v>0,00</v>
          </cell>
          <cell r="G2270" t="str">
            <v>0,00</v>
          </cell>
          <cell r="H2270" t="str">
            <v>6.484,00</v>
          </cell>
          <cell r="I2270">
            <v>6484</v>
          </cell>
          <cell r="J2270" t="str">
            <v>VERIFICAR</v>
          </cell>
        </row>
        <row r="2271">
          <cell r="A2271" t="str">
            <v>2.1.1.4.01.00004</v>
          </cell>
          <cell r="B2271" t="str">
            <v>RESCISAO</v>
          </cell>
          <cell r="C2271" t="str">
            <v>2.778.675,79</v>
          </cell>
          <cell r="D2271" t="str">
            <v>2.790.019,19</v>
          </cell>
          <cell r="E2271" t="str">
            <v>53.140,29</v>
          </cell>
          <cell r="F2271" t="str">
            <v>0,00</v>
          </cell>
          <cell r="G2271" t="str">
            <v>41.796,89</v>
          </cell>
          <cell r="H2271" t="str">
            <v>0,00</v>
          </cell>
          <cell r="I2271">
            <v>-41796.89</v>
          </cell>
          <cell r="J2271" t="str">
            <v>VERIFICAR</v>
          </cell>
        </row>
        <row r="2272">
          <cell r="A2272" t="str">
            <v>2.1.1.4.01.00005</v>
          </cell>
          <cell r="B2272" t="str">
            <v>(-) ADIANTAMENTO SALARIO</v>
          </cell>
          <cell r="C2272" t="str">
            <v>9.825.303,37</v>
          </cell>
          <cell r="D2272" t="str">
            <v>9.872.375,37</v>
          </cell>
          <cell r="E2272" t="str">
            <v>0,00</v>
          </cell>
          <cell r="F2272" t="str">
            <v>3.325,16</v>
          </cell>
          <cell r="G2272" t="str">
            <v>0,00</v>
          </cell>
          <cell r="H2272" t="str">
            <v>50.397,16</v>
          </cell>
          <cell r="I2272">
            <v>50397.16</v>
          </cell>
          <cell r="J2272" t="str">
            <v>VERIFICAR</v>
          </cell>
        </row>
        <row r="2273">
          <cell r="A2273" t="str">
            <v>2.1.1.4.01.00006</v>
          </cell>
          <cell r="B2273" t="str">
            <v>PENSAO ALIMENTICIA</v>
          </cell>
          <cell r="C2273" t="str">
            <v>331.755,22</v>
          </cell>
          <cell r="D2273" t="str">
            <v>330.185,67</v>
          </cell>
          <cell r="E2273" t="str">
            <v>10.292,83</v>
          </cell>
          <cell r="F2273" t="str">
            <v>0,00</v>
          </cell>
          <cell r="G2273" t="str">
            <v>11.862,38</v>
          </cell>
          <cell r="H2273" t="str">
            <v>0,00</v>
          </cell>
          <cell r="I2273">
            <v>-11862.38</v>
          </cell>
          <cell r="J2273" t="str">
            <v>VERIFICAR</v>
          </cell>
        </row>
        <row r="2274">
          <cell r="A2274" t="str">
            <v>2.1.1.4.02</v>
          </cell>
          <cell r="B2274" t="str">
            <v>ENCARGOS SOCIAIS</v>
          </cell>
          <cell r="C2274" t="str">
            <v>0,00</v>
          </cell>
          <cell r="D2274" t="str">
            <v>0,00</v>
          </cell>
          <cell r="E2274" t="str">
            <v>397.361,07</v>
          </cell>
          <cell r="F2274" t="str">
            <v>8.979,33</v>
          </cell>
          <cell r="G2274" t="str">
            <v>134.815,41</v>
          </cell>
          <cell r="H2274" t="str">
            <v>0,00</v>
          </cell>
          <cell r="I2274">
            <v>-134815.41</v>
          </cell>
          <cell r="J2274" t="str">
            <v>VERIFICAR</v>
          </cell>
        </row>
        <row r="2275">
          <cell r="A2275" t="str">
            <v>2.1.1.4.02.00001</v>
          </cell>
          <cell r="B2275" t="str">
            <v>INSS</v>
          </cell>
          <cell r="C2275" t="str">
            <v>17.034.735,43</v>
          </cell>
          <cell r="D2275" t="str">
            <v>17.277.410,63</v>
          </cell>
          <cell r="E2275" t="str">
            <v>269.152,99</v>
          </cell>
          <cell r="F2275" t="str">
            <v>5.504,84</v>
          </cell>
          <cell r="G2275" t="str">
            <v>20.972,95</v>
          </cell>
          <cell r="H2275" t="str">
            <v>0,00</v>
          </cell>
          <cell r="I2275">
            <v>-20972.95</v>
          </cell>
          <cell r="J2275" t="str">
            <v>VERIFICAR</v>
          </cell>
        </row>
        <row r="2276">
          <cell r="A2276" t="str">
            <v>2.1.1.4.02.00002</v>
          </cell>
          <cell r="B2276" t="str">
            <v>FGTS</v>
          </cell>
          <cell r="C2276" t="str">
            <v>4.608.093,40</v>
          </cell>
          <cell r="D2276" t="str">
            <v>4.603.580,68</v>
          </cell>
          <cell r="E2276" t="str">
            <v>111.130,84</v>
          </cell>
          <cell r="F2276" t="str">
            <v>2.619,10</v>
          </cell>
          <cell r="G2276" t="str">
            <v>113.024,46</v>
          </cell>
          <cell r="H2276" t="str">
            <v>0,00</v>
          </cell>
          <cell r="I2276">
            <v>-113024.46</v>
          </cell>
          <cell r="J2276" t="str">
            <v>VERIFICAR</v>
          </cell>
        </row>
        <row r="2277">
          <cell r="A2277" t="str">
            <v>2.1.1.4.02.00003</v>
          </cell>
          <cell r="B2277" t="str">
            <v>IRRF</v>
          </cell>
          <cell r="C2277" t="str">
            <v>1.403.336,17</v>
          </cell>
          <cell r="D2277" t="str">
            <v>1.416.898,37</v>
          </cell>
          <cell r="E2277" t="str">
            <v>17.077,24</v>
          </cell>
          <cell r="F2277" t="str">
            <v>815,39</v>
          </cell>
          <cell r="G2277" t="str">
            <v>2.699,65</v>
          </cell>
          <cell r="H2277" t="str">
            <v>0,00</v>
          </cell>
          <cell r="I2277">
            <v>-2699.65</v>
          </cell>
          <cell r="J2277" t="str">
            <v>VERIFICAR</v>
          </cell>
        </row>
        <row r="2278">
          <cell r="A2278" t="str">
            <v>2.1.1.4.02.00004</v>
          </cell>
          <cell r="B2278" t="str">
            <v>CONTRIBUICOES SINDICIAIS</v>
          </cell>
          <cell r="C2278" t="str">
            <v>63.986,87</v>
          </cell>
          <cell r="D2278" t="str">
            <v>65.828,52</v>
          </cell>
          <cell r="E2278" t="str">
            <v>0,00</v>
          </cell>
          <cell r="F2278" t="str">
            <v>40,00</v>
          </cell>
          <cell r="G2278" t="str">
            <v>0,00</v>
          </cell>
          <cell r="H2278" t="str">
            <v>1.881,65</v>
          </cell>
          <cell r="I2278">
            <v>1881.65</v>
          </cell>
          <cell r="J2278" t="str">
            <v>VERIFICAR</v>
          </cell>
        </row>
        <row r="2279">
          <cell r="A2279" t="str">
            <v>2.1.1.4.99</v>
          </cell>
          <cell r="B2279" t="str">
            <v>PROVISOES</v>
          </cell>
          <cell r="C2279" t="str">
            <v>0,00</v>
          </cell>
          <cell r="D2279" t="str">
            <v>0,00</v>
          </cell>
          <cell r="E2279" t="str">
            <v>0,00</v>
          </cell>
          <cell r="F2279" t="str">
            <v>3.031,57</v>
          </cell>
          <cell r="G2279" t="str">
            <v>0,00</v>
          </cell>
          <cell r="H2279" t="str">
            <v>1.361.315,84</v>
          </cell>
          <cell r="I2279">
            <v>1361315.8400000001</v>
          </cell>
          <cell r="J2279" t="str">
            <v>VERIFICAR</v>
          </cell>
        </row>
        <row r="2280">
          <cell r="A2280" t="str">
            <v>2.1.1.4.99.00001</v>
          </cell>
          <cell r="B2280" t="str">
            <v>PROVISAO DE FERIAS</v>
          </cell>
          <cell r="C2280" t="str">
            <v>5.027.630,71</v>
          </cell>
          <cell r="D2280" t="str">
            <v>5.475.138,26</v>
          </cell>
          <cell r="E2280" t="str">
            <v>0,00</v>
          </cell>
          <cell r="F2280" t="str">
            <v>1.274,23</v>
          </cell>
          <cell r="G2280" t="str">
            <v>0,00</v>
          </cell>
          <cell r="H2280" t="str">
            <v>448.781,78</v>
          </cell>
          <cell r="I2280">
            <v>448781.78</v>
          </cell>
          <cell r="J2280" t="str">
            <v>VERIFICAR</v>
          </cell>
        </row>
        <row r="2281">
          <cell r="A2281" t="str">
            <v>2.1.1.4.99.00002</v>
          </cell>
          <cell r="B2281" t="str">
            <v>(-) ANTECIPACOES DE FERIAS</v>
          </cell>
          <cell r="C2281" t="str">
            <v>2.538.743,85</v>
          </cell>
          <cell r="D2281" t="str">
            <v>2.828.087,09</v>
          </cell>
          <cell r="E2281" t="str">
            <v>0,00</v>
          </cell>
          <cell r="F2281" t="str">
            <v>0,00</v>
          </cell>
          <cell r="G2281" t="str">
            <v>0,00</v>
          </cell>
          <cell r="H2281" t="str">
            <v>289.343,24</v>
          </cell>
          <cell r="I2281">
            <v>289343.24</v>
          </cell>
          <cell r="J2281" t="str">
            <v>VERIFICAR</v>
          </cell>
        </row>
        <row r="2282">
          <cell r="A2282" t="str">
            <v>2.1.1.4.99.00003</v>
          </cell>
          <cell r="B2282" t="str">
            <v>PROVISAO 13O. SALARIO</v>
          </cell>
          <cell r="C2282" t="str">
            <v>4.024.218,75</v>
          </cell>
          <cell r="D2282" t="str">
            <v>4.239.724,12</v>
          </cell>
          <cell r="E2282" t="str">
            <v>0,00</v>
          </cell>
          <cell r="F2282" t="str">
            <v>966,43</v>
          </cell>
          <cell r="G2282" t="str">
            <v>0,00</v>
          </cell>
          <cell r="H2282" t="str">
            <v>216.471,80</v>
          </cell>
          <cell r="I2282">
            <v>216471.8</v>
          </cell>
          <cell r="J2282" t="str">
            <v>VERIFICAR</v>
          </cell>
        </row>
        <row r="2283">
          <cell r="A2283" t="str">
            <v>2.1.1.4.99.00004</v>
          </cell>
          <cell r="B2283" t="str">
            <v>(-) ANTECIPACOES 13O. SALARIO</v>
          </cell>
          <cell r="C2283" t="str">
            <v>1.045.145,17</v>
          </cell>
          <cell r="D2283" t="str">
            <v>1.051.986,86</v>
          </cell>
          <cell r="E2283" t="str">
            <v>0,00</v>
          </cell>
          <cell r="F2283" t="str">
            <v>0,00</v>
          </cell>
          <cell r="G2283" t="str">
            <v>0,00</v>
          </cell>
          <cell r="H2283" t="str">
            <v>6.841,69</v>
          </cell>
          <cell r="I2283">
            <v>6841.69</v>
          </cell>
          <cell r="J2283" t="str">
            <v>VERIFICAR</v>
          </cell>
        </row>
        <row r="2284">
          <cell r="A2284" t="str">
            <v>2.1.1.4.99.00005</v>
          </cell>
          <cell r="B2284" t="str">
            <v>PROVISAO FGTS 13 SALARIO</v>
          </cell>
          <cell r="C2284" t="str">
            <v>151.426,02</v>
          </cell>
          <cell r="D2284" t="str">
            <v>171.135,53</v>
          </cell>
          <cell r="E2284" t="str">
            <v>0,00</v>
          </cell>
          <cell r="F2284" t="str">
            <v>77,30</v>
          </cell>
          <cell r="G2284" t="str">
            <v>0,00</v>
          </cell>
          <cell r="H2284" t="str">
            <v>19.786,81</v>
          </cell>
          <cell r="I2284">
            <v>19786.810000000001</v>
          </cell>
          <cell r="J2284" t="str">
            <v>VERIFICAR</v>
          </cell>
        </row>
        <row r="2285">
          <cell r="A2285" t="str">
            <v>2.1.1.4.99.00006</v>
          </cell>
          <cell r="B2285" t="str">
            <v>PROVISAO INSS 13 SALARIO</v>
          </cell>
          <cell r="C2285" t="str">
            <v>536.174,07</v>
          </cell>
          <cell r="D2285" t="str">
            <v>606.287,85</v>
          </cell>
          <cell r="E2285" t="str">
            <v>0,00</v>
          </cell>
          <cell r="F2285" t="str">
            <v>263,84</v>
          </cell>
          <cell r="G2285" t="str">
            <v>0,00</v>
          </cell>
          <cell r="H2285" t="str">
            <v>70.377,62</v>
          </cell>
          <cell r="I2285">
            <v>70377.62</v>
          </cell>
          <cell r="J2285" t="str">
            <v>VERIFICAR</v>
          </cell>
        </row>
        <row r="2286">
          <cell r="A2286" t="str">
            <v>2.1.1.4.99.00007</v>
          </cell>
          <cell r="B2286" t="str">
            <v>PROVISAO FGTS FERIAS</v>
          </cell>
          <cell r="C2286" t="str">
            <v>171.303,72</v>
          </cell>
          <cell r="D2286" t="str">
            <v>239.236,07</v>
          </cell>
          <cell r="E2286" t="str">
            <v>0,00</v>
          </cell>
          <cell r="F2286" t="str">
            <v>101,93</v>
          </cell>
          <cell r="G2286" t="str">
            <v>0,00</v>
          </cell>
          <cell r="H2286" t="str">
            <v>68.034,28</v>
          </cell>
          <cell r="I2286">
            <v>68034.28</v>
          </cell>
          <cell r="J2286" t="str">
            <v>VERIFICAR</v>
          </cell>
        </row>
        <row r="2287">
          <cell r="A2287" t="str">
            <v>2.1.1.4.99.00008</v>
          </cell>
          <cell r="B2287" t="str">
            <v>PROVISAO INSS FERIAS</v>
          </cell>
          <cell r="C2287" t="str">
            <v>607.352,44</v>
          </cell>
          <cell r="D2287" t="str">
            <v>848.683,22</v>
          </cell>
          <cell r="E2287" t="str">
            <v>0,00</v>
          </cell>
          <cell r="F2287" t="str">
            <v>347,84</v>
          </cell>
          <cell r="G2287" t="str">
            <v>0,00</v>
          </cell>
          <cell r="H2287" t="str">
            <v>241.678,62</v>
          </cell>
          <cell r="I2287">
            <v>241678.62</v>
          </cell>
          <cell r="J2287" t="str">
            <v>VERIFICAR</v>
          </cell>
        </row>
        <row r="2288">
          <cell r="A2288" t="str">
            <v>2.1.1.5</v>
          </cell>
          <cell r="B2288" t="str">
            <v>IMPOSTOS E CONTRIBUICOES</v>
          </cell>
          <cell r="C2288" t="str">
            <v>0,00</v>
          </cell>
          <cell r="D2288" t="str">
            <v>0,00</v>
          </cell>
          <cell r="E2288" t="str">
            <v>2.632.205,26</v>
          </cell>
          <cell r="F2288" t="str">
            <v>3.239.420,43</v>
          </cell>
          <cell r="G2288" t="str">
            <v>0,00</v>
          </cell>
          <cell r="H2288" t="str">
            <v>1.297.573,36</v>
          </cell>
          <cell r="I2288">
            <v>1297573.3600000001</v>
          </cell>
          <cell r="J2288" t="str">
            <v>VERIFICAR</v>
          </cell>
        </row>
        <row r="2289">
          <cell r="A2289" t="str">
            <v>2.1.1.5.01</v>
          </cell>
          <cell r="B2289" t="str">
            <v>IMPOSTOS</v>
          </cell>
          <cell r="C2289" t="str">
            <v>0,00</v>
          </cell>
          <cell r="D2289" t="str">
            <v>0,00</v>
          </cell>
          <cell r="E2289" t="str">
            <v>1.948.732,19</v>
          </cell>
          <cell r="F2289" t="str">
            <v>1.897.726,38</v>
          </cell>
          <cell r="G2289" t="str">
            <v>0,00</v>
          </cell>
          <cell r="H2289" t="str">
            <v>91.122,46</v>
          </cell>
          <cell r="I2289">
            <v>91122.46</v>
          </cell>
          <cell r="J2289" t="str">
            <v>VERIFICAR</v>
          </cell>
        </row>
        <row r="2290">
          <cell r="A2290" t="str">
            <v>2.1.1.5.01.00001</v>
          </cell>
          <cell r="B2290" t="str">
            <v>IPI</v>
          </cell>
          <cell r="C2290" t="str">
            <v>8.746.763,23</v>
          </cell>
          <cell r="D2290" t="str">
            <v>8.762.170,90</v>
          </cell>
          <cell r="E2290" t="str">
            <v>94.374,40</v>
          </cell>
          <cell r="F2290" t="str">
            <v>87.986,85</v>
          </cell>
          <cell r="G2290" t="str">
            <v>0,00</v>
          </cell>
          <cell r="H2290" t="str">
            <v>9.020,12</v>
          </cell>
          <cell r="I2290">
            <v>9020.1200000000008</v>
          </cell>
          <cell r="J2290" t="str">
            <v>VERIFICAR</v>
          </cell>
        </row>
        <row r="2291">
          <cell r="A2291" t="str">
            <v>2.1.1.5.01.00002</v>
          </cell>
          <cell r="B2291" t="str">
            <v>ICMS</v>
          </cell>
          <cell r="C2291" t="str">
            <v>104.103.166,73</v>
          </cell>
          <cell r="D2291" t="str">
            <v>104.178.273,81</v>
          </cell>
          <cell r="E2291" t="str">
            <v>1.793.639,23</v>
          </cell>
          <cell r="F2291" t="str">
            <v>1.743.393,45</v>
          </cell>
          <cell r="G2291" t="str">
            <v>0,00</v>
          </cell>
          <cell r="H2291" t="str">
            <v>24.861,30</v>
          </cell>
          <cell r="I2291">
            <v>24861.3</v>
          </cell>
          <cell r="J2291" t="str">
            <v>VERIFICAR</v>
          </cell>
        </row>
        <row r="2292">
          <cell r="A2292" t="str">
            <v>2.1.1.5.01.00003</v>
          </cell>
          <cell r="B2292" t="str">
            <v>IRRF TERCEIROS</v>
          </cell>
          <cell r="C2292" t="str">
            <v>1.339.110,63</v>
          </cell>
          <cell r="D2292" t="str">
            <v>1.351.715,60</v>
          </cell>
          <cell r="E2292" t="str">
            <v>794,62</v>
          </cell>
          <cell r="F2292" t="str">
            <v>1.005,51</v>
          </cell>
          <cell r="G2292" t="str">
            <v>0,00</v>
          </cell>
          <cell r="H2292" t="str">
            <v>12.815,86</v>
          </cell>
          <cell r="I2292">
            <v>12815.86</v>
          </cell>
          <cell r="J2292" t="str">
            <v>VERIFICAR</v>
          </cell>
        </row>
        <row r="2293">
          <cell r="A2293" t="str">
            <v>2.1.1.5.01.00004</v>
          </cell>
          <cell r="B2293" t="str">
            <v>ISSQN S/ RECEITA</v>
          </cell>
          <cell r="C2293" t="str">
            <v>975.642,54</v>
          </cell>
          <cell r="D2293" t="str">
            <v>993.107,12</v>
          </cell>
          <cell r="E2293" t="str">
            <v>1.793,25</v>
          </cell>
          <cell r="F2293" t="str">
            <v>1.505,61</v>
          </cell>
          <cell r="G2293" t="str">
            <v>0,00</v>
          </cell>
          <cell r="H2293" t="str">
            <v>17.176,94</v>
          </cell>
          <cell r="I2293">
            <v>17176.939999999999</v>
          </cell>
          <cell r="J2293" t="str">
            <v>VERIFICAR</v>
          </cell>
        </row>
        <row r="2294">
          <cell r="A2294" t="str">
            <v>2.1.1.5.01.00005</v>
          </cell>
          <cell r="B2294" t="str">
            <v>ISSQN TERCEIROS</v>
          </cell>
          <cell r="C2294" t="str">
            <v>241.348,59</v>
          </cell>
          <cell r="D2294" t="str">
            <v>262.853,83</v>
          </cell>
          <cell r="E2294" t="str">
            <v>0,00</v>
          </cell>
          <cell r="F2294" t="str">
            <v>5.704,27</v>
          </cell>
          <cell r="G2294" t="str">
            <v>0,00</v>
          </cell>
          <cell r="H2294" t="str">
            <v>27.209,51</v>
          </cell>
          <cell r="I2294">
            <v>27209.51</v>
          </cell>
          <cell r="J2294" t="str">
            <v>VERIFICAR</v>
          </cell>
        </row>
        <row r="2295">
          <cell r="A2295" t="str">
            <v>2.1.1.5.01.00006</v>
          </cell>
          <cell r="B2295" t="str">
            <v>ICMS ST RECOLHER</v>
          </cell>
          <cell r="C2295" t="str">
            <v>704.993,58</v>
          </cell>
          <cell r="D2295" t="str">
            <v>704.993,58</v>
          </cell>
          <cell r="E2295" t="str">
            <v>6.655,84</v>
          </cell>
          <cell r="F2295" t="str">
            <v>11.321,18</v>
          </cell>
          <cell r="G2295" t="str">
            <v>0,00</v>
          </cell>
          <cell r="H2295" t="str">
            <v>4.665,34</v>
          </cell>
          <cell r="I2295">
            <v>4665.34</v>
          </cell>
          <cell r="J2295" t="str">
            <v>VERIFICAR</v>
          </cell>
        </row>
        <row r="2296">
          <cell r="A2296" t="str">
            <v>2.1.1.5.01.00009</v>
          </cell>
          <cell r="B2296" t="str">
            <v>ICMS DESTINO</v>
          </cell>
          <cell r="C2296" t="str">
            <v>6.944.835,86</v>
          </cell>
          <cell r="D2296" t="str">
            <v>6.944.874,59</v>
          </cell>
          <cell r="E2296" t="str">
            <v>51.474,85</v>
          </cell>
          <cell r="F2296" t="str">
            <v>46.809,51</v>
          </cell>
          <cell r="G2296" t="str">
            <v>4.626,61</v>
          </cell>
          <cell r="H2296" t="str">
            <v>0,00</v>
          </cell>
          <cell r="I2296">
            <v>-4626.6099999999997</v>
          </cell>
          <cell r="J2296" t="str">
            <v>VERIFICAR</v>
          </cell>
        </row>
        <row r="2297">
          <cell r="A2297" t="str">
            <v>2.1.1.5.02</v>
          </cell>
          <cell r="B2297" t="str">
            <v>CONTRIBUICOES</v>
          </cell>
          <cell r="C2297" t="str">
            <v>0,00</v>
          </cell>
          <cell r="D2297" t="str">
            <v>0,00</v>
          </cell>
          <cell r="E2297" t="str">
            <v>683.473,07</v>
          </cell>
          <cell r="F2297" t="str">
            <v>1.341.694,05</v>
          </cell>
          <cell r="G2297" t="str">
            <v>0,00</v>
          </cell>
          <cell r="H2297" t="str">
            <v>1.206.450,90</v>
          </cell>
          <cell r="I2297">
            <v>1206450.8999999999</v>
          </cell>
          <cell r="J2297" t="str">
            <v>VERIFICAR</v>
          </cell>
        </row>
        <row r="2298">
          <cell r="A2298" t="str">
            <v>2.1.1.5.02.00001</v>
          </cell>
          <cell r="B2298" t="str">
            <v>COFINS S/ RECEITA</v>
          </cell>
          <cell r="C2298" t="str">
            <v>56.410.489,45</v>
          </cell>
          <cell r="D2298" t="str">
            <v>56.697.156,14</v>
          </cell>
          <cell r="E2298" t="str">
            <v>460.942,60</v>
          </cell>
          <cell r="F2298" t="str">
            <v>1.101.551,00</v>
          </cell>
          <cell r="G2298" t="str">
            <v>0,00</v>
          </cell>
          <cell r="H2298" t="str">
            <v>927.275,09</v>
          </cell>
          <cell r="I2298">
            <v>927275.09</v>
          </cell>
          <cell r="J2298" t="str">
            <v>VERIFICAR</v>
          </cell>
        </row>
        <row r="2299">
          <cell r="A2299" t="str">
            <v>2.1.1.5.02.00002</v>
          </cell>
          <cell r="B2299" t="str">
            <v>PIS S/ RECEITA</v>
          </cell>
          <cell r="C2299" t="str">
            <v>11.943.069,29</v>
          </cell>
          <cell r="D2299" t="str">
            <v>12.004.192,53</v>
          </cell>
          <cell r="E2299" t="str">
            <v>218.140,41</v>
          </cell>
          <cell r="F2299" t="str">
            <v>236.176,39</v>
          </cell>
          <cell r="G2299" t="str">
            <v>0,00</v>
          </cell>
          <cell r="H2299" t="str">
            <v>79.159,22</v>
          </cell>
          <cell r="I2299">
            <v>79159.22</v>
          </cell>
          <cell r="J2299" t="str">
            <v>VERIFICAR</v>
          </cell>
        </row>
        <row r="2300">
          <cell r="A2300" t="str">
            <v>2.1.1.5.02.00003</v>
          </cell>
          <cell r="B2300" t="str">
            <v>INSS TERCEIROS</v>
          </cell>
          <cell r="C2300" t="str">
            <v>230.728,62</v>
          </cell>
          <cell r="D2300" t="str">
            <v>238.128,32</v>
          </cell>
          <cell r="E2300" t="str">
            <v>0,00</v>
          </cell>
          <cell r="F2300" t="str">
            <v>737,00</v>
          </cell>
          <cell r="G2300" t="str">
            <v>0,00</v>
          </cell>
          <cell r="H2300" t="str">
            <v>8.136,70</v>
          </cell>
          <cell r="I2300">
            <v>8136.7</v>
          </cell>
          <cell r="J2300" t="str">
            <v>VERIFICAR</v>
          </cell>
        </row>
        <row r="2301">
          <cell r="A2301" t="str">
            <v>2.1.1.5.02.00004</v>
          </cell>
          <cell r="B2301" t="str">
            <v>CONTRIBUICOES DE TERC. (PIS/COFINS/CSLL)</v>
          </cell>
          <cell r="C2301" t="str">
            <v>147.111,82</v>
          </cell>
          <cell r="D2301" t="str">
            <v>145.816,78</v>
          </cell>
          <cell r="E2301" t="str">
            <v>4.390,06</v>
          </cell>
          <cell r="F2301" t="str">
            <v>3.229,66</v>
          </cell>
          <cell r="G2301" t="str">
            <v>2.455,44</v>
          </cell>
          <cell r="H2301" t="str">
            <v>0,00</v>
          </cell>
          <cell r="I2301">
            <v>-2455.44</v>
          </cell>
          <cell r="J2301" t="str">
            <v>VERIFICAR</v>
          </cell>
        </row>
        <row r="2302">
          <cell r="A2302" t="str">
            <v>2.1.1.5.02.00008</v>
          </cell>
          <cell r="B2302" t="str">
            <v>PROVISAO - CREDITO INSS - PROCESSO ACIC</v>
          </cell>
          <cell r="C2302" t="str">
            <v>31.775,33</v>
          </cell>
          <cell r="D2302" t="str">
            <v>226.110,66</v>
          </cell>
          <cell r="E2302" t="str">
            <v>0,00</v>
          </cell>
          <cell r="F2302" t="str">
            <v>0,00</v>
          </cell>
          <cell r="G2302" t="str">
            <v>0,00</v>
          </cell>
          <cell r="H2302" t="str">
            <v>194.335,33</v>
          </cell>
          <cell r="I2302">
            <v>194335.33</v>
          </cell>
          <cell r="J2302" t="str">
            <v>VERIFICAR</v>
          </cell>
        </row>
        <row r="2303">
          <cell r="A2303" t="str">
            <v>2.1.1.7</v>
          </cell>
          <cell r="B2303" t="str">
            <v>DIVIDENDOS E JUROS CAPITAL PROPRIO</v>
          </cell>
          <cell r="C2303" t="str">
            <v>0,00</v>
          </cell>
          <cell r="D2303" t="str">
            <v>0,00</v>
          </cell>
          <cell r="E2303" t="str">
            <v>83.900,00</v>
          </cell>
          <cell r="F2303" t="str">
            <v>0,00</v>
          </cell>
          <cell r="G2303" t="str">
            <v>0,00</v>
          </cell>
          <cell r="H2303" t="str">
            <v>3.503.400,00</v>
          </cell>
          <cell r="I2303">
            <v>3503400</v>
          </cell>
          <cell r="J2303" t="str">
            <v>VERIFICAR</v>
          </cell>
        </row>
        <row r="2304">
          <cell r="A2304" t="str">
            <v>2.1.1.7.01</v>
          </cell>
          <cell r="B2304" t="str">
            <v>DIVIDENDOS</v>
          </cell>
          <cell r="C2304" t="str">
            <v>0,00</v>
          </cell>
          <cell r="D2304" t="str">
            <v>0,00</v>
          </cell>
          <cell r="E2304" t="str">
            <v>83.900,00</v>
          </cell>
          <cell r="F2304" t="str">
            <v>0,00</v>
          </cell>
          <cell r="G2304" t="str">
            <v>0,00</v>
          </cell>
          <cell r="H2304" t="str">
            <v>3.503.400,00</v>
          </cell>
          <cell r="I2304">
            <v>3503400</v>
          </cell>
          <cell r="J2304" t="str">
            <v>VERIFICAR</v>
          </cell>
        </row>
        <row r="2305">
          <cell r="A2305" t="str">
            <v>2.1.1.7.01.00001</v>
          </cell>
          <cell r="B2305" t="str">
            <v>ANDRE GARCIA FILHO</v>
          </cell>
          <cell r="C2305" t="str">
            <v>15.461.931,10</v>
          </cell>
          <cell r="D2305" t="str">
            <v>17.753.631,10</v>
          </cell>
          <cell r="E2305" t="str">
            <v>78.900,00</v>
          </cell>
          <cell r="F2305" t="str">
            <v>0,00</v>
          </cell>
          <cell r="G2305" t="str">
            <v>0,00</v>
          </cell>
          <cell r="H2305" t="str">
            <v>2.212.800,00</v>
          </cell>
          <cell r="I2305">
            <v>2212800</v>
          </cell>
          <cell r="J2305" t="str">
            <v>VERIFICAR</v>
          </cell>
        </row>
        <row r="2306">
          <cell r="A2306" t="str">
            <v>2.1.1.7.01.00002</v>
          </cell>
          <cell r="B2306" t="str">
            <v>ALEX BERTOLDO PACHECO</v>
          </cell>
          <cell r="C2306" t="str">
            <v>6.951.938,87</v>
          </cell>
          <cell r="D2306" t="str">
            <v>8.247.538,87</v>
          </cell>
          <cell r="E2306" t="str">
            <v>5.000,00</v>
          </cell>
          <cell r="F2306" t="str">
            <v>0,00</v>
          </cell>
          <cell r="G2306" t="str">
            <v>0,00</v>
          </cell>
          <cell r="H2306" t="str">
            <v>1.290.600,00</v>
          </cell>
          <cell r="I2306">
            <v>1290600</v>
          </cell>
          <cell r="J2306" t="str">
            <v>VERIFICAR</v>
          </cell>
        </row>
        <row r="2307">
          <cell r="A2307" t="str">
            <v>2.1.1.8</v>
          </cell>
          <cell r="B2307" t="str">
            <v>ADIANTAMENTO CLIENTES</v>
          </cell>
          <cell r="C2307" t="str">
            <v>0,00</v>
          </cell>
          <cell r="D2307" t="str">
            <v>0,00</v>
          </cell>
          <cell r="E2307" t="str">
            <v>3.505.748,49</v>
          </cell>
          <cell r="F2307" t="str">
            <v>3.361.406,75</v>
          </cell>
          <cell r="G2307" t="str">
            <v>0,00</v>
          </cell>
          <cell r="H2307" t="str">
            <v>6.869.687,98</v>
          </cell>
          <cell r="I2307">
            <v>6869687.9800000004</v>
          </cell>
          <cell r="J2307" t="str">
            <v>VERIFICAR</v>
          </cell>
        </row>
        <row r="2308">
          <cell r="A2308" t="str">
            <v>2.1.1.8.01</v>
          </cell>
          <cell r="B2308" t="str">
            <v>ADIANTAMENTO CLIENTES</v>
          </cell>
          <cell r="C2308" t="str">
            <v>0,00</v>
          </cell>
          <cell r="D2308" t="str">
            <v>0,00</v>
          </cell>
          <cell r="E2308" t="str">
            <v>3.505.748,49</v>
          </cell>
          <cell r="F2308" t="str">
            <v>3.361.406,75</v>
          </cell>
          <cell r="G2308" t="str">
            <v>0,00</v>
          </cell>
          <cell r="H2308" t="str">
            <v>6.869.687,98</v>
          </cell>
          <cell r="I2308">
            <v>6869687.9800000004</v>
          </cell>
          <cell r="J2308" t="str">
            <v>VERIFICAR</v>
          </cell>
        </row>
        <row r="2309">
          <cell r="A2309" t="str">
            <v>2.1.1.8.01.00001</v>
          </cell>
          <cell r="B2309" t="str">
            <v>ADIANTAMENTO DE CLIENTES</v>
          </cell>
          <cell r="C2309" t="str">
            <v>206.122.640,61</v>
          </cell>
          <cell r="D2309" t="str">
            <v>212.372.003,67</v>
          </cell>
          <cell r="E2309" t="str">
            <v>3.087.748,49</v>
          </cell>
          <cell r="F2309" t="str">
            <v>3.168.906,75</v>
          </cell>
          <cell r="G2309" t="str">
            <v>0,00</v>
          </cell>
          <cell r="H2309" t="str">
            <v>6.330.521,32</v>
          </cell>
          <cell r="I2309">
            <v>6330521.3200000003</v>
          </cell>
          <cell r="J2309" t="str">
            <v>VERIFICAR</v>
          </cell>
        </row>
        <row r="2310">
          <cell r="A2310" t="str">
            <v>2.1.1.8.01.00003</v>
          </cell>
          <cell r="B2310" t="str">
            <v>CLIENTES-VENDAS P/ ENTREGA FUTURA</v>
          </cell>
          <cell r="C2310" t="str">
            <v>15.386.747,08</v>
          </cell>
          <cell r="D2310" t="str">
            <v>16.151.413,74</v>
          </cell>
          <cell r="E2310" t="str">
            <v>418.000,00</v>
          </cell>
          <cell r="F2310" t="str">
            <v>192.500,00</v>
          </cell>
          <cell r="G2310" t="str">
            <v>0,00</v>
          </cell>
          <cell r="H2310" t="str">
            <v>539.166,66</v>
          </cell>
          <cell r="I2310">
            <v>539166.66</v>
          </cell>
          <cell r="J2310" t="str">
            <v>VERIFICAR</v>
          </cell>
        </row>
        <row r="2311">
          <cell r="A2311" t="str">
            <v>2.3</v>
          </cell>
          <cell r="B2311" t="str">
            <v>NAO CIRCULANTE</v>
          </cell>
          <cell r="C2311" t="str">
            <v>0,00</v>
          </cell>
          <cell r="D2311" t="str">
            <v>0,00</v>
          </cell>
          <cell r="E2311" t="str">
            <v>1.455.135,34</v>
          </cell>
          <cell r="F2311" t="str">
            <v>208.975,01</v>
          </cell>
          <cell r="G2311" t="str">
            <v>0,00</v>
          </cell>
          <cell r="H2311" t="str">
            <v>19.078.740,59</v>
          </cell>
          <cell r="I2311">
            <v>19078740.59</v>
          </cell>
          <cell r="J2311" t="str">
            <v>VERIFICAR</v>
          </cell>
        </row>
        <row r="2312">
          <cell r="A2312" t="str">
            <v>2.3.1</v>
          </cell>
          <cell r="B2312" t="str">
            <v>EMPRESTIMOS DE TERCEIROS</v>
          </cell>
          <cell r="C2312" t="str">
            <v>0,00</v>
          </cell>
          <cell r="D2312" t="str">
            <v>0,00</v>
          </cell>
          <cell r="E2312" t="str">
            <v>1.455.135,34</v>
          </cell>
          <cell r="F2312" t="str">
            <v>208.975,01</v>
          </cell>
          <cell r="G2312" t="str">
            <v>0,00</v>
          </cell>
          <cell r="H2312" t="str">
            <v>11.065.140,59</v>
          </cell>
          <cell r="I2312">
            <v>11065140.59</v>
          </cell>
          <cell r="J2312" t="str">
            <v>VERIFICAR</v>
          </cell>
        </row>
        <row r="2313">
          <cell r="A2313" t="str">
            <v>2.3.1.1</v>
          </cell>
          <cell r="B2313" t="str">
            <v>EMPRESTIMOS DE TERCEIROS</v>
          </cell>
          <cell r="C2313" t="str">
            <v>0,00</v>
          </cell>
          <cell r="D2313" t="str">
            <v>0,00</v>
          </cell>
          <cell r="E2313" t="str">
            <v>1.455.135,34</v>
          </cell>
          <cell r="F2313" t="str">
            <v>208.975,01</v>
          </cell>
          <cell r="G2313" t="str">
            <v>0,00</v>
          </cell>
          <cell r="H2313" t="str">
            <v>11.065.140,59</v>
          </cell>
          <cell r="I2313">
            <v>11065140.59</v>
          </cell>
          <cell r="J2313" t="str">
            <v>VERIFICAR</v>
          </cell>
        </row>
        <row r="2314">
          <cell r="A2314" t="str">
            <v>2.3.1.1.02</v>
          </cell>
          <cell r="B2314" t="str">
            <v>EMPRESTIMOS - ATIVO FIXO</v>
          </cell>
          <cell r="C2314" t="str">
            <v>0,00</v>
          </cell>
          <cell r="D2314" t="str">
            <v>0,00</v>
          </cell>
          <cell r="E2314" t="str">
            <v>426.571,24</v>
          </cell>
          <cell r="F2314" t="str">
            <v>0,00</v>
          </cell>
          <cell r="G2314" t="str">
            <v>0,00</v>
          </cell>
          <cell r="H2314" t="str">
            <v>782.074,95</v>
          </cell>
          <cell r="I2314">
            <v>782074.95</v>
          </cell>
          <cell r="J2314" t="str">
            <v>VERIFICAR</v>
          </cell>
        </row>
        <row r="2315">
          <cell r="A2315" t="str">
            <v>2.3.1.1.02.00055</v>
          </cell>
          <cell r="B2315" t="str">
            <v>ITAU CDC - SAVEIRO 23490067</v>
          </cell>
          <cell r="C2315" t="str">
            <v>42.348,13</v>
          </cell>
          <cell r="D2315" t="str">
            <v>42.348,24</v>
          </cell>
          <cell r="E2315" t="str">
            <v>0,00</v>
          </cell>
          <cell r="F2315" t="str">
            <v>0,00</v>
          </cell>
          <cell r="G2315" t="str">
            <v>0,00</v>
          </cell>
          <cell r="H2315" t="str">
            <v>0,11</v>
          </cell>
          <cell r="I2315">
            <v>0.11</v>
          </cell>
          <cell r="J2315" t="str">
            <v>VERIFICAR</v>
          </cell>
        </row>
        <row r="2316">
          <cell r="A2316" t="str">
            <v>2.3.1.1.02.00057</v>
          </cell>
          <cell r="B2316" t="str">
            <v>BANCO CNH CDB - IVECO TRACTOR</v>
          </cell>
          <cell r="C2316" t="str">
            <v>198.063,69</v>
          </cell>
          <cell r="D2316" t="str">
            <v>263.730,33</v>
          </cell>
          <cell r="E2316" t="str">
            <v>6.279,40</v>
          </cell>
          <cell r="F2316" t="str">
            <v>0,00</v>
          </cell>
          <cell r="G2316" t="str">
            <v>0,00</v>
          </cell>
          <cell r="H2316" t="str">
            <v>59.387,24</v>
          </cell>
          <cell r="I2316">
            <v>59387.24</v>
          </cell>
          <cell r="J2316" t="str">
            <v>VERIFICAR</v>
          </cell>
        </row>
        <row r="2317">
          <cell r="A2317" t="str">
            <v>2.3.1.1.02.00058</v>
          </cell>
          <cell r="B2317" t="str">
            <v>(-) ENCARGOS BANCO CNH CDB - IVECO TRACT</v>
          </cell>
          <cell r="C2317" t="str">
            <v>65.257,43</v>
          </cell>
          <cell r="D2317" t="str">
            <v>68.885,79</v>
          </cell>
          <cell r="E2317" t="str">
            <v>650,10</v>
          </cell>
          <cell r="F2317" t="str">
            <v>0,00</v>
          </cell>
          <cell r="G2317" t="str">
            <v>0,00</v>
          </cell>
          <cell r="H2317" t="str">
            <v>2.978,26</v>
          </cell>
          <cell r="I2317">
            <v>2978.26</v>
          </cell>
          <cell r="J2317" t="str">
            <v>VERIFICAR</v>
          </cell>
        </row>
        <row r="2318">
          <cell r="A2318" t="str">
            <v>2.3.1.1.02.00059</v>
          </cell>
          <cell r="B2318" t="str">
            <v>ITAU CDC - SAVEIRO 24321932</v>
          </cell>
          <cell r="C2318" t="str">
            <v>80.972,38</v>
          </cell>
          <cell r="D2318" t="str">
            <v>80.971,41</v>
          </cell>
          <cell r="E2318" t="str">
            <v>0,00</v>
          </cell>
          <cell r="F2318" t="str">
            <v>0,00</v>
          </cell>
          <cell r="G2318" t="str">
            <v>0,97</v>
          </cell>
          <cell r="H2318" t="str">
            <v>0,00</v>
          </cell>
          <cell r="I2318">
            <v>-0.97</v>
          </cell>
          <cell r="J2318" t="str">
            <v>VERIFICAR</v>
          </cell>
        </row>
        <row r="2319">
          <cell r="A2319" t="str">
            <v>2.3.1.1.02.00060</v>
          </cell>
          <cell r="B2319" t="str">
            <v>(-) ENCARGOS ITAU CDC - SAVEIRO 24321932</v>
          </cell>
          <cell r="C2319" t="str">
            <v>19.838,20</v>
          </cell>
          <cell r="D2319" t="str">
            <v>19.838,21</v>
          </cell>
          <cell r="E2319" t="str">
            <v>0,00</v>
          </cell>
          <cell r="F2319" t="str">
            <v>0,00</v>
          </cell>
          <cell r="G2319" t="str">
            <v>0,00</v>
          </cell>
          <cell r="H2319" t="str">
            <v>0,01</v>
          </cell>
          <cell r="I2319">
            <v>0.01</v>
          </cell>
          <cell r="J2319" t="str">
            <v>VERIFICAR</v>
          </cell>
        </row>
        <row r="2320">
          <cell r="A2320" t="str">
            <v>2.3.1.1.02.00062</v>
          </cell>
          <cell r="B2320" t="str">
            <v>(-) ENCARGOS SANTADER CDC - POLO 6720</v>
          </cell>
          <cell r="C2320" t="str">
            <v>9.727,34</v>
          </cell>
          <cell r="D2320" t="str">
            <v>9.727,35</v>
          </cell>
          <cell r="E2320" t="str">
            <v>0,00</v>
          </cell>
          <cell r="F2320" t="str">
            <v>0,00</v>
          </cell>
          <cell r="G2320" t="str">
            <v>0,00</v>
          </cell>
          <cell r="H2320" t="str">
            <v>0,01</v>
          </cell>
          <cell r="I2320">
            <v>0.01</v>
          </cell>
          <cell r="J2320" t="str">
            <v>VERIFICAR</v>
          </cell>
        </row>
        <row r="2321">
          <cell r="A2321" t="str">
            <v>2.3.1.1.02.00063</v>
          </cell>
          <cell r="B2321" t="str">
            <v>SANTANDER FINIMP 4131</v>
          </cell>
          <cell r="C2321" t="str">
            <v>1.933.333,43</v>
          </cell>
          <cell r="D2321" t="str">
            <v>2.000.000,00</v>
          </cell>
          <cell r="E2321" t="str">
            <v>66.666,67</v>
          </cell>
          <cell r="F2321" t="str">
            <v>0,00</v>
          </cell>
          <cell r="G2321" t="str">
            <v>0,10</v>
          </cell>
          <cell r="H2321" t="str">
            <v>0,00</v>
          </cell>
          <cell r="I2321">
            <v>-0.1</v>
          </cell>
          <cell r="J2321" t="str">
            <v>VERIFICAR</v>
          </cell>
        </row>
        <row r="2322">
          <cell r="A2322" t="str">
            <v>2.3.1.1.02.00064</v>
          </cell>
          <cell r="B2322" t="str">
            <v>(-) ENCARGOS SANTANDER FINIMP 4131</v>
          </cell>
          <cell r="C2322" t="str">
            <v>456.312,59</v>
          </cell>
          <cell r="D2322" t="str">
            <v>457.042,54</v>
          </cell>
          <cell r="E2322" t="str">
            <v>729,95</v>
          </cell>
          <cell r="F2322" t="str">
            <v>0,00</v>
          </cell>
          <cell r="G2322" t="str">
            <v>0,00</v>
          </cell>
          <cell r="H2322" t="str">
            <v>0,00</v>
          </cell>
          <cell r="I2322">
            <v>0</v>
          </cell>
          <cell r="J2322" t="str">
            <v>VERIFICAR</v>
          </cell>
        </row>
        <row r="2323">
          <cell r="A2323" t="str">
            <v>2.3.1.1.02.00065</v>
          </cell>
          <cell r="B2323" t="str">
            <v>ITAU 4131</v>
          </cell>
          <cell r="C2323" t="str">
            <v>9.213.205,00</v>
          </cell>
          <cell r="D2323" t="str">
            <v>10.050.592,00</v>
          </cell>
          <cell r="E2323" t="str">
            <v>279.188,03</v>
          </cell>
          <cell r="F2323" t="str">
            <v>0,00</v>
          </cell>
          <cell r="G2323" t="str">
            <v>0,00</v>
          </cell>
          <cell r="H2323" t="str">
            <v>558.198,97</v>
          </cell>
          <cell r="I2323">
            <v>558198.97</v>
          </cell>
          <cell r="J2323" t="str">
            <v>VERIFICAR</v>
          </cell>
        </row>
        <row r="2324">
          <cell r="A2324" t="str">
            <v>2.3.1.1.02.00066</v>
          </cell>
          <cell r="B2324" t="str">
            <v>(-) ENCARGOS ITAU 4131</v>
          </cell>
          <cell r="C2324" t="str">
            <v>2.076.412,42</v>
          </cell>
          <cell r="D2324" t="str">
            <v>2.274.690,93</v>
          </cell>
          <cell r="E2324" t="str">
            <v>65.201,39</v>
          </cell>
          <cell r="F2324" t="str">
            <v>0,00</v>
          </cell>
          <cell r="G2324" t="str">
            <v>0,00</v>
          </cell>
          <cell r="H2324" t="str">
            <v>133.077,12</v>
          </cell>
          <cell r="I2324">
            <v>133077.12</v>
          </cell>
          <cell r="J2324" t="str">
            <v>VERIFICAR</v>
          </cell>
        </row>
        <row r="2325">
          <cell r="A2325" t="str">
            <v>2.3.1.1.02.00067</v>
          </cell>
          <cell r="B2325" t="str">
            <v>COMISSAO 4131 ITAU</v>
          </cell>
          <cell r="C2325" t="str">
            <v>127.784,57</v>
          </cell>
          <cell r="D2325" t="str">
            <v>128.944,51</v>
          </cell>
          <cell r="E2325" t="str">
            <v>615,80</v>
          </cell>
          <cell r="F2325" t="str">
            <v>0,00</v>
          </cell>
          <cell r="G2325" t="str">
            <v>0,00</v>
          </cell>
          <cell r="H2325" t="str">
            <v>544,14</v>
          </cell>
          <cell r="I2325">
            <v>544.14</v>
          </cell>
          <cell r="J2325" t="str">
            <v>VERIFICAR</v>
          </cell>
        </row>
        <row r="2326">
          <cell r="A2326" t="str">
            <v>2.3.1.1.02.00068</v>
          </cell>
          <cell r="B2326" t="str">
            <v>SANTANDER CDC635413</v>
          </cell>
          <cell r="C2326" t="str">
            <v>74.106,06</v>
          </cell>
          <cell r="D2326" t="str">
            <v>78.465,30</v>
          </cell>
          <cell r="E2326" t="str">
            <v>2.179,59</v>
          </cell>
          <cell r="F2326" t="str">
            <v>0,00</v>
          </cell>
          <cell r="G2326" t="str">
            <v>0,00</v>
          </cell>
          <cell r="H2326" t="str">
            <v>2.179,65</v>
          </cell>
          <cell r="I2326">
            <v>2179.65</v>
          </cell>
          <cell r="J2326" t="str">
            <v>VERIFICAR</v>
          </cell>
        </row>
        <row r="2327">
          <cell r="A2327" t="str">
            <v>2.3.1.1.02.00069</v>
          </cell>
          <cell r="B2327" t="str">
            <v>(-) ENCARGOS SANTANDER CDC635413</v>
          </cell>
          <cell r="C2327" t="str">
            <v>22.531,46</v>
          </cell>
          <cell r="D2327" t="str">
            <v>23.856,84</v>
          </cell>
          <cell r="E2327" t="str">
            <v>662,69</v>
          </cell>
          <cell r="F2327" t="str">
            <v>0,00</v>
          </cell>
          <cell r="G2327" t="str">
            <v>0,00</v>
          </cell>
          <cell r="H2327" t="str">
            <v>662,69</v>
          </cell>
          <cell r="I2327">
            <v>662.69</v>
          </cell>
          <cell r="J2327" t="str">
            <v>VERIFICAR</v>
          </cell>
        </row>
        <row r="2328">
          <cell r="A2328" t="str">
            <v>2.3.1.1.02.00070</v>
          </cell>
          <cell r="B2328" t="str">
            <v>SANTANDER CDC002348821</v>
          </cell>
          <cell r="C2328" t="str">
            <v>65.088,90</v>
          </cell>
          <cell r="D2328" t="str">
            <v>78.106,51</v>
          </cell>
          <cell r="E2328" t="str">
            <v>2.169,63</v>
          </cell>
          <cell r="F2328" t="str">
            <v>0,00</v>
          </cell>
          <cell r="G2328" t="str">
            <v>0,00</v>
          </cell>
          <cell r="H2328" t="str">
            <v>10.847,98</v>
          </cell>
          <cell r="I2328">
            <v>10847.98</v>
          </cell>
          <cell r="J2328" t="str">
            <v>VERIFICAR</v>
          </cell>
        </row>
        <row r="2329">
          <cell r="A2329" t="str">
            <v>2.3.1.1.02.00071</v>
          </cell>
          <cell r="B2329" t="str">
            <v>(-) ENCARGOS SANTANDER CDC002348821</v>
          </cell>
          <cell r="C2329" t="str">
            <v>20.941,20</v>
          </cell>
          <cell r="D2329" t="str">
            <v>25.129,44</v>
          </cell>
          <cell r="E2329" t="str">
            <v>698,04</v>
          </cell>
          <cell r="F2329" t="str">
            <v>0,00</v>
          </cell>
          <cell r="G2329" t="str">
            <v>0,00</v>
          </cell>
          <cell r="H2329" t="str">
            <v>3.490,20</v>
          </cell>
          <cell r="I2329">
            <v>3490.2</v>
          </cell>
          <cell r="J2329" t="str">
            <v>VERIFICAR</v>
          </cell>
        </row>
        <row r="2330">
          <cell r="A2330" t="str">
            <v>2.3.1.1.02.00072</v>
          </cell>
          <cell r="B2330" t="str">
            <v>SAFRA VINCULADA SAVEIRO 001334455</v>
          </cell>
          <cell r="C2330" t="str">
            <v>32.408,88</v>
          </cell>
          <cell r="D2330" t="str">
            <v>41.668,55</v>
          </cell>
          <cell r="E2330" t="str">
            <v>1.157,46</v>
          </cell>
          <cell r="F2330" t="str">
            <v>0,00</v>
          </cell>
          <cell r="G2330" t="str">
            <v>0,00</v>
          </cell>
          <cell r="H2330" t="str">
            <v>8.102,21</v>
          </cell>
          <cell r="I2330">
            <v>8102.21</v>
          </cell>
          <cell r="J2330" t="str">
            <v>VERIFICAR</v>
          </cell>
        </row>
        <row r="2331">
          <cell r="A2331" t="str">
            <v>2.3.1.1.02.00073</v>
          </cell>
          <cell r="B2331" t="str">
            <v>(-) ENCARGOS SAFRA SAVEIRO 001334455</v>
          </cell>
          <cell r="C2331" t="str">
            <v>10.429,72</v>
          </cell>
          <cell r="D2331" t="str">
            <v>13.409,64</v>
          </cell>
          <cell r="E2331" t="str">
            <v>372,49</v>
          </cell>
          <cell r="F2331" t="str">
            <v>0,00</v>
          </cell>
          <cell r="G2331" t="str">
            <v>0,00</v>
          </cell>
          <cell r="H2331" t="str">
            <v>2.607,43</v>
          </cell>
          <cell r="I2331">
            <v>2607.4299999999998</v>
          </cell>
          <cell r="J2331" t="str">
            <v>VERIFICAR</v>
          </cell>
        </row>
        <row r="2332">
          <cell r="A2332" t="str">
            <v>2.3.1.1.03</v>
          </cell>
          <cell r="B2332" t="str">
            <v>FINANCIAMENTO DE IMPORTACAO</v>
          </cell>
          <cell r="C2332" t="str">
            <v>0,00</v>
          </cell>
          <cell r="D2332" t="str">
            <v>0,00</v>
          </cell>
          <cell r="E2332" t="str">
            <v>1.028.564,10</v>
          </cell>
          <cell r="F2332" t="str">
            <v>208.975,01</v>
          </cell>
          <cell r="G2332" t="str">
            <v>0,00</v>
          </cell>
          <cell r="H2332" t="str">
            <v>10.283.065,64</v>
          </cell>
          <cell r="I2332">
            <v>10283065.640000001</v>
          </cell>
          <cell r="J2332" t="str">
            <v>VERIFICAR</v>
          </cell>
        </row>
        <row r="2333">
          <cell r="A2333" t="str">
            <v>2.3.1.1.03.00010</v>
          </cell>
          <cell r="B2333" t="str">
            <v>FINIMP ITAU - EDT 138</v>
          </cell>
          <cell r="C2333" t="str">
            <v>857.339,87</v>
          </cell>
          <cell r="D2333" t="str">
            <v>857.339,83</v>
          </cell>
          <cell r="E2333" t="str">
            <v>0,00</v>
          </cell>
          <cell r="F2333" t="str">
            <v>0,00</v>
          </cell>
          <cell r="G2333" t="str">
            <v>0,04</v>
          </cell>
          <cell r="H2333" t="str">
            <v>0,00</v>
          </cell>
          <cell r="I2333">
            <v>-0.04</v>
          </cell>
          <cell r="J2333" t="str">
            <v>VERIFICAR</v>
          </cell>
        </row>
        <row r="2334">
          <cell r="A2334" t="str">
            <v>2.3.1.1.03.00033</v>
          </cell>
          <cell r="B2334" t="str">
            <v>FINIMP ITAU - EDT 162 E EDT 164</v>
          </cell>
          <cell r="C2334" t="str">
            <v>1.671.137,31</v>
          </cell>
          <cell r="D2334" t="str">
            <v>1.671.137,52</v>
          </cell>
          <cell r="E2334" t="str">
            <v>0,00</v>
          </cell>
          <cell r="F2334" t="str">
            <v>0,00</v>
          </cell>
          <cell r="G2334" t="str">
            <v>0,00</v>
          </cell>
          <cell r="H2334" t="str">
            <v>0,21</v>
          </cell>
          <cell r="I2334">
            <v>0.21</v>
          </cell>
          <cell r="J2334" t="str">
            <v>VERIFICAR</v>
          </cell>
        </row>
        <row r="2335">
          <cell r="A2335" t="str">
            <v>2.3.1.1.03.00034</v>
          </cell>
          <cell r="B2335" t="str">
            <v>(-) ENCARGOS FINIMP ITAU - EDT 162 E 164</v>
          </cell>
          <cell r="C2335" t="str">
            <v>113.838,51</v>
          </cell>
          <cell r="D2335" t="str">
            <v>113.838,50</v>
          </cell>
          <cell r="E2335" t="str">
            <v>0,00</v>
          </cell>
          <cell r="F2335" t="str">
            <v>0,00</v>
          </cell>
          <cell r="G2335" t="str">
            <v>0,01</v>
          </cell>
          <cell r="H2335" t="str">
            <v>0,00</v>
          </cell>
          <cell r="I2335">
            <v>-0.01</v>
          </cell>
          <cell r="J2335" t="str">
            <v>VERIFICAR</v>
          </cell>
        </row>
        <row r="2336">
          <cell r="A2336" t="str">
            <v>2.3.1.1.03.00039</v>
          </cell>
          <cell r="B2336" t="str">
            <v>(-) ENCARGOS FININP SANT TREVI 49</v>
          </cell>
          <cell r="C2336" t="str">
            <v>19.105,34</v>
          </cell>
          <cell r="D2336" t="str">
            <v>19.105,35</v>
          </cell>
          <cell r="E2336" t="str">
            <v>0,00</v>
          </cell>
          <cell r="F2336" t="str">
            <v>0,00</v>
          </cell>
          <cell r="G2336" t="str">
            <v>0,00</v>
          </cell>
          <cell r="H2336" t="str">
            <v>0,01</v>
          </cell>
          <cell r="I2336">
            <v>0.01</v>
          </cell>
          <cell r="J2336" t="str">
            <v>VERIFICAR</v>
          </cell>
        </row>
        <row r="2337">
          <cell r="A2337" t="str">
            <v>2.3.1.1.03.00041</v>
          </cell>
          <cell r="B2337" t="str">
            <v>(-) ENCARGOS FININP SANTANDER EDT167 170</v>
          </cell>
          <cell r="C2337" t="str">
            <v>70.879,88</v>
          </cell>
          <cell r="D2337" t="str">
            <v>70.879,87</v>
          </cell>
          <cell r="E2337" t="str">
            <v>0,00</v>
          </cell>
          <cell r="F2337" t="str">
            <v>0,00</v>
          </cell>
          <cell r="G2337" t="str">
            <v>0,01</v>
          </cell>
          <cell r="H2337" t="str">
            <v>0,00</v>
          </cell>
          <cell r="I2337">
            <v>-0.01</v>
          </cell>
          <cell r="J2337" t="str">
            <v>VERIFICAR</v>
          </cell>
        </row>
        <row r="2338">
          <cell r="A2338" t="str">
            <v>2.3.1.1.03.00042</v>
          </cell>
          <cell r="B2338" t="str">
            <v>FINIMP FINIMP ITAU EDT 171 169</v>
          </cell>
          <cell r="C2338" t="str">
            <v>1.686.155,53</v>
          </cell>
          <cell r="D2338" t="str">
            <v>1.686.155,54</v>
          </cell>
          <cell r="E2338" t="str">
            <v>0,00</v>
          </cell>
          <cell r="F2338" t="str">
            <v>0,00</v>
          </cell>
          <cell r="G2338" t="str">
            <v>0,00</v>
          </cell>
          <cell r="H2338" t="str">
            <v>0,01</v>
          </cell>
          <cell r="I2338">
            <v>0.01</v>
          </cell>
          <cell r="J2338" t="str">
            <v>VERIFICAR</v>
          </cell>
        </row>
        <row r="2339">
          <cell r="A2339" t="str">
            <v>2.3.1.1.03.00043</v>
          </cell>
          <cell r="B2339" t="str">
            <v>(-) ENCARGOS FINIMP ITAU EDT 171 169</v>
          </cell>
          <cell r="C2339" t="str">
            <v>96.697,99</v>
          </cell>
          <cell r="D2339" t="str">
            <v>96.697,98</v>
          </cell>
          <cell r="E2339" t="str">
            <v>0,00</v>
          </cell>
          <cell r="F2339" t="str">
            <v>0,00</v>
          </cell>
          <cell r="G2339" t="str">
            <v>0,01</v>
          </cell>
          <cell r="H2339" t="str">
            <v>0,00</v>
          </cell>
          <cell r="I2339">
            <v>-0.01</v>
          </cell>
          <cell r="J2339" t="str">
            <v>VERIFICAR</v>
          </cell>
        </row>
        <row r="2340">
          <cell r="A2340" t="str">
            <v>2.3.1.1.03.00045</v>
          </cell>
          <cell r="B2340" t="str">
            <v>FINIMP SANTANDER EDT 168 LONGO PRAZO</v>
          </cell>
          <cell r="C2340" t="str">
            <v>687.225,54</v>
          </cell>
          <cell r="D2340" t="str">
            <v>687.225,53</v>
          </cell>
          <cell r="E2340" t="str">
            <v>0,00</v>
          </cell>
          <cell r="F2340" t="str">
            <v>0,00</v>
          </cell>
          <cell r="G2340" t="str">
            <v>0,01</v>
          </cell>
          <cell r="H2340" t="str">
            <v>0,00</v>
          </cell>
          <cell r="I2340">
            <v>-0.01</v>
          </cell>
          <cell r="J2340" t="str">
            <v>VERIFICAR</v>
          </cell>
        </row>
        <row r="2341">
          <cell r="A2341" t="str">
            <v>2.3.1.1.03.00046</v>
          </cell>
          <cell r="B2341" t="str">
            <v>(-) ENCARGOS FINIMP SANTANDER EDT 168</v>
          </cell>
          <cell r="C2341" t="str">
            <v>45.492,03</v>
          </cell>
          <cell r="D2341" t="str">
            <v>45.492,05</v>
          </cell>
          <cell r="E2341" t="str">
            <v>0,00</v>
          </cell>
          <cell r="F2341" t="str">
            <v>0,00</v>
          </cell>
          <cell r="G2341" t="str">
            <v>0,00</v>
          </cell>
          <cell r="H2341" t="str">
            <v>0,02</v>
          </cell>
          <cell r="I2341">
            <v>0.02</v>
          </cell>
          <cell r="J2341" t="str">
            <v>VERIFICAR</v>
          </cell>
        </row>
        <row r="2342">
          <cell r="A2342" t="str">
            <v>2.3.1.1.03.00048</v>
          </cell>
          <cell r="B2342" t="str">
            <v>(-) ENCARGO FINIMP SANTANDER EDT 173 174</v>
          </cell>
          <cell r="C2342" t="str">
            <v>85.037,42</v>
          </cell>
          <cell r="D2342" t="str">
            <v>85.037,41</v>
          </cell>
          <cell r="E2342" t="str">
            <v>0,00</v>
          </cell>
          <cell r="F2342" t="str">
            <v>0,00</v>
          </cell>
          <cell r="G2342" t="str">
            <v>0,01</v>
          </cell>
          <cell r="H2342" t="str">
            <v>0,00</v>
          </cell>
          <cell r="I2342">
            <v>-0.01</v>
          </cell>
          <cell r="J2342" t="str">
            <v>VERIFICAR</v>
          </cell>
        </row>
        <row r="2343">
          <cell r="A2343" t="str">
            <v>2.3.1.1.03.00050</v>
          </cell>
          <cell r="B2343" t="str">
            <v>(-) ENCARGOS FINIMP ITAU EDT 172 175 177</v>
          </cell>
          <cell r="C2343" t="str">
            <v>127.286,92</v>
          </cell>
          <cell r="D2343" t="str">
            <v>127.286,94</v>
          </cell>
          <cell r="E2343" t="str">
            <v>0,00</v>
          </cell>
          <cell r="F2343" t="str">
            <v>0,00</v>
          </cell>
          <cell r="G2343" t="str">
            <v>0,00</v>
          </cell>
          <cell r="H2343" t="str">
            <v>0,02</v>
          </cell>
          <cell r="I2343">
            <v>0.02</v>
          </cell>
          <cell r="J2343" t="str">
            <v>VERIFICAR</v>
          </cell>
        </row>
        <row r="2344">
          <cell r="A2344" t="str">
            <v>2.3.1.1.03.00051</v>
          </cell>
          <cell r="B2344" t="str">
            <v>FINIMP ITAU EDT 178 180 LONGO PRAZO</v>
          </cell>
          <cell r="C2344" t="str">
            <v>843.676,75</v>
          </cell>
          <cell r="D2344" t="str">
            <v>1.073.794,62</v>
          </cell>
          <cell r="E2344" t="str">
            <v>0,00</v>
          </cell>
          <cell r="F2344" t="str">
            <v>5.447,03</v>
          </cell>
          <cell r="G2344" t="str">
            <v>0,00</v>
          </cell>
          <cell r="H2344" t="str">
            <v>235.564,90</v>
          </cell>
          <cell r="I2344">
            <v>235564.9</v>
          </cell>
          <cell r="J2344" t="str">
            <v>VERIFICAR</v>
          </cell>
        </row>
        <row r="2345">
          <cell r="A2345" t="str">
            <v>2.3.1.1.03.00052</v>
          </cell>
          <cell r="B2345" t="str">
            <v>(-) ENCARGOS FINIMP ITAU EDT 178 180</v>
          </cell>
          <cell r="C2345" t="str">
            <v>65.305,39</v>
          </cell>
          <cell r="D2345" t="str">
            <v>70.332,29</v>
          </cell>
          <cell r="E2345" t="str">
            <v>0,00</v>
          </cell>
          <cell r="F2345" t="str">
            <v>118,99</v>
          </cell>
          <cell r="G2345" t="str">
            <v>0,00</v>
          </cell>
          <cell r="H2345" t="str">
            <v>5.145,89</v>
          </cell>
          <cell r="I2345">
            <v>5145.8900000000003</v>
          </cell>
          <cell r="J2345" t="str">
            <v>VERIFICAR</v>
          </cell>
        </row>
        <row r="2346">
          <cell r="A2346" t="str">
            <v>2.3.1.1.03.00053</v>
          </cell>
          <cell r="B2346" t="str">
            <v>FINIMP SANTANDER EDT 179 182 KAISHAN 46</v>
          </cell>
          <cell r="C2346" t="str">
            <v>1.362.674,43</v>
          </cell>
          <cell r="D2346" t="str">
            <v>1.730.303,07</v>
          </cell>
          <cell r="E2346" t="str">
            <v>0,00</v>
          </cell>
          <cell r="F2346" t="str">
            <v>8.702,00</v>
          </cell>
          <cell r="G2346" t="str">
            <v>0,00</v>
          </cell>
          <cell r="H2346" t="str">
            <v>376.330,64</v>
          </cell>
          <cell r="I2346">
            <v>376330.64</v>
          </cell>
          <cell r="J2346" t="str">
            <v>VERIFICAR</v>
          </cell>
        </row>
        <row r="2347">
          <cell r="A2347" t="str">
            <v>2.3.1.1.03.00054</v>
          </cell>
          <cell r="B2347" t="str">
            <v>(-) ENCARGOS FIN SANTANDER EDT 179 182 K</v>
          </cell>
          <cell r="C2347" t="str">
            <v>99.817,03</v>
          </cell>
          <cell r="D2347" t="str">
            <v>107.509,62</v>
          </cell>
          <cell r="E2347" t="str">
            <v>0,00</v>
          </cell>
          <cell r="F2347" t="str">
            <v>182,09</v>
          </cell>
          <cell r="G2347" t="str">
            <v>0,00</v>
          </cell>
          <cell r="H2347" t="str">
            <v>7.874,68</v>
          </cell>
          <cell r="I2347">
            <v>7874.68</v>
          </cell>
          <cell r="J2347" t="str">
            <v>VERIFICAR</v>
          </cell>
        </row>
        <row r="2348">
          <cell r="A2348" t="str">
            <v>2.3.1.1.03.00055</v>
          </cell>
          <cell r="B2348" t="str">
            <v>FINIMP SANTANDER EDT 181 183 KAISHAN 47</v>
          </cell>
          <cell r="C2348" t="str">
            <v>1.198.667,95</v>
          </cell>
          <cell r="D2348" t="str">
            <v>1.339.750,51</v>
          </cell>
          <cell r="E2348" t="str">
            <v>0,00</v>
          </cell>
          <cell r="F2348" t="str">
            <v>3.339,51</v>
          </cell>
          <cell r="G2348" t="str">
            <v>0,00</v>
          </cell>
          <cell r="H2348" t="str">
            <v>144.422,07</v>
          </cell>
          <cell r="I2348">
            <v>144422.07</v>
          </cell>
          <cell r="J2348" t="str">
            <v>VERIFICAR</v>
          </cell>
        </row>
        <row r="2349">
          <cell r="A2349" t="str">
            <v>2.3.1.1.03.00056</v>
          </cell>
          <cell r="B2349" t="str">
            <v>(-) ENCARGOS SANTANDER EDT 181 183 KAISH</v>
          </cell>
          <cell r="C2349" t="str">
            <v>75.247,57</v>
          </cell>
          <cell r="D2349" t="str">
            <v>76.490,01</v>
          </cell>
          <cell r="E2349" t="str">
            <v>0,00</v>
          </cell>
          <cell r="F2349" t="str">
            <v>29,41</v>
          </cell>
          <cell r="G2349" t="str">
            <v>0,00</v>
          </cell>
          <cell r="H2349" t="str">
            <v>1.271,85</v>
          </cell>
          <cell r="I2349">
            <v>1271.8499999999999</v>
          </cell>
          <cell r="J2349" t="str">
            <v>VERIFICAR</v>
          </cell>
        </row>
        <row r="2350">
          <cell r="A2350" t="str">
            <v>2.3.1.1.03.00057</v>
          </cell>
          <cell r="B2350" t="str">
            <v>FINIMP EDT 184 185</v>
          </cell>
          <cell r="C2350" t="str">
            <v>749.412,03</v>
          </cell>
          <cell r="D2350" t="str">
            <v>1.326.231,10</v>
          </cell>
          <cell r="E2350" t="str">
            <v>576.819,04</v>
          </cell>
          <cell r="F2350" t="str">
            <v>0,00</v>
          </cell>
          <cell r="G2350" t="str">
            <v>0,00</v>
          </cell>
          <cell r="H2350" t="str">
            <v>0,03</v>
          </cell>
          <cell r="I2350">
            <v>0.03</v>
          </cell>
          <cell r="J2350" t="str">
            <v>VERIFICAR</v>
          </cell>
        </row>
        <row r="2351">
          <cell r="A2351" t="str">
            <v>2.3.1.1.03.00058</v>
          </cell>
          <cell r="B2351" t="str">
            <v>(-) ENCARGOS FINIMP EDT 184 185</v>
          </cell>
          <cell r="C2351" t="str">
            <v>65.506,73</v>
          </cell>
          <cell r="D2351" t="str">
            <v>86.351,06</v>
          </cell>
          <cell r="E2351" t="str">
            <v>20.844,34</v>
          </cell>
          <cell r="F2351" t="str">
            <v>0,00</v>
          </cell>
          <cell r="G2351" t="str">
            <v>0,01</v>
          </cell>
          <cell r="H2351" t="str">
            <v>0,00</v>
          </cell>
          <cell r="I2351">
            <v>-0.01</v>
          </cell>
          <cell r="J2351" t="str">
            <v>VERIFICAR</v>
          </cell>
        </row>
        <row r="2352">
          <cell r="A2352" t="str">
            <v>2.3.1.1.03.00059</v>
          </cell>
          <cell r="B2352" t="str">
            <v>FINIMP ITAU FIN CONOLIDADA JUNHO</v>
          </cell>
          <cell r="C2352" t="str">
            <v>1.400.640,51</v>
          </cell>
          <cell r="D2352" t="str">
            <v>1.803.256,20</v>
          </cell>
          <cell r="E2352" t="str">
            <v>0,00</v>
          </cell>
          <cell r="F2352" t="str">
            <v>9.530,17</v>
          </cell>
          <cell r="G2352" t="str">
            <v>0,00</v>
          </cell>
          <cell r="H2352" t="str">
            <v>412.145,86</v>
          </cell>
          <cell r="I2352">
            <v>412145.86</v>
          </cell>
          <cell r="J2352" t="str">
            <v>VERIFICAR</v>
          </cell>
        </row>
        <row r="2353">
          <cell r="A2353" t="str">
            <v>2.3.1.1.03.00060</v>
          </cell>
          <cell r="B2353" t="str">
            <v>(-) ENCARGOS FINIMP ITAU FIN CONOLIDADA</v>
          </cell>
          <cell r="C2353" t="str">
            <v>99.897,27</v>
          </cell>
          <cell r="D2353" t="str">
            <v>107.891,98</v>
          </cell>
          <cell r="E2353" t="str">
            <v>0,00</v>
          </cell>
          <cell r="F2353" t="str">
            <v>189,24</v>
          </cell>
          <cell r="G2353" t="str">
            <v>0,00</v>
          </cell>
          <cell r="H2353" t="str">
            <v>8.183,95</v>
          </cell>
          <cell r="I2353">
            <v>8183.95</v>
          </cell>
          <cell r="J2353" t="str">
            <v>VERIFICAR</v>
          </cell>
        </row>
        <row r="2354">
          <cell r="A2354" t="str">
            <v>2.3.1.1.03.00061</v>
          </cell>
          <cell r="B2354" t="str">
            <v>4131 SANTANDER JUNHO</v>
          </cell>
          <cell r="C2354" t="str">
            <v>3.748.592,64</v>
          </cell>
          <cell r="D2354" t="str">
            <v>5.604.882,11</v>
          </cell>
          <cell r="E2354" t="str">
            <v>0,00</v>
          </cell>
          <cell r="F2354" t="str">
            <v>42.666,82</v>
          </cell>
          <cell r="G2354" t="str">
            <v>0,00</v>
          </cell>
          <cell r="H2354" t="str">
            <v>1.898.956,29</v>
          </cell>
          <cell r="I2354">
            <v>1898956.29</v>
          </cell>
          <cell r="J2354" t="str">
            <v>VERIFICAR</v>
          </cell>
        </row>
        <row r="2355">
          <cell r="A2355" t="str">
            <v>2.3.1.1.03.00062</v>
          </cell>
          <cell r="B2355" t="str">
            <v>(-) ENCARGOS 4131 SANTANDER JUNHO</v>
          </cell>
          <cell r="C2355" t="str">
            <v>501.122,88</v>
          </cell>
          <cell r="D2355" t="str">
            <v>587.288,64</v>
          </cell>
          <cell r="E2355" t="str">
            <v>0,00</v>
          </cell>
          <cell r="F2355" t="str">
            <v>2.052,65</v>
          </cell>
          <cell r="G2355" t="str">
            <v>0,00</v>
          </cell>
          <cell r="H2355" t="str">
            <v>88.218,41</v>
          </cell>
          <cell r="I2355">
            <v>88218.41</v>
          </cell>
          <cell r="J2355" t="str">
            <v>VERIFICAR</v>
          </cell>
        </row>
        <row r="2356">
          <cell r="A2356" t="str">
            <v>2.3.1.1.03.00063</v>
          </cell>
          <cell r="B2356" t="str">
            <v>FINIMP FIN JULHO EDT KAI LONGO PRAZO</v>
          </cell>
          <cell r="C2356" t="str">
            <v>991.686,20</v>
          </cell>
          <cell r="D2356" t="str">
            <v>1.284.563,74</v>
          </cell>
          <cell r="E2356" t="str">
            <v>0,00</v>
          </cell>
          <cell r="F2356" t="str">
            <v>228,11</v>
          </cell>
          <cell r="G2356" t="str">
            <v>0,00</v>
          </cell>
          <cell r="H2356" t="str">
            <v>293.105,65</v>
          </cell>
          <cell r="I2356">
            <v>293105.65000000002</v>
          </cell>
          <cell r="J2356" t="str">
            <v>VERIFICAR</v>
          </cell>
        </row>
        <row r="2357">
          <cell r="A2357" t="str">
            <v>2.3.1.1.03.00064</v>
          </cell>
          <cell r="B2357" t="str">
            <v>(-)ENCARGO FIN JULHO EDT KAI LONGO PRAZO</v>
          </cell>
          <cell r="C2357" t="str">
            <v>49.139,04</v>
          </cell>
          <cell r="D2357" t="str">
            <v>53.208,46</v>
          </cell>
          <cell r="E2357" t="str">
            <v>0,00</v>
          </cell>
          <cell r="F2357" t="str">
            <v>3,17</v>
          </cell>
          <cell r="G2357" t="str">
            <v>0,00</v>
          </cell>
          <cell r="H2357" t="str">
            <v>4.072,59</v>
          </cell>
          <cell r="I2357">
            <v>4072.59</v>
          </cell>
          <cell r="J2357" t="str">
            <v>VERIFICAR</v>
          </cell>
        </row>
        <row r="2358">
          <cell r="A2358" t="str">
            <v>2.3.1.1.03.00065</v>
          </cell>
          <cell r="B2358" t="str">
            <v>FINIMP SANTANDER EDT 193 194 195 LONGO PRAZO</v>
          </cell>
          <cell r="C2358" t="str">
            <v>653.439,64</v>
          </cell>
          <cell r="D2358" t="str">
            <v>1.205.743,49</v>
          </cell>
          <cell r="E2358" t="str">
            <v>414.227,92</v>
          </cell>
          <cell r="F2358" t="str">
            <v>3.268,34</v>
          </cell>
          <cell r="G2358" t="str">
            <v>0,00</v>
          </cell>
          <cell r="H2358" t="str">
            <v>141.344,27</v>
          </cell>
          <cell r="I2358">
            <v>141344.26999999999</v>
          </cell>
          <cell r="J2358" t="str">
            <v>VERIFICAR</v>
          </cell>
        </row>
        <row r="2359">
          <cell r="A2359" t="str">
            <v>2.3.1.1.03.00066</v>
          </cell>
          <cell r="B2359" t="str">
            <v>(-) ENCARGOS FINIMP EDT 193 194 195 LONGO PRAZO</v>
          </cell>
          <cell r="C2359" t="str">
            <v>54.210,05</v>
          </cell>
          <cell r="D2359" t="str">
            <v>72.739,95</v>
          </cell>
          <cell r="E2359" t="str">
            <v>16.672,80</v>
          </cell>
          <cell r="F2359" t="str">
            <v>43,96</v>
          </cell>
          <cell r="G2359" t="str">
            <v>0,00</v>
          </cell>
          <cell r="H2359" t="str">
            <v>1.901,06</v>
          </cell>
          <cell r="I2359">
            <v>1901.06</v>
          </cell>
          <cell r="J2359" t="str">
            <v>VERIFICAR</v>
          </cell>
        </row>
        <row r="2360">
          <cell r="A2360" t="str">
            <v>2.3.1.1.03.00067</v>
          </cell>
          <cell r="B2360" t="str">
            <v>FINIMP ITAU CONS SET 2025</v>
          </cell>
          <cell r="C2360" t="str">
            <v>1.057.293,82</v>
          </cell>
          <cell r="D2360" t="str">
            <v>1.972.613,74</v>
          </cell>
          <cell r="E2360" t="str">
            <v>0,00</v>
          </cell>
          <cell r="F2360" t="str">
            <v>712,91</v>
          </cell>
          <cell r="G2360" t="str">
            <v>0,00</v>
          </cell>
          <cell r="H2360" t="str">
            <v>916.032,83</v>
          </cell>
          <cell r="I2360">
            <v>916032.83</v>
          </cell>
          <cell r="J2360" t="str">
            <v>VERIFICAR</v>
          </cell>
        </row>
        <row r="2361">
          <cell r="A2361" t="str">
            <v>2.3.1.1.03.00068</v>
          </cell>
          <cell r="B2361" t="str">
            <v>(-) ENCARGOS FINIMP ITAU CONS SET 2025</v>
          </cell>
          <cell r="C2361" t="str">
            <v>59.542,61</v>
          </cell>
          <cell r="D2361" t="str">
            <v>80.201,83</v>
          </cell>
          <cell r="E2361" t="str">
            <v>0,00</v>
          </cell>
          <cell r="F2361" t="str">
            <v>16,09</v>
          </cell>
          <cell r="G2361" t="str">
            <v>0,00</v>
          </cell>
          <cell r="H2361" t="str">
            <v>20.675,31</v>
          </cell>
          <cell r="I2361">
            <v>20675.310000000001</v>
          </cell>
          <cell r="J2361" t="str">
            <v>VERIFICAR</v>
          </cell>
        </row>
        <row r="2362">
          <cell r="A2362" t="str">
            <v>2.3.1.1.03.00069</v>
          </cell>
          <cell r="B2362" t="str">
            <v>FINIMP SANT OUTUBRO LONGO PRAZO</v>
          </cell>
          <cell r="C2362" t="str">
            <v>566.616,43</v>
          </cell>
          <cell r="D2362" t="str">
            <v>1.038.064,84</v>
          </cell>
          <cell r="E2362" t="str">
            <v>0,00</v>
          </cell>
          <cell r="F2362" t="str">
            <v>11.159,48</v>
          </cell>
          <cell r="G2362" t="str">
            <v>0,00</v>
          </cell>
          <cell r="H2362" t="str">
            <v>482.607,89</v>
          </cell>
          <cell r="I2362">
            <v>482607.89</v>
          </cell>
          <cell r="J2362" t="str">
            <v>VERIFICAR</v>
          </cell>
        </row>
        <row r="2363">
          <cell r="A2363" t="str">
            <v>2.3.1.1.03.00070</v>
          </cell>
          <cell r="B2363" t="str">
            <v>( - ) ENCARGOS FINIMP SANT OUTUBRO</v>
          </cell>
          <cell r="C2363" t="str">
            <v>45.472,40</v>
          </cell>
          <cell r="D2363" t="str">
            <v>60.912,33</v>
          </cell>
          <cell r="E2363" t="str">
            <v>0,00</v>
          </cell>
          <cell r="F2363" t="str">
            <v>365,47</v>
          </cell>
          <cell r="G2363" t="str">
            <v>0,00</v>
          </cell>
          <cell r="H2363" t="str">
            <v>15.805,40</v>
          </cell>
          <cell r="I2363">
            <v>15805.4</v>
          </cell>
          <cell r="J2363" t="str">
            <v>VERIFICAR</v>
          </cell>
        </row>
        <row r="2364">
          <cell r="A2364" t="str">
            <v>2.3.1.1.03.00071</v>
          </cell>
          <cell r="B2364" t="str">
            <v>FINIMP FIN DEZ 1</v>
          </cell>
          <cell r="C2364" t="str">
            <v>499.737,88</v>
          </cell>
          <cell r="D2364" t="str">
            <v>929.265,52</v>
          </cell>
          <cell r="E2364" t="str">
            <v>0,00</v>
          </cell>
          <cell r="F2364" t="str">
            <v>10.167,18</v>
          </cell>
          <cell r="G2364" t="str">
            <v>0,00</v>
          </cell>
          <cell r="H2364" t="str">
            <v>439.694,82</v>
          </cell>
          <cell r="I2364">
            <v>439694.82</v>
          </cell>
          <cell r="J2364" t="str">
            <v>VERIFICAR</v>
          </cell>
        </row>
        <row r="2365">
          <cell r="A2365" t="str">
            <v>2.3.1.1.03.00072</v>
          </cell>
          <cell r="B2365" t="str">
            <v>( - ) ENCARGOS FINIMP FIN DEZ 1</v>
          </cell>
          <cell r="C2365" t="str">
            <v>37.459,53</v>
          </cell>
          <cell r="D2365" t="str">
            <v>50.542,96</v>
          </cell>
          <cell r="E2365" t="str">
            <v>0,00</v>
          </cell>
          <cell r="F2365" t="str">
            <v>309,69</v>
          </cell>
          <cell r="G2365" t="str">
            <v>0,00</v>
          </cell>
          <cell r="H2365" t="str">
            <v>13.393,12</v>
          </cell>
          <cell r="I2365">
            <v>13393.12</v>
          </cell>
          <cell r="J2365" t="str">
            <v>VERIFICAR</v>
          </cell>
        </row>
        <row r="2366">
          <cell r="A2366" t="str">
            <v>2.3.1.1.03.00073</v>
          </cell>
          <cell r="B2366" t="str">
            <v>FINIMP FIN EDT 2</v>
          </cell>
          <cell r="C2366" t="str">
            <v>228.523,55</v>
          </cell>
          <cell r="D2366" t="str">
            <v>425.489,77</v>
          </cell>
          <cell r="E2366" t="str">
            <v>0,00</v>
          </cell>
          <cell r="F2366" t="str">
            <v>4.662,32</v>
          </cell>
          <cell r="G2366" t="str">
            <v>0,00</v>
          </cell>
          <cell r="H2366" t="str">
            <v>201.628,54</v>
          </cell>
          <cell r="I2366">
            <v>201628.54</v>
          </cell>
          <cell r="J2366" t="str">
            <v>VERIFICAR</v>
          </cell>
        </row>
        <row r="2367">
          <cell r="A2367" t="str">
            <v>2.3.1.1.03.00074</v>
          </cell>
          <cell r="B2367" t="str">
            <v>( - ) ENCARGOS FINIMP FIN EDT 2</v>
          </cell>
          <cell r="C2367" t="str">
            <v>23.233,16</v>
          </cell>
          <cell r="D2367" t="str">
            <v>29.247,59</v>
          </cell>
          <cell r="E2367" t="str">
            <v>0,00</v>
          </cell>
          <cell r="F2367" t="str">
            <v>142,37</v>
          </cell>
          <cell r="G2367" t="str">
            <v>0,00</v>
          </cell>
          <cell r="H2367" t="str">
            <v>6.156,80</v>
          </cell>
          <cell r="I2367">
            <v>6156.8</v>
          </cell>
          <cell r="J2367" t="str">
            <v>VERIFICAR</v>
          </cell>
        </row>
        <row r="2368">
          <cell r="A2368" t="str">
            <v>2.3.1.1.03.00075</v>
          </cell>
          <cell r="B2368" t="str">
            <v>FIN ITAU NOVEMBRO 012428</v>
          </cell>
          <cell r="C2368" t="str">
            <v>849.652,67</v>
          </cell>
          <cell r="D2368" t="str">
            <v>1.602.083,96</v>
          </cell>
          <cell r="E2368" t="str">
            <v>0,00</v>
          </cell>
          <cell r="F2368" t="str">
            <v>17.810,52</v>
          </cell>
          <cell r="G2368" t="str">
            <v>0,00</v>
          </cell>
          <cell r="H2368" t="str">
            <v>770.241,81</v>
          </cell>
          <cell r="I2368">
            <v>770241.81</v>
          </cell>
          <cell r="J2368" t="str">
            <v>VERIFICAR</v>
          </cell>
        </row>
        <row r="2369">
          <cell r="A2369" t="str">
            <v>2.3.1.1.03.00076</v>
          </cell>
          <cell r="B2369" t="str">
            <v>( - ) ENC FIN ITAU NOVEMBRO 012428</v>
          </cell>
          <cell r="C2369" t="str">
            <v>64.714,19</v>
          </cell>
          <cell r="D2369" t="str">
            <v>87.912,88</v>
          </cell>
          <cell r="E2369" t="str">
            <v>0,00</v>
          </cell>
          <cell r="F2369" t="str">
            <v>549,13</v>
          </cell>
          <cell r="G2369" t="str">
            <v>0,00</v>
          </cell>
          <cell r="H2369" t="str">
            <v>23.747,82</v>
          </cell>
          <cell r="I2369">
            <v>23747.82</v>
          </cell>
          <cell r="J2369" t="str">
            <v>VERIFICAR</v>
          </cell>
        </row>
        <row r="2370">
          <cell r="A2370" t="str">
            <v>2.3.1.1.03.00077</v>
          </cell>
          <cell r="B2370" t="str">
            <v>FINIMP ITAU EDT JAN AGE1687634/1 LONGO PRAZO</v>
          </cell>
          <cell r="C2370" t="str">
            <v>810.860,60</v>
          </cell>
          <cell r="D2370" t="str">
            <v>1.512.882,72</v>
          </cell>
          <cell r="E2370" t="str">
            <v>0,00</v>
          </cell>
          <cell r="F2370" t="str">
            <v>16.617,30</v>
          </cell>
          <cell r="G2370" t="str">
            <v>0,00</v>
          </cell>
          <cell r="H2370" t="str">
            <v>718.639,42</v>
          </cell>
          <cell r="I2370">
            <v>718639.42</v>
          </cell>
          <cell r="J2370" t="str">
            <v>VERIFICAR</v>
          </cell>
        </row>
        <row r="2371">
          <cell r="A2371" t="str">
            <v>2.3.1.1.03.00078</v>
          </cell>
          <cell r="B2371" t="str">
            <v>(-) ENCARGOS FINIMP ITAU EDT JAN AGE1687634/1</v>
          </cell>
          <cell r="C2371" t="str">
            <v>60.945,20</v>
          </cell>
          <cell r="D2371" t="str">
            <v>82.429,82</v>
          </cell>
          <cell r="E2371" t="str">
            <v>0,00</v>
          </cell>
          <cell r="F2371" t="str">
            <v>507,06</v>
          </cell>
          <cell r="G2371" t="str">
            <v>0,00</v>
          </cell>
          <cell r="H2371" t="str">
            <v>21.991,68</v>
          </cell>
          <cell r="I2371">
            <v>21991.68</v>
          </cell>
          <cell r="J2371" t="str">
            <v>VERIFICAR</v>
          </cell>
        </row>
        <row r="2372">
          <cell r="A2372" t="str">
            <v>2.3.1.1.03.00079</v>
          </cell>
          <cell r="B2372" t="str">
            <v>FINSANFEV I</v>
          </cell>
          <cell r="C2372" t="str">
            <v>651.469,61</v>
          </cell>
          <cell r="D2372" t="str">
            <v>1.252.037,59</v>
          </cell>
          <cell r="E2372" t="str">
            <v>0,00</v>
          </cell>
          <cell r="F2372" t="str">
            <v>14.215,83</v>
          </cell>
          <cell r="G2372" t="str">
            <v>0,00</v>
          </cell>
          <cell r="H2372" t="str">
            <v>614.783,81</v>
          </cell>
          <cell r="I2372">
            <v>614783.81000000006</v>
          </cell>
          <cell r="J2372" t="str">
            <v>VERIFICAR</v>
          </cell>
        </row>
        <row r="2373">
          <cell r="A2373" t="str">
            <v>2.3.1.1.03.00080</v>
          </cell>
          <cell r="B2373" t="str">
            <v>(-) ENCARGOS FINSANFEV I</v>
          </cell>
          <cell r="C2373" t="str">
            <v>52.238,26</v>
          </cell>
          <cell r="D2373" t="str">
            <v>71.365,06</v>
          </cell>
          <cell r="E2373" t="str">
            <v>0,00</v>
          </cell>
          <cell r="F2373" t="str">
            <v>452,74</v>
          </cell>
          <cell r="G2373" t="str">
            <v>0,00</v>
          </cell>
          <cell r="H2373" t="str">
            <v>19.579,54</v>
          </cell>
          <cell r="I2373">
            <v>19579.54</v>
          </cell>
          <cell r="J2373" t="str">
            <v>VERIFICAR</v>
          </cell>
        </row>
        <row r="2374">
          <cell r="A2374" t="str">
            <v>2.3.1.1.03.00081</v>
          </cell>
          <cell r="B2374" t="str">
            <v>FINSANFEV II</v>
          </cell>
          <cell r="C2374" t="str">
            <v>155.298,61</v>
          </cell>
          <cell r="D2374" t="str">
            <v>298.541,66</v>
          </cell>
          <cell r="E2374" t="str">
            <v>0,00</v>
          </cell>
          <cell r="F2374" t="str">
            <v>3.390,65</v>
          </cell>
          <cell r="G2374" t="str">
            <v>0,00</v>
          </cell>
          <cell r="H2374" t="str">
            <v>146.633,70</v>
          </cell>
          <cell r="I2374">
            <v>146633.70000000001</v>
          </cell>
          <cell r="J2374" t="str">
            <v>VERIFICAR</v>
          </cell>
        </row>
        <row r="2375">
          <cell r="A2375" t="str">
            <v>2.3.1.1.03.00082</v>
          </cell>
          <cell r="B2375" t="str">
            <v>(-) ENCARGOS FINSANFEV II</v>
          </cell>
          <cell r="C2375" t="str">
            <v>12.353,12</v>
          </cell>
          <cell r="D2375" t="str">
            <v>16.875,29</v>
          </cell>
          <cell r="E2375" t="str">
            <v>0,00</v>
          </cell>
          <cell r="F2375" t="str">
            <v>107,04</v>
          </cell>
          <cell r="G2375" t="str">
            <v>0,00</v>
          </cell>
          <cell r="H2375" t="str">
            <v>4.629,21</v>
          </cell>
          <cell r="I2375">
            <v>4629.21</v>
          </cell>
          <cell r="J2375" t="str">
            <v>VERIFICAR</v>
          </cell>
        </row>
        <row r="2376">
          <cell r="A2376" t="str">
            <v>2.3.1.1.03.00083</v>
          </cell>
          <cell r="B2376" t="str">
            <v>FINITAMAR LONGO PRAZO</v>
          </cell>
          <cell r="C2376" t="str">
            <v>754.181,17</v>
          </cell>
          <cell r="D2376" t="str">
            <v>1.442.496,66</v>
          </cell>
          <cell r="E2376" t="str">
            <v>0,00</v>
          </cell>
          <cell r="F2376" t="str">
            <v>16.292,86</v>
          </cell>
          <cell r="G2376" t="str">
            <v>0,00</v>
          </cell>
          <cell r="H2376" t="str">
            <v>704.608,35</v>
          </cell>
          <cell r="I2376">
            <v>704608.35</v>
          </cell>
          <cell r="J2376" t="str">
            <v>VERIFICAR</v>
          </cell>
        </row>
        <row r="2377">
          <cell r="A2377" t="str">
            <v>2.3.1.1.03.00084</v>
          </cell>
          <cell r="B2377" t="str">
            <v>(-) ENCARGOS FINITAMAR LONGO PRAZO</v>
          </cell>
          <cell r="C2377" t="str">
            <v>57.472,14</v>
          </cell>
          <cell r="D2377" t="str">
            <v>78.258,43</v>
          </cell>
          <cell r="E2377" t="str">
            <v>0,00</v>
          </cell>
          <cell r="F2377" t="str">
            <v>492,02</v>
          </cell>
          <cell r="G2377" t="str">
            <v>0,00</v>
          </cell>
          <cell r="H2377" t="str">
            <v>21.278,31</v>
          </cell>
          <cell r="I2377">
            <v>21278.31</v>
          </cell>
          <cell r="J2377" t="str">
            <v>VERIFICAR</v>
          </cell>
        </row>
        <row r="2378">
          <cell r="A2378" t="str">
            <v>2.3.1.1.03.00085</v>
          </cell>
          <cell r="B2378" t="str">
            <v>FINIMP FINITAABR LONGO PRAZO</v>
          </cell>
          <cell r="C2378" t="str">
            <v>906.765,45</v>
          </cell>
          <cell r="D2378" t="str">
            <v>1.595.081,00</v>
          </cell>
          <cell r="E2378" t="str">
            <v>0,00</v>
          </cell>
          <cell r="F2378" t="str">
            <v>16.292,86</v>
          </cell>
          <cell r="G2378" t="str">
            <v>0,00</v>
          </cell>
          <cell r="H2378" t="str">
            <v>704.608,41</v>
          </cell>
          <cell r="I2378">
            <v>704608.41</v>
          </cell>
          <cell r="J2378" t="str">
            <v>VERIFICAR</v>
          </cell>
        </row>
        <row r="2379">
          <cell r="A2379" t="str">
            <v>2.3.1.1.03.00086</v>
          </cell>
          <cell r="B2379" t="str">
            <v>(-) ENCARGOS FINIMP FINITAABR LONGO PRAZO</v>
          </cell>
          <cell r="C2379" t="str">
            <v>53.382,71</v>
          </cell>
          <cell r="D2379" t="str">
            <v>74.170,00</v>
          </cell>
          <cell r="E2379" t="str">
            <v>0,00</v>
          </cell>
          <cell r="F2379" t="str">
            <v>492,02</v>
          </cell>
          <cell r="G2379" t="str">
            <v>0,00</v>
          </cell>
          <cell r="H2379" t="str">
            <v>21.279,31</v>
          </cell>
          <cell r="I2379">
            <v>21279.31</v>
          </cell>
          <cell r="J2379" t="str">
            <v>VERIFICAR</v>
          </cell>
        </row>
        <row r="2380">
          <cell r="A2380" t="str">
            <v>2.3.1.1.03.00087</v>
          </cell>
          <cell r="B2380" t="str">
            <v>FIN SANTANDER MAIO LONGO PRAZO</v>
          </cell>
          <cell r="C2380" t="str">
            <v>757.210,37</v>
          </cell>
          <cell r="D2380" t="str">
            <v>1.511.882,76</v>
          </cell>
          <cell r="E2380" t="str">
            <v>0,00</v>
          </cell>
          <cell r="F2380" t="str">
            <v>17.863,59</v>
          </cell>
          <cell r="G2380" t="str">
            <v>0,00</v>
          </cell>
          <cell r="H2380" t="str">
            <v>772.535,98</v>
          </cell>
          <cell r="I2380">
            <v>772535.98</v>
          </cell>
          <cell r="J2380" t="str">
            <v>VERIFICAR</v>
          </cell>
        </row>
        <row r="2381">
          <cell r="A2381" t="str">
            <v>2.3.1.1.03.00088</v>
          </cell>
          <cell r="B2381" t="str">
            <v>(-) ENCARGOS FIN SANTANDER MAIO LONGO PRAZO</v>
          </cell>
          <cell r="C2381" t="str">
            <v>61.046,34</v>
          </cell>
          <cell r="D2381" t="str">
            <v>84.467,22</v>
          </cell>
          <cell r="E2381" t="str">
            <v>0,00</v>
          </cell>
          <cell r="F2381" t="str">
            <v>554,39</v>
          </cell>
          <cell r="G2381" t="str">
            <v>0,00</v>
          </cell>
          <cell r="H2381" t="str">
            <v>23.975,27</v>
          </cell>
          <cell r="I2381">
            <v>23975.27</v>
          </cell>
          <cell r="J2381" t="str">
            <v>VERIFICAR</v>
          </cell>
        </row>
        <row r="2382">
          <cell r="A2382" t="str">
            <v>2.3.6</v>
          </cell>
          <cell r="B2382" t="str">
            <v>DIVIDENDOS</v>
          </cell>
          <cell r="C2382" t="str">
            <v>0,00</v>
          </cell>
          <cell r="D2382" t="str">
            <v>0,00</v>
          </cell>
          <cell r="E2382" t="str">
            <v>0,00</v>
          </cell>
          <cell r="F2382" t="str">
            <v>0,00</v>
          </cell>
          <cell r="G2382" t="str">
            <v>0,00</v>
          </cell>
          <cell r="H2382" t="str">
            <v>8.013.600,00</v>
          </cell>
          <cell r="I2382">
            <v>8013600</v>
          </cell>
          <cell r="J2382" t="str">
            <v>VERIFICAR</v>
          </cell>
        </row>
        <row r="2383">
          <cell r="A2383" t="str">
            <v>2.3.6.1</v>
          </cell>
          <cell r="B2383" t="str">
            <v>DIVIDENDOS</v>
          </cell>
          <cell r="C2383" t="str">
            <v>0,00</v>
          </cell>
          <cell r="D2383" t="str">
            <v>0,00</v>
          </cell>
          <cell r="E2383" t="str">
            <v>0,00</v>
          </cell>
          <cell r="F2383" t="str">
            <v>0,00</v>
          </cell>
          <cell r="G2383" t="str">
            <v>0,00</v>
          </cell>
          <cell r="H2383" t="str">
            <v>8.013.600,00</v>
          </cell>
          <cell r="I2383">
            <v>8013600</v>
          </cell>
          <cell r="J2383" t="str">
            <v>VERIFICAR</v>
          </cell>
        </row>
        <row r="2384">
          <cell r="A2384" t="str">
            <v>2.3.6.1.01</v>
          </cell>
          <cell r="B2384" t="str">
            <v>DIVIDENDOS</v>
          </cell>
          <cell r="C2384" t="str">
            <v>0,00</v>
          </cell>
          <cell r="D2384" t="str">
            <v>0,00</v>
          </cell>
          <cell r="E2384" t="str">
            <v>0,00</v>
          </cell>
          <cell r="F2384" t="str">
            <v>0,00</v>
          </cell>
          <cell r="G2384" t="str">
            <v>0,00</v>
          </cell>
          <cell r="H2384" t="str">
            <v>8.013.600,00</v>
          </cell>
          <cell r="I2384">
            <v>8013600</v>
          </cell>
          <cell r="J2384" t="str">
            <v>VERIFICAR</v>
          </cell>
        </row>
        <row r="2385">
          <cell r="A2385" t="str">
            <v>2.3.6.1.01.00002</v>
          </cell>
          <cell r="B2385" t="str">
            <v>ANDRE GARCIA DE SOUSA FILHO</v>
          </cell>
          <cell r="C2385" t="str">
            <v>0,00</v>
          </cell>
          <cell r="D2385" t="str">
            <v>5.372.400,00</v>
          </cell>
          <cell r="E2385" t="str">
            <v>0,00</v>
          </cell>
          <cell r="F2385" t="str">
            <v>0,00</v>
          </cell>
          <cell r="G2385" t="str">
            <v>0,00</v>
          </cell>
          <cell r="H2385" t="str">
            <v>5.372.400,00</v>
          </cell>
          <cell r="I2385">
            <v>5372400</v>
          </cell>
          <cell r="J2385" t="str">
            <v>VERIFICAR</v>
          </cell>
        </row>
        <row r="2386">
          <cell r="A2386" t="str">
            <v>2.3.6.1.01.00003</v>
          </cell>
          <cell r="B2386" t="str">
            <v>ALEX BERTOLDO PACHECO</v>
          </cell>
          <cell r="C2386" t="str">
            <v>0,00</v>
          </cell>
          <cell r="D2386" t="str">
            <v>2.641.200,00</v>
          </cell>
          <cell r="E2386" t="str">
            <v>0,00</v>
          </cell>
          <cell r="F2386" t="str">
            <v>0,00</v>
          </cell>
          <cell r="G2386" t="str">
            <v>0,00</v>
          </cell>
          <cell r="H2386" t="str">
            <v>2.641.200,00</v>
          </cell>
          <cell r="I2386">
            <v>2641200</v>
          </cell>
          <cell r="J2386" t="str">
            <v>VERIFICAR</v>
          </cell>
        </row>
        <row r="2387">
          <cell r="A2387" t="str">
            <v>2.9</v>
          </cell>
          <cell r="B2387" t="str">
            <v>PATRIMONIO LIQUIDO</v>
          </cell>
          <cell r="C2387" t="str">
            <v>0,00</v>
          </cell>
          <cell r="D2387" t="str">
            <v>0,00</v>
          </cell>
          <cell r="E2387" t="str">
            <v>27.841,87</v>
          </cell>
          <cell r="F2387" t="str">
            <v>0,16</v>
          </cell>
          <cell r="G2387" t="str">
            <v>0,00</v>
          </cell>
          <cell r="H2387" t="str">
            <v>67.387.776,44</v>
          </cell>
          <cell r="I2387">
            <v>67387776.439999998</v>
          </cell>
          <cell r="J2387" t="str">
            <v>VERIFICAR</v>
          </cell>
        </row>
        <row r="2388">
          <cell r="A2388" t="str">
            <v>2.9.1</v>
          </cell>
          <cell r="B2388" t="str">
            <v>CAPITAL SOCIAL</v>
          </cell>
          <cell r="C2388" t="str">
            <v>0,00</v>
          </cell>
          <cell r="D2388" t="str">
            <v>0,00</v>
          </cell>
          <cell r="E2388" t="str">
            <v>0,00</v>
          </cell>
          <cell r="F2388" t="str">
            <v>0,00</v>
          </cell>
          <cell r="G2388" t="str">
            <v>0,00</v>
          </cell>
          <cell r="H2388" t="str">
            <v>1.000.000,00</v>
          </cell>
          <cell r="I2388">
            <v>1000000</v>
          </cell>
          <cell r="J2388" t="str">
            <v>VERIFICAR</v>
          </cell>
        </row>
        <row r="2389">
          <cell r="A2389" t="str">
            <v>2.9.1.1</v>
          </cell>
          <cell r="B2389" t="str">
            <v>CAPITAL  INTEGRALIZADO</v>
          </cell>
          <cell r="C2389" t="str">
            <v>0,00</v>
          </cell>
          <cell r="D2389" t="str">
            <v>0,00</v>
          </cell>
          <cell r="E2389" t="str">
            <v>0,00</v>
          </cell>
          <cell r="F2389" t="str">
            <v>0,00</v>
          </cell>
          <cell r="G2389" t="str">
            <v>0,00</v>
          </cell>
          <cell r="H2389" t="str">
            <v>1.000.000,00</v>
          </cell>
          <cell r="I2389">
            <v>1000000</v>
          </cell>
          <cell r="J2389" t="str">
            <v>VERIFICAR</v>
          </cell>
        </row>
        <row r="2390">
          <cell r="A2390" t="str">
            <v>2.9.1.1.01</v>
          </cell>
          <cell r="B2390" t="str">
            <v>CAPITAL SUBSCRITO</v>
          </cell>
          <cell r="C2390" t="str">
            <v>0,00</v>
          </cell>
          <cell r="D2390" t="str">
            <v>0,00</v>
          </cell>
          <cell r="E2390" t="str">
            <v>0,00</v>
          </cell>
          <cell r="F2390" t="str">
            <v>0,00</v>
          </cell>
          <cell r="G2390" t="str">
            <v>0,00</v>
          </cell>
          <cell r="H2390" t="str">
            <v>1.000.000,00</v>
          </cell>
          <cell r="I2390">
            <v>1000000</v>
          </cell>
          <cell r="J2390" t="str">
            <v>VERIFICAR</v>
          </cell>
        </row>
        <row r="2391">
          <cell r="A2391" t="str">
            <v>2.9.1.1.01.00001</v>
          </cell>
          <cell r="B2391" t="str">
            <v>CAPITAL SOCIAL</v>
          </cell>
          <cell r="C2391" t="str">
            <v>343.332,00</v>
          </cell>
          <cell r="D2391" t="str">
            <v>1.343.332,00</v>
          </cell>
          <cell r="E2391" t="str">
            <v>0,00</v>
          </cell>
          <cell r="F2391" t="str">
            <v>0,00</v>
          </cell>
          <cell r="G2391" t="str">
            <v>0,00</v>
          </cell>
          <cell r="H2391" t="str">
            <v>1.000.000,00</v>
          </cell>
          <cell r="I2391">
            <v>1000000</v>
          </cell>
          <cell r="J2391" t="str">
            <v>VERIFICAR</v>
          </cell>
        </row>
        <row r="2392">
          <cell r="A2392" t="str">
            <v>2.9.4</v>
          </cell>
          <cell r="B2392" t="str">
            <v>RESERVAS DE LUCROS</v>
          </cell>
          <cell r="C2392" t="str">
            <v>0,00</v>
          </cell>
          <cell r="D2392" t="str">
            <v>0,00</v>
          </cell>
          <cell r="E2392" t="str">
            <v>0,00</v>
          </cell>
          <cell r="F2392" t="str">
            <v>0,00</v>
          </cell>
          <cell r="G2392" t="str">
            <v>0,00</v>
          </cell>
          <cell r="H2392" t="str">
            <v>77.291.799,75</v>
          </cell>
          <cell r="I2392">
            <v>77291799.75</v>
          </cell>
          <cell r="J2392" t="str">
            <v>VERIFICAR</v>
          </cell>
        </row>
        <row r="2393">
          <cell r="A2393" t="str">
            <v>2.9.4.1</v>
          </cell>
          <cell r="B2393" t="str">
            <v>RESERVA DE LUCROS</v>
          </cell>
          <cell r="C2393" t="str">
            <v>0,00</v>
          </cell>
          <cell r="D2393" t="str">
            <v>0,00</v>
          </cell>
          <cell r="E2393" t="str">
            <v>0,00</v>
          </cell>
          <cell r="F2393" t="str">
            <v>0,00</v>
          </cell>
          <cell r="G2393" t="str">
            <v>0,00</v>
          </cell>
          <cell r="H2393" t="str">
            <v>77.291.799,75</v>
          </cell>
          <cell r="I2393">
            <v>77291799.75</v>
          </cell>
          <cell r="J2393" t="str">
            <v>VERIFICAR</v>
          </cell>
        </row>
        <row r="2394">
          <cell r="A2394" t="str">
            <v>2.9.4.1.01</v>
          </cell>
          <cell r="B2394" t="str">
            <v>RESERVA DE LUCROS</v>
          </cell>
          <cell r="C2394" t="str">
            <v>0,00</v>
          </cell>
          <cell r="D2394" t="str">
            <v>0,00</v>
          </cell>
          <cell r="E2394" t="str">
            <v>0,00</v>
          </cell>
          <cell r="F2394" t="str">
            <v>0,00</v>
          </cell>
          <cell r="G2394" t="str">
            <v>0,00</v>
          </cell>
          <cell r="H2394" t="str">
            <v>77.291.799,75</v>
          </cell>
          <cell r="I2394">
            <v>77291799.75</v>
          </cell>
          <cell r="J2394" t="str">
            <v>VERIFICAR</v>
          </cell>
        </row>
        <row r="2395">
          <cell r="A2395" t="str">
            <v>2.9.4.1.01.00001</v>
          </cell>
          <cell r="B2395" t="str">
            <v>RESERVA DE LUCROS</v>
          </cell>
          <cell r="C2395" t="str">
            <v>12.168.661,33</v>
          </cell>
          <cell r="D2395" t="str">
            <v>89.460.461,08</v>
          </cell>
          <cell r="E2395" t="str">
            <v>0,00</v>
          </cell>
          <cell r="F2395" t="str">
            <v>0,00</v>
          </cell>
          <cell r="G2395" t="str">
            <v>0,00</v>
          </cell>
          <cell r="H2395" t="str">
            <v>77.291.799,75</v>
          </cell>
          <cell r="I2395">
            <v>77291799.75</v>
          </cell>
          <cell r="J2395" t="str">
            <v>VERIFICAR</v>
          </cell>
        </row>
        <row r="2396">
          <cell r="A2396" t="str">
            <v>2.9.8</v>
          </cell>
          <cell r="B2396" t="str">
            <v>RESULTADO ACUMULADO</v>
          </cell>
          <cell r="C2396" t="str">
            <v>0,00</v>
          </cell>
          <cell r="D2396" t="str">
            <v>0,00</v>
          </cell>
          <cell r="E2396" t="str">
            <v>27.841,87</v>
          </cell>
          <cell r="F2396" t="str">
            <v>0,16</v>
          </cell>
          <cell r="G2396" t="str">
            <v>27.888,92</v>
          </cell>
          <cell r="H2396" t="str">
            <v>0,00</v>
          </cell>
          <cell r="I2396">
            <v>-27888.92</v>
          </cell>
          <cell r="J2396" t="str">
            <v>VERIFICAR</v>
          </cell>
        </row>
        <row r="2397">
          <cell r="A2397" t="str">
            <v>2.9.8.1</v>
          </cell>
          <cell r="B2397" t="str">
            <v>RESULTADO ACUMULADO</v>
          </cell>
          <cell r="C2397" t="str">
            <v>0,00</v>
          </cell>
          <cell r="D2397" t="str">
            <v>0,00</v>
          </cell>
          <cell r="E2397" t="str">
            <v>27.841,87</v>
          </cell>
          <cell r="F2397" t="str">
            <v>0,16</v>
          </cell>
          <cell r="G2397" t="str">
            <v>27.888,92</v>
          </cell>
          <cell r="H2397" t="str">
            <v>0,00</v>
          </cell>
          <cell r="I2397">
            <v>-27888.92</v>
          </cell>
          <cell r="J2397" t="str">
            <v>VERIFICAR</v>
          </cell>
        </row>
        <row r="2398">
          <cell r="A2398" t="str">
            <v>2.9.8.1.01</v>
          </cell>
          <cell r="B2398" t="str">
            <v>RESULTADO  ACUMULADO ANOS ANTERIORES</v>
          </cell>
          <cell r="C2398" t="str">
            <v>0,00</v>
          </cell>
          <cell r="D2398" t="str">
            <v>0,00</v>
          </cell>
          <cell r="E2398" t="str">
            <v>27.841,87</v>
          </cell>
          <cell r="F2398" t="str">
            <v>0,16</v>
          </cell>
          <cell r="G2398" t="str">
            <v>27.888,92</v>
          </cell>
          <cell r="H2398" t="str">
            <v>0,00</v>
          </cell>
          <cell r="I2398">
            <v>-27888.92</v>
          </cell>
          <cell r="J2398" t="str">
            <v>VERIFICAR</v>
          </cell>
        </row>
        <row r="2399">
          <cell r="A2399" t="str">
            <v>2.9.8.1.01.00007</v>
          </cell>
          <cell r="B2399" t="str">
            <v>AJUSTES DE EXERCICIOS ANTERIORES</v>
          </cell>
          <cell r="C2399" t="str">
            <v>2.242.838,77</v>
          </cell>
          <cell r="D2399" t="str">
            <v>2.242.791,56</v>
          </cell>
          <cell r="E2399" t="str">
            <v>27.841,87</v>
          </cell>
          <cell r="F2399" t="str">
            <v>0,16</v>
          </cell>
          <cell r="G2399" t="str">
            <v>27.888,92</v>
          </cell>
          <cell r="H2399" t="str">
            <v>0,00</v>
          </cell>
          <cell r="I2399">
            <v>-27888.92</v>
          </cell>
          <cell r="J2399" t="str">
            <v>VERIFICAR</v>
          </cell>
        </row>
        <row r="2400">
          <cell r="A2400" t="str">
            <v>2.9.9</v>
          </cell>
          <cell r="B2400" t="str">
            <v>RESULTADO DO EXERCICIO</v>
          </cell>
          <cell r="C2400" t="str">
            <v>0,00</v>
          </cell>
          <cell r="D2400" t="str">
            <v>0,00</v>
          </cell>
          <cell r="E2400" t="str">
            <v>0,00</v>
          </cell>
          <cell r="F2400" t="str">
            <v>0,00</v>
          </cell>
          <cell r="G2400" t="str">
            <v>10.876.134,39</v>
          </cell>
          <cell r="H2400" t="str">
            <v>0,00</v>
          </cell>
          <cell r="I2400">
            <v>-10876134.390000001</v>
          </cell>
          <cell r="J2400" t="str">
            <v>VERIFICAR</v>
          </cell>
        </row>
        <row r="2401">
          <cell r="A2401" t="str">
            <v>2.9.9.1</v>
          </cell>
          <cell r="B2401" t="str">
            <v>RESULTADO DO EXERCICIO</v>
          </cell>
          <cell r="C2401" t="str">
            <v>0,00</v>
          </cell>
          <cell r="D2401" t="str">
            <v>0,00</v>
          </cell>
          <cell r="E2401" t="str">
            <v>0,00</v>
          </cell>
          <cell r="F2401" t="str">
            <v>0,00</v>
          </cell>
          <cell r="G2401" t="str">
            <v>10.876.134,39</v>
          </cell>
          <cell r="H2401" t="str">
            <v>0,00</v>
          </cell>
          <cell r="I2401">
            <v>-10876134.390000001</v>
          </cell>
          <cell r="J2401" t="str">
            <v>VERIFICAR</v>
          </cell>
        </row>
        <row r="2402">
          <cell r="A2402" t="str">
            <v>2.9.9.1.01</v>
          </cell>
          <cell r="B2402" t="str">
            <v>RESULTADO DO EXERCICIO</v>
          </cell>
          <cell r="C2402" t="str">
            <v>0,00</v>
          </cell>
          <cell r="D2402" t="str">
            <v>0,00</v>
          </cell>
          <cell r="E2402" t="str">
            <v>0,00</v>
          </cell>
          <cell r="F2402" t="str">
            <v>0,00</v>
          </cell>
          <cell r="G2402" t="str">
            <v>10.876.134,39</v>
          </cell>
          <cell r="H2402" t="str">
            <v>0,00</v>
          </cell>
          <cell r="I2402">
            <v>-10876134.390000001</v>
          </cell>
          <cell r="J2402" t="str">
            <v>VERIFICAR</v>
          </cell>
        </row>
        <row r="2403">
          <cell r="A2403" t="str">
            <v>2.9.9.1.01.00002</v>
          </cell>
          <cell r="B2403" t="str">
            <v>( - ) DIVIDENDOS</v>
          </cell>
          <cell r="C2403" t="str">
            <v>24.855.423,37</v>
          </cell>
          <cell r="D2403" t="str">
            <v>24.355.423,37</v>
          </cell>
          <cell r="E2403" t="str">
            <v>0,00</v>
          </cell>
          <cell r="F2403" t="str">
            <v>0,00</v>
          </cell>
          <cell r="G2403" t="str">
            <v>500.000,00</v>
          </cell>
          <cell r="H2403" t="str">
            <v>0,00</v>
          </cell>
          <cell r="I2403">
            <v>-500000</v>
          </cell>
          <cell r="J2403" t="str">
            <v>VERIFICAR</v>
          </cell>
        </row>
        <row r="2404">
          <cell r="A2404" t="str">
            <v>2.9.9.1.01.00900</v>
          </cell>
          <cell r="B2404" t="str">
            <v>ENCERRAMENTO DO EXERCICIO</v>
          </cell>
          <cell r="C2404" t="str">
            <v>731.486.472,07</v>
          </cell>
          <cell r="D2404" t="str">
            <v>721.110.337,68</v>
          </cell>
          <cell r="E2404" t="str">
            <v>0,00</v>
          </cell>
          <cell r="F2404" t="str">
            <v>0,00</v>
          </cell>
          <cell r="G2404" t="str">
            <v>10.376.134,39</v>
          </cell>
          <cell r="H2404" t="str">
            <v>0,00</v>
          </cell>
          <cell r="I2404">
            <v>-10376134.390000001</v>
          </cell>
          <cell r="J2404" t="str">
            <v>VERIFICAR</v>
          </cell>
        </row>
        <row r="2405">
          <cell r="A2405" t="str">
            <v>3</v>
          </cell>
          <cell r="B2405" t="str">
            <v>RECEITAS</v>
          </cell>
          <cell r="C2405" t="str">
            <v>0,00</v>
          </cell>
          <cell r="D2405" t="str">
            <v>0,00</v>
          </cell>
          <cell r="E2405" t="str">
            <v>3.746.343,70</v>
          </cell>
          <cell r="F2405" t="str">
            <v>14.597.992,44</v>
          </cell>
          <cell r="G2405" t="str">
            <v>0,00</v>
          </cell>
          <cell r="H2405" t="str">
            <v>168.737.324,95</v>
          </cell>
          <cell r="I2405" t="str">
            <v>VERIFICAR</v>
          </cell>
          <cell r="J2405">
            <v>10851648.739999998</v>
          </cell>
        </row>
        <row r="2406">
          <cell r="A2406" t="str">
            <v>3.1</v>
          </cell>
          <cell r="B2406" t="str">
            <v>RECEITAS</v>
          </cell>
          <cell r="C2406" t="str">
            <v>0,00</v>
          </cell>
          <cell r="D2406" t="str">
            <v>0,00</v>
          </cell>
          <cell r="E2406" t="str">
            <v>3.746.343,70</v>
          </cell>
          <cell r="F2406" t="str">
            <v>14.597.992,44</v>
          </cell>
          <cell r="G2406" t="str">
            <v>0,00</v>
          </cell>
          <cell r="H2406" t="str">
            <v>168.737.324,95</v>
          </cell>
          <cell r="I2406" t="str">
            <v>VERIFICAR</v>
          </cell>
          <cell r="J2406">
            <v>10851648.739999998</v>
          </cell>
        </row>
        <row r="2407">
          <cell r="A2407" t="str">
            <v>3.1.1</v>
          </cell>
          <cell r="B2407" t="str">
            <v>RECEITA OPERACIONAL LIQUIDA</v>
          </cell>
          <cell r="C2407" t="str">
            <v>0,00</v>
          </cell>
          <cell r="D2407" t="str">
            <v>0,00</v>
          </cell>
          <cell r="E2407" t="str">
            <v>3.746.343,70</v>
          </cell>
          <cell r="F2407" t="str">
            <v>14.597.992,44</v>
          </cell>
          <cell r="G2407" t="str">
            <v>0,00</v>
          </cell>
          <cell r="H2407" t="str">
            <v>168.737.324,95</v>
          </cell>
          <cell r="I2407" t="str">
            <v>VERIFICAR</v>
          </cell>
          <cell r="J2407">
            <v>10851648.739999998</v>
          </cell>
        </row>
        <row r="2408">
          <cell r="A2408" t="str">
            <v>3.1.1.1</v>
          </cell>
          <cell r="B2408" t="str">
            <v>RECEITA OPERACIONAL BRUTA</v>
          </cell>
          <cell r="C2408" t="str">
            <v>0,00</v>
          </cell>
          <cell r="D2408" t="str">
            <v>0,00</v>
          </cell>
          <cell r="E2408" t="str">
            <v>0,00</v>
          </cell>
          <cell r="F2408" t="str">
            <v>14.392.399,15</v>
          </cell>
          <cell r="G2408" t="str">
            <v>0,00</v>
          </cell>
          <cell r="H2408" t="str">
            <v>225.671.651,63</v>
          </cell>
          <cell r="I2408" t="str">
            <v>VERIFICAR</v>
          </cell>
          <cell r="J2408">
            <v>14392399.15</v>
          </cell>
        </row>
        <row r="2409">
          <cell r="A2409" t="str">
            <v>3.1.1.1.01</v>
          </cell>
          <cell r="B2409" t="str">
            <v>RECEITA OPERACIONAL BRUTA</v>
          </cell>
          <cell r="C2409" t="str">
            <v>0,00</v>
          </cell>
          <cell r="D2409" t="str">
            <v>0,00</v>
          </cell>
          <cell r="E2409" t="str">
            <v>0,00</v>
          </cell>
          <cell r="F2409" t="str">
            <v>14.392.399,15</v>
          </cell>
          <cell r="G2409" t="str">
            <v>0,00</v>
          </cell>
          <cell r="H2409" t="str">
            <v>225.671.651,63</v>
          </cell>
          <cell r="I2409" t="str">
            <v>VERIFICAR</v>
          </cell>
          <cell r="J2409">
            <v>14392399.15</v>
          </cell>
        </row>
        <row r="2410">
          <cell r="A2410" t="str">
            <v>3.1.1.1.01.00001</v>
          </cell>
          <cell r="B2410" t="str">
            <v>VENDA DE MERCADORIAS</v>
          </cell>
          <cell r="C2410" t="str">
            <v>448.751.410,65</v>
          </cell>
          <cell r="D2410" t="str">
            <v>593.187.341,32</v>
          </cell>
          <cell r="E2410" t="str">
            <v>0,00</v>
          </cell>
          <cell r="F2410" t="str">
            <v>11.581.833,03</v>
          </cell>
          <cell r="G2410" t="str">
            <v>0,00</v>
          </cell>
          <cell r="H2410" t="str">
            <v>156.017.763,70</v>
          </cell>
          <cell r="I2410" t="str">
            <v>VERIFICAR</v>
          </cell>
          <cell r="J2410">
            <v>11581833.029999999</v>
          </cell>
        </row>
        <row r="2411">
          <cell r="A2411" t="str">
            <v>3.1.1.1.01.00002</v>
          </cell>
          <cell r="B2411" t="str">
            <v>REVENDA DE MERCADORIAS</v>
          </cell>
          <cell r="C2411" t="str">
            <v>188.455.796,30</v>
          </cell>
          <cell r="D2411" t="str">
            <v>250.249.994,48</v>
          </cell>
          <cell r="E2411" t="str">
            <v>0,00</v>
          </cell>
          <cell r="F2411" t="str">
            <v>2.514.125,03</v>
          </cell>
          <cell r="G2411" t="str">
            <v>0,00</v>
          </cell>
          <cell r="H2411" t="str">
            <v>64.308.323,21</v>
          </cell>
          <cell r="I2411" t="str">
            <v>VERIFICAR</v>
          </cell>
          <cell r="J2411">
            <v>2514125.0299999998</v>
          </cell>
        </row>
        <row r="2412">
          <cell r="A2412" t="str">
            <v>3.1.1.1.01.00003</v>
          </cell>
          <cell r="B2412" t="str">
            <v>SERVICOS</v>
          </cell>
          <cell r="C2412" t="str">
            <v>23.470.169,43</v>
          </cell>
          <cell r="D2412" t="str">
            <v>24.493.495,70</v>
          </cell>
          <cell r="E2412" t="str">
            <v>0,00</v>
          </cell>
          <cell r="F2412" t="str">
            <v>45.122,53</v>
          </cell>
          <cell r="G2412" t="str">
            <v>0,00</v>
          </cell>
          <cell r="H2412" t="str">
            <v>1.068.448,80</v>
          </cell>
          <cell r="I2412" t="str">
            <v>VERIFICAR</v>
          </cell>
          <cell r="J2412">
            <v>45122.53</v>
          </cell>
        </row>
        <row r="2413">
          <cell r="A2413" t="str">
            <v>3.1.1.1.01.00006</v>
          </cell>
          <cell r="B2413" t="str">
            <v>EXPORTACAO - REVENDA</v>
          </cell>
          <cell r="C2413" t="str">
            <v>8.804.350,09</v>
          </cell>
          <cell r="D2413" t="str">
            <v>12.830.147,45</v>
          </cell>
          <cell r="E2413" t="str">
            <v>0,00</v>
          </cell>
          <cell r="F2413" t="str">
            <v>251.318,56</v>
          </cell>
          <cell r="G2413" t="str">
            <v>0,00</v>
          </cell>
          <cell r="H2413" t="str">
            <v>4.277.115,92</v>
          </cell>
          <cell r="I2413" t="str">
            <v>VERIFICAR</v>
          </cell>
          <cell r="J2413">
            <v>251318.56</v>
          </cell>
        </row>
        <row r="2414">
          <cell r="A2414" t="str">
            <v>3.1.1.2</v>
          </cell>
          <cell r="B2414" t="str">
            <v>DEDUCOES DE VENDA</v>
          </cell>
          <cell r="C2414" t="str">
            <v>0,00</v>
          </cell>
          <cell r="D2414" t="str">
            <v>0,00</v>
          </cell>
          <cell r="E2414" t="str">
            <v>3.746.343,70</v>
          </cell>
          <cell r="F2414" t="str">
            <v>205.593,29</v>
          </cell>
          <cell r="G2414" t="str">
            <v>56.934.326,68</v>
          </cell>
          <cell r="H2414" t="str">
            <v>0,00</v>
          </cell>
          <cell r="I2414" t="str">
            <v>VERIFICAR</v>
          </cell>
          <cell r="J2414">
            <v>-3540750.41</v>
          </cell>
        </row>
        <row r="2415">
          <cell r="A2415" t="str">
            <v>3.1.1.2.01</v>
          </cell>
          <cell r="B2415" t="str">
            <v>IMPOSTOS SOBRE VENDAS</v>
          </cell>
          <cell r="C2415" t="str">
            <v>0,00</v>
          </cell>
          <cell r="D2415" t="str">
            <v>0,00</v>
          </cell>
          <cell r="E2415" t="str">
            <v>2.496.457,03</v>
          </cell>
          <cell r="F2415" t="str">
            <v>678,71</v>
          </cell>
          <cell r="G2415" t="str">
            <v>38.169.677,39</v>
          </cell>
          <cell r="H2415" t="str">
            <v>0,00</v>
          </cell>
          <cell r="I2415" t="str">
            <v>VERIFICAR</v>
          </cell>
          <cell r="J2415">
            <v>-2495778.3199999998</v>
          </cell>
        </row>
        <row r="2416">
          <cell r="A2416" t="str">
            <v>3.1.1.2.01.00002</v>
          </cell>
          <cell r="B2416" t="str">
            <v>ICMS</v>
          </cell>
          <cell r="C2416" t="str">
            <v>75.220.192,85</v>
          </cell>
          <cell r="D2416" t="str">
            <v>56.913.918,71</v>
          </cell>
          <cell r="E2416" t="str">
            <v>1.286.229,48</v>
          </cell>
          <cell r="F2416" t="str">
            <v>678,71</v>
          </cell>
          <cell r="G2416" t="str">
            <v>19.591.824,91</v>
          </cell>
          <cell r="H2416" t="str">
            <v>0,00</v>
          </cell>
          <cell r="I2416" t="str">
            <v>VERIFICAR</v>
          </cell>
          <cell r="J2416">
            <v>-1285550.77</v>
          </cell>
        </row>
        <row r="2417">
          <cell r="A2417" t="str">
            <v>3.1.1.2.01.00003</v>
          </cell>
          <cell r="B2417" t="str">
            <v>ISSQN</v>
          </cell>
          <cell r="C2417" t="str">
            <v>1.003.336,68</v>
          </cell>
          <cell r="D2417" t="str">
            <v>966.254,54</v>
          </cell>
          <cell r="E2417" t="str">
            <v>1.505,61</v>
          </cell>
          <cell r="F2417" t="str">
            <v>0,00</v>
          </cell>
          <cell r="G2417" t="str">
            <v>38.587,75</v>
          </cell>
          <cell r="H2417" t="str">
            <v>0,00</v>
          </cell>
          <cell r="I2417" t="str">
            <v>VERIFICAR</v>
          </cell>
          <cell r="J2417">
            <v>-1505.61</v>
          </cell>
        </row>
        <row r="2418">
          <cell r="A2418" t="str">
            <v>3.1.1.2.01.00004</v>
          </cell>
          <cell r="B2418" t="str">
            <v>COFINS</v>
          </cell>
          <cell r="C2418" t="str">
            <v>45.646.917,53</v>
          </cell>
          <cell r="D2418" t="str">
            <v>32.683.817,62</v>
          </cell>
          <cell r="E2418" t="str">
            <v>933.785,25</v>
          </cell>
          <cell r="F2418" t="str">
            <v>0,00</v>
          </cell>
          <cell r="G2418" t="str">
            <v>13.896.885,16</v>
          </cell>
          <cell r="H2418" t="str">
            <v>0,00</v>
          </cell>
          <cell r="I2418" t="str">
            <v>VERIFICAR</v>
          </cell>
          <cell r="J2418">
            <v>-933785.25</v>
          </cell>
        </row>
        <row r="2419">
          <cell r="A2419" t="str">
            <v>3.1.1.2.01.00005</v>
          </cell>
          <cell r="B2419" t="str">
            <v>PIS</v>
          </cell>
          <cell r="C2419" t="str">
            <v>9.809.087,73</v>
          </cell>
          <cell r="D2419" t="str">
            <v>7.018.938,91</v>
          </cell>
          <cell r="E2419" t="str">
            <v>201.631,09</v>
          </cell>
          <cell r="F2419" t="str">
            <v>0,00</v>
          </cell>
          <cell r="G2419" t="str">
            <v>2.991.779,91</v>
          </cell>
          <cell r="H2419" t="str">
            <v>0,00</v>
          </cell>
          <cell r="I2419" t="str">
            <v>VERIFICAR</v>
          </cell>
          <cell r="J2419">
            <v>-201631.09</v>
          </cell>
        </row>
        <row r="2420">
          <cell r="A2420" t="str">
            <v>3.1.1.2.01.00006</v>
          </cell>
          <cell r="B2420" t="str">
            <v>IPI</v>
          </cell>
          <cell r="C2420" t="str">
            <v>6.085.541,38</v>
          </cell>
          <cell r="D2420" t="str">
            <v>4.704.491,60</v>
          </cell>
          <cell r="E2420" t="str">
            <v>61.984,42</v>
          </cell>
          <cell r="F2420" t="str">
            <v>0,00</v>
          </cell>
          <cell r="G2420" t="str">
            <v>1.443.034,20</v>
          </cell>
          <cell r="H2420" t="str">
            <v>0,00</v>
          </cell>
          <cell r="I2420" t="str">
            <v>VERIFICAR</v>
          </cell>
          <cell r="J2420">
            <v>-61984.42</v>
          </cell>
        </row>
        <row r="2421">
          <cell r="A2421" t="str">
            <v>3.1.1.2.01.00007</v>
          </cell>
          <cell r="B2421" t="str">
            <v>ICMS ST</v>
          </cell>
          <cell r="C2421" t="str">
            <v>700.285,98</v>
          </cell>
          <cell r="D2421" t="str">
            <v>504.041,70</v>
          </cell>
          <cell r="E2421" t="str">
            <v>11.321,18</v>
          </cell>
          <cell r="F2421" t="str">
            <v>0,00</v>
          </cell>
          <cell r="G2421" t="str">
            <v>207.565,46</v>
          </cell>
          <cell r="H2421" t="str">
            <v>0,00</v>
          </cell>
          <cell r="I2421" t="str">
            <v>VERIFICAR</v>
          </cell>
          <cell r="J2421">
            <v>-11321.18</v>
          </cell>
        </row>
        <row r="2422">
          <cell r="A2422" t="str">
            <v>3.1.1.2.02</v>
          </cell>
          <cell r="B2422" t="str">
            <v>DEVOLUCOES</v>
          </cell>
          <cell r="C2422" t="str">
            <v>0,00</v>
          </cell>
          <cell r="D2422" t="str">
            <v>0,00</v>
          </cell>
          <cell r="E2422" t="str">
            <v>1.249.886,67</v>
          </cell>
          <cell r="F2422" t="str">
            <v>204.914,58</v>
          </cell>
          <cell r="G2422" t="str">
            <v>18.764.649,29</v>
          </cell>
          <cell r="H2422" t="str">
            <v>0,00</v>
          </cell>
          <cell r="I2422" t="str">
            <v>VERIFICAR</v>
          </cell>
          <cell r="J2422">
            <v>-1044972.09</v>
          </cell>
        </row>
        <row r="2423">
          <cell r="A2423" t="str">
            <v>3.1.1.2.02.00001</v>
          </cell>
          <cell r="B2423" t="str">
            <v>DEVOLUCOES - TERCEIROS</v>
          </cell>
          <cell r="C2423" t="str">
            <v>53.930.371,61</v>
          </cell>
          <cell r="D2423" t="str">
            <v>32.897.705,66</v>
          </cell>
          <cell r="E2423" t="str">
            <v>1.249.886,67</v>
          </cell>
          <cell r="F2423" t="str">
            <v>0,00</v>
          </cell>
          <cell r="G2423" t="str">
            <v>22.282.552,62</v>
          </cell>
          <cell r="H2423" t="str">
            <v>0,00</v>
          </cell>
          <cell r="I2423" t="str">
            <v>VERIFICAR</v>
          </cell>
          <cell r="J2423">
            <v>-1249886.67</v>
          </cell>
        </row>
        <row r="2424">
          <cell r="A2424" t="str">
            <v>3.1.1.2.02.00002</v>
          </cell>
          <cell r="B2424" t="str">
            <v>(-) IPI S/ DEVOLUCAO</v>
          </cell>
          <cell r="C2424" t="str">
            <v>161.382,03</v>
          </cell>
          <cell r="D2424" t="str">
            <v>220.059,78</v>
          </cell>
          <cell r="E2424" t="str">
            <v>0,00</v>
          </cell>
          <cell r="F2424" t="str">
            <v>4.837,71</v>
          </cell>
          <cell r="G2424" t="str">
            <v>0,00</v>
          </cell>
          <cell r="H2424" t="str">
            <v>63.515,46</v>
          </cell>
          <cell r="I2424" t="str">
            <v>VERIFICAR</v>
          </cell>
          <cell r="J2424">
            <v>4837.71</v>
          </cell>
        </row>
        <row r="2425">
          <cell r="A2425" t="str">
            <v>3.1.1.2.02.00003</v>
          </cell>
          <cell r="B2425" t="str">
            <v>(-) ICMS S/ DEVOLUCAO</v>
          </cell>
          <cell r="C2425" t="str">
            <v>2.353.445,95</v>
          </cell>
          <cell r="D2425" t="str">
            <v>3.865.256,89</v>
          </cell>
          <cell r="E2425" t="str">
            <v>0,00</v>
          </cell>
          <cell r="F2425" t="str">
            <v>94.187,83</v>
          </cell>
          <cell r="G2425" t="str">
            <v>0,00</v>
          </cell>
          <cell r="H2425" t="str">
            <v>1.605.998,77</v>
          </cell>
          <cell r="I2425" t="str">
            <v>VERIFICAR</v>
          </cell>
          <cell r="J2425">
            <v>94187.83</v>
          </cell>
        </row>
        <row r="2426">
          <cell r="A2426" t="str">
            <v>3.1.1.2.02.00004</v>
          </cell>
          <cell r="B2426" t="str">
            <v>(-) ICMS ST S/ DEVOLUCAO</v>
          </cell>
          <cell r="C2426" t="str">
            <v>4.023,65</v>
          </cell>
          <cell r="D2426" t="str">
            <v>14.208,73</v>
          </cell>
          <cell r="E2426" t="str">
            <v>0,00</v>
          </cell>
          <cell r="F2426" t="str">
            <v>0,00</v>
          </cell>
          <cell r="G2426" t="str">
            <v>0,00</v>
          </cell>
          <cell r="H2426" t="str">
            <v>10.185,08</v>
          </cell>
          <cell r="I2426" t="str">
            <v>VERIFICAR</v>
          </cell>
          <cell r="J2426">
            <v>0</v>
          </cell>
        </row>
        <row r="2427">
          <cell r="A2427" t="str">
            <v>3.1.1.2.02.00005</v>
          </cell>
          <cell r="B2427" t="str">
            <v>(-) COFINS S/ DEVOLUCAO</v>
          </cell>
          <cell r="C2427" t="str">
            <v>1.575.505,06</v>
          </cell>
          <cell r="D2427" t="str">
            <v>2.999.590,44</v>
          </cell>
          <cell r="E2427" t="str">
            <v>0,00</v>
          </cell>
          <cell r="F2427" t="str">
            <v>87.007,90</v>
          </cell>
          <cell r="G2427" t="str">
            <v>0,00</v>
          </cell>
          <cell r="H2427" t="str">
            <v>1.511.093,28</v>
          </cell>
          <cell r="I2427" t="str">
            <v>VERIFICAR</v>
          </cell>
          <cell r="J2427">
            <v>87007.9</v>
          </cell>
        </row>
        <row r="2428">
          <cell r="A2428" t="str">
            <v>3.1.1.2.02.00006</v>
          </cell>
          <cell r="B2428" t="str">
            <v>(-) PIS S/ DEVOLUCAO</v>
          </cell>
          <cell r="C2428" t="str">
            <v>339.973,92</v>
          </cell>
          <cell r="D2428" t="str">
            <v>648.203,52</v>
          </cell>
          <cell r="E2428" t="str">
            <v>0,00</v>
          </cell>
          <cell r="F2428" t="str">
            <v>18.881,14</v>
          </cell>
          <cell r="G2428" t="str">
            <v>0,00</v>
          </cell>
          <cell r="H2428" t="str">
            <v>327.110,74</v>
          </cell>
          <cell r="I2428" t="str">
            <v>VERIFICAR</v>
          </cell>
          <cell r="J2428">
            <v>18881.14</v>
          </cell>
        </row>
        <row r="2429">
          <cell r="A2429" t="str">
            <v>4</v>
          </cell>
          <cell r="B2429" t="str">
            <v>CUSTOS E DESPESAS</v>
          </cell>
          <cell r="C2429" t="str">
            <v>0,00</v>
          </cell>
          <cell r="D2429" t="str">
            <v>0,00</v>
          </cell>
          <cell r="E2429" t="str">
            <v>11.099.597,25</v>
          </cell>
          <cell r="F2429" t="str">
            <v>987.385,92</v>
          </cell>
          <cell r="G2429" t="str">
            <v>149.714.074,07</v>
          </cell>
          <cell r="H2429" t="str">
            <v>0,00</v>
          </cell>
          <cell r="I2429" t="str">
            <v>VERIFICAR</v>
          </cell>
          <cell r="J2429">
            <v>10112211.33</v>
          </cell>
        </row>
        <row r="2430">
          <cell r="A2430" t="str">
            <v>4.1</v>
          </cell>
          <cell r="B2430" t="str">
            <v>CUSTOS</v>
          </cell>
          <cell r="C2430" t="str">
            <v>0,00</v>
          </cell>
          <cell r="D2430" t="str">
            <v>0,00</v>
          </cell>
          <cell r="E2430" t="str">
            <v>8.782.160,82</v>
          </cell>
          <cell r="F2430" t="str">
            <v>618.892,61</v>
          </cell>
          <cell r="G2430" t="str">
            <v>120.384.477,37</v>
          </cell>
          <cell r="H2430" t="str">
            <v>0,00</v>
          </cell>
          <cell r="I2430" t="str">
            <v>VERIFICAR</v>
          </cell>
          <cell r="J2430">
            <v>8163268.21</v>
          </cell>
        </row>
        <row r="2431">
          <cell r="A2431" t="str">
            <v>4.1.1</v>
          </cell>
          <cell r="B2431" t="str">
            <v>CUSTOS - MATRIZ</v>
          </cell>
          <cell r="C2431" t="str">
            <v>0,00</v>
          </cell>
          <cell r="D2431" t="str">
            <v>0,00</v>
          </cell>
          <cell r="E2431" t="str">
            <v>8.782.160,82</v>
          </cell>
          <cell r="F2431" t="str">
            <v>618.892,61</v>
          </cell>
          <cell r="G2431" t="str">
            <v>120.384.477,37</v>
          </cell>
          <cell r="H2431" t="str">
            <v>0,00</v>
          </cell>
          <cell r="I2431" t="str">
            <v>VERIFICAR</v>
          </cell>
          <cell r="J2431">
            <v>8163268.21</v>
          </cell>
        </row>
        <row r="2432">
          <cell r="A2432" t="str">
            <v>4.1.1.1</v>
          </cell>
          <cell r="B2432" t="str">
            <v>CUSTOS DE PRODUCAO/COMERCIALIZACAO</v>
          </cell>
          <cell r="C2432" t="str">
            <v>0,00</v>
          </cell>
          <cell r="D2432" t="str">
            <v>0,00</v>
          </cell>
          <cell r="E2432" t="str">
            <v>8.778.586,64</v>
          </cell>
          <cell r="F2432" t="str">
            <v>618.892,61</v>
          </cell>
          <cell r="G2432" t="str">
            <v>120.357.780,77</v>
          </cell>
          <cell r="H2432" t="str">
            <v>0,00</v>
          </cell>
          <cell r="I2432" t="str">
            <v>VERIFICAR</v>
          </cell>
          <cell r="J2432">
            <v>8159694.0300000003</v>
          </cell>
        </row>
        <row r="2433">
          <cell r="A2433" t="str">
            <v>4.1.1.1.01</v>
          </cell>
          <cell r="B2433" t="str">
            <v>MAO DE OBRA</v>
          </cell>
          <cell r="C2433" t="str">
            <v>0,00</v>
          </cell>
          <cell r="D2433" t="str">
            <v>0,00</v>
          </cell>
          <cell r="E2433" t="str">
            <v>202.948,98</v>
          </cell>
          <cell r="F2433" t="str">
            <v>918,11</v>
          </cell>
          <cell r="G2433" t="str">
            <v>16.142.949,17</v>
          </cell>
          <cell r="H2433" t="str">
            <v>0,00</v>
          </cell>
          <cell r="I2433" t="str">
            <v>VERIFICAR</v>
          </cell>
          <cell r="J2433">
            <v>202030.87000000002</v>
          </cell>
        </row>
        <row r="2434">
          <cell r="A2434" t="str">
            <v>4.1.1.1.01.00003</v>
          </cell>
          <cell r="B2434" t="str">
            <v>SALARIOS E ORDENADOS</v>
          </cell>
          <cell r="C2434" t="str">
            <v>33.526.407,54</v>
          </cell>
          <cell r="D2434" t="str">
            <v>24.862.619,88</v>
          </cell>
          <cell r="E2434" t="str">
            <v>13.915,05</v>
          </cell>
          <cell r="F2434" t="str">
            <v>706,57</v>
          </cell>
          <cell r="G2434" t="str">
            <v>8.676.996,14</v>
          </cell>
          <cell r="H2434" t="str">
            <v>0,00</v>
          </cell>
          <cell r="I2434" t="str">
            <v>VERIFICAR</v>
          </cell>
          <cell r="J2434">
            <v>13208.48</v>
          </cell>
        </row>
        <row r="2435">
          <cell r="A2435" t="str">
            <v>4.1.1.1.01.00005</v>
          </cell>
          <cell r="B2435" t="str">
            <v>13O. SALARIO</v>
          </cell>
          <cell r="C2435" t="str">
            <v>437.061,51</v>
          </cell>
          <cell r="D2435" t="str">
            <v>436.957,39</v>
          </cell>
          <cell r="E2435" t="str">
            <v>0,00</v>
          </cell>
          <cell r="F2435" t="str">
            <v>0,00</v>
          </cell>
          <cell r="G2435" t="str">
            <v>104,12</v>
          </cell>
          <cell r="H2435" t="str">
            <v>0,00</v>
          </cell>
          <cell r="I2435" t="str">
            <v>VERIFICAR</v>
          </cell>
          <cell r="J2435">
            <v>0</v>
          </cell>
        </row>
        <row r="2436">
          <cell r="A2436" t="str">
            <v>4.1.1.1.01.00006</v>
          </cell>
          <cell r="B2436" t="str">
            <v>BOLSA ESTAGIO</v>
          </cell>
          <cell r="C2436" t="str">
            <v>178.646,70</v>
          </cell>
          <cell r="D2436" t="str">
            <v>149.982,89</v>
          </cell>
          <cell r="E2436" t="str">
            <v>0,00</v>
          </cell>
          <cell r="F2436" t="str">
            <v>0,00</v>
          </cell>
          <cell r="G2436" t="str">
            <v>28.663,81</v>
          </cell>
          <cell r="H2436" t="str">
            <v>0,00</v>
          </cell>
          <cell r="I2436" t="str">
            <v>VERIFICAR</v>
          </cell>
          <cell r="J2436">
            <v>0</v>
          </cell>
        </row>
        <row r="2437">
          <cell r="A2437" t="str">
            <v>4.1.1.1.01.00007</v>
          </cell>
          <cell r="B2437" t="str">
            <v>INDENIZACOES</v>
          </cell>
          <cell r="C2437" t="str">
            <v>867.551,47</v>
          </cell>
          <cell r="D2437" t="str">
            <v>753.906,00</v>
          </cell>
          <cell r="E2437" t="str">
            <v>0,00</v>
          </cell>
          <cell r="F2437" t="str">
            <v>0,00</v>
          </cell>
          <cell r="G2437" t="str">
            <v>113.645,47</v>
          </cell>
          <cell r="H2437" t="str">
            <v>0,00</v>
          </cell>
          <cell r="I2437" t="str">
            <v>VERIFICAR</v>
          </cell>
          <cell r="J2437">
            <v>0</v>
          </cell>
        </row>
        <row r="2438">
          <cell r="A2438" t="str">
            <v>4.1.1.1.01.00008</v>
          </cell>
          <cell r="B2438" t="str">
            <v>INSS</v>
          </cell>
          <cell r="C2438" t="str">
            <v>10.333.278,34</v>
          </cell>
          <cell r="D2438" t="str">
            <v>7.646.044,31</v>
          </cell>
          <cell r="E2438" t="str">
            <v>4.000,07</v>
          </cell>
          <cell r="F2438" t="str">
            <v>0,00</v>
          </cell>
          <cell r="G2438" t="str">
            <v>2.691.234,10</v>
          </cell>
          <cell r="H2438" t="str">
            <v>0,00</v>
          </cell>
          <cell r="I2438" t="str">
            <v>VERIFICAR</v>
          </cell>
          <cell r="J2438">
            <v>4000.07</v>
          </cell>
        </row>
        <row r="2439">
          <cell r="A2439" t="str">
            <v>4.1.1.1.01.00009</v>
          </cell>
          <cell r="B2439" t="str">
            <v>FGTS</v>
          </cell>
          <cell r="C2439" t="str">
            <v>3.343.746,03</v>
          </cell>
          <cell r="D2439" t="str">
            <v>2.590.807,53</v>
          </cell>
          <cell r="E2439" t="str">
            <v>1.172,16</v>
          </cell>
          <cell r="F2439" t="str">
            <v>0,00</v>
          </cell>
          <cell r="G2439" t="str">
            <v>754.110,66</v>
          </cell>
          <cell r="H2439" t="str">
            <v>0,00</v>
          </cell>
          <cell r="I2439" t="str">
            <v>VERIFICAR</v>
          </cell>
          <cell r="J2439">
            <v>1172.1600000000001</v>
          </cell>
        </row>
        <row r="2440">
          <cell r="A2440" t="str">
            <v>4.1.1.1.01.00010</v>
          </cell>
          <cell r="B2440" t="str">
            <v>TRANSPORTE/VALE TRANSPORTE</v>
          </cell>
          <cell r="C2440" t="str">
            <v>5.603.142,62</v>
          </cell>
          <cell r="D2440" t="str">
            <v>3.873.149,78</v>
          </cell>
          <cell r="E2440" t="str">
            <v>127.645,67</v>
          </cell>
          <cell r="F2440" t="str">
            <v>0,00</v>
          </cell>
          <cell r="G2440" t="str">
            <v>1.857.638,51</v>
          </cell>
          <cell r="H2440" t="str">
            <v>0,00</v>
          </cell>
          <cell r="I2440" t="str">
            <v>VERIFICAR</v>
          </cell>
          <cell r="J2440">
            <v>127645.67</v>
          </cell>
        </row>
        <row r="2441">
          <cell r="A2441" t="str">
            <v>4.1.1.1.01.00011</v>
          </cell>
          <cell r="B2441" t="str">
            <v>REFEICAO/VALE REFEICAO</v>
          </cell>
          <cell r="C2441" t="str">
            <v>183.829,18</v>
          </cell>
          <cell r="D2441" t="str">
            <v>67.315,42</v>
          </cell>
          <cell r="E2441" t="str">
            <v>0,00</v>
          </cell>
          <cell r="F2441" t="str">
            <v>0,00</v>
          </cell>
          <cell r="G2441" t="str">
            <v>116.513,76</v>
          </cell>
          <cell r="H2441" t="str">
            <v>0,00</v>
          </cell>
          <cell r="I2441" t="str">
            <v>VERIFICAR</v>
          </cell>
          <cell r="J2441">
            <v>0</v>
          </cell>
        </row>
        <row r="2442">
          <cell r="A2442" t="str">
            <v>4.1.1.1.01.00013</v>
          </cell>
          <cell r="B2442" t="str">
            <v>ASSISTENCIA MEDICA/FARMACIA</v>
          </cell>
          <cell r="C2442" t="str">
            <v>4.183.554,48</v>
          </cell>
          <cell r="D2442" t="str">
            <v>4.495.711,12</v>
          </cell>
          <cell r="E2442" t="str">
            <v>19.355,19</v>
          </cell>
          <cell r="F2442" t="str">
            <v>211,54</v>
          </cell>
          <cell r="G2442" t="str">
            <v>0,00</v>
          </cell>
          <cell r="H2442" t="str">
            <v>293.012,99</v>
          </cell>
          <cell r="I2442" t="str">
            <v>VERIFICAR</v>
          </cell>
          <cell r="J2442">
            <v>19143.649999999998</v>
          </cell>
        </row>
        <row r="2443">
          <cell r="A2443" t="str">
            <v>4.1.1.1.01.00015</v>
          </cell>
          <cell r="B2443" t="str">
            <v>FORMACAO PROFISSIONAL EMPREGADOS</v>
          </cell>
          <cell r="C2443" t="str">
            <v>120.398,43</v>
          </cell>
          <cell r="D2443" t="str">
            <v>93.162,29</v>
          </cell>
          <cell r="E2443" t="str">
            <v>1.178,28</v>
          </cell>
          <cell r="F2443" t="str">
            <v>0,00</v>
          </cell>
          <cell r="G2443" t="str">
            <v>28.414,42</v>
          </cell>
          <cell r="H2443" t="str">
            <v>0,00</v>
          </cell>
          <cell r="I2443" t="str">
            <v>VERIFICAR</v>
          </cell>
          <cell r="J2443">
            <v>1178.28</v>
          </cell>
        </row>
        <row r="2444">
          <cell r="A2444" t="str">
            <v>4.1.1.1.01.00016</v>
          </cell>
          <cell r="B2444" t="str">
            <v>UNIFORMES / EPI</v>
          </cell>
          <cell r="C2444" t="str">
            <v>306.480,15</v>
          </cell>
          <cell r="D2444" t="str">
            <v>170.693,21</v>
          </cell>
          <cell r="E2444" t="str">
            <v>13.204,83</v>
          </cell>
          <cell r="F2444" t="str">
            <v>0,00</v>
          </cell>
          <cell r="G2444" t="str">
            <v>148.991,77</v>
          </cell>
          <cell r="H2444" t="str">
            <v>0,00</v>
          </cell>
          <cell r="I2444" t="str">
            <v>VERIFICAR</v>
          </cell>
          <cell r="J2444">
            <v>13204.83</v>
          </cell>
        </row>
        <row r="2445">
          <cell r="A2445" t="str">
            <v>4.1.1.1.01.00019</v>
          </cell>
          <cell r="B2445" t="str">
            <v>PREMIOS DE SEGUROS</v>
          </cell>
          <cell r="C2445" t="str">
            <v>55.231,15</v>
          </cell>
          <cell r="D2445" t="str">
            <v>19.958,59</v>
          </cell>
          <cell r="E2445" t="str">
            <v>1.946,16</v>
          </cell>
          <cell r="F2445" t="str">
            <v>0,00</v>
          </cell>
          <cell r="G2445" t="str">
            <v>37.218,72</v>
          </cell>
          <cell r="H2445" t="str">
            <v>0,00</v>
          </cell>
          <cell r="I2445" t="str">
            <v>VERIFICAR</v>
          </cell>
          <cell r="J2445">
            <v>1946.16</v>
          </cell>
        </row>
        <row r="2446">
          <cell r="A2446" t="str">
            <v>4.1.1.1.01.00020</v>
          </cell>
          <cell r="B2446" t="str">
            <v>MORADIA EMPREGADO</v>
          </cell>
          <cell r="C2446" t="str">
            <v>784.768,07</v>
          </cell>
          <cell r="D2446" t="str">
            <v>615.694,31</v>
          </cell>
          <cell r="E2446" t="str">
            <v>17.500,00</v>
          </cell>
          <cell r="F2446" t="str">
            <v>0,00</v>
          </cell>
          <cell r="G2446" t="str">
            <v>186.573,76</v>
          </cell>
          <cell r="H2446" t="str">
            <v>0,00</v>
          </cell>
          <cell r="I2446" t="str">
            <v>VERIFICAR</v>
          </cell>
          <cell r="J2446">
            <v>17500</v>
          </cell>
        </row>
        <row r="2447">
          <cell r="A2447" t="str">
            <v>4.1.1.1.01.00030</v>
          </cell>
          <cell r="B2447" t="str">
            <v>OUTRAS DESPESAS EMPREGADOS</v>
          </cell>
          <cell r="C2447" t="str">
            <v>6.440,09</v>
          </cell>
          <cell r="D2447" t="str">
            <v>5.294,30</v>
          </cell>
          <cell r="E2447" t="str">
            <v>0,00</v>
          </cell>
          <cell r="F2447" t="str">
            <v>0,00</v>
          </cell>
          <cell r="G2447" t="str">
            <v>1.145,79</v>
          </cell>
          <cell r="H2447" t="str">
            <v>0,00</v>
          </cell>
          <cell r="I2447" t="str">
            <v>VERIFICAR</v>
          </cell>
          <cell r="J2447">
            <v>0</v>
          </cell>
        </row>
        <row r="2448">
          <cell r="A2448" t="str">
            <v>4.1.1.1.01.00097</v>
          </cell>
          <cell r="B2448" t="str">
            <v>PROVISAO/REVERSAO FERIAS</v>
          </cell>
          <cell r="C2448" t="str">
            <v>6.796.204,57</v>
          </cell>
          <cell r="D2448" t="str">
            <v>5.998.678,22</v>
          </cell>
          <cell r="E2448" t="str">
            <v>1.724,00</v>
          </cell>
          <cell r="F2448" t="str">
            <v>0,00</v>
          </cell>
          <cell r="G2448" t="str">
            <v>799.250,35</v>
          </cell>
          <cell r="H2448" t="str">
            <v>0,00</v>
          </cell>
          <cell r="I2448" t="str">
            <v>VERIFICAR</v>
          </cell>
          <cell r="J2448">
            <v>1724</v>
          </cell>
        </row>
        <row r="2449">
          <cell r="A2449" t="str">
            <v>4.1.1.1.01.00098</v>
          </cell>
          <cell r="B2449" t="str">
            <v>PROVISAO/REVERSAO 13O. SALARIO</v>
          </cell>
          <cell r="C2449" t="str">
            <v>5.011.502,11</v>
          </cell>
          <cell r="D2449" t="str">
            <v>4.017.348,90</v>
          </cell>
          <cell r="E2449" t="str">
            <v>1.307,57</v>
          </cell>
          <cell r="F2449" t="str">
            <v>0,00</v>
          </cell>
          <cell r="G2449" t="str">
            <v>995.460,78</v>
          </cell>
          <cell r="H2449" t="str">
            <v>0,00</v>
          </cell>
          <cell r="I2449" t="str">
            <v>VERIFICAR</v>
          </cell>
          <cell r="J2449">
            <v>1307.57</v>
          </cell>
        </row>
        <row r="2450">
          <cell r="A2450" t="str">
            <v>4.1.1.1.04</v>
          </cell>
          <cell r="B2450" t="str">
            <v>DESPESAS DE VIAGENS</v>
          </cell>
          <cell r="C2450" t="str">
            <v>0,00</v>
          </cell>
          <cell r="D2450" t="str">
            <v>0,00</v>
          </cell>
          <cell r="E2450" t="str">
            <v>330.560,06</v>
          </cell>
          <cell r="F2450" t="str">
            <v>0,00</v>
          </cell>
          <cell r="G2450" t="str">
            <v>4.854.839,10</v>
          </cell>
          <cell r="H2450" t="str">
            <v>0,00</v>
          </cell>
          <cell r="I2450" t="str">
            <v>VERIFICAR</v>
          </cell>
          <cell r="J2450">
            <v>330560.06</v>
          </cell>
        </row>
        <row r="2451">
          <cell r="A2451" t="str">
            <v>4.1.1.1.04.00001</v>
          </cell>
          <cell r="B2451" t="str">
            <v>ALUGUEL VEICULOS</v>
          </cell>
          <cell r="C2451" t="str">
            <v>859.934,29</v>
          </cell>
          <cell r="D2451" t="str">
            <v>705.477,45</v>
          </cell>
          <cell r="E2451" t="str">
            <v>12.655,31</v>
          </cell>
          <cell r="F2451" t="str">
            <v>0,00</v>
          </cell>
          <cell r="G2451" t="str">
            <v>167.112,15</v>
          </cell>
          <cell r="H2451" t="str">
            <v>0,00</v>
          </cell>
          <cell r="I2451" t="str">
            <v>VERIFICAR</v>
          </cell>
          <cell r="J2451">
            <v>12655.31</v>
          </cell>
        </row>
        <row r="2452">
          <cell r="A2452" t="str">
            <v>4.1.1.1.04.00002</v>
          </cell>
          <cell r="B2452" t="str">
            <v>COMBUSTIVEL E LUBRIFICANTES</v>
          </cell>
          <cell r="C2452" t="str">
            <v>4.198.344,43</v>
          </cell>
          <cell r="D2452" t="str">
            <v>2.722.774,15</v>
          </cell>
          <cell r="E2452" t="str">
            <v>98.046,02</v>
          </cell>
          <cell r="F2452" t="str">
            <v>0,00</v>
          </cell>
          <cell r="G2452" t="str">
            <v>1.573.616,30</v>
          </cell>
          <cell r="H2452" t="str">
            <v>0,00</v>
          </cell>
          <cell r="I2452" t="str">
            <v>VERIFICAR</v>
          </cell>
          <cell r="J2452">
            <v>98046.02</v>
          </cell>
        </row>
        <row r="2453">
          <cell r="A2453" t="str">
            <v>4.1.1.1.04.00003</v>
          </cell>
          <cell r="B2453" t="str">
            <v>ESTADIAS E REFEICOES</v>
          </cell>
          <cell r="C2453" t="str">
            <v>6.995.025,94</v>
          </cell>
          <cell r="D2453" t="str">
            <v>4.878.295,89</v>
          </cell>
          <cell r="E2453" t="str">
            <v>157.848,53</v>
          </cell>
          <cell r="F2453" t="str">
            <v>0,00</v>
          </cell>
          <cell r="G2453" t="str">
            <v>2.274.578,58</v>
          </cell>
          <cell r="H2453" t="str">
            <v>0,00</v>
          </cell>
          <cell r="I2453" t="str">
            <v>VERIFICAR</v>
          </cell>
          <cell r="J2453">
            <v>157848.53</v>
          </cell>
        </row>
        <row r="2454">
          <cell r="A2454" t="str">
            <v>4.1.1.1.04.00004</v>
          </cell>
          <cell r="B2454" t="str">
            <v>PASSAGENS AEREA</v>
          </cell>
          <cell r="C2454" t="str">
            <v>1.985.801,82</v>
          </cell>
          <cell r="D2454" t="str">
            <v>1.446.653,01</v>
          </cell>
          <cell r="E2454" t="str">
            <v>44.467,76</v>
          </cell>
          <cell r="F2454" t="str">
            <v>0,00</v>
          </cell>
          <cell r="G2454" t="str">
            <v>583.616,57</v>
          </cell>
          <cell r="H2454" t="str">
            <v>0,00</v>
          </cell>
          <cell r="I2454" t="str">
            <v>VERIFICAR</v>
          </cell>
          <cell r="J2454">
            <v>44467.76</v>
          </cell>
        </row>
        <row r="2455">
          <cell r="A2455" t="str">
            <v>4.1.1.1.04.00005</v>
          </cell>
          <cell r="B2455" t="str">
            <v>PEDAGIOS</v>
          </cell>
          <cell r="C2455" t="str">
            <v>744.444,04</v>
          </cell>
          <cell r="D2455" t="str">
            <v>506.070,98</v>
          </cell>
          <cell r="E2455" t="str">
            <v>17.542,44</v>
          </cell>
          <cell r="F2455" t="str">
            <v>0,00</v>
          </cell>
          <cell r="G2455" t="str">
            <v>255.915,50</v>
          </cell>
          <cell r="H2455" t="str">
            <v>0,00</v>
          </cell>
          <cell r="I2455" t="str">
            <v>VERIFICAR</v>
          </cell>
          <cell r="J2455">
            <v>17542.439999999999</v>
          </cell>
        </row>
        <row r="2456">
          <cell r="A2456" t="str">
            <v>4.1.1.1.05</v>
          </cell>
          <cell r="B2456" t="str">
            <v>DESPESAS COM VEICULOS</v>
          </cell>
          <cell r="C2456" t="str">
            <v>0,00</v>
          </cell>
          <cell r="D2456" t="str">
            <v>0,00</v>
          </cell>
          <cell r="E2456" t="str">
            <v>61.404,84</v>
          </cell>
          <cell r="F2456" t="str">
            <v>0,00</v>
          </cell>
          <cell r="G2456" t="str">
            <v>791.060,80</v>
          </cell>
          <cell r="H2456" t="str">
            <v>0,00</v>
          </cell>
          <cell r="I2456" t="str">
            <v>VERIFICAR</v>
          </cell>
          <cell r="J2456">
            <v>61404.84</v>
          </cell>
        </row>
        <row r="2457">
          <cell r="A2457" t="str">
            <v>4.1.1.1.05.00001</v>
          </cell>
          <cell r="B2457" t="str">
            <v>MANUTENCAO DE VEICULOS - SERVICOS</v>
          </cell>
          <cell r="C2457" t="str">
            <v>964.328,16</v>
          </cell>
          <cell r="D2457" t="str">
            <v>676.893,84</v>
          </cell>
          <cell r="E2457" t="str">
            <v>27.379,05</v>
          </cell>
          <cell r="F2457" t="str">
            <v>0,00</v>
          </cell>
          <cell r="G2457" t="str">
            <v>314.813,37</v>
          </cell>
          <cell r="H2457" t="str">
            <v>0,00</v>
          </cell>
          <cell r="I2457" t="str">
            <v>VERIFICAR</v>
          </cell>
          <cell r="J2457">
            <v>27379.05</v>
          </cell>
        </row>
        <row r="2458">
          <cell r="A2458" t="str">
            <v>4.1.1.1.05.00002</v>
          </cell>
          <cell r="B2458" t="str">
            <v>MANUTENCAO DE VEICULOS - PECAS</v>
          </cell>
          <cell r="C2458" t="str">
            <v>974.512,78</v>
          </cell>
          <cell r="D2458" t="str">
            <v>625.048,87</v>
          </cell>
          <cell r="E2458" t="str">
            <v>27.777,10</v>
          </cell>
          <cell r="F2458" t="str">
            <v>0,00</v>
          </cell>
          <cell r="G2458" t="str">
            <v>377.241,01</v>
          </cell>
          <cell r="H2458" t="str">
            <v>0,00</v>
          </cell>
          <cell r="I2458" t="str">
            <v>VERIFICAR</v>
          </cell>
          <cell r="J2458">
            <v>27777.1</v>
          </cell>
        </row>
        <row r="2459">
          <cell r="A2459" t="str">
            <v>4.1.1.1.05.00003</v>
          </cell>
          <cell r="B2459" t="str">
            <v>SEGURO DE VEICULOS</v>
          </cell>
          <cell r="C2459" t="str">
            <v>33.182,97</v>
          </cell>
          <cell r="D2459" t="str">
            <v>2.820,35</v>
          </cell>
          <cell r="E2459" t="str">
            <v>1.391,81</v>
          </cell>
          <cell r="F2459" t="str">
            <v>0,00</v>
          </cell>
          <cell r="G2459" t="str">
            <v>31.754,43</v>
          </cell>
          <cell r="H2459" t="str">
            <v>0,00</v>
          </cell>
          <cell r="I2459" t="str">
            <v>VERIFICAR</v>
          </cell>
          <cell r="J2459">
            <v>1391.81</v>
          </cell>
        </row>
        <row r="2460">
          <cell r="A2460" t="str">
            <v>4.1.1.1.05.00004</v>
          </cell>
          <cell r="B2460" t="str">
            <v>IPVA / LICENCIAMENTO</v>
          </cell>
          <cell r="C2460" t="str">
            <v>198.682,17</v>
          </cell>
          <cell r="D2460" t="str">
            <v>153.882,35</v>
          </cell>
          <cell r="E2460" t="str">
            <v>3.241,16</v>
          </cell>
          <cell r="F2460" t="str">
            <v>0,00</v>
          </cell>
          <cell r="G2460" t="str">
            <v>48.040,98</v>
          </cell>
          <cell r="H2460" t="str">
            <v>0,00</v>
          </cell>
          <cell r="I2460" t="str">
            <v>VERIFICAR</v>
          </cell>
          <cell r="J2460">
            <v>3241.16</v>
          </cell>
        </row>
        <row r="2461">
          <cell r="A2461" t="str">
            <v>4.1.1.1.05.00005</v>
          </cell>
          <cell r="B2461" t="str">
            <v>MULTA TRANSITO</v>
          </cell>
          <cell r="C2461" t="str">
            <v>123.198,49</v>
          </cell>
          <cell r="D2461" t="str">
            <v>105.603,20</v>
          </cell>
          <cell r="E2461" t="str">
            <v>1.615,72</v>
          </cell>
          <cell r="F2461" t="str">
            <v>0,00</v>
          </cell>
          <cell r="G2461" t="str">
            <v>19.211,01</v>
          </cell>
          <cell r="H2461" t="str">
            <v>0,00</v>
          </cell>
          <cell r="I2461" t="str">
            <v>VERIFICAR</v>
          </cell>
          <cell r="J2461">
            <v>1615.72</v>
          </cell>
        </row>
        <row r="2462">
          <cell r="A2462" t="str">
            <v>4.1.1.1.07</v>
          </cell>
          <cell r="B2462" t="str">
            <v>OUTROS GASTOS GERAIS</v>
          </cell>
          <cell r="C2462" t="str">
            <v>0,00</v>
          </cell>
          <cell r="D2462" t="str">
            <v>0,00</v>
          </cell>
          <cell r="E2462" t="str">
            <v>723.606,15</v>
          </cell>
          <cell r="F2462" t="str">
            <v>3.012,67</v>
          </cell>
          <cell r="G2462" t="str">
            <v>11.101.464,15</v>
          </cell>
          <cell r="H2462" t="str">
            <v>0,00</v>
          </cell>
          <cell r="I2462" t="str">
            <v>VERIFICAR</v>
          </cell>
          <cell r="J2462">
            <v>720593.48</v>
          </cell>
        </row>
        <row r="2463">
          <cell r="A2463" t="str">
            <v>4.1.1.1.07.00001</v>
          </cell>
          <cell r="B2463" t="str">
            <v>ALUGUEL BENS MOVEIS</v>
          </cell>
          <cell r="C2463" t="str">
            <v>690.115,26</v>
          </cell>
          <cell r="D2463" t="str">
            <v>605.172,74</v>
          </cell>
          <cell r="E2463" t="str">
            <v>2.480,89</v>
          </cell>
          <cell r="F2463" t="str">
            <v>0,00</v>
          </cell>
          <cell r="G2463" t="str">
            <v>87.423,41</v>
          </cell>
          <cell r="H2463" t="str">
            <v>0,00</v>
          </cell>
          <cell r="I2463" t="str">
            <v>VERIFICAR</v>
          </cell>
          <cell r="J2463">
            <v>2480.89</v>
          </cell>
        </row>
        <row r="2464">
          <cell r="A2464" t="str">
            <v>4.1.1.1.07.00002</v>
          </cell>
          <cell r="B2464" t="str">
            <v>FRETES</v>
          </cell>
          <cell r="C2464" t="str">
            <v>4.041.121,47</v>
          </cell>
          <cell r="D2464" t="str">
            <v>3.329.257,63</v>
          </cell>
          <cell r="E2464" t="str">
            <v>25.161,36</v>
          </cell>
          <cell r="F2464" t="str">
            <v>682,02</v>
          </cell>
          <cell r="G2464" t="str">
            <v>736.343,18</v>
          </cell>
          <cell r="H2464" t="str">
            <v>0,00</v>
          </cell>
          <cell r="I2464" t="str">
            <v>VERIFICAR</v>
          </cell>
          <cell r="J2464">
            <v>24479.34</v>
          </cell>
        </row>
        <row r="2465">
          <cell r="A2465" t="str">
            <v>4.1.1.1.07.00004</v>
          </cell>
          <cell r="B2465" t="str">
            <v>LIMPEZA E CONSERVACAO</v>
          </cell>
          <cell r="C2465" t="str">
            <v>131.317,54</v>
          </cell>
          <cell r="D2465" t="str">
            <v>114.743,90</v>
          </cell>
          <cell r="E2465" t="str">
            <v>770,00</v>
          </cell>
          <cell r="F2465" t="str">
            <v>0,00</v>
          </cell>
          <cell r="G2465" t="str">
            <v>17.343,64</v>
          </cell>
          <cell r="H2465" t="str">
            <v>0,00</v>
          </cell>
          <cell r="I2465" t="str">
            <v>VERIFICAR</v>
          </cell>
          <cell r="J2465">
            <v>770</v>
          </cell>
        </row>
        <row r="2466">
          <cell r="A2466" t="str">
            <v>4.1.1.1.07.00005</v>
          </cell>
          <cell r="B2466" t="str">
            <v>MANUTENCAO MAQUINAS E EQUIPTO - PECAS</v>
          </cell>
          <cell r="C2466" t="str">
            <v>240.055,65</v>
          </cell>
          <cell r="D2466" t="str">
            <v>201.117,70</v>
          </cell>
          <cell r="E2466" t="str">
            <v>1.522,05</v>
          </cell>
          <cell r="F2466" t="str">
            <v>0,00</v>
          </cell>
          <cell r="G2466" t="str">
            <v>40.460,00</v>
          </cell>
          <cell r="H2466" t="str">
            <v>0,00</v>
          </cell>
          <cell r="I2466" t="str">
            <v>VERIFICAR</v>
          </cell>
          <cell r="J2466">
            <v>1522.05</v>
          </cell>
        </row>
        <row r="2467">
          <cell r="A2467" t="str">
            <v>4.1.1.1.07.00006</v>
          </cell>
          <cell r="B2467" t="str">
            <v>MANUTENCAO MAQUINAS E EQUIPTO - SERVICOS</v>
          </cell>
          <cell r="C2467" t="str">
            <v>2.919.186,82</v>
          </cell>
          <cell r="D2467" t="str">
            <v>2.124.065,91</v>
          </cell>
          <cell r="E2467" t="str">
            <v>18.041,10</v>
          </cell>
          <cell r="F2467" t="str">
            <v>0,00</v>
          </cell>
          <cell r="G2467" t="str">
            <v>813.162,01</v>
          </cell>
          <cell r="H2467" t="str">
            <v>0,00</v>
          </cell>
          <cell r="I2467" t="str">
            <v>VERIFICAR</v>
          </cell>
          <cell r="J2467">
            <v>18041.099999999999</v>
          </cell>
        </row>
        <row r="2468">
          <cell r="A2468" t="str">
            <v>4.1.1.1.07.00007</v>
          </cell>
          <cell r="B2468" t="str">
            <v>MATERIAL DE USO E CONSUMO</v>
          </cell>
          <cell r="C2468" t="str">
            <v>12.079.711,98</v>
          </cell>
          <cell r="D2468" t="str">
            <v>9.249.444,19</v>
          </cell>
          <cell r="E2468" t="str">
            <v>285.221,00</v>
          </cell>
          <cell r="F2468" t="str">
            <v>2.330,65</v>
          </cell>
          <cell r="G2468" t="str">
            <v>3.113.158,14</v>
          </cell>
          <cell r="H2468" t="str">
            <v>0,00</v>
          </cell>
          <cell r="I2468" t="str">
            <v>VERIFICAR</v>
          </cell>
          <cell r="J2468">
            <v>282890.34999999998</v>
          </cell>
        </row>
        <row r="2469">
          <cell r="A2469" t="str">
            <v>4.1.1.1.07.00008</v>
          </cell>
          <cell r="B2469" t="str">
            <v>COMBUSTIVEIS</v>
          </cell>
          <cell r="C2469" t="str">
            <v>1.635.124,73</v>
          </cell>
          <cell r="D2469" t="str">
            <v>1.203.464,17</v>
          </cell>
          <cell r="E2469" t="str">
            <v>34.563,63</v>
          </cell>
          <cell r="F2469" t="str">
            <v>0,00</v>
          </cell>
          <cell r="G2469" t="str">
            <v>466.224,19</v>
          </cell>
          <cell r="H2469" t="str">
            <v>0,00</v>
          </cell>
          <cell r="I2469" t="str">
            <v>VERIFICAR</v>
          </cell>
          <cell r="J2469">
            <v>34563.629999999997</v>
          </cell>
        </row>
        <row r="2470">
          <cell r="A2470" t="str">
            <v>4.1.1.1.07.00009</v>
          </cell>
          <cell r="B2470" t="str">
            <v>OUTROS SERVICOS TERCEIROS</v>
          </cell>
          <cell r="C2470" t="str">
            <v>15.551.728,88</v>
          </cell>
          <cell r="D2470" t="str">
            <v>10.080.225,42</v>
          </cell>
          <cell r="E2470" t="str">
            <v>355.846,12</v>
          </cell>
          <cell r="F2470" t="str">
            <v>0,00</v>
          </cell>
          <cell r="G2470" t="str">
            <v>5.827.349,58</v>
          </cell>
          <cell r="H2470" t="str">
            <v>0,00</v>
          </cell>
          <cell r="I2470" t="str">
            <v>VERIFICAR</v>
          </cell>
          <cell r="J2470">
            <v>355846.12</v>
          </cell>
        </row>
        <row r="2471">
          <cell r="A2471" t="str">
            <v>4.1.1.1.13</v>
          </cell>
          <cell r="B2471" t="str">
            <v>PRODUTOS ACABADOS</v>
          </cell>
          <cell r="C2471" t="str">
            <v>0,00</v>
          </cell>
          <cell r="D2471" t="str">
            <v>0,00</v>
          </cell>
          <cell r="E2471" t="str">
            <v>6.388.195,93</v>
          </cell>
          <cell r="F2471" t="str">
            <v>538.268,61</v>
          </cell>
          <cell r="G2471" t="str">
            <v>65.816.801,20</v>
          </cell>
          <cell r="H2471" t="str">
            <v>0,00</v>
          </cell>
          <cell r="I2471" t="str">
            <v>VERIFICAR</v>
          </cell>
          <cell r="J2471">
            <v>5849927.3199999994</v>
          </cell>
        </row>
        <row r="2472">
          <cell r="A2472" t="str">
            <v>4.1.1.1.13.00090</v>
          </cell>
          <cell r="B2472" t="str">
            <v>CUSTO PRODUTO VENDIDO</v>
          </cell>
          <cell r="C2472" t="str">
            <v>294.262.404,41</v>
          </cell>
          <cell r="D2472" t="str">
            <v>234.295.530,53</v>
          </cell>
          <cell r="E2472" t="str">
            <v>6.388.195,93</v>
          </cell>
          <cell r="F2472" t="str">
            <v>538.268,61</v>
          </cell>
          <cell r="G2472" t="str">
            <v>65.816.801,20</v>
          </cell>
          <cell r="H2472" t="str">
            <v>0,00</v>
          </cell>
          <cell r="I2472" t="str">
            <v>VERIFICAR</v>
          </cell>
          <cell r="J2472">
            <v>5849927.3199999994</v>
          </cell>
        </row>
        <row r="2473">
          <cell r="A2473" t="str">
            <v>4.1.1.1.20</v>
          </cell>
          <cell r="B2473" t="str">
            <v>CUSTO MERCADORIAS REVENDIDAS</v>
          </cell>
          <cell r="C2473" t="str">
            <v>0,00</v>
          </cell>
          <cell r="D2473" t="str">
            <v>0,00</v>
          </cell>
          <cell r="E2473" t="str">
            <v>1.071.870,68</v>
          </cell>
          <cell r="F2473" t="str">
            <v>76.693,22</v>
          </cell>
          <cell r="G2473" t="str">
            <v>21.650.666,35</v>
          </cell>
          <cell r="H2473" t="str">
            <v>0,00</v>
          </cell>
          <cell r="I2473" t="str">
            <v>VERIFICAR</v>
          </cell>
          <cell r="J2473">
            <v>995177.46</v>
          </cell>
        </row>
        <row r="2474">
          <cell r="A2474" t="str">
            <v>4.1.1.1.20.00100</v>
          </cell>
          <cell r="B2474" t="str">
            <v>CUSTO MERCADORIA REVENDIDA</v>
          </cell>
          <cell r="C2474" t="str">
            <v>95.159.393,69</v>
          </cell>
          <cell r="D2474" t="str">
            <v>74.503.904,80</v>
          </cell>
          <cell r="E2474" t="str">
            <v>1.071.870,68</v>
          </cell>
          <cell r="F2474" t="str">
            <v>76.693,22</v>
          </cell>
          <cell r="G2474" t="str">
            <v>21.650.666,35</v>
          </cell>
          <cell r="H2474" t="str">
            <v>0,00</v>
          </cell>
          <cell r="I2474" t="str">
            <v>VERIFICAR</v>
          </cell>
          <cell r="J2474">
            <v>995177.46</v>
          </cell>
        </row>
        <row r="2475">
          <cell r="A2475" t="str">
            <v>4.1.1.2</v>
          </cell>
          <cell r="B2475" t="str">
            <v>CUSTO DA PRESTACAO DE SERVICOS</v>
          </cell>
          <cell r="C2475" t="str">
            <v>0,00</v>
          </cell>
          <cell r="D2475" t="str">
            <v>0,00</v>
          </cell>
          <cell r="E2475" t="str">
            <v>3.574,18</v>
          </cell>
          <cell r="F2475" t="str">
            <v>0,00</v>
          </cell>
          <cell r="G2475" t="str">
            <v>26.696,60</v>
          </cell>
          <cell r="H2475" t="str">
            <v>0,00</v>
          </cell>
          <cell r="I2475" t="str">
            <v>VERIFICAR</v>
          </cell>
          <cell r="J2475">
            <v>3574.18</v>
          </cell>
        </row>
        <row r="2476">
          <cell r="A2476" t="str">
            <v>4.1.1.2.04</v>
          </cell>
          <cell r="B2476" t="str">
            <v>DESPESAS DE VIAGENS</v>
          </cell>
          <cell r="C2476" t="str">
            <v>0,00</v>
          </cell>
          <cell r="D2476" t="str">
            <v>0,00</v>
          </cell>
          <cell r="E2476" t="str">
            <v>123,24</v>
          </cell>
          <cell r="F2476" t="str">
            <v>0,00</v>
          </cell>
          <cell r="G2476" t="str">
            <v>13.361,18</v>
          </cell>
          <cell r="H2476" t="str">
            <v>0,00</v>
          </cell>
          <cell r="I2476" t="str">
            <v>VERIFICAR</v>
          </cell>
          <cell r="J2476">
            <v>123.24</v>
          </cell>
        </row>
        <row r="2477">
          <cell r="A2477" t="str">
            <v>4.1.1.2.04.00001</v>
          </cell>
          <cell r="B2477" t="str">
            <v>ALUGUEL VEICULOS</v>
          </cell>
          <cell r="C2477" t="str">
            <v>117.040,05</v>
          </cell>
          <cell r="D2477" t="str">
            <v>113.333,32</v>
          </cell>
          <cell r="E2477" t="str">
            <v>0,00</v>
          </cell>
          <cell r="F2477" t="str">
            <v>0,00</v>
          </cell>
          <cell r="G2477" t="str">
            <v>3.706,73</v>
          </cell>
          <cell r="H2477" t="str">
            <v>0,00</v>
          </cell>
          <cell r="I2477" t="str">
            <v>VERIFICAR</v>
          </cell>
          <cell r="J2477">
            <v>0</v>
          </cell>
        </row>
        <row r="2478">
          <cell r="A2478" t="str">
            <v>4.1.1.2.04.00002</v>
          </cell>
          <cell r="B2478" t="str">
            <v>COMBUSTIVEL E LUBRIFICANTES</v>
          </cell>
          <cell r="C2478" t="str">
            <v>238.035,20</v>
          </cell>
          <cell r="D2478" t="str">
            <v>237.614,15</v>
          </cell>
          <cell r="E2478" t="str">
            <v>123,24</v>
          </cell>
          <cell r="F2478" t="str">
            <v>0,00</v>
          </cell>
          <cell r="G2478" t="str">
            <v>544,29</v>
          </cell>
          <cell r="H2478" t="str">
            <v>0,00</v>
          </cell>
          <cell r="I2478" t="str">
            <v>VERIFICAR</v>
          </cell>
          <cell r="J2478">
            <v>123.24</v>
          </cell>
        </row>
        <row r="2479">
          <cell r="A2479" t="str">
            <v>4.1.1.2.04.00003</v>
          </cell>
          <cell r="B2479" t="str">
            <v>ESTADIAS E REFEICOES</v>
          </cell>
          <cell r="C2479" t="str">
            <v>777.183,00</v>
          </cell>
          <cell r="D2479" t="str">
            <v>774.691,33</v>
          </cell>
          <cell r="E2479" t="str">
            <v>0,00</v>
          </cell>
          <cell r="F2479" t="str">
            <v>0,00</v>
          </cell>
          <cell r="G2479" t="str">
            <v>2.491,67</v>
          </cell>
          <cell r="H2479" t="str">
            <v>0,00</v>
          </cell>
          <cell r="I2479" t="str">
            <v>VERIFICAR</v>
          </cell>
          <cell r="J2479">
            <v>0</v>
          </cell>
        </row>
        <row r="2480">
          <cell r="A2480" t="str">
            <v>4.1.1.2.04.00004</v>
          </cell>
          <cell r="B2480" t="str">
            <v>PASSAGENS AEREA</v>
          </cell>
          <cell r="C2480" t="str">
            <v>70.911,02</v>
          </cell>
          <cell r="D2480" t="str">
            <v>64.292,53</v>
          </cell>
          <cell r="E2480" t="str">
            <v>0,00</v>
          </cell>
          <cell r="F2480" t="str">
            <v>0,00</v>
          </cell>
          <cell r="G2480" t="str">
            <v>6.618,49</v>
          </cell>
          <cell r="H2480" t="str">
            <v>0,00</v>
          </cell>
          <cell r="I2480" t="str">
            <v>VERIFICAR</v>
          </cell>
          <cell r="J2480">
            <v>0</v>
          </cell>
        </row>
        <row r="2481">
          <cell r="A2481" t="str">
            <v>4.1.1.2.05</v>
          </cell>
          <cell r="B2481" t="str">
            <v>DESPESAS COM VEICULOS</v>
          </cell>
          <cell r="C2481" t="str">
            <v>0,00</v>
          </cell>
          <cell r="D2481" t="str">
            <v>0,00</v>
          </cell>
          <cell r="E2481" t="str">
            <v>0,00</v>
          </cell>
          <cell r="F2481" t="str">
            <v>0,00</v>
          </cell>
          <cell r="G2481" t="str">
            <v>4.721,02</v>
          </cell>
          <cell r="H2481" t="str">
            <v>0,00</v>
          </cell>
          <cell r="I2481" t="str">
            <v>VERIFICAR</v>
          </cell>
          <cell r="J2481">
            <v>0</v>
          </cell>
        </row>
        <row r="2482">
          <cell r="A2482" t="str">
            <v>4.1.1.2.05.00002</v>
          </cell>
          <cell r="B2482" t="str">
            <v>MANUTENCAO DE VEICULOS - PECAS</v>
          </cell>
          <cell r="C2482" t="str">
            <v>184.632,09</v>
          </cell>
          <cell r="D2482" t="str">
            <v>179.911,07</v>
          </cell>
          <cell r="E2482" t="str">
            <v>0,00</v>
          </cell>
          <cell r="F2482" t="str">
            <v>0,00</v>
          </cell>
          <cell r="G2482" t="str">
            <v>4.721,02</v>
          </cell>
          <cell r="H2482" t="str">
            <v>0,00</v>
          </cell>
          <cell r="I2482" t="str">
            <v>VERIFICAR</v>
          </cell>
          <cell r="J2482">
            <v>0</v>
          </cell>
        </row>
        <row r="2483">
          <cell r="A2483" t="str">
            <v>4.1.1.2.07</v>
          </cell>
          <cell r="B2483" t="str">
            <v>GASTOS GERAIS</v>
          </cell>
          <cell r="C2483" t="str">
            <v>0,00</v>
          </cell>
          <cell r="D2483" t="str">
            <v>0,00</v>
          </cell>
          <cell r="E2483" t="str">
            <v>3.450,94</v>
          </cell>
          <cell r="F2483" t="str">
            <v>0,00</v>
          </cell>
          <cell r="G2483" t="str">
            <v>8.614,40</v>
          </cell>
          <cell r="H2483" t="str">
            <v>0,00</v>
          </cell>
          <cell r="I2483" t="str">
            <v>VERIFICAR</v>
          </cell>
          <cell r="J2483">
            <v>3450.94</v>
          </cell>
        </row>
        <row r="2484">
          <cell r="A2484" t="str">
            <v>4.1.1.2.07.00002</v>
          </cell>
          <cell r="B2484" t="str">
            <v>COMBUSTIVEL E LUBRIFICANTES - MAQUINAS</v>
          </cell>
          <cell r="C2484" t="str">
            <v>2.335.220,80</v>
          </cell>
          <cell r="D2484" t="str">
            <v>2.332.600,69</v>
          </cell>
          <cell r="E2484" t="str">
            <v>3.450,94</v>
          </cell>
          <cell r="F2484" t="str">
            <v>0,00</v>
          </cell>
          <cell r="G2484" t="str">
            <v>6.071,05</v>
          </cell>
          <cell r="H2484" t="str">
            <v>0,00</v>
          </cell>
          <cell r="I2484" t="str">
            <v>VERIFICAR</v>
          </cell>
          <cell r="J2484">
            <v>3450.94</v>
          </cell>
        </row>
        <row r="2485">
          <cell r="A2485" t="str">
            <v>4.1.1.2.07.00005</v>
          </cell>
          <cell r="B2485" t="str">
            <v>LIMPEZA E CONSERVACAO</v>
          </cell>
          <cell r="C2485" t="str">
            <v>3.897,30</v>
          </cell>
          <cell r="D2485" t="str">
            <v>1.517,30</v>
          </cell>
          <cell r="E2485" t="str">
            <v>0,00</v>
          </cell>
          <cell r="F2485" t="str">
            <v>0,00</v>
          </cell>
          <cell r="G2485" t="str">
            <v>2.380,00</v>
          </cell>
          <cell r="H2485" t="str">
            <v>0,00</v>
          </cell>
          <cell r="I2485" t="str">
            <v>VERIFICAR</v>
          </cell>
          <cell r="J2485">
            <v>0</v>
          </cell>
        </row>
        <row r="2486">
          <cell r="A2486" t="str">
            <v>4.1.1.2.07.00007</v>
          </cell>
          <cell r="B2486" t="str">
            <v>MANUTENCAO MAQUINAS E EQUIPTO - SERVICOS</v>
          </cell>
          <cell r="C2486" t="str">
            <v>610.209,11</v>
          </cell>
          <cell r="D2486" t="str">
            <v>610.045,76</v>
          </cell>
          <cell r="E2486" t="str">
            <v>0,00</v>
          </cell>
          <cell r="F2486" t="str">
            <v>0,00</v>
          </cell>
          <cell r="G2486" t="str">
            <v>163,35</v>
          </cell>
          <cell r="H2486" t="str">
            <v>0,00</v>
          </cell>
          <cell r="I2486" t="str">
            <v>VERIFICAR</v>
          </cell>
          <cell r="J2486">
            <v>0</v>
          </cell>
        </row>
        <row r="2487">
          <cell r="A2487" t="str">
            <v>4.2</v>
          </cell>
          <cell r="B2487" t="str">
            <v>DESPESAS OPERACIONAIS</v>
          </cell>
          <cell r="C2487" t="str">
            <v>0,00</v>
          </cell>
          <cell r="D2487" t="str">
            <v>0,00</v>
          </cell>
          <cell r="E2487" t="str">
            <v>1.610.239,60</v>
          </cell>
          <cell r="F2487" t="str">
            <v>30.008,39</v>
          </cell>
          <cell r="G2487" t="str">
            <v>30.497.430,54</v>
          </cell>
          <cell r="H2487" t="str">
            <v>0,00</v>
          </cell>
          <cell r="I2487" t="str">
            <v>VERIFICAR</v>
          </cell>
          <cell r="J2487">
            <v>1580231.2100000002</v>
          </cell>
        </row>
        <row r="2488">
          <cell r="A2488" t="str">
            <v>4.2.1</v>
          </cell>
          <cell r="B2488" t="str">
            <v>DESPESAS OPERACIONAIS</v>
          </cell>
          <cell r="C2488" t="str">
            <v>0,00</v>
          </cell>
          <cell r="D2488" t="str">
            <v>0,00</v>
          </cell>
          <cell r="E2488" t="str">
            <v>1.610.239,60</v>
          </cell>
          <cell r="F2488" t="str">
            <v>30.008,39</v>
          </cell>
          <cell r="G2488" t="str">
            <v>30.497.430,54</v>
          </cell>
          <cell r="H2488" t="str">
            <v>0,00</v>
          </cell>
          <cell r="I2488" t="str">
            <v>VERIFICAR</v>
          </cell>
          <cell r="J2488">
            <v>1580231.2100000002</v>
          </cell>
        </row>
        <row r="2489">
          <cell r="A2489" t="str">
            <v>4.2.1.1</v>
          </cell>
          <cell r="B2489" t="str">
            <v>DESPESAS COM VENDAS</v>
          </cell>
          <cell r="C2489" t="str">
            <v>0,00</v>
          </cell>
          <cell r="D2489" t="str">
            <v>0,00</v>
          </cell>
          <cell r="E2489" t="str">
            <v>865.280,91</v>
          </cell>
          <cell r="F2489" t="str">
            <v>0,00</v>
          </cell>
          <cell r="G2489" t="str">
            <v>15.394.052,76</v>
          </cell>
          <cell r="H2489" t="str">
            <v>0,00</v>
          </cell>
          <cell r="I2489" t="str">
            <v>VERIFICAR</v>
          </cell>
          <cell r="J2489">
            <v>865280.91</v>
          </cell>
        </row>
        <row r="2490">
          <cell r="A2490" t="str">
            <v>4.2.1.1.01</v>
          </cell>
          <cell r="B2490" t="str">
            <v>DESPESAS COM PESSOAL</v>
          </cell>
          <cell r="C2490" t="str">
            <v>0,00</v>
          </cell>
          <cell r="D2490" t="str">
            <v>0,00</v>
          </cell>
          <cell r="E2490" t="str">
            <v>19.711,60</v>
          </cell>
          <cell r="F2490" t="str">
            <v>0,00</v>
          </cell>
          <cell r="G2490" t="str">
            <v>994.756,06</v>
          </cell>
          <cell r="H2490" t="str">
            <v>0,00</v>
          </cell>
          <cell r="I2490" t="str">
            <v>VERIFICAR</v>
          </cell>
          <cell r="J2490">
            <v>19711.599999999999</v>
          </cell>
        </row>
        <row r="2491">
          <cell r="A2491" t="str">
            <v>4.2.1.1.01.00001</v>
          </cell>
          <cell r="B2491" t="str">
            <v>PRO-LABORE</v>
          </cell>
          <cell r="C2491" t="str">
            <v>134.796,00</v>
          </cell>
          <cell r="D2491" t="str">
            <v>108.578,00</v>
          </cell>
          <cell r="E2491" t="str">
            <v>0,00</v>
          </cell>
          <cell r="F2491" t="str">
            <v>0,00</v>
          </cell>
          <cell r="G2491" t="str">
            <v>26.218,00</v>
          </cell>
          <cell r="H2491" t="str">
            <v>0,00</v>
          </cell>
          <cell r="I2491" t="str">
            <v>VERIFICAR</v>
          </cell>
          <cell r="J2491">
            <v>0</v>
          </cell>
        </row>
        <row r="2492">
          <cell r="A2492" t="str">
            <v>4.2.1.1.01.00003</v>
          </cell>
          <cell r="B2492" t="str">
            <v>SALARIOS E ORDENADOS</v>
          </cell>
          <cell r="C2492" t="str">
            <v>1.351.757,44</v>
          </cell>
          <cell r="D2492" t="str">
            <v>955.635,35</v>
          </cell>
          <cell r="E2492" t="str">
            <v>0,00</v>
          </cell>
          <cell r="F2492" t="str">
            <v>0,00</v>
          </cell>
          <cell r="G2492" t="str">
            <v>396.122,09</v>
          </cell>
          <cell r="H2492" t="str">
            <v>0,00</v>
          </cell>
          <cell r="I2492" t="str">
            <v>VERIFICAR</v>
          </cell>
          <cell r="J2492">
            <v>0</v>
          </cell>
        </row>
        <row r="2493">
          <cell r="A2493" t="str">
            <v>4.2.1.1.01.00007</v>
          </cell>
          <cell r="B2493" t="str">
            <v>INDENIZACOES</v>
          </cell>
          <cell r="C2493" t="str">
            <v>12.793,80</v>
          </cell>
          <cell r="D2493" t="str">
            <v>6.692,16</v>
          </cell>
          <cell r="E2493" t="str">
            <v>0,00</v>
          </cell>
          <cell r="F2493" t="str">
            <v>0,00</v>
          </cell>
          <cell r="G2493" t="str">
            <v>6.101,64</v>
          </cell>
          <cell r="H2493" t="str">
            <v>0,00</v>
          </cell>
          <cell r="I2493" t="str">
            <v>VERIFICAR</v>
          </cell>
          <cell r="J2493">
            <v>0</v>
          </cell>
        </row>
        <row r="2494">
          <cell r="A2494" t="str">
            <v>4.2.1.1.01.00008</v>
          </cell>
          <cell r="B2494" t="str">
            <v>INSS</v>
          </cell>
          <cell r="C2494" t="str">
            <v>446.379,90</v>
          </cell>
          <cell r="D2494" t="str">
            <v>309.901,23</v>
          </cell>
          <cell r="E2494" t="str">
            <v>0,00</v>
          </cell>
          <cell r="F2494" t="str">
            <v>0,00</v>
          </cell>
          <cell r="G2494" t="str">
            <v>136.478,67</v>
          </cell>
          <cell r="H2494" t="str">
            <v>0,00</v>
          </cell>
          <cell r="I2494" t="str">
            <v>VERIFICAR</v>
          </cell>
          <cell r="J2494">
            <v>0</v>
          </cell>
        </row>
        <row r="2495">
          <cell r="A2495" t="str">
            <v>4.2.1.1.01.00009</v>
          </cell>
          <cell r="B2495" t="str">
            <v>FGTS</v>
          </cell>
          <cell r="C2495" t="str">
            <v>136.347,71</v>
          </cell>
          <cell r="D2495" t="str">
            <v>100.639,99</v>
          </cell>
          <cell r="E2495" t="str">
            <v>0,00</v>
          </cell>
          <cell r="F2495" t="str">
            <v>0,00</v>
          </cell>
          <cell r="G2495" t="str">
            <v>35.707,72</v>
          </cell>
          <cell r="H2495" t="str">
            <v>0,00</v>
          </cell>
          <cell r="I2495" t="str">
            <v>VERIFICAR</v>
          </cell>
          <cell r="J2495">
            <v>0</v>
          </cell>
        </row>
        <row r="2496">
          <cell r="A2496" t="str">
            <v>4.2.1.1.01.00010</v>
          </cell>
          <cell r="B2496" t="str">
            <v>TRANSPORTE/VALE TRANSPORTE</v>
          </cell>
          <cell r="C2496" t="str">
            <v>224.979,36</v>
          </cell>
          <cell r="D2496" t="str">
            <v>106.434,46</v>
          </cell>
          <cell r="E2496" t="str">
            <v>6.249,76</v>
          </cell>
          <cell r="F2496" t="str">
            <v>0,00</v>
          </cell>
          <cell r="G2496" t="str">
            <v>124.794,66</v>
          </cell>
          <cell r="H2496" t="str">
            <v>0,00</v>
          </cell>
          <cell r="I2496" t="str">
            <v>VERIFICAR</v>
          </cell>
          <cell r="J2496">
            <v>6249.76</v>
          </cell>
        </row>
        <row r="2497">
          <cell r="A2497" t="str">
            <v>4.2.1.1.01.00011</v>
          </cell>
          <cell r="B2497" t="str">
            <v>REFEICAO/VALE REFEICAO</v>
          </cell>
          <cell r="C2497" t="str">
            <v>9.548,35</v>
          </cell>
          <cell r="D2497" t="str">
            <v>6.340,85</v>
          </cell>
          <cell r="E2497" t="str">
            <v>0,00</v>
          </cell>
          <cell r="F2497" t="str">
            <v>0,00</v>
          </cell>
          <cell r="G2497" t="str">
            <v>3.207,50</v>
          </cell>
          <cell r="H2497" t="str">
            <v>0,00</v>
          </cell>
          <cell r="I2497" t="str">
            <v>VERIFICAR</v>
          </cell>
          <cell r="J2497">
            <v>0</v>
          </cell>
        </row>
        <row r="2498">
          <cell r="A2498" t="str">
            <v>4.2.1.1.01.00013</v>
          </cell>
          <cell r="B2498" t="str">
            <v>ASSISTENCIA MEDICA/FARMACIA</v>
          </cell>
          <cell r="C2498" t="str">
            <v>380.397,95</v>
          </cell>
          <cell r="D2498" t="str">
            <v>329.144,25</v>
          </cell>
          <cell r="E2498" t="str">
            <v>11.461,84</v>
          </cell>
          <cell r="F2498" t="str">
            <v>0,00</v>
          </cell>
          <cell r="G2498" t="str">
            <v>62.715,54</v>
          </cell>
          <cell r="H2498" t="str">
            <v>0,00</v>
          </cell>
          <cell r="I2498" t="str">
            <v>VERIFICAR</v>
          </cell>
          <cell r="J2498">
            <v>11461.84</v>
          </cell>
        </row>
        <row r="2499">
          <cell r="A2499" t="str">
            <v>4.2.1.1.01.00016</v>
          </cell>
          <cell r="B2499" t="str">
            <v>UNIFORMES</v>
          </cell>
          <cell r="C2499" t="str">
            <v>62.296,43</v>
          </cell>
          <cell r="D2499" t="str">
            <v>54.611,63</v>
          </cell>
          <cell r="E2499" t="str">
            <v>0,00</v>
          </cell>
          <cell r="F2499" t="str">
            <v>0,00</v>
          </cell>
          <cell r="G2499" t="str">
            <v>7.684,80</v>
          </cell>
          <cell r="H2499" t="str">
            <v>0,00</v>
          </cell>
          <cell r="I2499" t="str">
            <v>VERIFICAR</v>
          </cell>
          <cell r="J2499">
            <v>0</v>
          </cell>
        </row>
        <row r="2500">
          <cell r="A2500" t="str">
            <v>4.2.1.1.01.00019</v>
          </cell>
          <cell r="B2500" t="str">
            <v>PREMIOS DE SEGUROS</v>
          </cell>
          <cell r="C2500" t="str">
            <v>2.818,91</v>
          </cell>
          <cell r="D2500" t="str">
            <v>1.464,96</v>
          </cell>
          <cell r="E2500" t="str">
            <v>0,00</v>
          </cell>
          <cell r="F2500" t="str">
            <v>0,00</v>
          </cell>
          <cell r="G2500" t="str">
            <v>1.353,95</v>
          </cell>
          <cell r="H2500" t="str">
            <v>0,00</v>
          </cell>
          <cell r="I2500" t="str">
            <v>VERIFICAR</v>
          </cell>
          <cell r="J2500">
            <v>0</v>
          </cell>
        </row>
        <row r="2501">
          <cell r="A2501" t="str">
            <v>4.2.1.1.01.00020</v>
          </cell>
          <cell r="B2501" t="str">
            <v>MORADIA EMPREGADO</v>
          </cell>
          <cell r="C2501" t="str">
            <v>71.200,00</v>
          </cell>
          <cell r="D2501" t="str">
            <v>41.200,00</v>
          </cell>
          <cell r="E2501" t="str">
            <v>2.000,00</v>
          </cell>
          <cell r="F2501" t="str">
            <v>0,00</v>
          </cell>
          <cell r="G2501" t="str">
            <v>32.000,00</v>
          </cell>
          <cell r="H2501" t="str">
            <v>0,00</v>
          </cell>
          <cell r="I2501" t="str">
            <v>VERIFICAR</v>
          </cell>
          <cell r="J2501">
            <v>2000</v>
          </cell>
        </row>
        <row r="2502">
          <cell r="A2502" t="str">
            <v>4.2.1.1.01.00097</v>
          </cell>
          <cell r="B2502" t="str">
            <v>PROVISAO/REVERSAO FERIAS</v>
          </cell>
          <cell r="C2502" t="str">
            <v>306.211,23</v>
          </cell>
          <cell r="D2502" t="str">
            <v>190.807,91</v>
          </cell>
          <cell r="E2502" t="str">
            <v>0,00</v>
          </cell>
          <cell r="F2502" t="str">
            <v>0,00</v>
          </cell>
          <cell r="G2502" t="str">
            <v>115.403,32</v>
          </cell>
          <cell r="H2502" t="str">
            <v>0,00</v>
          </cell>
          <cell r="I2502" t="str">
            <v>VERIFICAR</v>
          </cell>
          <cell r="J2502">
            <v>0</v>
          </cell>
        </row>
        <row r="2503">
          <cell r="A2503" t="str">
            <v>4.2.1.1.01.00098</v>
          </cell>
          <cell r="B2503" t="str">
            <v>PROVISAO/REVERSAO 13O. SALARIO</v>
          </cell>
          <cell r="C2503" t="str">
            <v>170.745,89</v>
          </cell>
          <cell r="D2503" t="str">
            <v>123.777,72</v>
          </cell>
          <cell r="E2503" t="str">
            <v>0,00</v>
          </cell>
          <cell r="F2503" t="str">
            <v>0,00</v>
          </cell>
          <cell r="G2503" t="str">
            <v>46.968,17</v>
          </cell>
          <cell r="H2503" t="str">
            <v>0,00</v>
          </cell>
          <cell r="I2503" t="str">
            <v>VERIFICAR</v>
          </cell>
          <cell r="J2503">
            <v>0</v>
          </cell>
        </row>
        <row r="2504">
          <cell r="A2504" t="str">
            <v>4.2.1.1.02</v>
          </cell>
          <cell r="B2504" t="str">
            <v>TRANSPORTES S/ VENDAS</v>
          </cell>
          <cell r="C2504" t="str">
            <v>0,00</v>
          </cell>
          <cell r="D2504" t="str">
            <v>0,00</v>
          </cell>
          <cell r="E2504" t="str">
            <v>21.964,55</v>
          </cell>
          <cell r="F2504" t="str">
            <v>0,00</v>
          </cell>
          <cell r="G2504" t="str">
            <v>544.947,43</v>
          </cell>
          <cell r="H2504" t="str">
            <v>0,00</v>
          </cell>
          <cell r="I2504" t="str">
            <v>VERIFICAR</v>
          </cell>
          <cell r="J2504">
            <v>21964.55</v>
          </cell>
        </row>
        <row r="2505">
          <cell r="A2505" t="str">
            <v>4.2.1.1.02.00001</v>
          </cell>
          <cell r="B2505" t="str">
            <v>FRETES</v>
          </cell>
          <cell r="C2505" t="str">
            <v>1.981.270,87</v>
          </cell>
          <cell r="D2505" t="str">
            <v>1.458.287,99</v>
          </cell>
          <cell r="E2505" t="str">
            <v>21.964,55</v>
          </cell>
          <cell r="F2505" t="str">
            <v>0,00</v>
          </cell>
          <cell r="G2505" t="str">
            <v>544.947,43</v>
          </cell>
          <cell r="H2505" t="str">
            <v>0,00</v>
          </cell>
          <cell r="I2505" t="str">
            <v>VERIFICAR</v>
          </cell>
          <cell r="J2505">
            <v>21964.55</v>
          </cell>
        </row>
        <row r="2506">
          <cell r="A2506" t="str">
            <v>4.2.1.1.03</v>
          </cell>
          <cell r="B2506" t="str">
            <v>COMISSOES SOBRE VENDAS</v>
          </cell>
          <cell r="C2506" t="str">
            <v>0,00</v>
          </cell>
          <cell r="D2506" t="str">
            <v>0,00</v>
          </cell>
          <cell r="E2506" t="str">
            <v>248.381,24</v>
          </cell>
          <cell r="F2506" t="str">
            <v>0,00</v>
          </cell>
          <cell r="G2506" t="str">
            <v>5.009.792,38</v>
          </cell>
          <cell r="H2506" t="str">
            <v>0,00</v>
          </cell>
          <cell r="I2506" t="str">
            <v>VERIFICAR</v>
          </cell>
          <cell r="J2506">
            <v>248381.24</v>
          </cell>
        </row>
        <row r="2507">
          <cell r="A2507" t="str">
            <v>4.2.1.1.03.00001</v>
          </cell>
          <cell r="B2507" t="str">
            <v>COMISSOES SOBRE VENDAS</v>
          </cell>
          <cell r="C2507" t="str">
            <v>19.154.503,08</v>
          </cell>
          <cell r="D2507" t="str">
            <v>14.393.091,94</v>
          </cell>
          <cell r="E2507" t="str">
            <v>248.381,24</v>
          </cell>
          <cell r="F2507" t="str">
            <v>0,00</v>
          </cell>
          <cell r="G2507" t="str">
            <v>5.009.792,38</v>
          </cell>
          <cell r="H2507" t="str">
            <v>0,00</v>
          </cell>
          <cell r="I2507" t="str">
            <v>VERIFICAR</v>
          </cell>
          <cell r="J2507">
            <v>248381.24</v>
          </cell>
        </row>
        <row r="2508">
          <cell r="A2508" t="str">
            <v>4.2.1.1.04</v>
          </cell>
          <cell r="B2508" t="str">
            <v>PROPAGANDA E PUBLICIDADE</v>
          </cell>
          <cell r="C2508" t="str">
            <v>0,00</v>
          </cell>
          <cell r="D2508" t="str">
            <v>0,00</v>
          </cell>
          <cell r="E2508" t="str">
            <v>88.839,46</v>
          </cell>
          <cell r="F2508" t="str">
            <v>0,00</v>
          </cell>
          <cell r="G2508" t="str">
            <v>2.045.030,08</v>
          </cell>
          <cell r="H2508" t="str">
            <v>0,00</v>
          </cell>
          <cell r="I2508" t="str">
            <v>VERIFICAR</v>
          </cell>
          <cell r="J2508">
            <v>88839.46</v>
          </cell>
        </row>
        <row r="2509">
          <cell r="A2509" t="str">
            <v>4.2.1.1.04.00002</v>
          </cell>
          <cell r="B2509" t="str">
            <v>PROPAGANDA, PUBLICIDADE, AN–NCIOS</v>
          </cell>
          <cell r="C2509" t="str">
            <v>393.595,06</v>
          </cell>
          <cell r="D2509" t="str">
            <v>381.793,30</v>
          </cell>
          <cell r="E2509" t="str">
            <v>0,00</v>
          </cell>
          <cell r="F2509" t="str">
            <v>0,00</v>
          </cell>
          <cell r="G2509" t="str">
            <v>11.801,76</v>
          </cell>
          <cell r="H2509" t="str">
            <v>0,00</v>
          </cell>
          <cell r="I2509" t="str">
            <v>VERIFICAR</v>
          </cell>
          <cell r="J2509">
            <v>0</v>
          </cell>
        </row>
        <row r="2510">
          <cell r="A2510" t="str">
            <v>4.2.1.1.04.00003</v>
          </cell>
          <cell r="B2510" t="str">
            <v>PROMOCOES E EVENTOS</v>
          </cell>
          <cell r="C2510" t="str">
            <v>7.338.968,37</v>
          </cell>
          <cell r="D2510" t="str">
            <v>5.409.482,41</v>
          </cell>
          <cell r="E2510" t="str">
            <v>88.839,46</v>
          </cell>
          <cell r="F2510" t="str">
            <v>0,00</v>
          </cell>
          <cell r="G2510" t="str">
            <v>2.018.325,42</v>
          </cell>
          <cell r="H2510" t="str">
            <v>0,00</v>
          </cell>
          <cell r="I2510" t="str">
            <v>VERIFICAR</v>
          </cell>
          <cell r="J2510">
            <v>88839.46</v>
          </cell>
        </row>
        <row r="2511">
          <cell r="A2511" t="str">
            <v>4.2.1.1.04.00004</v>
          </cell>
          <cell r="B2511" t="str">
            <v>MATERIAIS PROMOCIONAIS</v>
          </cell>
          <cell r="C2511" t="str">
            <v>61.350,85</v>
          </cell>
          <cell r="D2511" t="str">
            <v>46.447,95</v>
          </cell>
          <cell r="E2511" t="str">
            <v>0,00</v>
          </cell>
          <cell r="F2511" t="str">
            <v>0,00</v>
          </cell>
          <cell r="G2511" t="str">
            <v>14.902,90</v>
          </cell>
          <cell r="H2511" t="str">
            <v>0,00</v>
          </cell>
          <cell r="I2511" t="str">
            <v>VERIFICAR</v>
          </cell>
          <cell r="J2511">
            <v>0</v>
          </cell>
        </row>
        <row r="2512">
          <cell r="A2512" t="str">
            <v>4.2.1.1.05</v>
          </cell>
          <cell r="B2512" t="str">
            <v>DESPESAS DE VIAGENS</v>
          </cell>
          <cell r="C2512" t="str">
            <v>0,00</v>
          </cell>
          <cell r="D2512" t="str">
            <v>0,00</v>
          </cell>
          <cell r="E2512" t="str">
            <v>290.436,55</v>
          </cell>
          <cell r="F2512" t="str">
            <v>0,00</v>
          </cell>
          <cell r="G2512" t="str">
            <v>3.357.264,30</v>
          </cell>
          <cell r="H2512" t="str">
            <v>0,00</v>
          </cell>
          <cell r="I2512" t="str">
            <v>VERIFICAR</v>
          </cell>
          <cell r="J2512">
            <v>290436.55</v>
          </cell>
        </row>
        <row r="2513">
          <cell r="A2513" t="str">
            <v>4.2.1.1.05.00001</v>
          </cell>
          <cell r="B2513" t="str">
            <v>ALUGUEL VEICULOS</v>
          </cell>
          <cell r="C2513" t="str">
            <v>1.092.207,86</v>
          </cell>
          <cell r="D2513" t="str">
            <v>665.820,76</v>
          </cell>
          <cell r="E2513" t="str">
            <v>62.810,03</v>
          </cell>
          <cell r="F2513" t="str">
            <v>0,00</v>
          </cell>
          <cell r="G2513" t="str">
            <v>489.197,13</v>
          </cell>
          <cell r="H2513" t="str">
            <v>0,00</v>
          </cell>
          <cell r="I2513" t="str">
            <v>VERIFICAR</v>
          </cell>
          <cell r="J2513">
            <v>62810.03</v>
          </cell>
        </row>
        <row r="2514">
          <cell r="A2514" t="str">
            <v>4.2.1.1.05.00002</v>
          </cell>
          <cell r="B2514" t="str">
            <v>COMBUSTIVEL E LUBRIFICANTES</v>
          </cell>
          <cell r="C2514" t="str">
            <v>2.082.470,13</v>
          </cell>
          <cell r="D2514" t="str">
            <v>1.172.432,23</v>
          </cell>
          <cell r="E2514" t="str">
            <v>75.624,91</v>
          </cell>
          <cell r="F2514" t="str">
            <v>0,00</v>
          </cell>
          <cell r="G2514" t="str">
            <v>985.662,81</v>
          </cell>
          <cell r="H2514" t="str">
            <v>0,00</v>
          </cell>
          <cell r="I2514" t="str">
            <v>VERIFICAR</v>
          </cell>
          <cell r="J2514">
            <v>75624.91</v>
          </cell>
        </row>
        <row r="2515">
          <cell r="A2515" t="str">
            <v>4.2.1.1.05.00003</v>
          </cell>
          <cell r="B2515" t="str">
            <v>ESTADIAS E REFEICOES</v>
          </cell>
          <cell r="C2515" t="str">
            <v>5.524.247,11</v>
          </cell>
          <cell r="D2515" t="str">
            <v>4.061.281,98</v>
          </cell>
          <cell r="E2515" t="str">
            <v>135.517,34</v>
          </cell>
          <cell r="F2515" t="str">
            <v>0,00</v>
          </cell>
          <cell r="G2515" t="str">
            <v>1.598.482,47</v>
          </cell>
          <cell r="H2515" t="str">
            <v>0,00</v>
          </cell>
          <cell r="I2515" t="str">
            <v>VERIFICAR</v>
          </cell>
          <cell r="J2515">
            <v>135517.34</v>
          </cell>
        </row>
        <row r="2516">
          <cell r="A2516" t="str">
            <v>4.2.1.1.05.00004</v>
          </cell>
          <cell r="B2516" t="str">
            <v>PASSAGENS AEREA</v>
          </cell>
          <cell r="C2516" t="str">
            <v>974.802,07</v>
          </cell>
          <cell r="D2516" t="str">
            <v>766.511,42</v>
          </cell>
          <cell r="E2516" t="str">
            <v>13.129,85</v>
          </cell>
          <cell r="F2516" t="str">
            <v>0,00</v>
          </cell>
          <cell r="G2516" t="str">
            <v>221.420,50</v>
          </cell>
          <cell r="H2516" t="str">
            <v>0,00</v>
          </cell>
          <cell r="I2516" t="str">
            <v>VERIFICAR</v>
          </cell>
          <cell r="J2516">
            <v>13129.85</v>
          </cell>
        </row>
        <row r="2517">
          <cell r="A2517" t="str">
            <v>4.2.1.1.05.00005</v>
          </cell>
          <cell r="B2517" t="str">
            <v>PEDAGIOS</v>
          </cell>
          <cell r="C2517" t="str">
            <v>248.973,33</v>
          </cell>
          <cell r="D2517" t="str">
            <v>189.826,36</v>
          </cell>
          <cell r="E2517" t="str">
            <v>3.354,42</v>
          </cell>
          <cell r="F2517" t="str">
            <v>0,00</v>
          </cell>
          <cell r="G2517" t="str">
            <v>62.501,39</v>
          </cell>
          <cell r="H2517" t="str">
            <v>0,00</v>
          </cell>
          <cell r="I2517" t="str">
            <v>VERIFICAR</v>
          </cell>
          <cell r="J2517">
            <v>3354.42</v>
          </cell>
        </row>
        <row r="2518">
          <cell r="A2518" t="str">
            <v>4.2.1.1.06</v>
          </cell>
          <cell r="B2518" t="str">
            <v>DESPESAS COM VEICULOS</v>
          </cell>
          <cell r="C2518" t="str">
            <v>0,00</v>
          </cell>
          <cell r="D2518" t="str">
            <v>0,00</v>
          </cell>
          <cell r="E2518" t="str">
            <v>10.212,51</v>
          </cell>
          <cell r="F2518" t="str">
            <v>0,00</v>
          </cell>
          <cell r="G2518" t="str">
            <v>453.525,40</v>
          </cell>
          <cell r="H2518" t="str">
            <v>0,00</v>
          </cell>
          <cell r="I2518" t="str">
            <v>VERIFICAR</v>
          </cell>
          <cell r="J2518">
            <v>10212.51</v>
          </cell>
        </row>
        <row r="2519">
          <cell r="A2519" t="str">
            <v>4.2.1.1.06.00001</v>
          </cell>
          <cell r="B2519" t="str">
            <v>MANUTENCAO DE VEICULOS - SERVICOS</v>
          </cell>
          <cell r="C2519" t="str">
            <v>413.820,90</v>
          </cell>
          <cell r="D2519" t="str">
            <v>232.410,24</v>
          </cell>
          <cell r="E2519" t="str">
            <v>5.431,22</v>
          </cell>
          <cell r="F2519" t="str">
            <v>0,00</v>
          </cell>
          <cell r="G2519" t="str">
            <v>186.841,88</v>
          </cell>
          <cell r="H2519" t="str">
            <v>0,00</v>
          </cell>
          <cell r="I2519" t="str">
            <v>VERIFICAR</v>
          </cell>
          <cell r="J2519">
            <v>5431.22</v>
          </cell>
        </row>
        <row r="2520">
          <cell r="A2520" t="str">
            <v>4.2.1.1.06.00002</v>
          </cell>
          <cell r="B2520" t="str">
            <v>MANUTENCAO DE VEICULOS - PECAS</v>
          </cell>
          <cell r="C2520" t="str">
            <v>391.343,85</v>
          </cell>
          <cell r="D2520" t="str">
            <v>195.770,04</v>
          </cell>
          <cell r="E2520" t="str">
            <v>988,62</v>
          </cell>
          <cell r="F2520" t="str">
            <v>0,00</v>
          </cell>
          <cell r="G2520" t="str">
            <v>196.562,43</v>
          </cell>
          <cell r="H2520" t="str">
            <v>0,00</v>
          </cell>
          <cell r="I2520" t="str">
            <v>VERIFICAR</v>
          </cell>
          <cell r="J2520">
            <v>988.62</v>
          </cell>
        </row>
        <row r="2521">
          <cell r="A2521" t="str">
            <v>4.2.1.1.06.00003</v>
          </cell>
          <cell r="B2521" t="str">
            <v>SEGURO DE VEICULOS</v>
          </cell>
          <cell r="C2521" t="str">
            <v>107.679,75</v>
          </cell>
          <cell r="D2521" t="str">
            <v>78.967,77</v>
          </cell>
          <cell r="E2521" t="str">
            <v>1.688,94</v>
          </cell>
          <cell r="F2521" t="str">
            <v>0,00</v>
          </cell>
          <cell r="G2521" t="str">
            <v>30.400,92</v>
          </cell>
          <cell r="H2521" t="str">
            <v>0,00</v>
          </cell>
          <cell r="I2521" t="str">
            <v>VERIFICAR</v>
          </cell>
          <cell r="J2521">
            <v>1688.94</v>
          </cell>
        </row>
        <row r="2522">
          <cell r="A2522" t="str">
            <v>4.2.1.1.06.00004</v>
          </cell>
          <cell r="B2522" t="str">
            <v>IPVA / LICENCIAMENTO</v>
          </cell>
          <cell r="C2522" t="str">
            <v>89.767,23</v>
          </cell>
          <cell r="D2522" t="str">
            <v>81.127,57</v>
          </cell>
          <cell r="E2522" t="str">
            <v>100,00</v>
          </cell>
          <cell r="F2522" t="str">
            <v>0,00</v>
          </cell>
          <cell r="G2522" t="str">
            <v>8.739,66</v>
          </cell>
          <cell r="H2522" t="str">
            <v>0,00</v>
          </cell>
          <cell r="I2522" t="str">
            <v>VERIFICAR</v>
          </cell>
          <cell r="J2522">
            <v>100</v>
          </cell>
        </row>
        <row r="2523">
          <cell r="A2523" t="str">
            <v>4.2.1.1.06.00005</v>
          </cell>
          <cell r="B2523" t="str">
            <v>MULTA TRANSITO</v>
          </cell>
          <cell r="C2523" t="str">
            <v>103.257,61</v>
          </cell>
          <cell r="D2523" t="str">
            <v>74.280,83</v>
          </cell>
          <cell r="E2523" t="str">
            <v>2.003,73</v>
          </cell>
          <cell r="F2523" t="str">
            <v>0,00</v>
          </cell>
          <cell r="G2523" t="str">
            <v>30.980,51</v>
          </cell>
          <cell r="H2523" t="str">
            <v>0,00</v>
          </cell>
          <cell r="I2523" t="str">
            <v>VERIFICAR</v>
          </cell>
          <cell r="J2523">
            <v>2003.73</v>
          </cell>
        </row>
        <row r="2524">
          <cell r="A2524" t="str">
            <v>4.2.1.1.90</v>
          </cell>
          <cell r="B2524" t="str">
            <v>OUTROS DESPESAS COM VENDAS</v>
          </cell>
          <cell r="C2524" t="str">
            <v>0,00</v>
          </cell>
          <cell r="D2524" t="str">
            <v>0,00</v>
          </cell>
          <cell r="E2524" t="str">
            <v>185.735,00</v>
          </cell>
          <cell r="F2524" t="str">
            <v>0,00</v>
          </cell>
          <cell r="G2524" t="str">
            <v>2.988.737,11</v>
          </cell>
          <cell r="H2524" t="str">
            <v>0,00</v>
          </cell>
          <cell r="I2524" t="str">
            <v>VERIFICAR</v>
          </cell>
          <cell r="J2524">
            <v>185735</v>
          </cell>
        </row>
        <row r="2525">
          <cell r="A2525" t="str">
            <v>4.2.1.1.90.00009</v>
          </cell>
          <cell r="B2525" t="str">
            <v>OUTROS SERVICOS PJ</v>
          </cell>
          <cell r="C2525" t="str">
            <v>6.248.845,13</v>
          </cell>
          <cell r="D2525" t="str">
            <v>3.752.039,78</v>
          </cell>
          <cell r="E2525" t="str">
            <v>181.715,98</v>
          </cell>
          <cell r="F2525" t="str">
            <v>0,00</v>
          </cell>
          <cell r="G2525" t="str">
            <v>2.678.521,33</v>
          </cell>
          <cell r="H2525" t="str">
            <v>0,00</v>
          </cell>
          <cell r="I2525" t="str">
            <v>VERIFICAR</v>
          </cell>
          <cell r="J2525">
            <v>181715.98</v>
          </cell>
        </row>
        <row r="2526">
          <cell r="A2526" t="str">
            <v>4.2.1.1.90.00020</v>
          </cell>
          <cell r="B2526" t="str">
            <v>DOACAO</v>
          </cell>
          <cell r="C2526" t="str">
            <v>1.037.314,47</v>
          </cell>
          <cell r="D2526" t="str">
            <v>731.134,71</v>
          </cell>
          <cell r="E2526" t="str">
            <v>4.018,02</v>
          </cell>
          <cell r="F2526" t="str">
            <v>0,00</v>
          </cell>
          <cell r="G2526" t="str">
            <v>310.197,78</v>
          </cell>
          <cell r="H2526" t="str">
            <v>0,00</v>
          </cell>
          <cell r="I2526" t="str">
            <v>VERIFICAR</v>
          </cell>
          <cell r="J2526">
            <v>4018.02</v>
          </cell>
        </row>
        <row r="2527">
          <cell r="A2527" t="str">
            <v>4.2.1.1.90.00090</v>
          </cell>
          <cell r="B2527" t="str">
            <v>PROV P/CREDITO DE LIQUIDACAO DUVIDOSA</v>
          </cell>
          <cell r="C2527" t="str">
            <v>760.133,66</v>
          </cell>
          <cell r="D2527" t="str">
            <v>760.116,66</v>
          </cell>
          <cell r="E2527" t="str">
            <v>1,00</v>
          </cell>
          <cell r="F2527" t="str">
            <v>0,00</v>
          </cell>
          <cell r="G2527" t="str">
            <v>18,00</v>
          </cell>
          <cell r="H2527" t="str">
            <v>0,00</v>
          </cell>
          <cell r="I2527" t="str">
            <v>VERIFICAR</v>
          </cell>
          <cell r="J2527">
            <v>1</v>
          </cell>
        </row>
        <row r="2528">
          <cell r="A2528" t="str">
            <v>4.2.1.2</v>
          </cell>
          <cell r="B2528" t="str">
            <v>DESPESAS ADMINSTRATIVAS</v>
          </cell>
          <cell r="C2528" t="str">
            <v>0,00</v>
          </cell>
          <cell r="D2528" t="str">
            <v>0,00</v>
          </cell>
          <cell r="E2528" t="str">
            <v>744.958,69</v>
          </cell>
          <cell r="F2528" t="str">
            <v>30.008,39</v>
          </cell>
          <cell r="G2528" t="str">
            <v>15.103.377,78</v>
          </cell>
          <cell r="H2528" t="str">
            <v>0,00</v>
          </cell>
          <cell r="I2528" t="str">
            <v>VERIFICAR</v>
          </cell>
          <cell r="J2528">
            <v>714950.29999999993</v>
          </cell>
        </row>
        <row r="2529">
          <cell r="A2529" t="str">
            <v>4.2.1.2.01</v>
          </cell>
          <cell r="B2529" t="str">
            <v>DESPESAS COM PESSOAL</v>
          </cell>
          <cell r="C2529" t="str">
            <v>0,00</v>
          </cell>
          <cell r="D2529" t="str">
            <v>0,00</v>
          </cell>
          <cell r="E2529" t="str">
            <v>70.572,58</v>
          </cell>
          <cell r="F2529" t="str">
            <v>0,00</v>
          </cell>
          <cell r="G2529" t="str">
            <v>2.637.356,37</v>
          </cell>
          <cell r="H2529" t="str">
            <v>0,00</v>
          </cell>
          <cell r="I2529" t="str">
            <v>VERIFICAR</v>
          </cell>
          <cell r="J2529">
            <v>70572.58</v>
          </cell>
        </row>
        <row r="2530">
          <cell r="A2530" t="str">
            <v>4.2.1.2.01.00003</v>
          </cell>
          <cell r="B2530" t="str">
            <v>SALARIOS E ORDENADOS</v>
          </cell>
          <cell r="C2530" t="str">
            <v>3.069.771,68</v>
          </cell>
          <cell r="D2530" t="str">
            <v>2.160.722,85</v>
          </cell>
          <cell r="E2530" t="str">
            <v>0,00</v>
          </cell>
          <cell r="F2530" t="str">
            <v>0,00</v>
          </cell>
          <cell r="G2530" t="str">
            <v>909.048,83</v>
          </cell>
          <cell r="H2530" t="str">
            <v>0,00</v>
          </cell>
          <cell r="I2530" t="str">
            <v>VERIFICAR</v>
          </cell>
          <cell r="J2530">
            <v>0</v>
          </cell>
        </row>
        <row r="2531">
          <cell r="A2531" t="str">
            <v>4.2.1.2.01.00006</v>
          </cell>
          <cell r="B2531" t="str">
            <v>BOLSA ESTAGIO</v>
          </cell>
          <cell r="C2531" t="str">
            <v>121.811,89</v>
          </cell>
          <cell r="D2531" t="str">
            <v>112.816,57</v>
          </cell>
          <cell r="E2531" t="str">
            <v>0,00</v>
          </cell>
          <cell r="F2531" t="str">
            <v>0,00</v>
          </cell>
          <cell r="G2531" t="str">
            <v>8.995,32</v>
          </cell>
          <cell r="H2531" t="str">
            <v>0,00</v>
          </cell>
          <cell r="I2531" t="str">
            <v>VERIFICAR</v>
          </cell>
          <cell r="J2531">
            <v>0</v>
          </cell>
        </row>
        <row r="2532">
          <cell r="A2532" t="str">
            <v>4.2.1.2.01.00007</v>
          </cell>
          <cell r="B2532" t="str">
            <v>INDENIZACOES</v>
          </cell>
          <cell r="C2532" t="str">
            <v>23.324,53</v>
          </cell>
          <cell r="D2532" t="str">
            <v>24.996,60</v>
          </cell>
          <cell r="E2532" t="str">
            <v>0,00</v>
          </cell>
          <cell r="F2532" t="str">
            <v>0,00</v>
          </cell>
          <cell r="G2532" t="str">
            <v>0,00</v>
          </cell>
          <cell r="H2532" t="str">
            <v>1.672,07</v>
          </cell>
          <cell r="I2532" t="str">
            <v>VERIFICAR</v>
          </cell>
          <cell r="J2532">
            <v>0</v>
          </cell>
        </row>
        <row r="2533">
          <cell r="A2533" t="str">
            <v>4.2.1.2.01.00008</v>
          </cell>
          <cell r="B2533" t="str">
            <v>INSS</v>
          </cell>
          <cell r="C2533" t="str">
            <v>1.015.777,81</v>
          </cell>
          <cell r="D2533" t="str">
            <v>725.807,47</v>
          </cell>
          <cell r="E2533" t="str">
            <v>0,00</v>
          </cell>
          <cell r="F2533" t="str">
            <v>0,00</v>
          </cell>
          <cell r="G2533" t="str">
            <v>289.970,34</v>
          </cell>
          <cell r="H2533" t="str">
            <v>0,00</v>
          </cell>
          <cell r="I2533" t="str">
            <v>VERIFICAR</v>
          </cell>
          <cell r="J2533">
            <v>0</v>
          </cell>
        </row>
        <row r="2534">
          <cell r="A2534" t="str">
            <v>4.2.1.2.01.00009</v>
          </cell>
          <cell r="B2534" t="str">
            <v>FGTS</v>
          </cell>
          <cell r="C2534" t="str">
            <v>304.343,23</v>
          </cell>
          <cell r="D2534" t="str">
            <v>225.170,84</v>
          </cell>
          <cell r="E2534" t="str">
            <v>0,00</v>
          </cell>
          <cell r="F2534" t="str">
            <v>0,00</v>
          </cell>
          <cell r="G2534" t="str">
            <v>79.172,39</v>
          </cell>
          <cell r="H2534" t="str">
            <v>0,00</v>
          </cell>
          <cell r="I2534" t="str">
            <v>VERIFICAR</v>
          </cell>
          <cell r="J2534">
            <v>0</v>
          </cell>
        </row>
        <row r="2535">
          <cell r="A2535" t="str">
            <v>4.2.1.2.01.00010</v>
          </cell>
          <cell r="B2535" t="str">
            <v>TRANSPORTE/VALE TRANSPORTE</v>
          </cell>
          <cell r="C2535" t="str">
            <v>699.474,71</v>
          </cell>
          <cell r="D2535" t="str">
            <v>527.799,90</v>
          </cell>
          <cell r="E2535" t="str">
            <v>33.118,73</v>
          </cell>
          <cell r="F2535" t="str">
            <v>0,00</v>
          </cell>
          <cell r="G2535" t="str">
            <v>204.793,54</v>
          </cell>
          <cell r="H2535" t="str">
            <v>0,00</v>
          </cell>
          <cell r="I2535" t="str">
            <v>VERIFICAR</v>
          </cell>
          <cell r="J2535">
            <v>33118.730000000003</v>
          </cell>
        </row>
        <row r="2536">
          <cell r="A2536" t="str">
            <v>4.2.1.2.01.00011</v>
          </cell>
          <cell r="B2536" t="str">
            <v>REFEICAO/VALE REFEICAO</v>
          </cell>
          <cell r="C2536" t="str">
            <v>26.066,03</v>
          </cell>
          <cell r="D2536" t="str">
            <v>19.914,00</v>
          </cell>
          <cell r="E2536" t="str">
            <v>0,00</v>
          </cell>
          <cell r="F2536" t="str">
            <v>0,00</v>
          </cell>
          <cell r="G2536" t="str">
            <v>6.152,03</v>
          </cell>
          <cell r="H2536" t="str">
            <v>0,00</v>
          </cell>
          <cell r="I2536" t="str">
            <v>VERIFICAR</v>
          </cell>
          <cell r="J2536">
            <v>0</v>
          </cell>
        </row>
        <row r="2537">
          <cell r="A2537" t="str">
            <v>4.2.1.2.01.00013</v>
          </cell>
          <cell r="B2537" t="str">
            <v>ASSISTENCIA MEDICA/FARMACIA</v>
          </cell>
          <cell r="C2537" t="str">
            <v>1.321.249,22</v>
          </cell>
          <cell r="D2537" t="str">
            <v>531.569,55</v>
          </cell>
          <cell r="E2537" t="str">
            <v>35.753,85</v>
          </cell>
          <cell r="F2537" t="str">
            <v>0,00</v>
          </cell>
          <cell r="G2537" t="str">
            <v>825.433,52</v>
          </cell>
          <cell r="H2537" t="str">
            <v>0,00</v>
          </cell>
          <cell r="I2537" t="str">
            <v>VERIFICAR</v>
          </cell>
          <cell r="J2537">
            <v>35753.85</v>
          </cell>
        </row>
        <row r="2538">
          <cell r="A2538" t="str">
            <v>4.2.1.2.01.00015</v>
          </cell>
          <cell r="B2538" t="str">
            <v>FORMACAO PROFISSIONAL EMPREGADOS</v>
          </cell>
          <cell r="C2538" t="str">
            <v>51.420,71</v>
          </cell>
          <cell r="D2538" t="str">
            <v>51.129,04</v>
          </cell>
          <cell r="E2538" t="str">
            <v>0,00</v>
          </cell>
          <cell r="F2538" t="str">
            <v>0,00</v>
          </cell>
          <cell r="G2538" t="str">
            <v>291,67</v>
          </cell>
          <cell r="H2538" t="str">
            <v>0,00</v>
          </cell>
          <cell r="I2538" t="str">
            <v>VERIFICAR</v>
          </cell>
          <cell r="J2538">
            <v>0</v>
          </cell>
        </row>
        <row r="2539">
          <cell r="A2539" t="str">
            <v>4.2.1.2.01.00016</v>
          </cell>
          <cell r="B2539" t="str">
            <v>UNIFORMES</v>
          </cell>
          <cell r="C2539" t="str">
            <v>119.409,92</v>
          </cell>
          <cell r="D2539" t="str">
            <v>118.000,62</v>
          </cell>
          <cell r="E2539" t="str">
            <v>0,00</v>
          </cell>
          <cell r="F2539" t="str">
            <v>0,00</v>
          </cell>
          <cell r="G2539" t="str">
            <v>1.409,30</v>
          </cell>
          <cell r="H2539" t="str">
            <v>0,00</v>
          </cell>
          <cell r="I2539" t="str">
            <v>VERIFICAR</v>
          </cell>
          <cell r="J2539">
            <v>0</v>
          </cell>
        </row>
        <row r="2540">
          <cell r="A2540" t="str">
            <v>4.2.1.2.01.00019</v>
          </cell>
          <cell r="B2540" t="str">
            <v>PREMIOS DE SEGUROS</v>
          </cell>
          <cell r="C2540" t="str">
            <v>25.854,39</v>
          </cell>
          <cell r="D2540" t="str">
            <v>22.232,64</v>
          </cell>
          <cell r="E2540" t="str">
            <v>0,00</v>
          </cell>
          <cell r="F2540" t="str">
            <v>0,00</v>
          </cell>
          <cell r="G2540" t="str">
            <v>3.621,75</v>
          </cell>
          <cell r="H2540" t="str">
            <v>0,00</v>
          </cell>
          <cell r="I2540" t="str">
            <v>VERIFICAR</v>
          </cell>
          <cell r="J2540">
            <v>0</v>
          </cell>
        </row>
        <row r="2541">
          <cell r="A2541" t="str">
            <v>4.2.1.2.01.00020</v>
          </cell>
          <cell r="B2541" t="str">
            <v>MORADIA EMPREGADO</v>
          </cell>
          <cell r="C2541" t="str">
            <v>129.578,04</v>
          </cell>
          <cell r="D2541" t="str">
            <v>94.864,77</v>
          </cell>
          <cell r="E2541" t="str">
            <v>1.700,00</v>
          </cell>
          <cell r="F2541" t="str">
            <v>0,00</v>
          </cell>
          <cell r="G2541" t="str">
            <v>36.413,27</v>
          </cell>
          <cell r="H2541" t="str">
            <v>0,00</v>
          </cell>
          <cell r="I2541" t="str">
            <v>VERIFICAR</v>
          </cell>
          <cell r="J2541">
            <v>1700</v>
          </cell>
        </row>
        <row r="2542">
          <cell r="A2542" t="str">
            <v>4.2.1.2.01.00097</v>
          </cell>
          <cell r="B2542" t="str">
            <v>PROVISAO/REVERSAO FERIAS</v>
          </cell>
          <cell r="C2542" t="str">
            <v>554.477,56</v>
          </cell>
          <cell r="D2542" t="str">
            <v>394.244,03</v>
          </cell>
          <cell r="E2542" t="str">
            <v>0,00</v>
          </cell>
          <cell r="F2542" t="str">
            <v>0,00</v>
          </cell>
          <cell r="G2542" t="str">
            <v>160.233,53</v>
          </cell>
          <cell r="H2542" t="str">
            <v>0,00</v>
          </cell>
          <cell r="I2542" t="str">
            <v>VERIFICAR</v>
          </cell>
          <cell r="J2542">
            <v>0</v>
          </cell>
        </row>
        <row r="2543">
          <cell r="A2543" t="str">
            <v>4.2.1.2.01.00098</v>
          </cell>
          <cell r="B2543" t="str">
            <v>PROVISAO/REVERSAO 13O. SALARIO</v>
          </cell>
          <cell r="C2543" t="str">
            <v>404.391,39</v>
          </cell>
          <cell r="D2543" t="str">
            <v>290.898,44</v>
          </cell>
          <cell r="E2543" t="str">
            <v>0,00</v>
          </cell>
          <cell r="F2543" t="str">
            <v>0,00</v>
          </cell>
          <cell r="G2543" t="str">
            <v>113.492,95</v>
          </cell>
          <cell r="H2543" t="str">
            <v>0,00</v>
          </cell>
          <cell r="I2543" t="str">
            <v>VERIFICAR</v>
          </cell>
          <cell r="J2543">
            <v>0</v>
          </cell>
        </row>
        <row r="2544">
          <cell r="A2544" t="str">
            <v>4.2.1.2.02</v>
          </cell>
          <cell r="B2544" t="str">
            <v>SERVICOS PROFISSIONAIS E CONTRATADOS PJ</v>
          </cell>
          <cell r="C2544" t="str">
            <v>0,00</v>
          </cell>
          <cell r="D2544" t="str">
            <v>0,00</v>
          </cell>
          <cell r="E2544" t="str">
            <v>87.867,95</v>
          </cell>
          <cell r="F2544" t="str">
            <v>0,00</v>
          </cell>
          <cell r="G2544" t="str">
            <v>2.024.999,90</v>
          </cell>
          <cell r="H2544" t="str">
            <v>0,00</v>
          </cell>
          <cell r="I2544" t="str">
            <v>VERIFICAR</v>
          </cell>
          <cell r="J2544">
            <v>87867.95</v>
          </cell>
        </row>
        <row r="2545">
          <cell r="A2545" t="str">
            <v>4.2.1.2.02.00001</v>
          </cell>
          <cell r="B2545" t="str">
            <v>ASSESSORIA ADVOCATICIA</v>
          </cell>
          <cell r="C2545" t="str">
            <v>811.099,94</v>
          </cell>
          <cell r="D2545" t="str">
            <v>751.092,72</v>
          </cell>
          <cell r="E2545" t="str">
            <v>3.740,00</v>
          </cell>
          <cell r="F2545" t="str">
            <v>0,00</v>
          </cell>
          <cell r="G2545" t="str">
            <v>63.747,22</v>
          </cell>
          <cell r="H2545" t="str">
            <v>0,00</v>
          </cell>
          <cell r="I2545" t="str">
            <v>VERIFICAR</v>
          </cell>
          <cell r="J2545">
            <v>3740</v>
          </cell>
        </row>
        <row r="2546">
          <cell r="A2546" t="str">
            <v>4.2.1.2.02.00002</v>
          </cell>
          <cell r="B2546" t="str">
            <v>ASSESSORIA CONTABIL</v>
          </cell>
          <cell r="C2546" t="str">
            <v>952.367,52</v>
          </cell>
          <cell r="D2546" t="str">
            <v>886.887,21</v>
          </cell>
          <cell r="E2546" t="str">
            <v>0,00</v>
          </cell>
          <cell r="F2546" t="str">
            <v>0,00</v>
          </cell>
          <cell r="G2546" t="str">
            <v>65.480,31</v>
          </cell>
          <cell r="H2546" t="str">
            <v>0,00</v>
          </cell>
          <cell r="I2546" t="str">
            <v>VERIFICAR</v>
          </cell>
          <cell r="J2546">
            <v>0</v>
          </cell>
        </row>
        <row r="2547">
          <cell r="A2547" t="str">
            <v>4.2.1.2.02.00004</v>
          </cell>
          <cell r="B2547" t="str">
            <v>FRETES - OUTROS</v>
          </cell>
          <cell r="C2547" t="str">
            <v>53.886,88</v>
          </cell>
          <cell r="D2547" t="str">
            <v>48.814,78</v>
          </cell>
          <cell r="E2547" t="str">
            <v>0,00</v>
          </cell>
          <cell r="F2547" t="str">
            <v>0,00</v>
          </cell>
          <cell r="G2547" t="str">
            <v>5.072,10</v>
          </cell>
          <cell r="H2547" t="str">
            <v>0,00</v>
          </cell>
          <cell r="I2547" t="str">
            <v>VERIFICAR</v>
          </cell>
          <cell r="J2547">
            <v>0</v>
          </cell>
        </row>
        <row r="2548">
          <cell r="A2548" t="str">
            <v>4.2.1.2.02.00005</v>
          </cell>
          <cell r="B2548" t="str">
            <v>MANUTENCAO DE SOFTWARE/HARDWARE</v>
          </cell>
          <cell r="C2548" t="str">
            <v>1.128.019,20</v>
          </cell>
          <cell r="D2548" t="str">
            <v>825.531,97</v>
          </cell>
          <cell r="E2548" t="str">
            <v>16.483,50</v>
          </cell>
          <cell r="F2548" t="str">
            <v>0,00</v>
          </cell>
          <cell r="G2548" t="str">
            <v>318.970,73</v>
          </cell>
          <cell r="H2548" t="str">
            <v>0,00</v>
          </cell>
          <cell r="I2548" t="str">
            <v>VERIFICAR</v>
          </cell>
          <cell r="J2548">
            <v>16483.5</v>
          </cell>
        </row>
        <row r="2549">
          <cell r="A2549" t="str">
            <v>4.2.1.2.02.00006</v>
          </cell>
          <cell r="B2549" t="str">
            <v>MANUTENCOES E REPAROS EQUIPTOS.</v>
          </cell>
          <cell r="C2549" t="str">
            <v>35.132,15</v>
          </cell>
          <cell r="D2549" t="str">
            <v>31.392,15</v>
          </cell>
          <cell r="E2549" t="str">
            <v>0,00</v>
          </cell>
          <cell r="F2549" t="str">
            <v>0,00</v>
          </cell>
          <cell r="G2549" t="str">
            <v>3.740,00</v>
          </cell>
          <cell r="H2549" t="str">
            <v>0,00</v>
          </cell>
          <cell r="I2549" t="str">
            <v>VERIFICAR</v>
          </cell>
          <cell r="J2549">
            <v>0</v>
          </cell>
        </row>
        <row r="2550">
          <cell r="A2550" t="str">
            <v>4.2.1.2.02.00008</v>
          </cell>
          <cell r="B2550" t="str">
            <v>SEGURANCA E VIGILANCIA</v>
          </cell>
          <cell r="C2550" t="str">
            <v>258.140,04</v>
          </cell>
          <cell r="D2550" t="str">
            <v>143.018,39</v>
          </cell>
          <cell r="E2550" t="str">
            <v>8.054,59</v>
          </cell>
          <cell r="F2550" t="str">
            <v>0,00</v>
          </cell>
          <cell r="G2550" t="str">
            <v>123.176,24</v>
          </cell>
          <cell r="H2550" t="str">
            <v>0,00</v>
          </cell>
          <cell r="I2550" t="str">
            <v>VERIFICAR</v>
          </cell>
          <cell r="J2550">
            <v>8054.59</v>
          </cell>
        </row>
        <row r="2551">
          <cell r="A2551" t="str">
            <v>4.2.1.2.02.00009</v>
          </cell>
          <cell r="B2551" t="str">
            <v>OUTROS SERVICOS TERCEIROS</v>
          </cell>
          <cell r="C2551" t="str">
            <v>4.997.831,77</v>
          </cell>
          <cell r="D2551" t="str">
            <v>3.612.608,33</v>
          </cell>
          <cell r="E2551" t="str">
            <v>59.589,86</v>
          </cell>
          <cell r="F2551" t="str">
            <v>0,00</v>
          </cell>
          <cell r="G2551" t="str">
            <v>1.444.813,30</v>
          </cell>
          <cell r="H2551" t="str">
            <v>0,00</v>
          </cell>
          <cell r="I2551" t="str">
            <v>VERIFICAR</v>
          </cell>
          <cell r="J2551">
            <v>59589.86</v>
          </cell>
        </row>
        <row r="2552">
          <cell r="A2552" t="str">
            <v>4.2.1.2.03</v>
          </cell>
          <cell r="B2552" t="str">
            <v>DESPESAS COM OCUPACAO</v>
          </cell>
          <cell r="C2552" t="str">
            <v>0,00</v>
          </cell>
          <cell r="D2552" t="str">
            <v>0,00</v>
          </cell>
          <cell r="E2552" t="str">
            <v>223.905,67</v>
          </cell>
          <cell r="F2552" t="str">
            <v>20.059,80</v>
          </cell>
          <cell r="G2552" t="str">
            <v>3.235.860,89</v>
          </cell>
          <cell r="H2552" t="str">
            <v>0,00</v>
          </cell>
          <cell r="I2552" t="str">
            <v>VERIFICAR</v>
          </cell>
          <cell r="J2552">
            <v>203845.87000000002</v>
          </cell>
        </row>
        <row r="2553">
          <cell r="A2553" t="str">
            <v>4.2.1.2.03.00001</v>
          </cell>
          <cell r="B2553" t="str">
            <v>ALUGUEIS</v>
          </cell>
          <cell r="C2553" t="str">
            <v>9.397.714,49</v>
          </cell>
          <cell r="D2553" t="str">
            <v>6.427.165,63</v>
          </cell>
          <cell r="E2553" t="str">
            <v>220.724,16</v>
          </cell>
          <cell r="F2553" t="str">
            <v>20.059,80</v>
          </cell>
          <cell r="G2553" t="str">
            <v>3.171.213,22</v>
          </cell>
          <cell r="H2553" t="str">
            <v>0,00</v>
          </cell>
          <cell r="I2553" t="str">
            <v>VERIFICAR</v>
          </cell>
          <cell r="J2553">
            <v>200664.36000000002</v>
          </cell>
        </row>
        <row r="2554">
          <cell r="A2554" t="str">
            <v>4.2.1.2.03.00002</v>
          </cell>
          <cell r="B2554" t="str">
            <v>LIMPEZA E JARDINAGEM</v>
          </cell>
          <cell r="C2554" t="str">
            <v>105.336,69</v>
          </cell>
          <cell r="D2554" t="str">
            <v>89.876,86</v>
          </cell>
          <cell r="E2554" t="str">
            <v>0,00</v>
          </cell>
          <cell r="F2554" t="str">
            <v>0,00</v>
          </cell>
          <cell r="G2554" t="str">
            <v>15.459,83</v>
          </cell>
          <cell r="H2554" t="str">
            <v>0,00</v>
          </cell>
          <cell r="I2554" t="str">
            <v>VERIFICAR</v>
          </cell>
          <cell r="J2554">
            <v>0</v>
          </cell>
        </row>
        <row r="2555">
          <cell r="A2555" t="str">
            <v>4.2.1.2.03.00003</v>
          </cell>
          <cell r="B2555" t="str">
            <v>MANUTENCOES E REPAROS PREDIAIS</v>
          </cell>
          <cell r="C2555" t="str">
            <v>287.536,59</v>
          </cell>
          <cell r="D2555" t="str">
            <v>261.785,61</v>
          </cell>
          <cell r="E2555" t="str">
            <v>3.041,43</v>
          </cell>
          <cell r="F2555" t="str">
            <v>0,00</v>
          </cell>
          <cell r="G2555" t="str">
            <v>28.792,41</v>
          </cell>
          <cell r="H2555" t="str">
            <v>0,00</v>
          </cell>
          <cell r="I2555" t="str">
            <v>VERIFICAR</v>
          </cell>
          <cell r="J2555">
            <v>3041.43</v>
          </cell>
        </row>
        <row r="2556">
          <cell r="A2556" t="str">
            <v>4.2.1.2.03.00004</v>
          </cell>
          <cell r="B2556" t="str">
            <v>SEGURO DO PREDIO</v>
          </cell>
          <cell r="C2556" t="str">
            <v>38.521,07</v>
          </cell>
          <cell r="D2556" t="str">
            <v>18.265,72</v>
          </cell>
          <cell r="E2556" t="str">
            <v>140,08</v>
          </cell>
          <cell r="F2556" t="str">
            <v>0,00</v>
          </cell>
          <cell r="G2556" t="str">
            <v>20.395,43</v>
          </cell>
          <cell r="H2556" t="str">
            <v>0,00</v>
          </cell>
          <cell r="I2556" t="str">
            <v>VERIFICAR</v>
          </cell>
          <cell r="J2556">
            <v>140.08000000000001</v>
          </cell>
        </row>
        <row r="2557">
          <cell r="A2557" t="str">
            <v>4.2.1.2.04</v>
          </cell>
          <cell r="B2557" t="str">
            <v>UTILIDADES E SERVICOS</v>
          </cell>
          <cell r="C2557" t="str">
            <v>0,00</v>
          </cell>
          <cell r="D2557" t="str">
            <v>0,00</v>
          </cell>
          <cell r="E2557" t="str">
            <v>33.030,34</v>
          </cell>
          <cell r="F2557" t="str">
            <v>3.133,45</v>
          </cell>
          <cell r="G2557" t="str">
            <v>883.488,94</v>
          </cell>
          <cell r="H2557" t="str">
            <v>0,00</v>
          </cell>
          <cell r="I2557" t="str">
            <v>VERIFICAR</v>
          </cell>
          <cell r="J2557">
            <v>29896.889999999996</v>
          </cell>
        </row>
        <row r="2558">
          <cell r="A2558" t="str">
            <v>4.2.1.2.04.00001</v>
          </cell>
          <cell r="B2558" t="str">
            <v>AGUA E ESGOTO</v>
          </cell>
          <cell r="C2558" t="str">
            <v>99.476,28</v>
          </cell>
          <cell r="D2558" t="str">
            <v>68.411,71</v>
          </cell>
          <cell r="E2558" t="str">
            <v>450,70</v>
          </cell>
          <cell r="F2558" t="str">
            <v>0,00</v>
          </cell>
          <cell r="G2558" t="str">
            <v>31.515,27</v>
          </cell>
          <cell r="H2558" t="str">
            <v>0,00</v>
          </cell>
          <cell r="I2558" t="str">
            <v>VERIFICAR</v>
          </cell>
          <cell r="J2558">
            <v>450.7</v>
          </cell>
        </row>
        <row r="2559">
          <cell r="A2559" t="str">
            <v>4.2.1.2.04.00002</v>
          </cell>
          <cell r="B2559" t="str">
            <v>CORREIO, MALOTES E REMESSAS</v>
          </cell>
          <cell r="C2559" t="str">
            <v>64.356,33</v>
          </cell>
          <cell r="D2559" t="str">
            <v>53.998,58</v>
          </cell>
          <cell r="E2559" t="str">
            <v>334,02</v>
          </cell>
          <cell r="F2559" t="str">
            <v>0,00</v>
          </cell>
          <cell r="G2559" t="str">
            <v>10.691,77</v>
          </cell>
          <cell r="H2559" t="str">
            <v>0,00</v>
          </cell>
          <cell r="I2559" t="str">
            <v>VERIFICAR</v>
          </cell>
          <cell r="J2559">
            <v>334.02</v>
          </cell>
        </row>
        <row r="2560">
          <cell r="A2560" t="str">
            <v>4.2.1.2.04.00003</v>
          </cell>
          <cell r="B2560" t="str">
            <v>ENERGIA ELETRICA</v>
          </cell>
          <cell r="C2560" t="str">
            <v>2.229.362,67</v>
          </cell>
          <cell r="D2560" t="str">
            <v>1.616.152,67</v>
          </cell>
          <cell r="E2560" t="str">
            <v>23.424,67</v>
          </cell>
          <cell r="F2560" t="str">
            <v>3.133,45</v>
          </cell>
          <cell r="G2560" t="str">
            <v>633.501,22</v>
          </cell>
          <cell r="H2560" t="str">
            <v>0,00</v>
          </cell>
          <cell r="I2560" t="str">
            <v>VERIFICAR</v>
          </cell>
          <cell r="J2560">
            <v>20291.219999999998</v>
          </cell>
        </row>
        <row r="2561">
          <cell r="A2561" t="str">
            <v>4.2.1.2.04.00004</v>
          </cell>
          <cell r="B2561" t="str">
            <v>SEGUROS</v>
          </cell>
          <cell r="C2561" t="str">
            <v>127.602,62</v>
          </cell>
          <cell r="D2561" t="str">
            <v>64.868,94</v>
          </cell>
          <cell r="E2561" t="str">
            <v>0,00</v>
          </cell>
          <cell r="F2561" t="str">
            <v>0,00</v>
          </cell>
          <cell r="G2561" t="str">
            <v>62.733,68</v>
          </cell>
          <cell r="H2561" t="str">
            <v>0,00</v>
          </cell>
          <cell r="I2561" t="str">
            <v>VERIFICAR</v>
          </cell>
          <cell r="J2561">
            <v>0</v>
          </cell>
        </row>
        <row r="2562">
          <cell r="A2562" t="str">
            <v>4.2.1.2.04.00005</v>
          </cell>
          <cell r="B2562" t="str">
            <v>TELEFONE, INTERNET, TELEGRAMA</v>
          </cell>
          <cell r="C2562" t="str">
            <v>779.348,30</v>
          </cell>
          <cell r="D2562" t="str">
            <v>643.122,25</v>
          </cell>
          <cell r="E2562" t="str">
            <v>8.820,95</v>
          </cell>
          <cell r="F2562" t="str">
            <v>0,00</v>
          </cell>
          <cell r="G2562" t="str">
            <v>145.047,00</v>
          </cell>
          <cell r="H2562" t="str">
            <v>0,00</v>
          </cell>
          <cell r="I2562" t="str">
            <v>VERIFICAR</v>
          </cell>
          <cell r="J2562">
            <v>8820.9500000000007</v>
          </cell>
        </row>
        <row r="2563">
          <cell r="A2563" t="str">
            <v>4.2.1.2.05</v>
          </cell>
          <cell r="B2563" t="str">
            <v>CONSUMO DE MATERIAIS E PRODUTOS</v>
          </cell>
          <cell r="C2563" t="str">
            <v>0,00</v>
          </cell>
          <cell r="D2563" t="str">
            <v>0,00</v>
          </cell>
          <cell r="E2563" t="str">
            <v>23.484,56</v>
          </cell>
          <cell r="F2563" t="str">
            <v>6.400,00</v>
          </cell>
          <cell r="G2563" t="str">
            <v>189.129,21</v>
          </cell>
          <cell r="H2563" t="str">
            <v>0,00</v>
          </cell>
          <cell r="I2563" t="str">
            <v>VERIFICAR</v>
          </cell>
          <cell r="J2563">
            <v>17084.560000000001</v>
          </cell>
        </row>
        <row r="2564">
          <cell r="A2564" t="str">
            <v>4.2.1.2.05.00001</v>
          </cell>
          <cell r="B2564" t="str">
            <v>COPA, COZINHA E REFEITŸRIO</v>
          </cell>
          <cell r="C2564" t="str">
            <v>85.474,45</v>
          </cell>
          <cell r="D2564" t="str">
            <v>61.778,54</v>
          </cell>
          <cell r="E2564" t="str">
            <v>6.400,00</v>
          </cell>
          <cell r="F2564" t="str">
            <v>0,00</v>
          </cell>
          <cell r="G2564" t="str">
            <v>30.095,91</v>
          </cell>
          <cell r="H2564" t="str">
            <v>0,00</v>
          </cell>
          <cell r="I2564" t="str">
            <v>VERIFICAR</v>
          </cell>
          <cell r="J2564">
            <v>6400</v>
          </cell>
        </row>
        <row r="2565">
          <cell r="A2565" t="str">
            <v>4.2.1.2.05.00002</v>
          </cell>
          <cell r="B2565" t="str">
            <v>HIGIENE E LIMPEZA</v>
          </cell>
          <cell r="C2565" t="str">
            <v>505.916,64</v>
          </cell>
          <cell r="D2565" t="str">
            <v>429.839,80</v>
          </cell>
          <cell r="E2565" t="str">
            <v>9.091,33</v>
          </cell>
          <cell r="F2565" t="str">
            <v>6.400,00</v>
          </cell>
          <cell r="G2565" t="str">
            <v>78.768,17</v>
          </cell>
          <cell r="H2565" t="str">
            <v>0,00</v>
          </cell>
          <cell r="I2565" t="str">
            <v>VERIFICAR</v>
          </cell>
          <cell r="J2565">
            <v>2691.33</v>
          </cell>
        </row>
        <row r="2566">
          <cell r="A2566" t="str">
            <v>4.2.1.2.05.00003</v>
          </cell>
          <cell r="B2566" t="str">
            <v>MATERIAL DE ESCRITŸRIO</v>
          </cell>
          <cell r="C2566" t="str">
            <v>371.180,74</v>
          </cell>
          <cell r="D2566" t="str">
            <v>301.711,13</v>
          </cell>
          <cell r="E2566" t="str">
            <v>7.877,34</v>
          </cell>
          <cell r="F2566" t="str">
            <v>0,00</v>
          </cell>
          <cell r="G2566" t="str">
            <v>77.346,95</v>
          </cell>
          <cell r="H2566" t="str">
            <v>0,00</v>
          </cell>
          <cell r="I2566" t="str">
            <v>VERIFICAR</v>
          </cell>
          <cell r="J2566">
            <v>7877.34</v>
          </cell>
        </row>
        <row r="2567">
          <cell r="A2567" t="str">
            <v>4.2.1.2.05.00004</v>
          </cell>
          <cell r="B2567" t="str">
            <v>MATERIAL DE INFORMATICA</v>
          </cell>
          <cell r="C2567" t="str">
            <v>18.947,69</v>
          </cell>
          <cell r="D2567" t="str">
            <v>16.145,40</v>
          </cell>
          <cell r="E2567" t="str">
            <v>115,89</v>
          </cell>
          <cell r="F2567" t="str">
            <v>0,00</v>
          </cell>
          <cell r="G2567" t="str">
            <v>2.918,18</v>
          </cell>
          <cell r="H2567" t="str">
            <v>0,00</v>
          </cell>
          <cell r="I2567" t="str">
            <v>VERIFICAR</v>
          </cell>
          <cell r="J2567">
            <v>115.89</v>
          </cell>
        </row>
        <row r="2568">
          <cell r="A2568" t="str">
            <v>4.2.1.2.06</v>
          </cell>
          <cell r="B2568" t="str">
            <v>DESPESAS DE VIAGENS</v>
          </cell>
          <cell r="C2568" t="str">
            <v>0,00</v>
          </cell>
          <cell r="D2568" t="str">
            <v>0,00</v>
          </cell>
          <cell r="E2568" t="str">
            <v>14.728,05</v>
          </cell>
          <cell r="F2568" t="str">
            <v>0,00</v>
          </cell>
          <cell r="G2568" t="str">
            <v>131.746,00</v>
          </cell>
          <cell r="H2568" t="str">
            <v>0,00</v>
          </cell>
          <cell r="I2568" t="str">
            <v>VERIFICAR</v>
          </cell>
          <cell r="J2568">
            <v>14728.05</v>
          </cell>
        </row>
        <row r="2569">
          <cell r="A2569" t="str">
            <v>4.2.1.2.06.00001</v>
          </cell>
          <cell r="B2569" t="str">
            <v>ALUGUEL VEICULOS</v>
          </cell>
          <cell r="C2569" t="str">
            <v>14.071,06</v>
          </cell>
          <cell r="D2569" t="str">
            <v>14.071,06</v>
          </cell>
          <cell r="E2569" t="str">
            <v>7.944,86</v>
          </cell>
          <cell r="F2569" t="str">
            <v>0,00</v>
          </cell>
          <cell r="G2569" t="str">
            <v>7.944,86</v>
          </cell>
          <cell r="H2569" t="str">
            <v>0,00</v>
          </cell>
          <cell r="I2569" t="str">
            <v>VERIFICAR</v>
          </cell>
          <cell r="J2569">
            <v>7944.86</v>
          </cell>
        </row>
        <row r="2570">
          <cell r="A2570" t="str">
            <v>4.2.1.2.06.00002</v>
          </cell>
          <cell r="B2570" t="str">
            <v>COMBUSTIVEL E LUBRIFICANTES</v>
          </cell>
          <cell r="C2570" t="str">
            <v>139.606,60</v>
          </cell>
          <cell r="D2570" t="str">
            <v>95.807,62</v>
          </cell>
          <cell r="E2570" t="str">
            <v>5.387,53</v>
          </cell>
          <cell r="F2570" t="str">
            <v>0,00</v>
          </cell>
          <cell r="G2570" t="str">
            <v>49.186,51</v>
          </cell>
          <cell r="H2570" t="str">
            <v>0,00</v>
          </cell>
          <cell r="I2570" t="str">
            <v>VERIFICAR</v>
          </cell>
          <cell r="J2570">
            <v>5387.53</v>
          </cell>
        </row>
        <row r="2571">
          <cell r="A2571" t="str">
            <v>4.2.1.2.06.00003</v>
          </cell>
          <cell r="B2571" t="str">
            <v>ESTADIAS E REFEICOES</v>
          </cell>
          <cell r="C2571" t="str">
            <v>259.945,55</v>
          </cell>
          <cell r="D2571" t="str">
            <v>187.904,79</v>
          </cell>
          <cell r="E2571" t="str">
            <v>1.250,87</v>
          </cell>
          <cell r="F2571" t="str">
            <v>0,00</v>
          </cell>
          <cell r="G2571" t="str">
            <v>73.291,63</v>
          </cell>
          <cell r="H2571" t="str">
            <v>0,00</v>
          </cell>
          <cell r="I2571" t="str">
            <v>VERIFICAR</v>
          </cell>
          <cell r="J2571">
            <v>1250.8699999999999</v>
          </cell>
        </row>
        <row r="2572">
          <cell r="A2572" t="str">
            <v>4.2.1.2.06.00005</v>
          </cell>
          <cell r="B2572" t="str">
            <v>PEDAGIOS</v>
          </cell>
          <cell r="C2572" t="str">
            <v>6.982,32</v>
          </cell>
          <cell r="D2572" t="str">
            <v>5.804,11</v>
          </cell>
          <cell r="E2572" t="str">
            <v>144,79</v>
          </cell>
          <cell r="F2572" t="str">
            <v>0,00</v>
          </cell>
          <cell r="G2572" t="str">
            <v>1.323,00</v>
          </cell>
          <cell r="H2572" t="str">
            <v>0,00</v>
          </cell>
          <cell r="I2572" t="str">
            <v>VERIFICAR</v>
          </cell>
          <cell r="J2572">
            <v>144.79</v>
          </cell>
        </row>
        <row r="2573">
          <cell r="A2573" t="str">
            <v>4.2.1.2.07</v>
          </cell>
          <cell r="B2573" t="str">
            <v>DESPESAS COM VEICULOS</v>
          </cell>
          <cell r="C2573" t="str">
            <v>0,00</v>
          </cell>
          <cell r="D2573" t="str">
            <v>0,00</v>
          </cell>
          <cell r="E2573" t="str">
            <v>141,85</v>
          </cell>
          <cell r="F2573" t="str">
            <v>0,00</v>
          </cell>
          <cell r="G2573" t="str">
            <v>10.828,59</v>
          </cell>
          <cell r="H2573" t="str">
            <v>0,00</v>
          </cell>
          <cell r="I2573" t="str">
            <v>VERIFICAR</v>
          </cell>
          <cell r="J2573">
            <v>141.85</v>
          </cell>
        </row>
        <row r="2574">
          <cell r="A2574" t="str">
            <v>4.2.1.2.07.00001</v>
          </cell>
          <cell r="B2574" t="str">
            <v>MANUTENCAO DE VEICULOS - SERVICOS</v>
          </cell>
          <cell r="C2574" t="str">
            <v>4.801,67</v>
          </cell>
          <cell r="D2574" t="str">
            <v>4.509,27</v>
          </cell>
          <cell r="E2574" t="str">
            <v>0,00</v>
          </cell>
          <cell r="F2574" t="str">
            <v>0,00</v>
          </cell>
          <cell r="G2574" t="str">
            <v>292,40</v>
          </cell>
          <cell r="H2574" t="str">
            <v>0,00</v>
          </cell>
          <cell r="I2574" t="str">
            <v>VERIFICAR</v>
          </cell>
          <cell r="J2574">
            <v>0</v>
          </cell>
        </row>
        <row r="2575">
          <cell r="A2575" t="str">
            <v>4.2.1.2.07.00003</v>
          </cell>
          <cell r="B2575" t="str">
            <v>SEGURO DE VEICULOS</v>
          </cell>
          <cell r="C2575" t="str">
            <v>30.668,43</v>
          </cell>
          <cell r="D2575" t="str">
            <v>25.709,25</v>
          </cell>
          <cell r="E2575" t="str">
            <v>0,00</v>
          </cell>
          <cell r="F2575" t="str">
            <v>0,00</v>
          </cell>
          <cell r="G2575" t="str">
            <v>4.959,18</v>
          </cell>
          <cell r="H2575" t="str">
            <v>0,00</v>
          </cell>
          <cell r="I2575" t="str">
            <v>VERIFICAR</v>
          </cell>
          <cell r="J2575">
            <v>0</v>
          </cell>
        </row>
        <row r="2576">
          <cell r="A2576" t="str">
            <v>4.2.1.2.07.00004</v>
          </cell>
          <cell r="B2576" t="str">
            <v>IPVA / LICENCIAMENTO</v>
          </cell>
          <cell r="C2576" t="str">
            <v>16.129,27</v>
          </cell>
          <cell r="D2576" t="str">
            <v>10.954,41</v>
          </cell>
          <cell r="E2576" t="str">
            <v>141,85</v>
          </cell>
          <cell r="F2576" t="str">
            <v>0,00</v>
          </cell>
          <cell r="G2576" t="str">
            <v>5.316,71</v>
          </cell>
          <cell r="H2576" t="str">
            <v>0,00</v>
          </cell>
          <cell r="I2576" t="str">
            <v>VERIFICAR</v>
          </cell>
          <cell r="J2576">
            <v>141.85</v>
          </cell>
        </row>
        <row r="2577">
          <cell r="A2577" t="str">
            <v>4.2.1.2.07.00005</v>
          </cell>
          <cell r="B2577" t="str">
            <v>MULTA TRANSITO</v>
          </cell>
          <cell r="C2577" t="str">
            <v>17.424,03</v>
          </cell>
          <cell r="D2577" t="str">
            <v>17.163,73</v>
          </cell>
          <cell r="E2577" t="str">
            <v>0,00</v>
          </cell>
          <cell r="F2577" t="str">
            <v>0,00</v>
          </cell>
          <cell r="G2577" t="str">
            <v>260,30</v>
          </cell>
          <cell r="H2577" t="str">
            <v>0,00</v>
          </cell>
          <cell r="I2577" t="str">
            <v>VERIFICAR</v>
          </cell>
          <cell r="J2577">
            <v>0</v>
          </cell>
        </row>
        <row r="2578">
          <cell r="A2578" t="str">
            <v>4.2.1.2.08</v>
          </cell>
          <cell r="B2578" t="str">
            <v>DESPESAS GERAIS</v>
          </cell>
          <cell r="C2578" t="str">
            <v>0,00</v>
          </cell>
          <cell r="D2578" t="str">
            <v>0,00</v>
          </cell>
          <cell r="E2578" t="str">
            <v>9.864,82</v>
          </cell>
          <cell r="F2578" t="str">
            <v>0,00</v>
          </cell>
          <cell r="G2578" t="str">
            <v>478.108,45</v>
          </cell>
          <cell r="H2578" t="str">
            <v>0,00</v>
          </cell>
          <cell r="I2578" t="str">
            <v>VERIFICAR</v>
          </cell>
          <cell r="J2578">
            <v>9864.82</v>
          </cell>
        </row>
        <row r="2579">
          <cell r="A2579" t="str">
            <v>4.2.1.2.08.00001</v>
          </cell>
          <cell r="B2579" t="str">
            <v>ALUGUEL DE BENS MOVEIS</v>
          </cell>
          <cell r="C2579" t="str">
            <v>260.178,87</v>
          </cell>
          <cell r="D2579" t="str">
            <v>234.244,38</v>
          </cell>
          <cell r="E2579" t="str">
            <v>2.279,94</v>
          </cell>
          <cell r="F2579" t="str">
            <v>0,00</v>
          </cell>
          <cell r="G2579" t="str">
            <v>28.214,43</v>
          </cell>
          <cell r="H2579" t="str">
            <v>0,00</v>
          </cell>
          <cell r="I2579" t="str">
            <v>VERIFICAR</v>
          </cell>
          <cell r="J2579">
            <v>2279.94</v>
          </cell>
        </row>
        <row r="2580">
          <cell r="A2580" t="str">
            <v>4.2.1.2.08.00003</v>
          </cell>
          <cell r="B2580" t="str">
            <v>BENS DE PEQUENO VALOR</v>
          </cell>
          <cell r="C2580" t="str">
            <v>17.402,86</v>
          </cell>
          <cell r="D2580" t="str">
            <v>16.685,16</v>
          </cell>
          <cell r="E2580" t="str">
            <v>0,00</v>
          </cell>
          <cell r="F2580" t="str">
            <v>0,00</v>
          </cell>
          <cell r="G2580" t="str">
            <v>717,70</v>
          </cell>
          <cell r="H2580" t="str">
            <v>0,00</v>
          </cell>
          <cell r="I2580" t="str">
            <v>VERIFICAR</v>
          </cell>
          <cell r="J2580">
            <v>0</v>
          </cell>
        </row>
        <row r="2581">
          <cell r="A2581" t="str">
            <v>4.2.1.2.08.00005</v>
          </cell>
          <cell r="B2581" t="str">
            <v>DESPESAS LEGAIS E JUDICIAIS/CARTORARIAS</v>
          </cell>
          <cell r="C2581" t="str">
            <v>133.374,29</v>
          </cell>
          <cell r="D2581" t="str">
            <v>126.353,33</v>
          </cell>
          <cell r="E2581" t="str">
            <v>0,00</v>
          </cell>
          <cell r="F2581" t="str">
            <v>0,00</v>
          </cell>
          <cell r="G2581" t="str">
            <v>7.020,96</v>
          </cell>
          <cell r="H2581" t="str">
            <v>0,00</v>
          </cell>
          <cell r="I2581" t="str">
            <v>VERIFICAR</v>
          </cell>
          <cell r="J2581">
            <v>0</v>
          </cell>
        </row>
        <row r="2582">
          <cell r="A2582" t="str">
            <v>4.2.1.2.08.00006</v>
          </cell>
          <cell r="B2582" t="str">
            <v>FESTAS E CONFRATERNIZACOES</v>
          </cell>
          <cell r="C2582" t="str">
            <v>257.099,82</v>
          </cell>
          <cell r="D2582" t="str">
            <v>128.622,36</v>
          </cell>
          <cell r="E2582" t="str">
            <v>0,00</v>
          </cell>
          <cell r="F2582" t="str">
            <v>0,00</v>
          </cell>
          <cell r="G2582" t="str">
            <v>128.477,46</v>
          </cell>
          <cell r="H2582" t="str">
            <v>0,00</v>
          </cell>
          <cell r="I2582" t="str">
            <v>VERIFICAR</v>
          </cell>
          <cell r="J2582">
            <v>0</v>
          </cell>
        </row>
        <row r="2583">
          <cell r="A2583" t="str">
            <v>4.2.1.2.08.00008</v>
          </cell>
          <cell r="B2583" t="str">
            <v>DOACOES</v>
          </cell>
          <cell r="C2583" t="str">
            <v>185.008,09</v>
          </cell>
          <cell r="D2583" t="str">
            <v>172.839,76</v>
          </cell>
          <cell r="E2583" t="str">
            <v>0,00</v>
          </cell>
          <cell r="F2583" t="str">
            <v>0,00</v>
          </cell>
          <cell r="G2583" t="str">
            <v>12.168,33</v>
          </cell>
          <cell r="H2583" t="str">
            <v>0,00</v>
          </cell>
          <cell r="I2583" t="str">
            <v>VERIFICAR</v>
          </cell>
          <cell r="J2583">
            <v>0</v>
          </cell>
        </row>
        <row r="2584">
          <cell r="A2584" t="str">
            <v>4.2.1.2.08.00010</v>
          </cell>
          <cell r="B2584" t="str">
            <v>BRINDES</v>
          </cell>
          <cell r="C2584" t="str">
            <v>85.978,52</v>
          </cell>
          <cell r="D2584" t="str">
            <v>39.648,90</v>
          </cell>
          <cell r="E2584" t="str">
            <v>0,00</v>
          </cell>
          <cell r="F2584" t="str">
            <v>0,00</v>
          </cell>
          <cell r="G2584" t="str">
            <v>46.329,62</v>
          </cell>
          <cell r="H2584" t="str">
            <v>0,00</v>
          </cell>
          <cell r="I2584" t="str">
            <v>VERIFICAR</v>
          </cell>
          <cell r="J2584">
            <v>0</v>
          </cell>
        </row>
        <row r="2585">
          <cell r="A2585" t="str">
            <v>4.2.1.2.08.00011</v>
          </cell>
          <cell r="B2585" t="str">
            <v>DOACOES A ENTIDADE CIVIS</v>
          </cell>
          <cell r="C2585" t="str">
            <v>499.971,21</v>
          </cell>
          <cell r="D2585" t="str">
            <v>252.376,14</v>
          </cell>
          <cell r="E2585" t="str">
            <v>7.584,88</v>
          </cell>
          <cell r="F2585" t="str">
            <v>0,00</v>
          </cell>
          <cell r="G2585" t="str">
            <v>255.179,95</v>
          </cell>
          <cell r="H2585" t="str">
            <v>0,00</v>
          </cell>
          <cell r="I2585" t="str">
            <v>VERIFICAR</v>
          </cell>
          <cell r="J2585">
            <v>7584.88</v>
          </cell>
        </row>
        <row r="2586">
          <cell r="A2586" t="str">
            <v>4.2.1.2.20</v>
          </cell>
          <cell r="B2586" t="str">
            <v>DESPESAS TRIBUTARIAS</v>
          </cell>
          <cell r="C2586" t="str">
            <v>0,00</v>
          </cell>
          <cell r="D2586" t="str">
            <v>0,00</v>
          </cell>
          <cell r="E2586" t="str">
            <v>37.474,15</v>
          </cell>
          <cell r="F2586" t="str">
            <v>415,14</v>
          </cell>
          <cell r="G2586" t="str">
            <v>1.012.863,38</v>
          </cell>
          <cell r="H2586" t="str">
            <v>0,00</v>
          </cell>
          <cell r="I2586" t="str">
            <v>VERIFICAR</v>
          </cell>
          <cell r="J2586">
            <v>37059.01</v>
          </cell>
        </row>
        <row r="2587">
          <cell r="A2587" t="str">
            <v>4.2.1.2.20.00002</v>
          </cell>
          <cell r="B2587" t="str">
            <v>CUSTAS PROCESSOS JUDICIAIS</v>
          </cell>
          <cell r="C2587" t="str">
            <v>115.116,01</v>
          </cell>
          <cell r="D2587" t="str">
            <v>114.897,88</v>
          </cell>
          <cell r="E2587" t="str">
            <v>0,00</v>
          </cell>
          <cell r="F2587" t="str">
            <v>0,00</v>
          </cell>
          <cell r="G2587" t="str">
            <v>218,13</v>
          </cell>
          <cell r="H2587" t="str">
            <v>0,00</v>
          </cell>
          <cell r="I2587" t="str">
            <v>VERIFICAR</v>
          </cell>
          <cell r="J2587">
            <v>0</v>
          </cell>
        </row>
        <row r="2588">
          <cell r="A2588" t="str">
            <v>4.2.1.2.20.00003</v>
          </cell>
          <cell r="B2588" t="str">
            <v>IPTU</v>
          </cell>
          <cell r="C2588" t="str">
            <v>268.266,38</v>
          </cell>
          <cell r="D2588" t="str">
            <v>190.832,56</v>
          </cell>
          <cell r="E2588" t="str">
            <v>0,00</v>
          </cell>
          <cell r="F2588" t="str">
            <v>0,00</v>
          </cell>
          <cell r="G2588" t="str">
            <v>77.433,82</v>
          </cell>
          <cell r="H2588" t="str">
            <v>0,00</v>
          </cell>
          <cell r="I2588" t="str">
            <v>VERIFICAR</v>
          </cell>
          <cell r="J2588">
            <v>0</v>
          </cell>
        </row>
        <row r="2589">
          <cell r="A2589" t="str">
            <v>4.2.1.2.20.00005</v>
          </cell>
          <cell r="B2589" t="str">
            <v>IMPOSTOS E TAXAS</v>
          </cell>
          <cell r="C2589" t="str">
            <v>1.556.901,11</v>
          </cell>
          <cell r="D2589" t="str">
            <v>859.507,56</v>
          </cell>
          <cell r="E2589" t="str">
            <v>37.414,01</v>
          </cell>
          <cell r="F2589" t="str">
            <v>415,14</v>
          </cell>
          <cell r="G2589" t="str">
            <v>734.392,42</v>
          </cell>
          <cell r="H2589" t="str">
            <v>0,00</v>
          </cell>
          <cell r="I2589" t="str">
            <v>VERIFICAR</v>
          </cell>
          <cell r="J2589">
            <v>36998.870000000003</v>
          </cell>
        </row>
        <row r="2590">
          <cell r="A2590" t="str">
            <v>4.2.1.2.20.00006</v>
          </cell>
          <cell r="B2590" t="str">
            <v>IOF</v>
          </cell>
          <cell r="C2590" t="str">
            <v>36.148,51</v>
          </cell>
          <cell r="D2590" t="str">
            <v>32.775,32</v>
          </cell>
          <cell r="E2590" t="str">
            <v>60,14</v>
          </cell>
          <cell r="F2590" t="str">
            <v>0,00</v>
          </cell>
          <cell r="G2590" t="str">
            <v>3.433,33</v>
          </cell>
          <cell r="H2590" t="str">
            <v>0,00</v>
          </cell>
          <cell r="I2590" t="str">
            <v>VERIFICAR</v>
          </cell>
          <cell r="J2590">
            <v>60.14</v>
          </cell>
        </row>
        <row r="2591">
          <cell r="A2591" t="str">
            <v>4.2.1.2.20.00007</v>
          </cell>
          <cell r="B2591" t="str">
            <v>DESPESAS INDEDUTIVEIS</v>
          </cell>
          <cell r="C2591" t="str">
            <v>5.197,95</v>
          </cell>
          <cell r="D2591" t="str">
            <v>2.197,95</v>
          </cell>
          <cell r="E2591" t="str">
            <v>0,00</v>
          </cell>
          <cell r="F2591" t="str">
            <v>0,00</v>
          </cell>
          <cell r="G2591" t="str">
            <v>3.000,00</v>
          </cell>
          <cell r="H2591" t="str">
            <v>0,00</v>
          </cell>
          <cell r="I2591" t="str">
            <v>VERIFICAR</v>
          </cell>
          <cell r="J2591">
            <v>0</v>
          </cell>
        </row>
        <row r="2592">
          <cell r="A2592" t="str">
            <v>4.2.1.2.20.00099</v>
          </cell>
          <cell r="B2592" t="str">
            <v>OUTRAS</v>
          </cell>
          <cell r="C2592" t="str">
            <v>196.774,49</v>
          </cell>
          <cell r="D2592" t="str">
            <v>2.388,81</v>
          </cell>
          <cell r="E2592" t="str">
            <v>0,00</v>
          </cell>
          <cell r="F2592" t="str">
            <v>0,00</v>
          </cell>
          <cell r="G2592" t="str">
            <v>194.385,68</v>
          </cell>
          <cell r="H2592" t="str">
            <v>0,00</v>
          </cell>
          <cell r="I2592" t="str">
            <v>VERIFICAR</v>
          </cell>
          <cell r="J2592">
            <v>0</v>
          </cell>
        </row>
        <row r="2593">
          <cell r="A2593" t="str">
            <v>4.2.1.2.25</v>
          </cell>
          <cell r="B2593" t="str">
            <v>DEPRECIACAO/AMORTIZACAO ADM./VENDAS</v>
          </cell>
          <cell r="C2593" t="str">
            <v>0,00</v>
          </cell>
          <cell r="D2593" t="str">
            <v>0,00</v>
          </cell>
          <cell r="E2593" t="str">
            <v>242.744,38</v>
          </cell>
          <cell r="F2593" t="str">
            <v>0,00</v>
          </cell>
          <cell r="G2593" t="str">
            <v>4.298.274,35</v>
          </cell>
          <cell r="H2593" t="str">
            <v>0,00</v>
          </cell>
          <cell r="I2593" t="str">
            <v>VERIFICAR</v>
          </cell>
          <cell r="J2593">
            <v>242744.38</v>
          </cell>
        </row>
        <row r="2594">
          <cell r="A2594" t="str">
            <v>4.2.1.2.25.00001</v>
          </cell>
          <cell r="B2594" t="str">
            <v>DEPRECIACAO</v>
          </cell>
          <cell r="C2594" t="str">
            <v>11.881.689,14</v>
          </cell>
          <cell r="D2594" t="str">
            <v>8.249.666,27</v>
          </cell>
          <cell r="E2594" t="str">
            <v>216.296,88</v>
          </cell>
          <cell r="F2594" t="str">
            <v>0,00</v>
          </cell>
          <cell r="G2594" t="str">
            <v>3.848.319,75</v>
          </cell>
          <cell r="H2594" t="str">
            <v>0,00</v>
          </cell>
          <cell r="I2594" t="str">
            <v>VERIFICAR</v>
          </cell>
          <cell r="J2594">
            <v>216296.88</v>
          </cell>
        </row>
        <row r="2595">
          <cell r="A2595" t="str">
            <v>4.2.1.2.25.00002</v>
          </cell>
          <cell r="B2595" t="str">
            <v>AMORTIZACAO</v>
          </cell>
          <cell r="C2595" t="str">
            <v>1.281.967,02</v>
          </cell>
          <cell r="D2595" t="str">
            <v>858.459,92</v>
          </cell>
          <cell r="E2595" t="str">
            <v>26.447,50</v>
          </cell>
          <cell r="F2595" t="str">
            <v>0,00</v>
          </cell>
          <cell r="G2595" t="str">
            <v>449.954,60</v>
          </cell>
          <cell r="H2595" t="str">
            <v>0,00</v>
          </cell>
          <cell r="I2595" t="str">
            <v>VERIFICAR</v>
          </cell>
          <cell r="J2595">
            <v>26447.5</v>
          </cell>
        </row>
        <row r="2596">
          <cell r="A2596" t="str">
            <v>4.2.1.2.90</v>
          </cell>
          <cell r="B2596" t="str">
            <v>DOACAO/PATROCINIO COM INCENTIVOS FISCAIS</v>
          </cell>
          <cell r="C2596" t="str">
            <v>0,00</v>
          </cell>
          <cell r="D2596" t="str">
            <v>0,00</v>
          </cell>
          <cell r="E2596" t="str">
            <v>1.144,34</v>
          </cell>
          <cell r="F2596" t="str">
            <v>0,00</v>
          </cell>
          <cell r="G2596" t="str">
            <v>200.721,70</v>
          </cell>
          <cell r="H2596" t="str">
            <v>0,00</v>
          </cell>
          <cell r="I2596" t="str">
            <v>VERIFICAR</v>
          </cell>
          <cell r="J2596">
            <v>1144.3399999999999</v>
          </cell>
        </row>
        <row r="2597">
          <cell r="A2597" t="str">
            <v>4.2.1.2.90.00001</v>
          </cell>
          <cell r="B2597" t="str">
            <v>CULTURAL E ARTISTICO (LEI NO 8.313/1991)</v>
          </cell>
          <cell r="C2597" t="str">
            <v>432.577,36</v>
          </cell>
          <cell r="D2597" t="str">
            <v>233.000,00</v>
          </cell>
          <cell r="E2597" t="str">
            <v>1.144,34</v>
          </cell>
          <cell r="F2597" t="str">
            <v>0,00</v>
          </cell>
          <cell r="G2597" t="str">
            <v>200.721,70</v>
          </cell>
          <cell r="H2597" t="str">
            <v>0,00</v>
          </cell>
          <cell r="I2597" t="str">
            <v>VERIFICAR</v>
          </cell>
          <cell r="J2597">
            <v>1144.3399999999999</v>
          </cell>
        </row>
        <row r="2598">
          <cell r="A2598" t="str">
            <v>4.3</v>
          </cell>
          <cell r="B2598" t="str">
            <v>EFEITOS FINANCEIROS LIQUIDOS</v>
          </cell>
          <cell r="C2598" t="str">
            <v>0,00</v>
          </cell>
          <cell r="D2598" t="str">
            <v>0,00</v>
          </cell>
          <cell r="E2598" t="str">
            <v>707.196,83</v>
          </cell>
          <cell r="F2598" t="str">
            <v>285.214,92</v>
          </cell>
          <cell r="G2598" t="str">
            <v>0,00</v>
          </cell>
          <cell r="H2598" t="str">
            <v>424.123,08</v>
          </cell>
          <cell r="I2598" t="str">
            <v>VERIFICAR</v>
          </cell>
          <cell r="J2598">
            <v>421981.91</v>
          </cell>
        </row>
        <row r="2599">
          <cell r="A2599" t="str">
            <v>4.3.1</v>
          </cell>
          <cell r="B2599" t="str">
            <v>EFEITOS FINANCEIROS LIQUIDOS</v>
          </cell>
          <cell r="C2599" t="str">
            <v>0,00</v>
          </cell>
          <cell r="D2599" t="str">
            <v>0,00</v>
          </cell>
          <cell r="E2599" t="str">
            <v>707.196,83</v>
          </cell>
          <cell r="F2599" t="str">
            <v>285.214,92</v>
          </cell>
          <cell r="G2599" t="str">
            <v>0,00</v>
          </cell>
          <cell r="H2599" t="str">
            <v>424.123,08</v>
          </cell>
          <cell r="I2599" t="str">
            <v>VERIFICAR</v>
          </cell>
          <cell r="J2599">
            <v>421981.91</v>
          </cell>
        </row>
        <row r="2600">
          <cell r="A2600" t="str">
            <v>4.3.1.1</v>
          </cell>
          <cell r="B2600" t="str">
            <v>RECEITAS E DEPESAS FINANCEIRAS</v>
          </cell>
          <cell r="C2600" t="str">
            <v>0,00</v>
          </cell>
          <cell r="D2600" t="str">
            <v>0,00</v>
          </cell>
          <cell r="E2600" t="str">
            <v>707.196,83</v>
          </cell>
          <cell r="F2600" t="str">
            <v>285.214,92</v>
          </cell>
          <cell r="G2600" t="str">
            <v>0,00</v>
          </cell>
          <cell r="H2600" t="str">
            <v>424.123,08</v>
          </cell>
          <cell r="I2600" t="str">
            <v>VERIFICAR</v>
          </cell>
          <cell r="J2600">
            <v>421981.91</v>
          </cell>
        </row>
        <row r="2601">
          <cell r="A2601" t="str">
            <v>4.3.1.1.01</v>
          </cell>
          <cell r="B2601" t="str">
            <v>RECEITAS FINANCEIRAS</v>
          </cell>
          <cell r="C2601" t="str">
            <v>0,00</v>
          </cell>
          <cell r="D2601" t="str">
            <v>0,00</v>
          </cell>
          <cell r="E2601" t="str">
            <v>0,00</v>
          </cell>
          <cell r="F2601" t="str">
            <v>155.520,65</v>
          </cell>
          <cell r="G2601" t="str">
            <v>0,00</v>
          </cell>
          <cell r="H2601" t="str">
            <v>3.507.849,01</v>
          </cell>
          <cell r="I2601" t="str">
            <v>VERIFICAR</v>
          </cell>
          <cell r="J2601">
            <v>-155520.65</v>
          </cell>
        </row>
        <row r="2602">
          <cell r="A2602" t="str">
            <v>4.3.1.1.01.00001</v>
          </cell>
          <cell r="B2602" t="str">
            <v>RENDIMENTOS DE APLICACOES</v>
          </cell>
          <cell r="C2602" t="str">
            <v>6.638.201,49</v>
          </cell>
          <cell r="D2602" t="str">
            <v>9.521.762,48</v>
          </cell>
          <cell r="E2602" t="str">
            <v>0,00</v>
          </cell>
          <cell r="F2602" t="str">
            <v>134.686,76</v>
          </cell>
          <cell r="G2602" t="str">
            <v>0,00</v>
          </cell>
          <cell r="H2602" t="str">
            <v>3.018.247,75</v>
          </cell>
          <cell r="I2602" t="str">
            <v>VERIFICAR</v>
          </cell>
          <cell r="J2602">
            <v>-134686.76</v>
          </cell>
        </row>
        <row r="2603">
          <cell r="A2603" t="str">
            <v>4.3.1.1.01.00003</v>
          </cell>
          <cell r="B2603" t="str">
            <v>JUROS</v>
          </cell>
          <cell r="C2603" t="str">
            <v>1.126.307,34</v>
          </cell>
          <cell r="D2603" t="str">
            <v>1.543.239,43</v>
          </cell>
          <cell r="E2603" t="str">
            <v>0,00</v>
          </cell>
          <cell r="F2603" t="str">
            <v>20.821,88</v>
          </cell>
          <cell r="G2603" t="str">
            <v>0,00</v>
          </cell>
          <cell r="H2603" t="str">
            <v>437.753,97</v>
          </cell>
          <cell r="I2603" t="str">
            <v>VERIFICAR</v>
          </cell>
          <cell r="J2603">
            <v>-20821.88</v>
          </cell>
        </row>
        <row r="2604">
          <cell r="A2604" t="str">
            <v>4.3.1.1.01.00004</v>
          </cell>
          <cell r="B2604" t="str">
            <v>DESCONTOS OBTIDOS</v>
          </cell>
          <cell r="C2604" t="str">
            <v>151.872,54</v>
          </cell>
          <cell r="D2604" t="str">
            <v>203.707,82</v>
          </cell>
          <cell r="E2604" t="str">
            <v>0,00</v>
          </cell>
          <cell r="F2604" t="str">
            <v>12,01</v>
          </cell>
          <cell r="G2604" t="str">
            <v>0,00</v>
          </cell>
          <cell r="H2604" t="str">
            <v>51.847,29</v>
          </cell>
          <cell r="I2604" t="str">
            <v>VERIFICAR</v>
          </cell>
          <cell r="J2604">
            <v>-12.01</v>
          </cell>
        </row>
        <row r="2605">
          <cell r="A2605" t="str">
            <v>4.3.1.1.02</v>
          </cell>
          <cell r="B2605" t="str">
            <v>DESPESAS FINANCEIRAS</v>
          </cell>
          <cell r="C2605" t="str">
            <v>0,00</v>
          </cell>
          <cell r="D2605" t="str">
            <v>0,00</v>
          </cell>
          <cell r="E2605" t="str">
            <v>236.590,47</v>
          </cell>
          <cell r="F2605" t="str">
            <v>187,00</v>
          </cell>
          <cell r="G2605" t="str">
            <v>5.341.888,34</v>
          </cell>
          <cell r="H2605" t="str">
            <v>0,00</v>
          </cell>
          <cell r="I2605" t="str">
            <v>VERIFICAR</v>
          </cell>
          <cell r="J2605">
            <v>236403.47</v>
          </cell>
        </row>
        <row r="2606">
          <cell r="A2606" t="str">
            <v>4.3.1.1.02.00001</v>
          </cell>
          <cell r="B2606" t="str">
            <v>JUROS SOBRE EMPRESTIMOS</v>
          </cell>
          <cell r="C2606" t="str">
            <v>4.855.572,18</v>
          </cell>
          <cell r="D2606" t="str">
            <v>2.505.014,73</v>
          </cell>
          <cell r="E2606" t="str">
            <v>140.228,76</v>
          </cell>
          <cell r="F2606" t="str">
            <v>0,00</v>
          </cell>
          <cell r="G2606" t="str">
            <v>2.490.786,21</v>
          </cell>
          <cell r="H2606" t="str">
            <v>0,00</v>
          </cell>
          <cell r="I2606" t="str">
            <v>VERIFICAR</v>
          </cell>
          <cell r="J2606">
            <v>140228.76</v>
          </cell>
        </row>
        <row r="2607">
          <cell r="A2607" t="str">
            <v>4.3.1.1.02.00004</v>
          </cell>
          <cell r="B2607" t="str">
            <v>JUROS DE MORA</v>
          </cell>
          <cell r="C2607" t="str">
            <v>313.812,03</v>
          </cell>
          <cell r="D2607" t="str">
            <v>262.777,21</v>
          </cell>
          <cell r="E2607" t="str">
            <v>194,22</v>
          </cell>
          <cell r="F2607" t="str">
            <v>0,00</v>
          </cell>
          <cell r="G2607" t="str">
            <v>51.229,04</v>
          </cell>
          <cell r="H2607" t="str">
            <v>0,00</v>
          </cell>
          <cell r="I2607" t="str">
            <v>VERIFICAR</v>
          </cell>
          <cell r="J2607">
            <v>194.22</v>
          </cell>
        </row>
        <row r="2608">
          <cell r="A2608" t="str">
            <v>4.3.1.1.02.00005</v>
          </cell>
          <cell r="B2608" t="str">
            <v>DESCONTOS CONCEDIDOS</v>
          </cell>
          <cell r="C2608" t="str">
            <v>980.347,01</v>
          </cell>
          <cell r="D2608" t="str">
            <v>771.009,75</v>
          </cell>
          <cell r="E2608" t="str">
            <v>3.955,51</v>
          </cell>
          <cell r="F2608" t="str">
            <v>0,00</v>
          </cell>
          <cell r="G2608" t="str">
            <v>213.292,77</v>
          </cell>
          <cell r="H2608" t="str">
            <v>0,00</v>
          </cell>
          <cell r="I2608" t="str">
            <v>VERIFICAR</v>
          </cell>
          <cell r="J2608">
            <v>3955.51</v>
          </cell>
        </row>
        <row r="2609">
          <cell r="A2609" t="str">
            <v>4.3.1.1.02.00006</v>
          </cell>
          <cell r="B2609" t="str">
            <v>DESPESAS BANCARIAS</v>
          </cell>
          <cell r="C2609" t="str">
            <v>858.210,52</v>
          </cell>
          <cell r="D2609" t="str">
            <v>396.281,27</v>
          </cell>
          <cell r="E2609" t="str">
            <v>81.213,76</v>
          </cell>
          <cell r="F2609" t="str">
            <v>187,00</v>
          </cell>
          <cell r="G2609" t="str">
            <v>542.956,01</v>
          </cell>
          <cell r="H2609" t="str">
            <v>0,00</v>
          </cell>
          <cell r="I2609" t="str">
            <v>VERIFICAR</v>
          </cell>
          <cell r="J2609">
            <v>81026.759999999995</v>
          </cell>
        </row>
        <row r="2610">
          <cell r="A2610" t="str">
            <v>4.3.1.1.02.00008</v>
          </cell>
          <cell r="B2610" t="str">
            <v>JUROS S/ CAPITAL PROPRIO</v>
          </cell>
          <cell r="C2610" t="str">
            <v>7.700.000,00</v>
          </cell>
          <cell r="D2610" t="str">
            <v>6.000.000,00</v>
          </cell>
          <cell r="E2610" t="str">
            <v>0,00</v>
          </cell>
          <cell r="F2610" t="str">
            <v>0,00</v>
          </cell>
          <cell r="G2610" t="str">
            <v>1.700.000,00</v>
          </cell>
          <cell r="H2610" t="str">
            <v>0,00</v>
          </cell>
          <cell r="I2610" t="str">
            <v>VERIFICAR</v>
          </cell>
          <cell r="J2610">
            <v>0</v>
          </cell>
        </row>
        <row r="2611">
          <cell r="A2611" t="str">
            <v>4.3.1.1.02.00009</v>
          </cell>
          <cell r="B2611" t="str">
            <v>COMISSOES S/ FINANCIAMENTOS</v>
          </cell>
          <cell r="C2611" t="str">
            <v>344.130,72</v>
          </cell>
          <cell r="D2611" t="str">
            <v>133.372,43</v>
          </cell>
          <cell r="E2611" t="str">
            <v>10.998,22</v>
          </cell>
          <cell r="F2611" t="str">
            <v>0,00</v>
          </cell>
          <cell r="G2611" t="str">
            <v>221.756,51</v>
          </cell>
          <cell r="H2611" t="str">
            <v>0,00</v>
          </cell>
          <cell r="I2611" t="str">
            <v>VERIFICAR</v>
          </cell>
          <cell r="J2611">
            <v>10998.22</v>
          </cell>
        </row>
        <row r="2612">
          <cell r="A2612" t="str">
            <v>4.3.1.1.02.00010</v>
          </cell>
          <cell r="B2612" t="str">
            <v>OUTRAS DESPESAS FINANCEIRAS</v>
          </cell>
          <cell r="C2612" t="str">
            <v>275.585,28</v>
          </cell>
          <cell r="D2612" t="str">
            <v>153.717,48</v>
          </cell>
          <cell r="E2612" t="str">
            <v>0,00</v>
          </cell>
          <cell r="F2612" t="str">
            <v>0,00</v>
          </cell>
          <cell r="G2612" t="str">
            <v>121.867,80</v>
          </cell>
          <cell r="H2612" t="str">
            <v>0,00</v>
          </cell>
          <cell r="I2612" t="str">
            <v>VERIFICAR</v>
          </cell>
          <cell r="J2612">
            <v>0</v>
          </cell>
        </row>
        <row r="2613">
          <cell r="A2613" t="str">
            <v>4.3.1.1.03</v>
          </cell>
          <cell r="B2613" t="str">
            <v>VARIACAO CAMBIAL</v>
          </cell>
          <cell r="C2613" t="str">
            <v>0,00</v>
          </cell>
          <cell r="D2613" t="str">
            <v>0,00</v>
          </cell>
          <cell r="E2613" t="str">
            <v>470.606,36</v>
          </cell>
          <cell r="F2613" t="str">
            <v>129.507,27</v>
          </cell>
          <cell r="G2613" t="str">
            <v>0,00</v>
          </cell>
          <cell r="H2613" t="str">
            <v>2.258.162,41</v>
          </cell>
          <cell r="I2613" t="str">
            <v>VERIFICAR</v>
          </cell>
          <cell r="J2613">
            <v>341099.08999999997</v>
          </cell>
        </row>
        <row r="2614">
          <cell r="A2614" t="str">
            <v>4.3.1.1.03.000002</v>
          </cell>
          <cell r="B2614" t="str">
            <v>VARIACAO CAMBIAL PASSIVA ECF</v>
          </cell>
          <cell r="C2614" t="str">
            <v>39.979,23</v>
          </cell>
          <cell r="D2614" t="str">
            <v>0,00</v>
          </cell>
          <cell r="E2614" t="str">
            <v>0,00</v>
          </cell>
          <cell r="F2614" t="str">
            <v>0,00</v>
          </cell>
          <cell r="G2614" t="str">
            <v>39.979,23</v>
          </cell>
          <cell r="H2614" t="str">
            <v>0,00</v>
          </cell>
          <cell r="I2614" t="str">
            <v>VERIFICAR</v>
          </cell>
          <cell r="J2614">
            <v>0</v>
          </cell>
        </row>
        <row r="2615">
          <cell r="A2615" t="str">
            <v>4.3.1.1.03.00001</v>
          </cell>
          <cell r="B2615" t="str">
            <v>VARIACAO CAMBIAL ATIVA (RECEITAS)</v>
          </cell>
          <cell r="C2615" t="str">
            <v>6.045.013,38</v>
          </cell>
          <cell r="D2615" t="str">
            <v>11.813.008,97</v>
          </cell>
          <cell r="E2615" t="str">
            <v>0,00</v>
          </cell>
          <cell r="F2615" t="str">
            <v>129.507,27</v>
          </cell>
          <cell r="G2615" t="str">
            <v>0,00</v>
          </cell>
          <cell r="H2615" t="str">
            <v>5.897.502,86</v>
          </cell>
          <cell r="I2615" t="str">
            <v>VERIFICAR</v>
          </cell>
          <cell r="J2615">
            <v>-129507.27</v>
          </cell>
        </row>
        <row r="2616">
          <cell r="A2616" t="str">
            <v>4.3.1.1.03.00002</v>
          </cell>
          <cell r="B2616" t="str">
            <v>VARIACAO CAMBIAL PASSIVA (DESPESAS)</v>
          </cell>
          <cell r="C2616" t="str">
            <v>10.841.848,59</v>
          </cell>
          <cell r="D2616" t="str">
            <v>7.713.093,73</v>
          </cell>
          <cell r="E2616" t="str">
            <v>470.606,36</v>
          </cell>
          <cell r="F2616" t="str">
            <v>0,00</v>
          </cell>
          <cell r="G2616" t="str">
            <v>3.599.361,22</v>
          </cell>
          <cell r="H2616" t="str">
            <v>0,00</v>
          </cell>
          <cell r="I2616" t="str">
            <v>VERIFICAR</v>
          </cell>
          <cell r="J2616">
            <v>470606.36</v>
          </cell>
        </row>
        <row r="2617">
          <cell r="A2617" t="str">
            <v>4.4</v>
          </cell>
          <cell r="B2617" t="str">
            <v>RESULTADO COM PARTICIP. SOCIETARIAS</v>
          </cell>
          <cell r="C2617" t="str">
            <v>0,00</v>
          </cell>
          <cell r="D2617" t="str">
            <v>0,00</v>
          </cell>
          <cell r="E2617" t="str">
            <v>0,00</v>
          </cell>
          <cell r="F2617" t="str">
            <v>0,00</v>
          </cell>
          <cell r="G2617" t="str">
            <v>0,00</v>
          </cell>
          <cell r="H2617" t="str">
            <v>434.827,46</v>
          </cell>
          <cell r="I2617" t="str">
            <v>VERIFICAR</v>
          </cell>
          <cell r="J2617">
            <v>0</v>
          </cell>
        </row>
        <row r="2618">
          <cell r="A2618" t="str">
            <v>4.4.1</v>
          </cell>
          <cell r="B2618" t="str">
            <v>RESULTADO COM PARTICIP. SOCIETARIAS</v>
          </cell>
          <cell r="C2618" t="str">
            <v>0,00</v>
          </cell>
          <cell r="D2618" t="str">
            <v>0,00</v>
          </cell>
          <cell r="E2618" t="str">
            <v>0,00</v>
          </cell>
          <cell r="F2618" t="str">
            <v>0,00</v>
          </cell>
          <cell r="G2618" t="str">
            <v>0,00</v>
          </cell>
          <cell r="H2618" t="str">
            <v>434.827,46</v>
          </cell>
          <cell r="I2618" t="str">
            <v>VERIFICAR</v>
          </cell>
          <cell r="J2618">
            <v>0</v>
          </cell>
        </row>
        <row r="2619">
          <cell r="A2619" t="str">
            <v>4.4.1.1</v>
          </cell>
          <cell r="B2619" t="str">
            <v>RESULTADO COM PARTICIP. SOCIETARIAS</v>
          </cell>
          <cell r="C2619" t="str">
            <v>0,00</v>
          </cell>
          <cell r="D2619" t="str">
            <v>0,00</v>
          </cell>
          <cell r="E2619" t="str">
            <v>0,00</v>
          </cell>
          <cell r="F2619" t="str">
            <v>0,00</v>
          </cell>
          <cell r="G2619" t="str">
            <v>0,00</v>
          </cell>
          <cell r="H2619" t="str">
            <v>434.827,46</v>
          </cell>
          <cell r="I2619" t="str">
            <v>VERIFICAR</v>
          </cell>
          <cell r="J2619">
            <v>0</v>
          </cell>
        </row>
        <row r="2620">
          <cell r="A2620" t="str">
            <v>4.4.1.1.01</v>
          </cell>
          <cell r="B2620" t="str">
            <v>EQUIVALENCIA PATRIMONIAL</v>
          </cell>
          <cell r="C2620" t="str">
            <v>0,00</v>
          </cell>
          <cell r="D2620" t="str">
            <v>0,00</v>
          </cell>
          <cell r="E2620" t="str">
            <v>0,00</v>
          </cell>
          <cell r="F2620" t="str">
            <v>0,00</v>
          </cell>
          <cell r="G2620" t="str">
            <v>0,00</v>
          </cell>
          <cell r="H2620" t="str">
            <v>434.827,46</v>
          </cell>
          <cell r="I2620" t="str">
            <v>VERIFICAR</v>
          </cell>
          <cell r="J2620">
            <v>0</v>
          </cell>
        </row>
        <row r="2621">
          <cell r="A2621" t="str">
            <v>4.4.1.1.01.00001</v>
          </cell>
          <cell r="B2621" t="str">
            <v>EQUIVALENCIA PATRIMONIAL POSITIVA</v>
          </cell>
          <cell r="C2621" t="str">
            <v>4.258.250,98</v>
          </cell>
          <cell r="D2621" t="str">
            <v>4.693.078,44</v>
          </cell>
          <cell r="E2621" t="str">
            <v>0,00</v>
          </cell>
          <cell r="F2621" t="str">
            <v>0,00</v>
          </cell>
          <cell r="G2621" t="str">
            <v>0,00</v>
          </cell>
          <cell r="H2621" t="str">
            <v>434.827,46</v>
          </cell>
          <cell r="I2621" t="str">
            <v>VERIFICAR</v>
          </cell>
          <cell r="J2621">
            <v>0</v>
          </cell>
        </row>
        <row r="2622">
          <cell r="A2622" t="str">
            <v>4.9</v>
          </cell>
          <cell r="B2622" t="str">
            <v>OUTRAS RECEITAS E DESPESAS</v>
          </cell>
          <cell r="C2622" t="str">
            <v>0,00</v>
          </cell>
          <cell r="D2622" t="str">
            <v>0,00</v>
          </cell>
          <cell r="E2622" t="str">
            <v>0,00</v>
          </cell>
          <cell r="F2622" t="str">
            <v>53.270,00</v>
          </cell>
          <cell r="G2622" t="str">
            <v>0,00</v>
          </cell>
          <cell r="H2622" t="str">
            <v>308.883,30</v>
          </cell>
          <cell r="I2622" t="str">
            <v>VERIFICAR</v>
          </cell>
          <cell r="J2622">
            <v>-53270</v>
          </cell>
        </row>
        <row r="2623">
          <cell r="A2623" t="str">
            <v>4.9.1</v>
          </cell>
          <cell r="B2623" t="str">
            <v>RESULTADO NAO OPERACIONAL</v>
          </cell>
          <cell r="C2623" t="str">
            <v>0,00</v>
          </cell>
          <cell r="D2623" t="str">
            <v>0,00</v>
          </cell>
          <cell r="E2623" t="str">
            <v>0,00</v>
          </cell>
          <cell r="F2623" t="str">
            <v>53.270,00</v>
          </cell>
          <cell r="G2623" t="str">
            <v>0,00</v>
          </cell>
          <cell r="H2623" t="str">
            <v>308.883,30</v>
          </cell>
          <cell r="I2623" t="str">
            <v>VERIFICAR</v>
          </cell>
          <cell r="J2623">
            <v>-53270</v>
          </cell>
        </row>
        <row r="2624">
          <cell r="A2624" t="str">
            <v>4.9.1.1</v>
          </cell>
          <cell r="B2624" t="str">
            <v>RESULTADO - VENDA ATIVO IMOBILIZADO</v>
          </cell>
          <cell r="C2624" t="str">
            <v>0,00</v>
          </cell>
          <cell r="D2624" t="str">
            <v>0,00</v>
          </cell>
          <cell r="E2624" t="str">
            <v>0,00</v>
          </cell>
          <cell r="F2624" t="str">
            <v>0,00</v>
          </cell>
          <cell r="G2624" t="str">
            <v>0,00</v>
          </cell>
          <cell r="H2624" t="str">
            <v>86.466,68</v>
          </cell>
          <cell r="I2624" t="str">
            <v>VERIFICAR</v>
          </cell>
          <cell r="J2624">
            <v>0</v>
          </cell>
        </row>
        <row r="2625">
          <cell r="A2625" t="str">
            <v>4.9.1.1.01</v>
          </cell>
          <cell r="B2625" t="str">
            <v>RESULTADO - VENDA ATIVO IMOBILIZADO</v>
          </cell>
          <cell r="C2625" t="str">
            <v>0,00</v>
          </cell>
          <cell r="D2625" t="str">
            <v>0,00</v>
          </cell>
          <cell r="E2625" t="str">
            <v>0,00</v>
          </cell>
          <cell r="F2625" t="str">
            <v>0,00</v>
          </cell>
          <cell r="G2625" t="str">
            <v>0,00</v>
          </cell>
          <cell r="H2625" t="str">
            <v>86.466,68</v>
          </cell>
          <cell r="I2625" t="str">
            <v>VERIFICAR</v>
          </cell>
          <cell r="J2625">
            <v>0</v>
          </cell>
        </row>
        <row r="2626">
          <cell r="A2626" t="str">
            <v>4.9.1.1.01.00001</v>
          </cell>
          <cell r="B2626" t="str">
            <v>VALOR DE VENDA</v>
          </cell>
          <cell r="C2626" t="str">
            <v>3.704.567,38</v>
          </cell>
          <cell r="D2626" t="str">
            <v>3.979.692,38</v>
          </cell>
          <cell r="E2626" t="str">
            <v>0,00</v>
          </cell>
          <cell r="F2626" t="str">
            <v>0,00</v>
          </cell>
          <cell r="G2626" t="str">
            <v>0,00</v>
          </cell>
          <cell r="H2626" t="str">
            <v>275.125,00</v>
          </cell>
          <cell r="I2626" t="str">
            <v>VERIFICAR</v>
          </cell>
          <cell r="J2626">
            <v>0</v>
          </cell>
        </row>
        <row r="2627">
          <cell r="A2627" t="str">
            <v>4.9.1.1.01.00002</v>
          </cell>
          <cell r="B2627" t="str">
            <v>(-) CUSTO</v>
          </cell>
          <cell r="C2627" t="str">
            <v>9.226.864,86</v>
          </cell>
          <cell r="D2627" t="str">
            <v>9.038.206,54</v>
          </cell>
          <cell r="E2627" t="str">
            <v>0,00</v>
          </cell>
          <cell r="F2627" t="str">
            <v>0,00</v>
          </cell>
          <cell r="G2627" t="str">
            <v>188.658,32</v>
          </cell>
          <cell r="H2627" t="str">
            <v>0,00</v>
          </cell>
          <cell r="I2627" t="str">
            <v>VERIFICAR</v>
          </cell>
          <cell r="J2627">
            <v>0</v>
          </cell>
        </row>
        <row r="2628">
          <cell r="A2628" t="str">
            <v>4.9.1.2</v>
          </cell>
          <cell r="B2628" t="str">
            <v>OUTROS</v>
          </cell>
          <cell r="C2628" t="str">
            <v>0,00</v>
          </cell>
          <cell r="D2628" t="str">
            <v>0,00</v>
          </cell>
          <cell r="E2628" t="str">
            <v>0,00</v>
          </cell>
          <cell r="F2628" t="str">
            <v>53.270,00</v>
          </cell>
          <cell r="G2628" t="str">
            <v>0,00</v>
          </cell>
          <cell r="H2628" t="str">
            <v>222.416,62</v>
          </cell>
          <cell r="I2628" t="str">
            <v>VERIFICAR</v>
          </cell>
          <cell r="J2628">
            <v>-53270</v>
          </cell>
        </row>
        <row r="2629">
          <cell r="A2629" t="str">
            <v>4.9.1.2.01</v>
          </cell>
          <cell r="B2629" t="str">
            <v>OUTRAS DESPESAS</v>
          </cell>
          <cell r="C2629" t="str">
            <v>0,00</v>
          </cell>
          <cell r="D2629" t="str">
            <v>0,00</v>
          </cell>
          <cell r="E2629" t="str">
            <v>0,00</v>
          </cell>
          <cell r="F2629" t="str">
            <v>0,00</v>
          </cell>
          <cell r="G2629" t="str">
            <v>1.119,63</v>
          </cell>
          <cell r="H2629" t="str">
            <v>0,00</v>
          </cell>
          <cell r="I2629" t="str">
            <v>VERIFICAR</v>
          </cell>
          <cell r="J2629">
            <v>0</v>
          </cell>
        </row>
        <row r="2630">
          <cell r="A2630" t="str">
            <v>4.9.1.2.01.00001</v>
          </cell>
          <cell r="B2630" t="str">
            <v>BAIXA ATIVO IMOBILIZADO</v>
          </cell>
          <cell r="C2630" t="str">
            <v>401.262,97</v>
          </cell>
          <cell r="D2630" t="str">
            <v>400.143,34</v>
          </cell>
          <cell r="E2630" t="str">
            <v>0,00</v>
          </cell>
          <cell r="F2630" t="str">
            <v>0,00</v>
          </cell>
          <cell r="G2630" t="str">
            <v>1.119,63</v>
          </cell>
          <cell r="H2630" t="str">
            <v>0,00</v>
          </cell>
          <cell r="I2630" t="str">
            <v>VERIFICAR</v>
          </cell>
          <cell r="J2630">
            <v>0</v>
          </cell>
        </row>
        <row r="2631">
          <cell r="A2631" t="str">
            <v>4.9.1.2.02</v>
          </cell>
          <cell r="B2631" t="str">
            <v>OUTRAS RECEITAS</v>
          </cell>
          <cell r="C2631" t="str">
            <v>0,00</v>
          </cell>
          <cell r="D2631" t="str">
            <v>0,00</v>
          </cell>
          <cell r="E2631" t="str">
            <v>0,00</v>
          </cell>
          <cell r="F2631" t="str">
            <v>53.270,00</v>
          </cell>
          <cell r="G2631" t="str">
            <v>0,00</v>
          </cell>
          <cell r="H2631" t="str">
            <v>245.280,70</v>
          </cell>
          <cell r="I2631" t="str">
            <v>VERIFICAR</v>
          </cell>
          <cell r="J2631">
            <v>-53270</v>
          </cell>
        </row>
        <row r="2632">
          <cell r="A2632" t="str">
            <v>4.9.1.2.02.00001</v>
          </cell>
          <cell r="B2632" t="str">
            <v>OUTRAS RECEITAS</v>
          </cell>
          <cell r="C2632" t="str">
            <v>144.055,84</v>
          </cell>
          <cell r="D2632" t="str">
            <v>318.666,54</v>
          </cell>
          <cell r="E2632" t="str">
            <v>0,00</v>
          </cell>
          <cell r="F2632" t="str">
            <v>53.270,00</v>
          </cell>
          <cell r="G2632" t="str">
            <v>0,00</v>
          </cell>
          <cell r="H2632" t="str">
            <v>227.880,70</v>
          </cell>
          <cell r="I2632" t="str">
            <v>VERIFICAR</v>
          </cell>
          <cell r="J2632">
            <v>-53270</v>
          </cell>
        </row>
        <row r="2633">
          <cell r="A2633" t="str">
            <v>4.9.1.2.02.00002</v>
          </cell>
          <cell r="B2633" t="str">
            <v>SINISTRO</v>
          </cell>
          <cell r="C2633" t="str">
            <v>15.229,35</v>
          </cell>
          <cell r="D2633" t="str">
            <v>32.629,35</v>
          </cell>
          <cell r="E2633" t="str">
            <v>0,00</v>
          </cell>
          <cell r="F2633" t="str">
            <v>0,00</v>
          </cell>
          <cell r="G2633" t="str">
            <v>0,00</v>
          </cell>
          <cell r="H2633" t="str">
            <v>17.400,00</v>
          </cell>
          <cell r="I2633" t="str">
            <v>VERIFICAR</v>
          </cell>
          <cell r="J2633">
            <v>0</v>
          </cell>
        </row>
        <row r="2634">
          <cell r="A2634" t="str">
            <v>4.9.1.2.03</v>
          </cell>
          <cell r="B2634" t="str">
            <v>CONTIGENCIAS TRABALHISTAS</v>
          </cell>
          <cell r="C2634" t="str">
            <v>0,00</v>
          </cell>
          <cell r="D2634" t="str">
            <v>0,00</v>
          </cell>
          <cell r="E2634" t="str">
            <v>0,00</v>
          </cell>
          <cell r="F2634" t="str">
            <v>0,00</v>
          </cell>
          <cell r="G2634" t="str">
            <v>21.744,45</v>
          </cell>
          <cell r="H2634" t="str">
            <v>0,00</v>
          </cell>
          <cell r="I2634" t="str">
            <v>VERIFICAR</v>
          </cell>
          <cell r="J2634">
            <v>0</v>
          </cell>
        </row>
        <row r="2635">
          <cell r="A2635" t="str">
            <v>4.9.1.2.03.00001</v>
          </cell>
          <cell r="B2635" t="str">
            <v>PROCESSOS TRABALHISTAS</v>
          </cell>
          <cell r="C2635" t="str">
            <v>72.832,45</v>
          </cell>
          <cell r="D2635" t="str">
            <v>51.088,00</v>
          </cell>
          <cell r="E2635" t="str">
            <v>0,00</v>
          </cell>
          <cell r="F2635" t="str">
            <v>0,00</v>
          </cell>
          <cell r="G2635" t="str">
            <v>21.744,45</v>
          </cell>
          <cell r="H2635" t="str">
            <v>0,00</v>
          </cell>
          <cell r="I2635" t="str">
            <v>VERIFICAR</v>
          </cell>
          <cell r="J2635">
            <v>0</v>
          </cell>
        </row>
        <row r="2636">
          <cell r="A2636" t="str">
            <v>5</v>
          </cell>
          <cell r="B2636" t="str">
            <v>APURACAO DE RESULTADO</v>
          </cell>
          <cell r="C2636" t="str">
            <v>0,00</v>
          </cell>
          <cell r="D2636" t="str">
            <v>0,00</v>
          </cell>
          <cell r="E2636" t="str">
            <v>0,00</v>
          </cell>
          <cell r="F2636" t="str">
            <v>0,00</v>
          </cell>
          <cell r="G2636" t="str">
            <v>3.127.483,47</v>
          </cell>
          <cell r="H2636" t="str">
            <v>0,00</v>
          </cell>
          <cell r="I2636" t="str">
            <v>VERIFICAR</v>
          </cell>
          <cell r="J2636" t="str">
            <v>VERIFICAR</v>
          </cell>
        </row>
        <row r="2637">
          <cell r="A2637" t="str">
            <v>5.1</v>
          </cell>
          <cell r="B2637" t="str">
            <v>APURACAO DE RESULTADO</v>
          </cell>
          <cell r="C2637" t="str">
            <v>0,00</v>
          </cell>
          <cell r="D2637" t="str">
            <v>0,00</v>
          </cell>
          <cell r="E2637" t="str">
            <v>0,00</v>
          </cell>
          <cell r="F2637" t="str">
            <v>0,00</v>
          </cell>
          <cell r="G2637" t="str">
            <v>3.127.483,47</v>
          </cell>
          <cell r="H2637" t="str">
            <v>0,00</v>
          </cell>
          <cell r="I2637" t="str">
            <v>VERIFICAR</v>
          </cell>
          <cell r="J2637" t="str">
            <v>VERIFICAR</v>
          </cell>
        </row>
        <row r="2638">
          <cell r="A2638" t="str">
            <v>5.1.1</v>
          </cell>
          <cell r="B2638" t="str">
            <v>APURACAO DE RESULTADO</v>
          </cell>
          <cell r="C2638" t="str">
            <v>0,00</v>
          </cell>
          <cell r="D2638" t="str">
            <v>0,00</v>
          </cell>
          <cell r="E2638" t="str">
            <v>0,00</v>
          </cell>
          <cell r="F2638" t="str">
            <v>0,00</v>
          </cell>
          <cell r="G2638" t="str">
            <v>3.127.483,47</v>
          </cell>
          <cell r="H2638" t="str">
            <v>0,00</v>
          </cell>
          <cell r="I2638" t="str">
            <v>VERIFICAR</v>
          </cell>
          <cell r="J2638" t="str">
            <v>VERIFICAR</v>
          </cell>
        </row>
        <row r="2639">
          <cell r="A2639" t="str">
            <v>5.1.1.1</v>
          </cell>
          <cell r="B2639" t="str">
            <v>RESULTADO EXERCICIO</v>
          </cell>
          <cell r="C2639" t="str">
            <v>0,00</v>
          </cell>
          <cell r="D2639" t="str">
            <v>0,00</v>
          </cell>
          <cell r="E2639" t="str">
            <v>0,00</v>
          </cell>
          <cell r="F2639" t="str">
            <v>0,00</v>
          </cell>
          <cell r="G2639" t="str">
            <v>3.127.483,47</v>
          </cell>
          <cell r="H2639" t="str">
            <v>0,00</v>
          </cell>
          <cell r="I2639" t="str">
            <v>VERIFICAR</v>
          </cell>
          <cell r="J2639" t="str">
            <v>VERIFICAR</v>
          </cell>
        </row>
        <row r="2640">
          <cell r="A2640" t="str">
            <v>5.1.1.1.01</v>
          </cell>
          <cell r="B2640" t="str">
            <v>LUCRO/PREJUIZO EXERCICIO</v>
          </cell>
          <cell r="C2640" t="str">
            <v>0,00</v>
          </cell>
          <cell r="D2640" t="str">
            <v>0,00</v>
          </cell>
          <cell r="E2640" t="str">
            <v>0,00</v>
          </cell>
          <cell r="F2640" t="str">
            <v>0,00</v>
          </cell>
          <cell r="G2640" t="str">
            <v>3.127.483,47</v>
          </cell>
          <cell r="H2640" t="str">
            <v>0,00</v>
          </cell>
          <cell r="I2640" t="str">
            <v>VERIFICAR</v>
          </cell>
          <cell r="J2640" t="str">
            <v>VERIFICAR</v>
          </cell>
        </row>
        <row r="2641">
          <cell r="A2641" t="str">
            <v>5.1.1.1.01.00001</v>
          </cell>
          <cell r="B2641" t="str">
            <v>PROVISAO IRPJ</v>
          </cell>
          <cell r="C2641" t="str">
            <v>25.883.605,93</v>
          </cell>
          <cell r="D2641" t="str">
            <v>23.626.538,70</v>
          </cell>
          <cell r="E2641" t="str">
            <v>0,00</v>
          </cell>
          <cell r="F2641" t="str">
            <v>0,00</v>
          </cell>
          <cell r="G2641" t="str">
            <v>2.257.067,23</v>
          </cell>
          <cell r="H2641" t="str">
            <v>0,00</v>
          </cell>
          <cell r="I2641" t="str">
            <v>VERIFICAR</v>
          </cell>
          <cell r="J2641" t="str">
            <v>VERIFICAR</v>
          </cell>
        </row>
        <row r="2642">
          <cell r="A2642" t="str">
            <v>5.1.1.1.01.00002</v>
          </cell>
          <cell r="B2642" t="str">
            <v>PROVISAO CSLL</v>
          </cell>
          <cell r="C2642" t="str">
            <v>10.340.473,83</v>
          </cell>
          <cell r="D2642" t="str">
            <v>9.470.057,59</v>
          </cell>
          <cell r="E2642" t="str">
            <v>0,00</v>
          </cell>
          <cell r="F2642" t="str">
            <v>0,00</v>
          </cell>
          <cell r="G2642" t="str">
            <v>870.416,24</v>
          </cell>
          <cell r="H2642" t="str">
            <v>0,00</v>
          </cell>
          <cell r="I2642" t="str">
            <v>VERIFICAR</v>
          </cell>
          <cell r="J2642" t="str">
            <v>VERIFICAR</v>
          </cell>
        </row>
      </sheetData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GF Equipamentos" refreshedDate="45939.597767361112" createdVersion="8" refreshedVersion="8" minRefreshableVersion="3" recordCount="275" xr:uid="{50B9E311-82B3-4C7E-8539-AA13EA102ADA}">
  <cacheSource type="worksheet">
    <worksheetSource name="Tabela8"/>
  </cacheSource>
  <cacheFields count="10">
    <cacheField name="Indicador" numFmtId="0">
      <sharedItems containsBlank="1" count="5">
        <s v="GASTOS GERAIS PROD E MERC REV"/>
        <m/>
        <s v="GASTOS GERAIS PRESTACAO SERVIÇO"/>
        <s v="DESPESAS COM VENDAS"/>
        <s v="DESPESAS ADMINISTRATIVAS"/>
      </sharedItems>
    </cacheField>
    <cacheField name="Periodo" numFmtId="14">
      <sharedItems containsNonDate="0" containsDate="1" containsString="0" containsBlank="1" minDate="2020-01-01T00:00:00" maxDate="2025-08-02T00:00:00" count="69"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m/>
      </sharedItems>
      <fieldGroup par="9"/>
    </cacheField>
    <cacheField name="MÊS" numFmtId="0">
      <sharedItems containsString="0" containsBlank="1" containsNumber="1" containsInteger="1" minValue="1" maxValue="12"/>
    </cacheField>
    <cacheField name="ANO" numFmtId="0">
      <sharedItems containsString="0" containsBlank="1" containsNumber="1" containsInteger="1" minValue="2020" maxValue="2025"/>
    </cacheField>
    <cacheField name="Valor" numFmtId="164">
      <sharedItems containsString="0" containsBlank="1" containsNumber="1" minValue="-298.02999999999997" maxValue="1115937.8199999998"/>
    </cacheField>
    <cacheField name="Faturamento" numFmtId="164">
      <sharedItems containsString="0" containsBlank="1" containsNumber="1" minValue="1758110.85" maxValue="13970252.15"/>
    </cacheField>
    <cacheField name="%" numFmtId="10">
      <sharedItems containsString="0" containsBlank="1" containsNumber="1" minValue="-3.9233177378809444E-5" maxValue="0.14690395743979437"/>
    </cacheField>
    <cacheField name="Meses (Periodo)" numFmtId="0" databaseField="0">
      <fieldGroup base="1">
        <rangePr groupBy="months" startDate="2020-01-01T00:00:00" endDate="2025-08-02T00:00:00"/>
        <groupItems count="14">
          <s v="&lt;01/01/202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8/2025"/>
        </groupItems>
      </fieldGroup>
    </cacheField>
    <cacheField name="Trimestres (Periodo)" numFmtId="0" databaseField="0">
      <fieldGroup base="1">
        <rangePr groupBy="quarters" startDate="2020-01-01T00:00:00" endDate="2025-08-02T00:00:00"/>
        <groupItems count="6">
          <s v="&lt;01/01/2020"/>
          <s v="Trim1"/>
          <s v="Trim2"/>
          <s v="Trim3"/>
          <s v="Trim4"/>
          <s v="&gt;02/08/2025"/>
        </groupItems>
      </fieldGroup>
    </cacheField>
    <cacheField name="Anos (Periodo)" numFmtId="0" databaseField="0">
      <fieldGroup base="1">
        <rangePr groupBy="years" startDate="2020-01-01T00:00:00" endDate="2025-08-02T00:00:00"/>
        <groupItems count="8">
          <s v="&lt;01/01/2020"/>
          <s v="2020"/>
          <s v="2021"/>
          <s v="2022"/>
          <s v="2023"/>
          <s v="2024"/>
          <s v="2025"/>
          <s v="&gt;02/08/2025"/>
        </groupItems>
      </fieldGroup>
    </cacheField>
  </cacheFields>
  <extLst>
    <ext xmlns:x14="http://schemas.microsoft.com/office/spreadsheetml/2009/9/main" uri="{725AE2AE-9491-48be-B2B4-4EB974FC3084}">
      <x14:pivotCacheDefinition pivotCacheId="81780857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GF Equipamentos" refreshedDate="46084.762190277776" createdVersion="6" refreshedVersion="8" minRefreshableVersion="3" recordCount="3182" xr:uid="{95BE1D29-7021-4E7F-B768-4DF965D84945}">
  <cacheSource type="worksheet">
    <worksheetSource name="Tabela1"/>
  </cacheSource>
  <cacheFields count="7">
    <cacheField name="Indicador" numFmtId="0">
      <sharedItems containsBlank="1" count="39">
        <m/>
        <s v="CIRCULANTE LÍQUIDO"/>
        <s v="DOLAR"/>
        <s v="EURO"/>
        <s v="IGPM"/>
        <s v="SELIC"/>
        <s v="CAPITAL DE GIRO PRÓPRIO"/>
        <s v="GRAU DE ENDIVIDAMENTO ATIVO"/>
        <s v="REL. CAP 3° X CAP. PROPRIO"/>
        <s v="PL (%)"/>
        <s v="LIQUIDEZ CORRENTE"/>
        <s v="LIQUIDEZ SECA"/>
        <s v="LIQUIDEZ GERAL"/>
        <s v="GIRO DO ATIVO"/>
        <s v="RENTABILIDADE DO ATIVO"/>
        <s v="AC. RENTABILIDADE DO ATIVO"/>
        <s v="RENTABILIDADE DO PL"/>
        <s v="AC. RENTABILIDADE DO PL"/>
        <s v="MARGEM EBIT"/>
        <s v="PM RENOVAÇÃO DE ESTOQUE"/>
        <s v="PM RECEBIMENTO DE VENDAS"/>
        <s v="PM PAGAMENTO DE COMPRAS"/>
        <s v="CICLO FINANCEIRO"/>
        <s v="NEC CAPITAL GIRO - PRAZOS MEDIOS"/>
        <s v="PATRIMONIO LIQUIDO"/>
        <s v="DUPLICATAS A RECEBER"/>
        <s v="ESTOQUE"/>
        <s v="CUSTO VENDA / RECEITA "/>
        <s v="CUSTO REVENDA / RECEITA "/>
        <s v="CUSTO SERVICO / RECEITA "/>
        <s v="FORNECEDORES NACIONAIS"/>
        <s v="FORNECEDORES EXTERIOR"/>
        <s v="ADIANTAMENTO TERCEIRO (CLIENTE)"/>
        <s v="REL. ESTOQUE/FATURAMENTO"/>
        <s v="AC. EBIT ANUAL"/>
        <s v="TRIBUTO LUCRO ESTIMATIVA"/>
        <s v="TRIBUTO LUCRO REAL"/>
        <s v="CUSTO / RECEITA LIQUIDA" u="1"/>
        <s v="Outro indicador" u="1"/>
      </sharedItems>
    </cacheField>
    <cacheField name="Periodo" numFmtId="0">
      <sharedItems containsNonDate="0" containsDate="1" containsString="0" containsBlank="1" minDate="2013-12-01T00:00:00" maxDate="2026-01-02T00:00:00" count="103">
        <m/>
        <d v="2013-12-01T00:00:00"/>
        <d v="2014-12-01T00:00:00"/>
        <d v="2015-12-01T00:00:00"/>
        <d v="2016-12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</sharedItems>
    </cacheField>
    <cacheField name="MÊS" numFmtId="0">
      <sharedItems containsBlank="1"/>
    </cacheField>
    <cacheField name="ANO" numFmtId="0">
      <sharedItems containsString="0" containsBlank="1" containsNumber="1" containsInteger="1" minValue="2013" maxValue="2026"/>
    </cacheField>
    <cacheField name="Valor" numFmtId="0">
      <sharedItems containsBlank="1" containsMixedTypes="1" containsNumber="1" minValue="-1.08" maxValue="92744039.466399997"/>
    </cacheField>
    <cacheField name="Meta" numFmtId="0">
      <sharedItems containsString="0" containsBlank="1" containsNumber="1" containsInteger="1" minValue="4" maxValue="80000000"/>
    </cacheField>
    <cacheField name="%" numFmtId="0">
      <sharedItems containsString="0" containsBlank="1" containsNumber="1" minValue="0.10846854370751065" maxValue="0.39009028107230537"/>
    </cacheField>
  </cacheFields>
  <extLst>
    <ext xmlns:x14="http://schemas.microsoft.com/office/spreadsheetml/2009/9/main" uri="{725AE2AE-9491-48be-B2B4-4EB974FC3084}">
      <x14:pivotCacheDefinition pivotCacheId="6089427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x v="0"/>
    <x v="0"/>
    <n v="1"/>
    <n v="2020"/>
    <n v="109834.17999999976"/>
    <n v="2941337.78"/>
    <n v="3.7341573193949783E-2"/>
  </r>
  <r>
    <x v="0"/>
    <x v="1"/>
    <n v="2"/>
    <n v="2020"/>
    <n v="132122.84999999989"/>
    <n v="2349456.3899999997"/>
    <n v="5.6235497948527537E-2"/>
  </r>
  <r>
    <x v="0"/>
    <x v="2"/>
    <n v="3"/>
    <n v="2020"/>
    <n v="106887.72999999998"/>
    <n v="1776143.5799999998"/>
    <n v="6.0179667456839267E-2"/>
  </r>
  <r>
    <x v="0"/>
    <x v="3"/>
    <n v="4"/>
    <n v="2020"/>
    <n v="71605.279999999941"/>
    <n v="1758110.85"/>
    <n v="4.0728535404920538E-2"/>
  </r>
  <r>
    <x v="0"/>
    <x v="4"/>
    <n v="5"/>
    <n v="2020"/>
    <n v="69303.609999999957"/>
    <n v="2559944.39"/>
    <n v="2.7072310738750053E-2"/>
  </r>
  <r>
    <x v="0"/>
    <x v="5"/>
    <n v="6"/>
    <n v="2020"/>
    <n v="94827.04999999993"/>
    <n v="3887509.5300000003"/>
    <n v="2.4392750491855367E-2"/>
  </r>
  <r>
    <x v="0"/>
    <x v="6"/>
    <n v="7"/>
    <n v="2020"/>
    <n v="117861.12999999971"/>
    <n v="4143176.64"/>
    <n v="2.8447044439794802E-2"/>
  </r>
  <r>
    <x v="0"/>
    <x v="7"/>
    <n v="8"/>
    <n v="2020"/>
    <n v="154483.00999999995"/>
    <n v="4467793.6800000006"/>
    <n v="3.4577024156585479E-2"/>
  </r>
  <r>
    <x v="0"/>
    <x v="8"/>
    <n v="9"/>
    <n v="2020"/>
    <n v="228532.65000000014"/>
    <n v="4802256.0000000009"/>
    <n v="4.7588602107009728E-2"/>
  </r>
  <r>
    <x v="0"/>
    <x v="9"/>
    <n v="10"/>
    <n v="2020"/>
    <n v="191875.80999999988"/>
    <n v="5685928.0300000003"/>
    <n v="3.3745733148155918E-2"/>
  </r>
  <r>
    <x v="0"/>
    <x v="10"/>
    <n v="11"/>
    <n v="2020"/>
    <n v="232580.36000000004"/>
    <n v="4644331.2300000004"/>
    <n v="5.0078331730013158E-2"/>
  </r>
  <r>
    <x v="0"/>
    <x v="11"/>
    <n v="12"/>
    <n v="2020"/>
    <n v="218430.25999999989"/>
    <n v="4473220.9900000012"/>
    <n v="4.8830643620850898E-2"/>
  </r>
  <r>
    <x v="0"/>
    <x v="12"/>
    <n v="1"/>
    <n v="2021"/>
    <n v="135557.22999999998"/>
    <n v="4944925.6000000015"/>
    <n v="2.7413401325997695E-2"/>
  </r>
  <r>
    <x v="0"/>
    <x v="13"/>
    <n v="2"/>
    <n v="2021"/>
    <n v="336762.04000000021"/>
    <n v="5234248.620000001"/>
    <n v="6.4338181933742411E-2"/>
  </r>
  <r>
    <x v="0"/>
    <x v="14"/>
    <n v="3"/>
    <n v="2021"/>
    <n v="292845.00000000058"/>
    <n v="6030259.7299999995"/>
    <n v="4.8562584882227054E-2"/>
  </r>
  <r>
    <x v="0"/>
    <x v="15"/>
    <n v="4"/>
    <n v="2021"/>
    <n v="297639.00000000035"/>
    <n v="7105290.3500000006"/>
    <n v="4.188977301962056E-2"/>
  </r>
  <r>
    <x v="0"/>
    <x v="16"/>
    <n v="5"/>
    <n v="2021"/>
    <n v="338330.60999999993"/>
    <n v="7918709.8200000003"/>
    <n v="4.2725471407664223E-2"/>
  </r>
  <r>
    <x v="0"/>
    <x v="17"/>
    <n v="6"/>
    <n v="2021"/>
    <n v="354638.41000000015"/>
    <n v="8868518.3300000001"/>
    <n v="3.9988462198961273E-2"/>
  </r>
  <r>
    <x v="0"/>
    <x v="18"/>
    <n v="7"/>
    <n v="2021"/>
    <n v="354870.0500000001"/>
    <n v="9403531.2600000016"/>
    <n v="3.7737956113308019E-2"/>
  </r>
  <r>
    <x v="0"/>
    <x v="19"/>
    <n v="8"/>
    <n v="2021"/>
    <n v="377180.25999999989"/>
    <n v="8700462.6600000001"/>
    <n v="4.3351747457531169E-2"/>
  </r>
  <r>
    <x v="0"/>
    <x v="20"/>
    <n v="9"/>
    <n v="2021"/>
    <n v="312603.45999999956"/>
    <n v="8607862.3599999994"/>
    <n v="3.6316038399108366E-2"/>
  </r>
  <r>
    <x v="0"/>
    <x v="21"/>
    <n v="10"/>
    <n v="2021"/>
    <n v="416599.45999999938"/>
    <n v="7463338.209999999"/>
    <n v="5.5819453477507545E-2"/>
  </r>
  <r>
    <x v="0"/>
    <x v="22"/>
    <n v="11"/>
    <n v="2021"/>
    <n v="393321.14000000031"/>
    <n v="6165662.4399999995"/>
    <n v="6.3792194890254214E-2"/>
  </r>
  <r>
    <x v="0"/>
    <x v="23"/>
    <n v="12"/>
    <n v="2021"/>
    <n v="318443.49999999994"/>
    <n v="5516988.5500000007"/>
    <n v="5.7720529436299066E-2"/>
  </r>
  <r>
    <x v="0"/>
    <x v="24"/>
    <n v="1"/>
    <n v="2022"/>
    <n v="404174.2600000003"/>
    <n v="5346830.53"/>
    <n v="7.5591372820264097E-2"/>
  </r>
  <r>
    <x v="0"/>
    <x v="25"/>
    <n v="2"/>
    <n v="2022"/>
    <n v="736679.03000000049"/>
    <n v="6667938.8199999994"/>
    <n v="0.1104807722276013"/>
  </r>
  <r>
    <x v="0"/>
    <x v="26"/>
    <n v="3"/>
    <n v="2022"/>
    <n v="439746.18000000075"/>
    <n v="10398348.879999999"/>
    <n v="4.2290000564012699E-2"/>
  </r>
  <r>
    <x v="0"/>
    <x v="27"/>
    <n v="4"/>
    <n v="2022"/>
    <n v="444537.97"/>
    <n v="7242034.71"/>
    <n v="6.1383021181349737E-2"/>
  </r>
  <r>
    <x v="0"/>
    <x v="28"/>
    <n v="5"/>
    <n v="2022"/>
    <n v="679994.06999999925"/>
    <n v="7832280.7899999982"/>
    <n v="8.6819419302254022E-2"/>
  </r>
  <r>
    <x v="0"/>
    <x v="29"/>
    <n v="6"/>
    <n v="2022"/>
    <n v="646355.60000000079"/>
    <n v="7871509.620000001"/>
    <n v="8.2113296076998341E-2"/>
  </r>
  <r>
    <x v="0"/>
    <x v="30"/>
    <n v="7"/>
    <n v="2022"/>
    <n v="602846.25000000023"/>
    <n v="7133374.0699999994"/>
    <n v="8.4510673922922469E-2"/>
  </r>
  <r>
    <x v="0"/>
    <x v="31"/>
    <n v="8"/>
    <n v="2022"/>
    <n v="609780.60000000056"/>
    <n v="7753457.120000002"/>
    <n v="7.8646285207030389E-2"/>
  </r>
  <r>
    <x v="0"/>
    <x v="32"/>
    <n v="9"/>
    <n v="2022"/>
    <n v="530506.94999999949"/>
    <n v="7901820.9700000007"/>
    <n v="6.7137303162665737E-2"/>
  </r>
  <r>
    <x v="0"/>
    <x v="33"/>
    <n v="10"/>
    <n v="2022"/>
    <n v="637103.55999999982"/>
    <n v="5212976.3499999996"/>
    <n v="0.12221493389280384"/>
  </r>
  <r>
    <x v="0"/>
    <x v="34"/>
    <n v="11"/>
    <n v="2022"/>
    <n v="452688.42000000051"/>
    <n v="6633932.3399999989"/>
    <n v="6.8238323335085532E-2"/>
  </r>
  <r>
    <x v="0"/>
    <x v="35"/>
    <n v="12"/>
    <n v="2022"/>
    <n v="552557.03"/>
    <n v="5522329.4800000004"/>
    <n v="0.10005868574143822"/>
  </r>
  <r>
    <x v="0"/>
    <x v="36"/>
    <n v="1"/>
    <n v="2023"/>
    <n v="604713.51000000013"/>
    <n v="4523362.28"/>
    <n v="0.13368672959796624"/>
  </r>
  <r>
    <x v="0"/>
    <x v="37"/>
    <n v="2"/>
    <n v="2023"/>
    <n v="691037.49999999977"/>
    <n v="5020605.1399999997"/>
    <n v="0.13764028054992586"/>
  </r>
  <r>
    <x v="0"/>
    <x v="38"/>
    <n v="3"/>
    <n v="2023"/>
    <n v="544461.26"/>
    <n v="6163399.0099999998"/>
    <n v="8.8337824488828612E-2"/>
  </r>
  <r>
    <x v="0"/>
    <x v="39"/>
    <n v="4"/>
    <n v="2023"/>
    <n v="500045.4700000002"/>
    <n v="5450287.8899999997"/>
    <n v="9.1746615975546245E-2"/>
  </r>
  <r>
    <x v="0"/>
    <x v="40"/>
    <n v="5"/>
    <n v="2023"/>
    <n v="540377.95999999961"/>
    <n v="9087903.75"/>
    <n v="5.9461232740278487E-2"/>
  </r>
  <r>
    <x v="0"/>
    <x v="41"/>
    <n v="6"/>
    <n v="2023"/>
    <n v="456152.10999999975"/>
    <n v="8277075.1100000013"/>
    <n v="5.5110302122170746E-2"/>
  </r>
  <r>
    <x v="0"/>
    <x v="42"/>
    <n v="7"/>
    <n v="2023"/>
    <n v="700097.9"/>
    <n v="5198444.16"/>
    <n v="0.13467450615070184"/>
  </r>
  <r>
    <x v="0"/>
    <x v="43"/>
    <n v="8"/>
    <n v="2023"/>
    <n v="641877.66000000015"/>
    <n v="7988986.9099999983"/>
    <n v="8.0345313771455443E-2"/>
  </r>
  <r>
    <x v="0"/>
    <x v="44"/>
    <n v="9"/>
    <n v="2023"/>
    <n v="607460.51999999967"/>
    <n v="7305588.3999999994"/>
    <n v="8.3150115601913696E-2"/>
  </r>
  <r>
    <x v="0"/>
    <x v="45"/>
    <n v="10"/>
    <n v="2023"/>
    <n v="611256.33000000019"/>
    <n v="8831749.629999999"/>
    <n v="6.9211238498390296E-2"/>
  </r>
  <r>
    <x v="0"/>
    <x v="46"/>
    <n v="11"/>
    <n v="2023"/>
    <n v="789055.33000000054"/>
    <n v="5971298.0200000005"/>
    <n v="0.13214134135612954"/>
  </r>
  <r>
    <x v="0"/>
    <x v="47"/>
    <n v="12"/>
    <n v="2023"/>
    <n v="588125.87"/>
    <n v="8232901.5800000001"/>
    <n v="7.1436037985528791E-2"/>
  </r>
  <r>
    <x v="0"/>
    <x v="48"/>
    <n v="1"/>
    <n v="2024"/>
    <n v="1024928.9200000006"/>
    <n v="7481410.8899999997"/>
    <n v="0.13699674233505449"/>
  </r>
  <r>
    <x v="0"/>
    <x v="49"/>
    <n v="2"/>
    <n v="2024"/>
    <n v="822570.65000000037"/>
    <n v="8407937.3199999984"/>
    <n v="9.7832633462115362E-2"/>
  </r>
  <r>
    <x v="0"/>
    <x v="50"/>
    <n v="3"/>
    <n v="2024"/>
    <n v="682067.13"/>
    <n v="7671402.7999999998"/>
    <n v="8.8910352875747833E-2"/>
  </r>
  <r>
    <x v="0"/>
    <x v="51"/>
    <n v="4"/>
    <n v="2024"/>
    <n v="865085.11000000034"/>
    <n v="10589146.889999999"/>
    <n v="8.1695449027811201E-2"/>
  </r>
  <r>
    <x v="0"/>
    <x v="52"/>
    <n v="5"/>
    <n v="2024"/>
    <n v="1040467.6300000001"/>
    <n v="11809586.859999999"/>
    <n v="8.8103643449555874E-2"/>
  </r>
  <r>
    <x v="0"/>
    <x v="53"/>
    <n v="6"/>
    <n v="2024"/>
    <n v="872281.90000000037"/>
    <n v="10610189.169999998"/>
    <n v="8.2211719887742632E-2"/>
  </r>
  <r>
    <x v="0"/>
    <x v="54"/>
    <n v="7"/>
    <n v="2024"/>
    <n v="923560.95000000088"/>
    <n v="11950053.750000002"/>
    <n v="7.7285087525233997E-2"/>
  </r>
  <r>
    <x v="0"/>
    <x v="55"/>
    <n v="8"/>
    <n v="2024"/>
    <n v="1021200.0999999999"/>
    <n v="9379852.1500000004"/>
    <n v="0.10887166275856489"/>
  </r>
  <r>
    <x v="0"/>
    <x v="56"/>
    <n v="9"/>
    <n v="2024"/>
    <n v="945026.070000001"/>
    <n v="10391320.409999998"/>
    <n v="9.0943790847846748E-2"/>
  </r>
  <r>
    <x v="0"/>
    <x v="57"/>
    <n v="10"/>
    <n v="2024"/>
    <n v="994215.58000000101"/>
    <n v="10922850.24"/>
    <n v="9.1021625139483836E-2"/>
  </r>
  <r>
    <x v="0"/>
    <x v="58"/>
    <n v="11"/>
    <n v="2024"/>
    <n v="968810.61999999988"/>
    <n v="8432311.2100000028"/>
    <n v="0.11489265467942798"/>
  </r>
  <r>
    <x v="0"/>
    <x v="59"/>
    <n v="12"/>
    <n v="2024"/>
    <n v="1061695.1600000006"/>
    <n v="12856176.879999999"/>
    <n v="8.2582494773516271E-2"/>
  </r>
  <r>
    <x v="0"/>
    <x v="60"/>
    <n v="1"/>
    <n v="2025"/>
    <n v="1012020.49"/>
    <n v="8086735.4699999988"/>
    <n v="0.12514573943396223"/>
  </r>
  <r>
    <x v="0"/>
    <x v="61"/>
    <n v="2"/>
    <n v="2025"/>
    <n v="1102443.5599999994"/>
    <n v="9319159.459999999"/>
    <n v="0.11829860458252095"/>
  </r>
  <r>
    <x v="0"/>
    <x v="62"/>
    <n v="3"/>
    <n v="2025"/>
    <n v="702596.38"/>
    <n v="9258463.5699999984"/>
    <n v="7.5886930340862177E-2"/>
  </r>
  <r>
    <x v="0"/>
    <x v="63"/>
    <n v="4"/>
    <n v="2025"/>
    <n v="958317.32000000076"/>
    <n v="13169292.220000001"/>
    <n v="7.2769083105667515E-2"/>
  </r>
  <r>
    <x v="0"/>
    <x v="64"/>
    <n v="5"/>
    <n v="2025"/>
    <n v="878646.98000000045"/>
    <n v="13970252.15"/>
    <n v="6.2894138957971524E-2"/>
  </r>
  <r>
    <x v="0"/>
    <x v="65"/>
    <n v="6"/>
    <n v="2025"/>
    <n v="872426.2900000005"/>
    <n v="7596376.8400000008"/>
    <n v="0.11484768441266539"/>
  </r>
  <r>
    <x v="0"/>
    <x v="66"/>
    <n v="7"/>
    <n v="2025"/>
    <n v="890138.25000000023"/>
    <n v="8551090.5799999963"/>
    <n v="0.10409645900394621"/>
  </r>
  <r>
    <x v="0"/>
    <x v="67"/>
    <n v="8"/>
    <n v="2025"/>
    <n v="919946.15000000037"/>
    <n v="8945909.8300000019"/>
    <n v="0.10283427482300034"/>
  </r>
  <r>
    <x v="1"/>
    <x v="68"/>
    <m/>
    <m/>
    <m/>
    <m/>
    <m/>
  </r>
  <r>
    <x v="2"/>
    <x v="0"/>
    <n v="1"/>
    <n v="2020"/>
    <n v="187695.47"/>
    <n v="2941337.78"/>
    <n v="6.3812959965448113E-2"/>
  </r>
  <r>
    <x v="2"/>
    <x v="1"/>
    <n v="2"/>
    <n v="2020"/>
    <n v="121455.01999999999"/>
    <n v="2349456.3899999997"/>
    <n v="5.1694945484814896E-2"/>
  </r>
  <r>
    <x v="2"/>
    <x v="2"/>
    <n v="3"/>
    <n v="2020"/>
    <n v="159706.19999999998"/>
    <n v="1776143.5799999998"/>
    <n v="8.9917392826992057E-2"/>
  </r>
  <r>
    <x v="2"/>
    <x v="3"/>
    <n v="4"/>
    <n v="2020"/>
    <n v="129144.65"/>
    <n v="1758110.85"/>
    <n v="7.3456488821509736E-2"/>
  </r>
  <r>
    <x v="2"/>
    <x v="4"/>
    <n v="5"/>
    <n v="2020"/>
    <n v="117746.13"/>
    <n v="2559944.39"/>
    <n v="4.5995581177448938E-2"/>
  </r>
  <r>
    <x v="2"/>
    <x v="5"/>
    <n v="6"/>
    <n v="2020"/>
    <n v="125184.40000000001"/>
    <n v="3887509.5300000003"/>
    <n v="3.2201695978864908E-2"/>
  </r>
  <r>
    <x v="2"/>
    <x v="6"/>
    <n v="7"/>
    <n v="2020"/>
    <n v="131867.93"/>
    <n v="4143176.64"/>
    <n v="3.1827735445042478E-2"/>
  </r>
  <r>
    <x v="2"/>
    <x v="7"/>
    <n v="8"/>
    <n v="2020"/>
    <n v="105756.23000000001"/>
    <n v="4467793.6800000006"/>
    <n v="2.3670795380148348E-2"/>
  </r>
  <r>
    <x v="2"/>
    <x v="8"/>
    <n v="9"/>
    <n v="2020"/>
    <n v="219274.88"/>
    <n v="4802256.0000000009"/>
    <n v="4.5660806087805393E-2"/>
  </r>
  <r>
    <x v="2"/>
    <x v="9"/>
    <n v="10"/>
    <n v="2020"/>
    <n v="164656.59"/>
    <n v="5685928.0300000003"/>
    <n v="2.8958613111393881E-2"/>
  </r>
  <r>
    <x v="2"/>
    <x v="10"/>
    <n v="11"/>
    <n v="2020"/>
    <n v="178923.95"/>
    <n v="4644331.2300000004"/>
    <n v="3.85252345578289E-2"/>
  </r>
  <r>
    <x v="2"/>
    <x v="11"/>
    <n v="12"/>
    <n v="2020"/>
    <n v="163773.85999999999"/>
    <n v="4473220.9900000012"/>
    <n v="3.6612065526411643E-2"/>
  </r>
  <r>
    <x v="2"/>
    <x v="12"/>
    <n v="1"/>
    <n v="2021"/>
    <n v="204729.50999999998"/>
    <n v="4944925.6000000015"/>
    <n v="4.1401939394194308E-2"/>
  </r>
  <r>
    <x v="2"/>
    <x v="13"/>
    <n v="2"/>
    <n v="2021"/>
    <n v="173648.63999999998"/>
    <n v="5234248.620000001"/>
    <n v="3.3175466548625646E-2"/>
  </r>
  <r>
    <x v="2"/>
    <x v="14"/>
    <n v="3"/>
    <n v="2021"/>
    <n v="243687.8"/>
    <n v="6030259.7299999995"/>
    <n v="4.0410829866527158E-2"/>
  </r>
  <r>
    <x v="2"/>
    <x v="15"/>
    <n v="4"/>
    <n v="2021"/>
    <n v="156274.08000000002"/>
    <n v="7105290.3500000006"/>
    <n v="2.1994045605750651E-2"/>
  </r>
  <r>
    <x v="2"/>
    <x v="16"/>
    <n v="5"/>
    <n v="2021"/>
    <n v="126123.91"/>
    <n v="7918709.8200000003"/>
    <n v="1.592733069741404E-2"/>
  </r>
  <r>
    <x v="2"/>
    <x v="17"/>
    <n v="6"/>
    <n v="2021"/>
    <n v="249998.9"/>
    <n v="8868518.3300000001"/>
    <n v="2.8189477734326337E-2"/>
  </r>
  <r>
    <x v="2"/>
    <x v="18"/>
    <n v="7"/>
    <n v="2021"/>
    <n v="273420.78999999998"/>
    <n v="9403531.2600000016"/>
    <n v="2.9076395073312059E-2"/>
  </r>
  <r>
    <x v="2"/>
    <x v="19"/>
    <n v="8"/>
    <n v="2021"/>
    <n v="205177.15000000002"/>
    <n v="8700462.6600000001"/>
    <n v="2.3582326367917544E-2"/>
  </r>
  <r>
    <x v="2"/>
    <x v="20"/>
    <n v="9"/>
    <n v="2021"/>
    <n v="247031.59"/>
    <n v="8607862.3599999994"/>
    <n v="2.8698366640704513E-2"/>
  </r>
  <r>
    <x v="2"/>
    <x v="21"/>
    <n v="10"/>
    <n v="2021"/>
    <n v="288630.62999999995"/>
    <n v="7463338.209999999"/>
    <n v="3.8673127477094463E-2"/>
  </r>
  <r>
    <x v="2"/>
    <x v="22"/>
    <n v="11"/>
    <n v="2021"/>
    <n v="306857.49"/>
    <n v="6165662.4399999995"/>
    <n v="4.9768778778618961E-2"/>
  </r>
  <r>
    <x v="2"/>
    <x v="23"/>
    <n v="12"/>
    <n v="2021"/>
    <n v="135229.36000000002"/>
    <n v="5516988.5500000007"/>
    <n v="2.4511444744615248E-2"/>
  </r>
  <r>
    <x v="2"/>
    <x v="24"/>
    <n v="1"/>
    <n v="2022"/>
    <n v="156792.60999999999"/>
    <n v="5346830.53"/>
    <n v="2.9324402395076467E-2"/>
  </r>
  <r>
    <x v="2"/>
    <x v="25"/>
    <n v="2"/>
    <n v="2022"/>
    <n v="120834.78"/>
    <n v="6667938.8199999994"/>
    <n v="1.8121758951591582E-2"/>
  </r>
  <r>
    <x v="2"/>
    <x v="26"/>
    <n v="3"/>
    <n v="2022"/>
    <n v="5968.46"/>
    <n v="10398348.879999999"/>
    <n v="5.739815108030883E-4"/>
  </r>
  <r>
    <x v="2"/>
    <x v="27"/>
    <n v="4"/>
    <n v="2022"/>
    <n v="293.98"/>
    <n v="7242034.71"/>
    <n v="4.0593564070338462E-5"/>
  </r>
  <r>
    <x v="2"/>
    <x v="28"/>
    <n v="5"/>
    <n v="2022"/>
    <n v="402.69"/>
    <n v="7832280.7899999982"/>
    <n v="5.1414142418660665E-5"/>
  </r>
  <r>
    <x v="2"/>
    <x v="29"/>
    <n v="6"/>
    <n v="2022"/>
    <n v="13896.07"/>
    <n v="7871509.620000001"/>
    <n v="1.7653627665896187E-3"/>
  </r>
  <r>
    <x v="2"/>
    <x v="30"/>
    <n v="7"/>
    <n v="2022"/>
    <n v="4798.1400000000003"/>
    <n v="7133374.0699999994"/>
    <n v="6.7263260736304001E-4"/>
  </r>
  <r>
    <x v="2"/>
    <x v="31"/>
    <n v="8"/>
    <n v="2022"/>
    <n v="103.56"/>
    <n v="7753457.120000002"/>
    <n v="1.3356622522986233E-5"/>
  </r>
  <r>
    <x v="2"/>
    <x v="32"/>
    <n v="9"/>
    <n v="2022"/>
    <n v="146.65"/>
    <n v="7901820.9700000007"/>
    <n v="1.8559013239703909E-5"/>
  </r>
  <r>
    <x v="2"/>
    <x v="33"/>
    <n v="10"/>
    <n v="2022"/>
    <n v="1591.56"/>
    <n v="5212976.3499999996"/>
    <n v="3.0530735095316518E-4"/>
  </r>
  <r>
    <x v="2"/>
    <x v="34"/>
    <n v="11"/>
    <n v="2022"/>
    <n v="728.42"/>
    <n v="6633932.3399999989"/>
    <n v="1.0980214489193903E-4"/>
  </r>
  <r>
    <x v="2"/>
    <x v="35"/>
    <n v="12"/>
    <n v="2022"/>
    <n v="28.42"/>
    <n v="5522329.4800000004"/>
    <n v="5.146378915442763E-6"/>
  </r>
  <r>
    <x v="2"/>
    <x v="36"/>
    <n v="1"/>
    <n v="2023"/>
    <n v="2370.0300000000002"/>
    <n v="4523362.28"/>
    <n v="5.2395316874773959E-4"/>
  </r>
  <r>
    <x v="2"/>
    <x v="37"/>
    <n v="2"/>
    <n v="2023"/>
    <n v="0"/>
    <n v="5020605.1399999997"/>
    <n v="0"/>
  </r>
  <r>
    <x v="2"/>
    <x v="38"/>
    <n v="3"/>
    <n v="2023"/>
    <n v="293.47000000000003"/>
    <n v="6163399.0099999998"/>
    <n v="4.761496043398301E-5"/>
  </r>
  <r>
    <x v="2"/>
    <x v="39"/>
    <n v="4"/>
    <n v="2023"/>
    <n v="0"/>
    <n v="5450287.8899999997"/>
    <n v="0"/>
  </r>
  <r>
    <x v="2"/>
    <x v="40"/>
    <n v="5"/>
    <n v="2023"/>
    <n v="483.64"/>
    <n v="9087903.75"/>
    <n v="5.3217993203328103E-5"/>
  </r>
  <r>
    <x v="2"/>
    <x v="41"/>
    <n v="6"/>
    <n v="2023"/>
    <n v="0"/>
    <n v="8277075.1100000013"/>
    <n v="0"/>
  </r>
  <r>
    <x v="2"/>
    <x v="42"/>
    <n v="7"/>
    <n v="2023"/>
    <n v="0"/>
    <n v="5198444.16"/>
    <n v="0"/>
  </r>
  <r>
    <x v="2"/>
    <x v="43"/>
    <n v="8"/>
    <n v="2023"/>
    <n v="0"/>
    <n v="7988986.9099999983"/>
    <n v="0"/>
  </r>
  <r>
    <x v="2"/>
    <x v="44"/>
    <n v="9"/>
    <n v="2023"/>
    <n v="0"/>
    <n v="7305588.3999999994"/>
    <n v="0"/>
  </r>
  <r>
    <x v="2"/>
    <x v="45"/>
    <n v="10"/>
    <n v="2023"/>
    <n v="0"/>
    <n v="8831749.629999999"/>
    <n v="0"/>
  </r>
  <r>
    <x v="2"/>
    <x v="46"/>
    <n v="11"/>
    <n v="2023"/>
    <n v="28.12"/>
    <n v="5971298.0200000005"/>
    <n v="4.7091938646867264E-6"/>
  </r>
  <r>
    <x v="2"/>
    <x v="47"/>
    <n v="12"/>
    <n v="2023"/>
    <n v="0"/>
    <n v="8232901.5800000001"/>
    <n v="0"/>
  </r>
  <r>
    <x v="2"/>
    <x v="48"/>
    <n v="1"/>
    <n v="2024"/>
    <n v="8691.9"/>
    <n v="7481410.8899999997"/>
    <n v="1.1617995760155341E-3"/>
  </r>
  <r>
    <x v="2"/>
    <x v="49"/>
    <n v="2"/>
    <n v="2024"/>
    <n v="2454.5700000000002"/>
    <n v="8407937.3199999984"/>
    <n v="2.9193485947633118E-4"/>
  </r>
  <r>
    <x v="2"/>
    <x v="50"/>
    <n v="3"/>
    <n v="2024"/>
    <n v="2293.7800000000002"/>
    <n v="7671402.7999999998"/>
    <n v="2.9900398399103752E-4"/>
  </r>
  <r>
    <x v="2"/>
    <x v="51"/>
    <n v="4"/>
    <n v="2024"/>
    <n v="3819.12"/>
    <n v="10589146.889999999"/>
    <n v="3.606636152725992E-4"/>
  </r>
  <r>
    <x v="2"/>
    <x v="52"/>
    <n v="5"/>
    <n v="2024"/>
    <n v="26099.43"/>
    <n v="11809586.859999999"/>
    <n v="2.210020579839319E-3"/>
  </r>
  <r>
    <x v="2"/>
    <x v="53"/>
    <n v="6"/>
    <n v="2024"/>
    <n v="193.92"/>
    <n v="10610189.169999998"/>
    <n v="1.8276771214249711E-5"/>
  </r>
  <r>
    <x v="2"/>
    <x v="54"/>
    <n v="7"/>
    <n v="2024"/>
    <n v="0"/>
    <n v="11950053.750000002"/>
    <n v="0"/>
  </r>
  <r>
    <x v="2"/>
    <x v="55"/>
    <n v="8"/>
    <n v="2024"/>
    <n v="9816.0400000000009"/>
    <n v="9379852.1500000004"/>
    <n v="1.0465026359717195E-3"/>
  </r>
  <r>
    <x v="2"/>
    <x v="56"/>
    <n v="9"/>
    <n v="2024"/>
    <n v="11581.4"/>
    <n v="10391320.409999998"/>
    <n v="1.1145263107135777E-3"/>
  </r>
  <r>
    <x v="2"/>
    <x v="57"/>
    <n v="10"/>
    <n v="2024"/>
    <n v="11582.52"/>
    <n v="10922850.24"/>
    <n v="1.06039355529972E-3"/>
  </r>
  <r>
    <x v="2"/>
    <x v="58"/>
    <n v="11"/>
    <n v="2024"/>
    <n v="19510.650000000001"/>
    <n v="8432311.2100000028"/>
    <n v="2.3137962432959107E-3"/>
  </r>
  <r>
    <x v="2"/>
    <x v="59"/>
    <n v="12"/>
    <n v="2024"/>
    <n v="362.27"/>
    <n v="12856176.879999999"/>
    <n v="2.8178672663066222E-5"/>
  </r>
  <r>
    <x v="2"/>
    <x v="60"/>
    <n v="1"/>
    <n v="2025"/>
    <n v="2787.68"/>
    <n v="8086735.4699999988"/>
    <n v="3.4472254104782785E-4"/>
  </r>
  <r>
    <x v="2"/>
    <x v="61"/>
    <n v="2"/>
    <n v="2025"/>
    <n v="894"/>
    <n v="9319159.459999999"/>
    <n v="9.5931398516921625E-5"/>
  </r>
  <r>
    <x v="2"/>
    <x v="62"/>
    <n v="3"/>
    <n v="2025"/>
    <n v="0"/>
    <n v="9258463.5699999984"/>
    <n v="0"/>
  </r>
  <r>
    <x v="2"/>
    <x v="63"/>
    <n v="4"/>
    <n v="2025"/>
    <n v="0"/>
    <n v="13169292.220000001"/>
    <n v="0"/>
  </r>
  <r>
    <x v="2"/>
    <x v="64"/>
    <n v="5"/>
    <n v="2025"/>
    <n v="3706.73"/>
    <n v="13970252.15"/>
    <n v="2.653302145301651E-4"/>
  </r>
  <r>
    <x v="2"/>
    <x v="65"/>
    <n v="6"/>
    <n v="2025"/>
    <n v="-298.02999999999997"/>
    <n v="7596376.8400000008"/>
    <n v="-3.9233177378809444E-5"/>
  </r>
  <r>
    <x v="2"/>
    <x v="66"/>
    <n v="7"/>
    <n v="2025"/>
    <n v="2543.35"/>
    <n v="8551090.5799999963"/>
    <n v="2.9742989811715935E-4"/>
  </r>
  <r>
    <x v="2"/>
    <x v="67"/>
    <n v="8"/>
    <n v="2025"/>
    <n v="0"/>
    <n v="8945909.8300000019"/>
    <n v="0"/>
  </r>
  <r>
    <x v="1"/>
    <x v="68"/>
    <m/>
    <m/>
    <m/>
    <m/>
    <m/>
  </r>
  <r>
    <x v="3"/>
    <x v="0"/>
    <n v="1"/>
    <n v="2020"/>
    <n v="176432.23"/>
    <n v="2941337.78"/>
    <n v="5.9983668383710768E-2"/>
  </r>
  <r>
    <x v="3"/>
    <x v="1"/>
    <n v="2"/>
    <n v="2020"/>
    <n v="321227.96999999997"/>
    <n v="2349456.3899999997"/>
    <n v="0.13672438074068702"/>
  </r>
  <r>
    <x v="3"/>
    <x v="2"/>
    <n v="3"/>
    <n v="2020"/>
    <n v="148634.1"/>
    <n v="1776143.5799999998"/>
    <n v="8.3683606254399787E-2"/>
  </r>
  <r>
    <x v="3"/>
    <x v="3"/>
    <n v="4"/>
    <n v="2020"/>
    <n v="116107.58"/>
    <n v="1758110.85"/>
    <n v="6.6041103153421751E-2"/>
  </r>
  <r>
    <x v="3"/>
    <x v="4"/>
    <n v="5"/>
    <n v="2020"/>
    <n v="148782.76999999999"/>
    <n v="2559944.39"/>
    <n v="5.811953204186595E-2"/>
  </r>
  <r>
    <x v="3"/>
    <x v="5"/>
    <n v="6"/>
    <n v="2020"/>
    <n v="138210.34"/>
    <n v="3887509.5300000003"/>
    <n v="3.5552411880518268E-2"/>
  </r>
  <r>
    <x v="3"/>
    <x v="6"/>
    <n v="7"/>
    <n v="2020"/>
    <n v="165742.85"/>
    <n v="4143176.64"/>
    <n v="4.0003809733779538E-2"/>
  </r>
  <r>
    <x v="3"/>
    <x v="7"/>
    <n v="8"/>
    <n v="2020"/>
    <n v="157175.23000000001"/>
    <n v="4467793.6800000006"/>
    <n v="3.5179607935700373E-2"/>
  </r>
  <r>
    <x v="3"/>
    <x v="8"/>
    <n v="9"/>
    <n v="2020"/>
    <n v="177107.85"/>
    <n v="4802256.0000000009"/>
    <n v="3.6880135086509336E-2"/>
  </r>
  <r>
    <x v="3"/>
    <x v="9"/>
    <n v="10"/>
    <n v="2020"/>
    <n v="197458.79"/>
    <n v="5685928.0300000003"/>
    <n v="3.4727627391372383E-2"/>
  </r>
  <r>
    <x v="3"/>
    <x v="10"/>
    <n v="11"/>
    <n v="2020"/>
    <n v="191403.84"/>
    <n v="4644331.2300000004"/>
    <n v="4.1212357715493947E-2"/>
  </r>
  <r>
    <x v="3"/>
    <x v="11"/>
    <n v="12"/>
    <n v="2020"/>
    <n v="170273.54"/>
    <n v="4473220.9900000012"/>
    <n v="3.8065085624128747E-2"/>
  </r>
  <r>
    <x v="3"/>
    <x v="12"/>
    <n v="1"/>
    <n v="2021"/>
    <n v="158203.44"/>
    <n v="4944925.6000000015"/>
    <n v="3.1993088025429536E-2"/>
  </r>
  <r>
    <x v="3"/>
    <x v="13"/>
    <n v="2"/>
    <n v="2021"/>
    <n v="396872.58999999997"/>
    <n v="5234248.620000001"/>
    <n v="7.5822265775369282E-2"/>
  </r>
  <r>
    <x v="3"/>
    <x v="14"/>
    <n v="3"/>
    <n v="2021"/>
    <n v="166343.57"/>
    <n v="6030259.7299999995"/>
    <n v="2.7584810181965416E-2"/>
  </r>
  <r>
    <x v="3"/>
    <x v="15"/>
    <n v="4"/>
    <n v="2021"/>
    <n v="173706.23"/>
    <n v="7105290.3500000006"/>
    <n v="2.4447449920185174E-2"/>
  </r>
  <r>
    <x v="3"/>
    <x v="16"/>
    <n v="5"/>
    <n v="2021"/>
    <n v="208430.27000000002"/>
    <n v="7918709.8200000003"/>
    <n v="2.6321241052876466E-2"/>
  </r>
  <r>
    <x v="3"/>
    <x v="17"/>
    <n v="6"/>
    <n v="2021"/>
    <n v="207290.84"/>
    <n v="8868518.3300000001"/>
    <n v="2.3373784919492858E-2"/>
  </r>
  <r>
    <x v="3"/>
    <x v="18"/>
    <n v="7"/>
    <n v="2021"/>
    <n v="261359.77000000002"/>
    <n v="9403531.2600000016"/>
    <n v="2.77937896704562E-2"/>
  </r>
  <r>
    <x v="3"/>
    <x v="19"/>
    <n v="8"/>
    <n v="2021"/>
    <n v="259688.84"/>
    <n v="8700462.6600000001"/>
    <n v="2.9847704673673064E-2"/>
  </r>
  <r>
    <x v="3"/>
    <x v="20"/>
    <n v="9"/>
    <n v="2021"/>
    <n v="307595.21999999997"/>
    <n v="8607862.3599999994"/>
    <n v="3.5734216828253278E-2"/>
  </r>
  <r>
    <x v="3"/>
    <x v="21"/>
    <n v="10"/>
    <n v="2021"/>
    <n v="531020.89"/>
    <n v="7463338.209999999"/>
    <n v="7.1150586380836156E-2"/>
  </r>
  <r>
    <x v="3"/>
    <x v="22"/>
    <n v="11"/>
    <n v="2021"/>
    <n v="418443.93"/>
    <n v="6165662.4399999995"/>
    <n v="6.7866824379701207E-2"/>
  </r>
  <r>
    <x v="3"/>
    <x v="23"/>
    <n v="12"/>
    <n v="2021"/>
    <n v="350119.93"/>
    <n v="5516988.5500000007"/>
    <n v="6.3462145485148766E-2"/>
  </r>
  <r>
    <x v="3"/>
    <x v="24"/>
    <n v="1"/>
    <n v="2022"/>
    <n v="357200.12"/>
    <n v="5346830.53"/>
    <n v="6.6805955041182127E-2"/>
  </r>
  <r>
    <x v="3"/>
    <x v="25"/>
    <n v="2"/>
    <n v="2022"/>
    <n v="610154.16999999993"/>
    <n v="6667938.8199999994"/>
    <n v="9.1505664114656646E-2"/>
  </r>
  <r>
    <x v="3"/>
    <x v="26"/>
    <n v="3"/>
    <n v="2022"/>
    <n v="475119.15"/>
    <n v="10398348.879999999"/>
    <n v="4.5691787752364786E-2"/>
  </r>
  <r>
    <x v="3"/>
    <x v="27"/>
    <n v="4"/>
    <n v="2022"/>
    <n v="422949.57"/>
    <n v="7242034.71"/>
    <n v="5.8402035745006804E-2"/>
  </r>
  <r>
    <x v="3"/>
    <x v="28"/>
    <n v="5"/>
    <n v="2022"/>
    <n v="570897.87"/>
    <n v="7832280.7899999982"/>
    <n v="7.2890373226774996E-2"/>
  </r>
  <r>
    <x v="3"/>
    <x v="29"/>
    <n v="6"/>
    <n v="2022"/>
    <n v="454645.55"/>
    <n v="7871509.620000001"/>
    <n v="5.7758368082893856E-2"/>
  </r>
  <r>
    <x v="3"/>
    <x v="30"/>
    <n v="7"/>
    <n v="2022"/>
    <n v="377098.23"/>
    <n v="7133374.0699999994"/>
    <n v="5.2863935957868535E-2"/>
  </r>
  <r>
    <x v="3"/>
    <x v="31"/>
    <n v="8"/>
    <n v="2022"/>
    <n v="404368.99"/>
    <n v="7753457.120000002"/>
    <n v="5.215337929153336E-2"/>
  </r>
  <r>
    <x v="3"/>
    <x v="32"/>
    <n v="9"/>
    <n v="2022"/>
    <n v="687589.79"/>
    <n v="7901820.9700000007"/>
    <n v="8.7016624726186376E-2"/>
  </r>
  <r>
    <x v="3"/>
    <x v="33"/>
    <n v="10"/>
    <n v="2022"/>
    <n v="489327.61"/>
    <n v="5212976.3499999996"/>
    <n v="9.3867222321083424E-2"/>
  </r>
  <r>
    <x v="3"/>
    <x v="34"/>
    <n v="11"/>
    <n v="2022"/>
    <n v="421300.4"/>
    <n v="6633932.3399999989"/>
    <n v="6.3506888284000806E-2"/>
  </r>
  <r>
    <x v="3"/>
    <x v="35"/>
    <n v="12"/>
    <n v="2022"/>
    <n v="497142.17"/>
    <n v="5522329.4800000004"/>
    <n v="9.0023996539952911E-2"/>
  </r>
  <r>
    <x v="3"/>
    <x v="36"/>
    <n v="1"/>
    <n v="2023"/>
    <n v="494277.4"/>
    <n v="4523362.28"/>
    <n v="0.10927212312518997"/>
  </r>
  <r>
    <x v="3"/>
    <x v="37"/>
    <n v="2"/>
    <n v="2023"/>
    <n v="567654.85"/>
    <n v="5020605.1399999997"/>
    <n v="0.11306502586259951"/>
  </r>
  <r>
    <x v="3"/>
    <x v="38"/>
    <n v="3"/>
    <n v="2023"/>
    <n v="617931.63"/>
    <n v="6163399.0099999998"/>
    <n v="0.10025825506306138"/>
  </r>
  <r>
    <x v="3"/>
    <x v="39"/>
    <n v="4"/>
    <n v="2023"/>
    <n v="320640.49"/>
    <n v="5450287.8899999997"/>
    <n v="5.8830009803390405E-2"/>
  </r>
  <r>
    <x v="3"/>
    <x v="40"/>
    <n v="5"/>
    <n v="2023"/>
    <n v="340375.01"/>
    <n v="9087903.75"/>
    <n v="3.7453632802834209E-2"/>
  </r>
  <r>
    <x v="3"/>
    <x v="41"/>
    <n v="6"/>
    <n v="2023"/>
    <n v="489961.87"/>
    <n v="8277075.1100000013"/>
    <n v="5.9195049397105196E-2"/>
  </r>
  <r>
    <x v="3"/>
    <x v="42"/>
    <n v="7"/>
    <n v="2023"/>
    <n v="603462.56999999995"/>
    <n v="5198444.16"/>
    <n v="0.11608522693066688"/>
  </r>
  <r>
    <x v="3"/>
    <x v="43"/>
    <n v="8"/>
    <n v="2023"/>
    <n v="589187.07999999996"/>
    <n v="7988986.9099999983"/>
    <n v="7.3749911802020979E-2"/>
  </r>
  <r>
    <x v="3"/>
    <x v="44"/>
    <n v="9"/>
    <n v="2023"/>
    <n v="708526.28"/>
    <n v="7305588.3999999994"/>
    <n v="9.6984149832476205E-2"/>
  </r>
  <r>
    <x v="3"/>
    <x v="45"/>
    <n v="10"/>
    <n v="2023"/>
    <n v="666806.54"/>
    <n v="8831749.629999999"/>
    <n v="7.5501069203203861E-2"/>
  </r>
  <r>
    <x v="3"/>
    <x v="46"/>
    <n v="11"/>
    <n v="2023"/>
    <n v="479974.99"/>
    <n v="5971298.0200000005"/>
    <n v="8.0380344171802023E-2"/>
  </r>
  <r>
    <x v="3"/>
    <x v="47"/>
    <n v="12"/>
    <n v="2023"/>
    <n v="414684.73000000004"/>
    <n v="8232901.5800000001"/>
    <n v="5.03692077417012E-2"/>
  </r>
  <r>
    <x v="3"/>
    <x v="48"/>
    <n v="1"/>
    <n v="2024"/>
    <n v="627478.37"/>
    <n v="7481410.8899999997"/>
    <n v="8.3871662608281106E-2"/>
  </r>
  <r>
    <x v="3"/>
    <x v="49"/>
    <n v="2"/>
    <n v="2024"/>
    <n v="859391.47"/>
    <n v="8407937.3199999984"/>
    <n v="0.10221192633724345"/>
  </r>
  <r>
    <x v="3"/>
    <x v="50"/>
    <n v="3"/>
    <n v="2024"/>
    <n v="520725.27"/>
    <n v="7671402.7999999998"/>
    <n v="6.7878754847809586E-2"/>
  </r>
  <r>
    <x v="3"/>
    <x v="51"/>
    <n v="4"/>
    <n v="2024"/>
    <n v="685851.9"/>
    <n v="10589146.889999999"/>
    <n v="6.4769325340806566E-2"/>
  </r>
  <r>
    <x v="3"/>
    <x v="52"/>
    <n v="5"/>
    <n v="2024"/>
    <n v="1060078.29"/>
    <n v="11809586.859999999"/>
    <n v="8.9764214664491665E-2"/>
  </r>
  <r>
    <x v="3"/>
    <x v="53"/>
    <n v="6"/>
    <n v="2024"/>
    <n v="640447.78"/>
    <n v="10610189.169999998"/>
    <n v="6.0361579773794E-2"/>
  </r>
  <r>
    <x v="3"/>
    <x v="54"/>
    <n v="7"/>
    <n v="2024"/>
    <n v="859830.96"/>
    <n v="11950053.750000002"/>
    <n v="7.1952057956224655E-2"/>
  </r>
  <r>
    <x v="3"/>
    <x v="55"/>
    <n v="8"/>
    <n v="2024"/>
    <n v="1071337.53"/>
    <n v="9379852.1500000004"/>
    <n v="0.11421688880245304"/>
  </r>
  <r>
    <x v="3"/>
    <x v="56"/>
    <n v="9"/>
    <n v="2024"/>
    <n v="867341.60000000009"/>
    <n v="10391320.409999998"/>
    <n v="8.3467891064673685E-2"/>
  </r>
  <r>
    <x v="3"/>
    <x v="57"/>
    <n v="10"/>
    <n v="2024"/>
    <n v="890390.29"/>
    <n v="10922850.24"/>
    <n v="8.1516295695362381E-2"/>
  </r>
  <r>
    <x v="3"/>
    <x v="58"/>
    <n v="11"/>
    <n v="2024"/>
    <n v="932718.02"/>
    <n v="8432311.2100000028"/>
    <n v="0.11061238096785089"/>
  </r>
  <r>
    <x v="3"/>
    <x v="59"/>
    <n v="12"/>
    <n v="2024"/>
    <n v="688740.6"/>
    <n v="12856176.879999999"/>
    <n v="5.3572738336499927E-2"/>
  </r>
  <r>
    <x v="3"/>
    <x v="60"/>
    <n v="1"/>
    <n v="2025"/>
    <n v="689982.46"/>
    <n v="8086735.4699999988"/>
    <n v="8.5322743962589404E-2"/>
  </r>
  <r>
    <x v="3"/>
    <x v="61"/>
    <n v="2"/>
    <n v="2025"/>
    <n v="853253.07000000007"/>
    <n v="9319159.459999999"/>
    <n v="9.1559015988766021E-2"/>
  </r>
  <r>
    <x v="3"/>
    <x v="62"/>
    <n v="3"/>
    <n v="2025"/>
    <n v="834594.84"/>
    <n v="9258463.5699999984"/>
    <n v="9.0143989193230703E-2"/>
  </r>
  <r>
    <x v="3"/>
    <x v="63"/>
    <n v="4"/>
    <n v="2025"/>
    <n v="691158.21000000008"/>
    <n v="13169292.220000001"/>
    <n v="5.248256310618947E-2"/>
  </r>
  <r>
    <x v="3"/>
    <x v="64"/>
    <n v="5"/>
    <n v="2025"/>
    <n v="850821.51"/>
    <n v="13970252.15"/>
    <n v="6.0902373190164644E-2"/>
  </r>
  <r>
    <x v="3"/>
    <x v="65"/>
    <n v="6"/>
    <n v="2025"/>
    <n v="1115937.8199999998"/>
    <n v="7596376.8400000008"/>
    <n v="0.14690395743979437"/>
  </r>
  <r>
    <x v="3"/>
    <x v="66"/>
    <n v="7"/>
    <n v="2025"/>
    <n v="784905.47"/>
    <n v="8551090.5799999963"/>
    <n v="9.1790101234081461E-2"/>
  </r>
  <r>
    <x v="3"/>
    <x v="67"/>
    <n v="8"/>
    <n v="2025"/>
    <n v="1020714.7000000001"/>
    <n v="8945909.8300000019"/>
    <n v="0.11409847845515338"/>
  </r>
  <r>
    <x v="1"/>
    <x v="68"/>
    <m/>
    <m/>
    <m/>
    <m/>
    <m/>
  </r>
  <r>
    <x v="4"/>
    <x v="0"/>
    <n v="1"/>
    <n v="2020"/>
    <n v="124482.36000000002"/>
    <n v="2941337.78"/>
    <n v="4.2321681258927026E-2"/>
  </r>
  <r>
    <x v="4"/>
    <x v="1"/>
    <n v="2"/>
    <n v="2020"/>
    <n v="99806.550000000017"/>
    <n v="2349456.3899999997"/>
    <n v="4.2480699120361211E-2"/>
  </r>
  <r>
    <x v="4"/>
    <x v="2"/>
    <n v="3"/>
    <n v="2020"/>
    <n v="130483.2"/>
    <n v="1776143.5799999998"/>
    <n v="7.3464331076207257E-2"/>
  </r>
  <r>
    <x v="4"/>
    <x v="3"/>
    <n v="4"/>
    <n v="2020"/>
    <n v="74779.27"/>
    <n v="1758110.85"/>
    <n v="4.2533876632409158E-2"/>
  </r>
  <r>
    <x v="4"/>
    <x v="4"/>
    <n v="5"/>
    <n v="2020"/>
    <n v="85997.29"/>
    <n v="2559944.39"/>
    <n v="3.3593421144589783E-2"/>
  </r>
  <r>
    <x v="4"/>
    <x v="5"/>
    <n v="6"/>
    <n v="2020"/>
    <n v="106731.60000000002"/>
    <n v="3887509.5300000003"/>
    <n v="2.7455006650491737E-2"/>
  </r>
  <r>
    <x v="4"/>
    <x v="6"/>
    <n v="7"/>
    <n v="2020"/>
    <n v="118655.93000000002"/>
    <n v="4143176.64"/>
    <n v="2.863887792145884E-2"/>
  </r>
  <r>
    <x v="4"/>
    <x v="7"/>
    <n v="8"/>
    <n v="2020"/>
    <n v="133578.03999999998"/>
    <n v="4467793.6800000006"/>
    <n v="2.9897987590152095E-2"/>
  </r>
  <r>
    <x v="4"/>
    <x v="8"/>
    <n v="9"/>
    <n v="2020"/>
    <n v="135791.30000000002"/>
    <n v="4802256.0000000009"/>
    <n v="2.827656418150136E-2"/>
  </r>
  <r>
    <x v="4"/>
    <x v="9"/>
    <n v="10"/>
    <n v="2020"/>
    <n v="124481.59000000001"/>
    <n v="5685928.0300000003"/>
    <n v="2.1892923959503582E-2"/>
  </r>
  <r>
    <x v="4"/>
    <x v="10"/>
    <n v="11"/>
    <n v="2020"/>
    <n v="151028.09999999998"/>
    <n v="4644331.2300000004"/>
    <n v="3.2518804650373732E-2"/>
  </r>
  <r>
    <x v="4"/>
    <x v="11"/>
    <n v="12"/>
    <n v="2020"/>
    <n v="165760.07999999999"/>
    <n v="4473220.9900000012"/>
    <n v="3.7056090090465205E-2"/>
  </r>
  <r>
    <x v="4"/>
    <x v="12"/>
    <n v="1"/>
    <n v="2021"/>
    <n v="141887.56999999998"/>
    <n v="4944925.6000000015"/>
    <n v="2.8693570232886809E-2"/>
  </r>
  <r>
    <x v="4"/>
    <x v="13"/>
    <n v="2"/>
    <n v="2021"/>
    <n v="204513.44999999998"/>
    <n v="5234248.620000001"/>
    <n v="3.9072169636451076E-2"/>
  </r>
  <r>
    <x v="4"/>
    <x v="14"/>
    <n v="3"/>
    <n v="2021"/>
    <n v="126017.39000000001"/>
    <n v="6030259.7299999995"/>
    <n v="2.0897506184198805E-2"/>
  </r>
  <r>
    <x v="4"/>
    <x v="15"/>
    <n v="4"/>
    <n v="2021"/>
    <n v="155055.21000000002"/>
    <n v="7105290.3500000006"/>
    <n v="2.1822501595589266E-2"/>
  </r>
  <r>
    <x v="4"/>
    <x v="16"/>
    <n v="5"/>
    <n v="2021"/>
    <n v="192711.92"/>
    <n v="7918709.8200000003"/>
    <n v="2.4336277547798817E-2"/>
  </r>
  <r>
    <x v="4"/>
    <x v="17"/>
    <n v="6"/>
    <n v="2021"/>
    <n v="243574.24999999994"/>
    <n v="8868518.3300000001"/>
    <n v="2.7465044434316452E-2"/>
  </r>
  <r>
    <x v="4"/>
    <x v="18"/>
    <n v="7"/>
    <n v="2021"/>
    <n v="214863.18999999994"/>
    <n v="9403531.2600000016"/>
    <n v="2.284920250267769E-2"/>
  </r>
  <r>
    <x v="4"/>
    <x v="19"/>
    <n v="8"/>
    <n v="2021"/>
    <n v="230962.65000000002"/>
    <n v="8700462.6600000001"/>
    <n v="2.6546019335482101E-2"/>
  </r>
  <r>
    <x v="4"/>
    <x v="20"/>
    <n v="9"/>
    <n v="2021"/>
    <n v="199214.72000000003"/>
    <n v="8607862.3599999994"/>
    <n v="2.3143344034604201E-2"/>
  </r>
  <r>
    <x v="4"/>
    <x v="21"/>
    <n v="10"/>
    <n v="2021"/>
    <n v="298891.83999999997"/>
    <n v="7463338.209999999"/>
    <n v="4.0048009562198311E-2"/>
  </r>
  <r>
    <x v="4"/>
    <x v="22"/>
    <n v="11"/>
    <n v="2021"/>
    <n v="275529.73000000004"/>
    <n v="6165662.4399999995"/>
    <n v="4.4687774052061154E-2"/>
  </r>
  <r>
    <x v="4"/>
    <x v="23"/>
    <n v="12"/>
    <n v="2021"/>
    <n v="258474.29000000004"/>
    <n v="5516988.5500000007"/>
    <n v="4.6850612006436011E-2"/>
  </r>
  <r>
    <x v="4"/>
    <x v="24"/>
    <n v="1"/>
    <n v="2022"/>
    <n v="207194.2"/>
    <n v="5346830.53"/>
    <n v="3.87508447925317E-2"/>
  </r>
  <r>
    <x v="4"/>
    <x v="25"/>
    <n v="2"/>
    <n v="2022"/>
    <n v="309071.42000000004"/>
    <n v="6667938.8199999994"/>
    <n v="4.6351867997493128E-2"/>
  </r>
  <r>
    <x v="4"/>
    <x v="26"/>
    <n v="3"/>
    <n v="2022"/>
    <n v="273960.57999999996"/>
    <n v="10398348.879999999"/>
    <n v="2.6346546279758982E-2"/>
  </r>
  <r>
    <x v="4"/>
    <x v="27"/>
    <n v="4"/>
    <n v="2022"/>
    <n v="268865.89999999997"/>
    <n v="7242034.71"/>
    <n v="3.7125740315597018E-2"/>
  </r>
  <r>
    <x v="4"/>
    <x v="28"/>
    <n v="5"/>
    <n v="2022"/>
    <n v="286542.7"/>
    <n v="7832280.7899999982"/>
    <n v="3.6584834952016587E-2"/>
  </r>
  <r>
    <x v="4"/>
    <x v="29"/>
    <n v="6"/>
    <n v="2022"/>
    <n v="307952.53000000003"/>
    <n v="7871509.620000001"/>
    <n v="3.9122423126759766E-2"/>
  </r>
  <r>
    <x v="4"/>
    <x v="30"/>
    <n v="7"/>
    <n v="2022"/>
    <n v="264628.96999999997"/>
    <n v="7133374.0699999994"/>
    <n v="3.7097307305517482E-2"/>
  </r>
  <r>
    <x v="4"/>
    <x v="31"/>
    <n v="8"/>
    <n v="2022"/>
    <n v="314583.3"/>
    <n v="7753457.120000002"/>
    <n v="4.057329461312606E-2"/>
  </r>
  <r>
    <x v="4"/>
    <x v="32"/>
    <n v="9"/>
    <n v="2022"/>
    <n v="358386.48"/>
    <n v="7901820.9700000007"/>
    <n v="4.5354922790664033E-2"/>
  </r>
  <r>
    <x v="4"/>
    <x v="33"/>
    <n v="10"/>
    <n v="2022"/>
    <n v="311238.07"/>
    <n v="5212976.3499999996"/>
    <n v="5.9704485327273744E-2"/>
  </r>
  <r>
    <x v="4"/>
    <x v="34"/>
    <n v="11"/>
    <n v="2022"/>
    <n v="257067.44"/>
    <n v="6633932.3399999989"/>
    <n v="3.8750386169901764E-2"/>
  </r>
  <r>
    <x v="4"/>
    <x v="35"/>
    <n v="12"/>
    <n v="2022"/>
    <n v="268504.04000000004"/>
    <n v="5522329.4800000004"/>
    <n v="4.862151759912739E-2"/>
  </r>
  <r>
    <x v="4"/>
    <x v="36"/>
    <n v="1"/>
    <n v="2023"/>
    <n v="336709.46"/>
    <n v="4523362.28"/>
    <n v="7.4437871467593356E-2"/>
  </r>
  <r>
    <x v="4"/>
    <x v="37"/>
    <n v="2"/>
    <n v="2023"/>
    <n v="311841.17000000004"/>
    <n v="5020605.1399999997"/>
    <n v="6.2112267606051978E-2"/>
  </r>
  <r>
    <x v="4"/>
    <x v="38"/>
    <n v="3"/>
    <n v="2023"/>
    <n v="281414.77999999997"/>
    <n v="6163399.0099999998"/>
    <n v="4.5659023461471458E-2"/>
  </r>
  <r>
    <x v="4"/>
    <x v="39"/>
    <n v="4"/>
    <n v="2023"/>
    <n v="266394.73"/>
    <n v="5450287.8899999997"/>
    <n v="4.887718509122644E-2"/>
  </r>
  <r>
    <x v="4"/>
    <x v="40"/>
    <n v="5"/>
    <n v="2023"/>
    <n v="382474.43000000005"/>
    <n v="9087903.75"/>
    <n v="4.2086100438728791E-2"/>
  </r>
  <r>
    <x v="4"/>
    <x v="41"/>
    <n v="6"/>
    <n v="2023"/>
    <n v="271818.82999999996"/>
    <n v="8277075.1100000013"/>
    <n v="3.2839961748275102E-2"/>
  </r>
  <r>
    <x v="4"/>
    <x v="42"/>
    <n v="7"/>
    <n v="2023"/>
    <n v="266808.32000000001"/>
    <n v="5198444.16"/>
    <n v="5.132464864256616E-2"/>
  </r>
  <r>
    <x v="4"/>
    <x v="43"/>
    <n v="8"/>
    <n v="2023"/>
    <n v="380776.43"/>
    <n v="7988986.9099999983"/>
    <n v="4.7662667906411688E-2"/>
  </r>
  <r>
    <x v="4"/>
    <x v="44"/>
    <n v="9"/>
    <n v="2023"/>
    <n v="346546.32999999996"/>
    <n v="7305588.3999999994"/>
    <n v="4.7435786281088597E-2"/>
  </r>
  <r>
    <x v="4"/>
    <x v="45"/>
    <n v="10"/>
    <n v="2023"/>
    <n v="338734.14"/>
    <n v="8831749.629999999"/>
    <n v="3.8354137536845016E-2"/>
  </r>
  <r>
    <x v="4"/>
    <x v="46"/>
    <n v="11"/>
    <n v="2023"/>
    <n v="321208.66000000003"/>
    <n v="5971298.0200000005"/>
    <n v="5.379209996288211E-2"/>
  </r>
  <r>
    <x v="4"/>
    <x v="47"/>
    <n v="12"/>
    <n v="2023"/>
    <n v="456942.59"/>
    <n v="8232901.5800000001"/>
    <n v="5.5502010507454652E-2"/>
  </r>
  <r>
    <x v="4"/>
    <x v="48"/>
    <n v="1"/>
    <n v="2024"/>
    <n v="361186.87000000005"/>
    <n v="7481410.8899999997"/>
    <n v="4.8277908446758236E-2"/>
  </r>
  <r>
    <x v="4"/>
    <x v="49"/>
    <n v="2"/>
    <n v="2024"/>
    <n v="346950.12"/>
    <n v="8407937.3199999984"/>
    <n v="4.1264594013410184E-2"/>
  </r>
  <r>
    <x v="4"/>
    <x v="50"/>
    <n v="3"/>
    <n v="2024"/>
    <n v="451097.64000000007"/>
    <n v="7671402.7999999998"/>
    <n v="5.8802496982690064E-2"/>
  </r>
  <r>
    <x v="4"/>
    <x v="51"/>
    <n v="4"/>
    <n v="2024"/>
    <n v="284995.03000000003"/>
    <n v="10589146.889999999"/>
    <n v="2.6913880122782965E-2"/>
  </r>
  <r>
    <x v="4"/>
    <x v="52"/>
    <n v="5"/>
    <n v="2024"/>
    <n v="387336.47"/>
    <n v="11809586.859999999"/>
    <n v="3.2798477592128061E-2"/>
  </r>
  <r>
    <x v="4"/>
    <x v="53"/>
    <n v="6"/>
    <n v="2024"/>
    <n v="400381.85"/>
    <n v="10610189.169999998"/>
    <n v="3.7735599581208978E-2"/>
  </r>
  <r>
    <x v="4"/>
    <x v="54"/>
    <n v="7"/>
    <n v="2024"/>
    <n v="455595.46"/>
    <n v="11950053.750000002"/>
    <n v="3.8124971613621397E-2"/>
  </r>
  <r>
    <x v="4"/>
    <x v="55"/>
    <n v="8"/>
    <n v="2024"/>
    <n v="469789.16999999993"/>
    <n v="9379852.1500000004"/>
    <n v="5.0084922713840421E-2"/>
  </r>
  <r>
    <x v="4"/>
    <x v="56"/>
    <n v="9"/>
    <n v="2024"/>
    <n v="411917.68000000011"/>
    <n v="10391320.409999998"/>
    <n v="3.9640552282806586E-2"/>
  </r>
  <r>
    <x v="4"/>
    <x v="57"/>
    <n v="10"/>
    <n v="2024"/>
    <n v="423081.56999999995"/>
    <n v="10922850.24"/>
    <n v="3.8733623615075763E-2"/>
  </r>
  <r>
    <x v="4"/>
    <x v="58"/>
    <n v="11"/>
    <n v="2024"/>
    <n v="396385.22000000009"/>
    <n v="8432311.2100000028"/>
    <n v="4.7007897375742132E-2"/>
  </r>
  <r>
    <x v="4"/>
    <x v="59"/>
    <n v="12"/>
    <n v="2024"/>
    <n v="578579.88"/>
    <n v="12856176.879999999"/>
    <n v="4.5004038556756387E-2"/>
  </r>
  <r>
    <x v="4"/>
    <x v="60"/>
    <n v="1"/>
    <n v="2025"/>
    <n v="559326.02"/>
    <n v="8086735.4699999988"/>
    <n v="6.9165860819236133E-2"/>
  </r>
  <r>
    <x v="4"/>
    <x v="61"/>
    <n v="2"/>
    <n v="2025"/>
    <n v="634181.66999999993"/>
    <n v="9319159.459999999"/>
    <n v="6.8051380891383517E-2"/>
  </r>
  <r>
    <x v="4"/>
    <x v="62"/>
    <n v="3"/>
    <n v="2025"/>
    <n v="473343.4"/>
    <n v="9258463.5699999984"/>
    <n v="5.1125480639548498E-2"/>
  </r>
  <r>
    <x v="4"/>
    <x v="63"/>
    <n v="4"/>
    <n v="2025"/>
    <n v="526119.10000000009"/>
    <n v="13169292.220000001"/>
    <n v="3.9950446175155196E-2"/>
  </r>
  <r>
    <x v="4"/>
    <x v="64"/>
    <n v="5"/>
    <n v="2025"/>
    <n v="465241.57000000007"/>
    <n v="13970252.15"/>
    <n v="3.3302302993865433E-2"/>
  </r>
  <r>
    <x v="4"/>
    <x v="65"/>
    <n v="6"/>
    <n v="2025"/>
    <n v="552749.29"/>
    <n v="7596376.8400000008"/>
    <n v="7.2764859042985547E-2"/>
  </r>
  <r>
    <x v="4"/>
    <x v="66"/>
    <n v="7"/>
    <n v="2025"/>
    <n v="538874.53"/>
    <n v="8551090.5799999963"/>
    <n v="6.3018222641725338E-2"/>
  </r>
  <r>
    <x v="4"/>
    <x v="67"/>
    <n v="8"/>
    <n v="2025"/>
    <n v="535089.61999999988"/>
    <n v="8945909.8300000019"/>
    <n v="5.981388479968613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2">
  <r>
    <x v="0"/>
    <x v="0"/>
    <m/>
    <m/>
    <m/>
    <m/>
    <m/>
  </r>
  <r>
    <x v="1"/>
    <x v="1"/>
    <s v="Dezembro"/>
    <n v="2013"/>
    <n v="6778967.1299999999"/>
    <m/>
    <m/>
  </r>
  <r>
    <x v="1"/>
    <x v="2"/>
    <s v="Dezembro"/>
    <n v="2014"/>
    <n v="9553472.6699999999"/>
    <m/>
    <m/>
  </r>
  <r>
    <x v="1"/>
    <x v="3"/>
    <s v="Dezembro"/>
    <n v="2015"/>
    <n v="12696725.07"/>
    <m/>
    <m/>
  </r>
  <r>
    <x v="1"/>
    <x v="4"/>
    <s v="Dezembro"/>
    <n v="2016"/>
    <n v="14089211.690000001"/>
    <m/>
    <m/>
  </r>
  <r>
    <x v="1"/>
    <x v="5"/>
    <s v="Dezembro"/>
    <n v="2017"/>
    <n v="13976105.439999999"/>
    <m/>
    <m/>
  </r>
  <r>
    <x v="1"/>
    <x v="6"/>
    <s v="Janeiro"/>
    <n v="2018"/>
    <n v="14278921.333836"/>
    <m/>
    <m/>
  </r>
  <r>
    <x v="1"/>
    <x v="7"/>
    <s v="Fevereiro"/>
    <n v="2018"/>
    <n v="14524672.057668"/>
    <m/>
    <m/>
  </r>
  <r>
    <x v="1"/>
    <x v="8"/>
    <s v="Março"/>
    <n v="2018"/>
    <n v="15083990.830000004"/>
    <m/>
    <m/>
  </r>
  <r>
    <x v="1"/>
    <x v="9"/>
    <s v="Abril"/>
    <n v="2018"/>
    <n v="13204626.639468003"/>
    <m/>
    <m/>
  </r>
  <r>
    <x v="1"/>
    <x v="10"/>
    <s v="Maio"/>
    <n v="2018"/>
    <n v="12994608.922663998"/>
    <m/>
    <m/>
  </r>
  <r>
    <x v="1"/>
    <x v="11"/>
    <s v="Junho"/>
    <n v="2018"/>
    <n v="13127642.568028003"/>
    <m/>
    <m/>
  </r>
  <r>
    <x v="1"/>
    <x v="12"/>
    <s v="Julho"/>
    <n v="2018"/>
    <n v="13741513.629999995"/>
    <m/>
    <m/>
  </r>
  <r>
    <x v="1"/>
    <x v="13"/>
    <s v="Agosto"/>
    <n v="2018"/>
    <n v="14022822.720000003"/>
    <m/>
    <m/>
  </r>
  <r>
    <x v="1"/>
    <x v="14"/>
    <s v="Setembro"/>
    <n v="2018"/>
    <n v="15150683.250000004"/>
    <m/>
    <m/>
  </r>
  <r>
    <x v="1"/>
    <x v="15"/>
    <s v="Outubro"/>
    <n v="2018"/>
    <n v="15240179.989999996"/>
    <m/>
    <m/>
  </r>
  <r>
    <x v="1"/>
    <x v="16"/>
    <s v="Novembro"/>
    <n v="2018"/>
    <n v="15166962.950000001"/>
    <m/>
    <m/>
  </r>
  <r>
    <x v="1"/>
    <x v="17"/>
    <s v="Dezembro"/>
    <n v="2018"/>
    <n v="15255757.339999996"/>
    <m/>
    <m/>
  </r>
  <r>
    <x v="1"/>
    <x v="18"/>
    <s v="Janeiro"/>
    <n v="2019"/>
    <n v="15419407.609999999"/>
    <m/>
    <m/>
  </r>
  <r>
    <x v="1"/>
    <x v="19"/>
    <s v="Fevereiro"/>
    <n v="2019"/>
    <n v="15533459.179999996"/>
    <m/>
    <m/>
  </r>
  <r>
    <x v="1"/>
    <x v="20"/>
    <s v="Março"/>
    <n v="2019"/>
    <n v="15762141.129999999"/>
    <m/>
    <m/>
  </r>
  <r>
    <x v="1"/>
    <x v="21"/>
    <s v="Abril"/>
    <n v="2019"/>
    <n v="15474978.609999998"/>
    <m/>
    <m/>
  </r>
  <r>
    <x v="1"/>
    <x v="22"/>
    <s v="Maio"/>
    <n v="2019"/>
    <n v="15926315.839999998"/>
    <m/>
    <m/>
  </r>
  <r>
    <x v="1"/>
    <x v="23"/>
    <s v="Junho"/>
    <n v="2019"/>
    <n v="15993499.709999997"/>
    <m/>
    <m/>
  </r>
  <r>
    <x v="1"/>
    <x v="24"/>
    <s v="Julho"/>
    <n v="2019"/>
    <n v="17240377.159999996"/>
    <m/>
    <m/>
  </r>
  <r>
    <x v="1"/>
    <x v="25"/>
    <s v="Agosto"/>
    <n v="2019"/>
    <n v="17521238.340000004"/>
    <m/>
    <m/>
  </r>
  <r>
    <x v="1"/>
    <x v="26"/>
    <s v="Setembro"/>
    <n v="2019"/>
    <n v="18278890.119999997"/>
    <m/>
    <m/>
  </r>
  <r>
    <x v="1"/>
    <x v="27"/>
    <s v="Outubro"/>
    <n v="2019"/>
    <n v="17862018.150000002"/>
    <m/>
    <m/>
  </r>
  <r>
    <x v="1"/>
    <x v="28"/>
    <s v="Novembro"/>
    <n v="2019"/>
    <n v="18167933.410000004"/>
    <m/>
    <m/>
  </r>
  <r>
    <x v="1"/>
    <x v="29"/>
    <s v="Dezembro"/>
    <n v="2019"/>
    <n v="18110958.539999999"/>
    <m/>
    <m/>
  </r>
  <r>
    <x v="1"/>
    <x v="30"/>
    <s v="Janeiro"/>
    <n v="2020"/>
    <n v="18510638.019999988"/>
    <m/>
    <m/>
  </r>
  <r>
    <x v="1"/>
    <x v="31"/>
    <s v="Fevereiro"/>
    <n v="2020"/>
    <n v="19265483.370000005"/>
    <m/>
    <m/>
  </r>
  <r>
    <x v="1"/>
    <x v="32"/>
    <s v="Março"/>
    <n v="2020"/>
    <n v="19089353.100000005"/>
    <m/>
    <m/>
  </r>
  <r>
    <x v="1"/>
    <x v="33"/>
    <s v="Abril"/>
    <n v="2020"/>
    <n v="19181271.920000002"/>
    <m/>
    <m/>
  </r>
  <r>
    <x v="1"/>
    <x v="34"/>
    <s v="Maio"/>
    <n v="2020"/>
    <n v="19315178.139999997"/>
    <m/>
    <m/>
  </r>
  <r>
    <x v="1"/>
    <x v="35"/>
    <s v="Junho"/>
    <n v="2020"/>
    <n v="20499391.809999999"/>
    <m/>
    <m/>
  </r>
  <r>
    <x v="1"/>
    <x v="36"/>
    <s v="Julho"/>
    <n v="2020"/>
    <n v="21601678.100000009"/>
    <m/>
    <m/>
  </r>
  <r>
    <x v="1"/>
    <x v="37"/>
    <s v="Agosto"/>
    <n v="2020"/>
    <n v="23484255.609999992"/>
    <m/>
    <m/>
  </r>
  <r>
    <x v="1"/>
    <x v="38"/>
    <s v="Setembro"/>
    <n v="2020"/>
    <n v="24699472.069999997"/>
    <m/>
    <m/>
  </r>
  <r>
    <x v="1"/>
    <x v="39"/>
    <s v="Outubro"/>
    <n v="2020"/>
    <n v="26286469.899999999"/>
    <m/>
    <m/>
  </r>
  <r>
    <x v="1"/>
    <x v="40"/>
    <s v="Novembro"/>
    <n v="2020"/>
    <n v="27080222.570000008"/>
    <m/>
    <m/>
  </r>
  <r>
    <x v="1"/>
    <x v="41"/>
    <s v="Dezembro"/>
    <n v="2020"/>
    <n v="29324892.950000003"/>
    <m/>
    <m/>
  </r>
  <r>
    <x v="1"/>
    <x v="42"/>
    <s v="Janeiro"/>
    <n v="2021"/>
    <n v="30421936.259999994"/>
    <m/>
    <m/>
  </r>
  <r>
    <x v="1"/>
    <x v="43"/>
    <s v="Fevereiro"/>
    <n v="2021"/>
    <n v="30788261.480000004"/>
    <m/>
    <m/>
  </r>
  <r>
    <x v="1"/>
    <x v="44"/>
    <s v="Março"/>
    <n v="2021"/>
    <n v="32277724.770000003"/>
    <m/>
    <m/>
  </r>
  <r>
    <x v="1"/>
    <x v="45"/>
    <s v="Abril"/>
    <n v="2021"/>
    <n v="34484834.079999998"/>
    <m/>
    <m/>
  </r>
  <r>
    <x v="1"/>
    <x v="46"/>
    <s v="Maio"/>
    <n v="2021"/>
    <n v="36361179.060000002"/>
    <m/>
    <m/>
  </r>
  <r>
    <x v="1"/>
    <x v="47"/>
    <s v="Junho"/>
    <n v="2021"/>
    <n v="36029869.090000004"/>
    <m/>
    <m/>
  </r>
  <r>
    <x v="1"/>
    <x v="48"/>
    <s v="Julho"/>
    <n v="2021"/>
    <n v="38424440.979999997"/>
    <m/>
    <m/>
  </r>
  <r>
    <x v="1"/>
    <x v="49"/>
    <s v="Agosto"/>
    <n v="2021"/>
    <n v="40979629.469999999"/>
    <m/>
    <m/>
  </r>
  <r>
    <x v="1"/>
    <x v="50"/>
    <s v="Setembro"/>
    <n v="2021"/>
    <n v="43650883.25"/>
    <m/>
    <m/>
  </r>
  <r>
    <x v="1"/>
    <x v="51"/>
    <s v="Outubro"/>
    <n v="2021"/>
    <n v="44553283.560000002"/>
    <m/>
    <m/>
  </r>
  <r>
    <x v="1"/>
    <x v="52"/>
    <s v="Novembro"/>
    <n v="2021"/>
    <n v="45557112.559999987"/>
    <m/>
    <m/>
  </r>
  <r>
    <x v="1"/>
    <x v="53"/>
    <s v="Dezembro"/>
    <n v="2021"/>
    <n v="45876562.050000004"/>
    <m/>
    <m/>
  </r>
  <r>
    <x v="1"/>
    <x v="54"/>
    <s v="Janeiro"/>
    <n v="2022"/>
    <n v="46445822.619999997"/>
    <m/>
    <m/>
  </r>
  <r>
    <x v="1"/>
    <x v="55"/>
    <s v="Fevereiro"/>
    <n v="2022"/>
    <n v="47692279.950000003"/>
    <m/>
    <m/>
  </r>
  <r>
    <x v="1"/>
    <x v="56"/>
    <s v="Março"/>
    <n v="2022"/>
    <n v="48464785.140000001"/>
    <m/>
    <m/>
  </r>
  <r>
    <x v="1"/>
    <x v="57"/>
    <s v="Abril"/>
    <n v="2022"/>
    <n v="49780570.470000006"/>
    <m/>
    <m/>
  </r>
  <r>
    <x v="1"/>
    <x v="58"/>
    <s v="Maio"/>
    <n v="2022"/>
    <n v="50567002.860000007"/>
    <m/>
    <m/>
  </r>
  <r>
    <x v="1"/>
    <x v="59"/>
    <s v="Junho"/>
    <n v="2022"/>
    <n v="51702676.140000001"/>
    <m/>
    <m/>
  </r>
  <r>
    <x v="1"/>
    <x v="60"/>
    <s v="Julho"/>
    <n v="2022"/>
    <n v="54406079.829999998"/>
    <m/>
    <m/>
  </r>
  <r>
    <x v="1"/>
    <x v="61"/>
    <s v="Agosto"/>
    <n v="2022"/>
    <n v="55023662.179999992"/>
    <m/>
    <m/>
  </r>
  <r>
    <x v="1"/>
    <x v="62"/>
    <s v="Setembro"/>
    <n v="2022"/>
    <n v="55350053.75999999"/>
    <m/>
    <m/>
  </r>
  <r>
    <x v="1"/>
    <x v="63"/>
    <s v="Outubro"/>
    <n v="2022"/>
    <n v="54675875.520000011"/>
    <m/>
    <m/>
  </r>
  <r>
    <x v="1"/>
    <x v="64"/>
    <s v="Novembro"/>
    <n v="2022"/>
    <n v="56341651.779999994"/>
    <m/>
    <m/>
  </r>
  <r>
    <x v="1"/>
    <x v="65"/>
    <s v="Dezembro"/>
    <n v="2022"/>
    <n v="56250001.099999994"/>
    <m/>
    <m/>
  </r>
  <r>
    <x v="1"/>
    <x v="66"/>
    <s v="Janeiro"/>
    <n v="2023"/>
    <n v="56187760.552599996"/>
    <m/>
    <m/>
  </r>
  <r>
    <x v="1"/>
    <x v="67"/>
    <s v="Fevereiro"/>
    <n v="2023"/>
    <n v="56056355.378399998"/>
    <m/>
    <m/>
  </r>
  <r>
    <x v="1"/>
    <x v="68"/>
    <s v="Março"/>
    <n v="2023"/>
    <n v="57123565.674200013"/>
    <m/>
    <m/>
  </r>
  <r>
    <x v="1"/>
    <x v="69"/>
    <s v="Abril"/>
    <n v="2023"/>
    <n v="57509797.914800003"/>
    <m/>
    <m/>
  </r>
  <r>
    <x v="1"/>
    <x v="70"/>
    <s v="Maio"/>
    <n v="2023"/>
    <n v="59114856.240400001"/>
    <m/>
    <m/>
  </r>
  <r>
    <x v="1"/>
    <x v="71"/>
    <s v="Junho"/>
    <n v="2023"/>
    <n v="60130192.59920001"/>
    <m/>
    <m/>
  </r>
  <r>
    <x v="1"/>
    <x v="72"/>
    <s v="Julho"/>
    <n v="2023"/>
    <n v="60357745.368200004"/>
    <m/>
    <m/>
  </r>
  <r>
    <x v="1"/>
    <x v="73"/>
    <s v="Agosto"/>
    <n v="2023"/>
    <n v="61157018.821600005"/>
    <m/>
    <m/>
  </r>
  <r>
    <x v="1"/>
    <x v="74"/>
    <s v="Setembro"/>
    <n v="2023"/>
    <n v="62001409.564200006"/>
    <m/>
    <m/>
  </r>
  <r>
    <x v="1"/>
    <x v="75"/>
    <s v="Outubro"/>
    <n v="2023"/>
    <n v="62925407.04900001"/>
    <m/>
    <m/>
  </r>
  <r>
    <x v="1"/>
    <x v="76"/>
    <s v="Novembro"/>
    <n v="2023"/>
    <n v="63819737.205399998"/>
    <m/>
    <m/>
  </r>
  <r>
    <x v="1"/>
    <x v="77"/>
    <s v="Dezembro"/>
    <n v="2023"/>
    <n v="64013805.860000007"/>
    <m/>
    <m/>
  </r>
  <r>
    <x v="1"/>
    <x v="78"/>
    <s v="Janeiro"/>
    <n v="2024"/>
    <n v="64250561.284199998"/>
    <m/>
    <m/>
  </r>
  <r>
    <x v="1"/>
    <x v="79"/>
    <s v="Fevereiro"/>
    <n v="2024"/>
    <n v="65900470.980999991"/>
    <m/>
    <m/>
  </r>
  <r>
    <x v="1"/>
    <x v="80"/>
    <s v="Março"/>
    <n v="2024"/>
    <n v="66739003.722400002"/>
    <m/>
    <m/>
  </r>
  <r>
    <x v="1"/>
    <x v="81"/>
    <s v="Abril"/>
    <n v="2024"/>
    <n v="68703666.675000012"/>
    <m/>
    <m/>
  </r>
  <r>
    <x v="1"/>
    <x v="82"/>
    <s v="Maio"/>
    <n v="2024"/>
    <n v="65142777.676600009"/>
    <m/>
    <m/>
  </r>
  <r>
    <x v="1"/>
    <x v="83"/>
    <s v="Junho"/>
    <n v="2024"/>
    <n v="68961440.624100015"/>
    <m/>
    <m/>
  </r>
  <r>
    <x v="1"/>
    <x v="84"/>
    <s v="Julho"/>
    <n v="2024"/>
    <n v="77807595.004099995"/>
    <m/>
    <m/>
  </r>
  <r>
    <x v="1"/>
    <x v="85"/>
    <s v="Agosto"/>
    <n v="2024"/>
    <n v="78438525.63409999"/>
    <m/>
    <m/>
  </r>
  <r>
    <x v="1"/>
    <x v="86"/>
    <s v="Setembro"/>
    <n v="2024"/>
    <n v="80049090.404100001"/>
    <m/>
    <m/>
  </r>
  <r>
    <x v="1"/>
    <x v="87"/>
    <s v="Outubro"/>
    <n v="2024"/>
    <n v="82127573.274099991"/>
    <m/>
    <m/>
  </r>
  <r>
    <x v="1"/>
    <x v="88"/>
    <s v="Novembro"/>
    <n v="2024"/>
    <n v="82321753.294100001"/>
    <m/>
    <m/>
  </r>
  <r>
    <x v="1"/>
    <x v="89"/>
    <s v="Dezembro"/>
    <n v="2024"/>
    <n v="83771322.924099982"/>
    <m/>
    <m/>
  </r>
  <r>
    <x v="1"/>
    <x v="90"/>
    <s v="Janeiro"/>
    <n v="2025"/>
    <n v="84711962.299399987"/>
    <m/>
    <m/>
  </r>
  <r>
    <x v="1"/>
    <x v="91"/>
    <s v="Fevereiro"/>
    <n v="2025"/>
    <n v="85535738.261599988"/>
    <m/>
    <m/>
  </r>
  <r>
    <x v="1"/>
    <x v="92"/>
    <s v="Março"/>
    <n v="2025"/>
    <n v="82693866.098000005"/>
    <m/>
    <m/>
  </r>
  <r>
    <x v="1"/>
    <x v="93"/>
    <s v="Abril"/>
    <n v="2025"/>
    <n v="85068152.093400002"/>
    <m/>
    <m/>
  </r>
  <r>
    <x v="1"/>
    <x v="94"/>
    <s v="Maio"/>
    <n v="2025"/>
    <n v="85977351.988000005"/>
    <m/>
    <m/>
  </r>
  <r>
    <x v="1"/>
    <x v="95"/>
    <s v="Junho"/>
    <n v="2025"/>
    <n v="85923533.737999991"/>
    <m/>
    <m/>
  </r>
  <r>
    <x v="1"/>
    <x v="96"/>
    <s v="Julho"/>
    <n v="2025"/>
    <n v="89893248.844199985"/>
    <m/>
    <m/>
  </r>
  <r>
    <x v="1"/>
    <x v="97"/>
    <s v="Agosto"/>
    <n v="2025"/>
    <n v="89673305.120999992"/>
    <m/>
    <m/>
  </r>
  <r>
    <x v="1"/>
    <x v="98"/>
    <s v="Setembro"/>
    <n v="2025"/>
    <n v="88190024.776400015"/>
    <m/>
    <m/>
  </r>
  <r>
    <x v="1"/>
    <x v="99"/>
    <s v="Outubro"/>
    <n v="2025"/>
    <n v="88050667.548799992"/>
    <m/>
    <m/>
  </r>
  <r>
    <x v="1"/>
    <x v="100"/>
    <s v="Novembro"/>
    <n v="2025"/>
    <n v="89005804.925399989"/>
    <m/>
    <m/>
  </r>
  <r>
    <x v="1"/>
    <x v="101"/>
    <s v="Dezembro"/>
    <n v="2025"/>
    <n v="82196884.329599991"/>
    <m/>
    <m/>
  </r>
  <r>
    <x v="1"/>
    <x v="102"/>
    <s v="Janeiro"/>
    <n v="2026"/>
    <n v="83808266.834800005"/>
    <m/>
    <m/>
  </r>
  <r>
    <x v="0"/>
    <x v="0"/>
    <m/>
    <m/>
    <m/>
    <m/>
    <m/>
  </r>
  <r>
    <x v="2"/>
    <x v="6"/>
    <s v="Janeiro"/>
    <n v="2018"/>
    <n v="3.1623999999999999"/>
    <m/>
    <m/>
  </r>
  <r>
    <x v="2"/>
    <x v="7"/>
    <s v="Fevereiro"/>
    <n v="2018"/>
    <n v="3.2448999999999999"/>
    <m/>
    <m/>
  </r>
  <r>
    <x v="2"/>
    <x v="8"/>
    <s v="Março"/>
    <n v="2018"/>
    <n v="3.3237999999999999"/>
    <m/>
    <m/>
  </r>
  <r>
    <x v="2"/>
    <x v="9"/>
    <s v="Abril"/>
    <n v="2018"/>
    <n v="3.4811000000000001"/>
    <m/>
    <m/>
  </r>
  <r>
    <x v="2"/>
    <x v="10"/>
    <s v="Maio"/>
    <n v="2018"/>
    <n v="3.7370000000000001"/>
    <m/>
    <m/>
  </r>
  <r>
    <x v="2"/>
    <x v="11"/>
    <s v="Junho"/>
    <n v="2018"/>
    <n v="3.8557999999999999"/>
    <m/>
    <m/>
  </r>
  <r>
    <x v="2"/>
    <x v="12"/>
    <s v="Julho"/>
    <n v="2018"/>
    <n v="3.7543000000000002"/>
    <m/>
    <m/>
  </r>
  <r>
    <x v="2"/>
    <x v="13"/>
    <s v="Agosto"/>
    <n v="2018"/>
    <n v="4.1346999999999996"/>
    <m/>
    <m/>
  </r>
  <r>
    <x v="2"/>
    <x v="14"/>
    <s v="Setembro"/>
    <n v="2018"/>
    <n v="4.0033000000000003"/>
    <m/>
    <m/>
  </r>
  <r>
    <x v="2"/>
    <x v="15"/>
    <s v="Outubro"/>
    <n v="2018"/>
    <n v="3.7170999999999998"/>
    <m/>
    <m/>
  </r>
  <r>
    <x v="2"/>
    <x v="16"/>
    <s v="Novembro"/>
    <n v="2018"/>
    <n v="3.8626999999999998"/>
    <m/>
    <m/>
  </r>
  <r>
    <x v="2"/>
    <x v="17"/>
    <s v="Dezembro"/>
    <n v="2018"/>
    <n v="3.8742000000000001"/>
    <m/>
    <m/>
  </r>
  <r>
    <x v="2"/>
    <x v="18"/>
    <s v="Janeiro"/>
    <n v="2019"/>
    <n v="3.6513"/>
    <m/>
    <m/>
  </r>
  <r>
    <x v="2"/>
    <x v="19"/>
    <s v="Fevereiro"/>
    <n v="2019"/>
    <n v="3.7378999999999998"/>
    <m/>
    <m/>
  </r>
  <r>
    <x v="2"/>
    <x v="20"/>
    <s v="Março"/>
    <n v="2019"/>
    <n v="3.8961000000000001"/>
    <m/>
    <m/>
  </r>
  <r>
    <x v="2"/>
    <x v="21"/>
    <s v="Abril"/>
    <n v="2019"/>
    <n v="3.9447000000000001"/>
    <m/>
    <m/>
  </r>
  <r>
    <x v="2"/>
    <x v="22"/>
    <s v="Maio"/>
    <n v="2019"/>
    <n v="3.9401000000000002"/>
    <m/>
    <m/>
  </r>
  <r>
    <x v="2"/>
    <x v="23"/>
    <s v="Junho"/>
    <n v="2019"/>
    <n v="3.8315999999999999"/>
    <m/>
    <m/>
  </r>
  <r>
    <x v="2"/>
    <x v="24"/>
    <s v="Julho"/>
    <n v="2019"/>
    <n v="3.7643"/>
    <m/>
    <m/>
  </r>
  <r>
    <x v="2"/>
    <x v="25"/>
    <s v="Agosto"/>
    <n v="2019"/>
    <n v="4.1379000000000001"/>
    <m/>
    <m/>
  </r>
  <r>
    <x v="2"/>
    <x v="26"/>
    <s v="Setembro"/>
    <n v="2019"/>
    <n v="4.1638000000000002"/>
    <m/>
    <m/>
  </r>
  <r>
    <x v="2"/>
    <x v="27"/>
    <s v="Outubro"/>
    <n v="2019"/>
    <n v="4.0034999999999998"/>
    <m/>
    <m/>
  </r>
  <r>
    <x v="2"/>
    <x v="28"/>
    <s v="Novembro"/>
    <n v="2019"/>
    <n v="4.2233999999999998"/>
    <m/>
    <m/>
  </r>
  <r>
    <x v="2"/>
    <x v="29"/>
    <s v="Dezembro"/>
    <n v="2019"/>
    <n v="4.0301"/>
    <m/>
    <m/>
  </r>
  <r>
    <x v="2"/>
    <x v="30"/>
    <s v="Janeiro"/>
    <n v="2020"/>
    <n v="4.2689000000000004"/>
    <m/>
    <m/>
  </r>
  <r>
    <x v="2"/>
    <x v="31"/>
    <s v="Fevereiro"/>
    <n v="2020"/>
    <n v="4.4981"/>
    <m/>
    <m/>
  </r>
  <r>
    <x v="2"/>
    <x v="32"/>
    <s v="Março"/>
    <n v="2020"/>
    <n v="5.1981000000000002"/>
    <m/>
    <m/>
  </r>
  <r>
    <x v="2"/>
    <x v="33"/>
    <s v="Abril"/>
    <n v="2020"/>
    <n v="5.4264000000000001"/>
    <m/>
    <m/>
  </r>
  <r>
    <x v="2"/>
    <x v="34"/>
    <s v="Maio"/>
    <n v="2020"/>
    <n v="5.4257"/>
    <m/>
    <m/>
  </r>
  <r>
    <x v="2"/>
    <x v="35"/>
    <s v="Junho"/>
    <n v="2020"/>
    <n v="5.4753999999999996"/>
    <m/>
    <m/>
  </r>
  <r>
    <x v="2"/>
    <x v="36"/>
    <s v="Julho"/>
    <n v="2020"/>
    <n v="5.2027000000000001"/>
    <m/>
    <m/>
  </r>
  <r>
    <x v="2"/>
    <x v="37"/>
    <s v="Agosto"/>
    <n v="2020"/>
    <n v="5.4706999999999999"/>
    <m/>
    <m/>
  </r>
  <r>
    <x v="2"/>
    <x v="38"/>
    <s v="Setembro"/>
    <n v="2020"/>
    <n v="5.6401000000000003"/>
    <m/>
    <m/>
  </r>
  <r>
    <x v="2"/>
    <x v="39"/>
    <s v="Outubro"/>
    <n v="2020"/>
    <n v="5.7712000000000003"/>
    <m/>
    <m/>
  </r>
  <r>
    <x v="2"/>
    <x v="40"/>
    <s v="Novembro"/>
    <n v="2020"/>
    <n v="5.3311000000000002"/>
    <m/>
    <m/>
  </r>
  <r>
    <x v="2"/>
    <x v="41"/>
    <s v="Dezembro"/>
    <n v="2020"/>
    <n v="5.1961000000000004"/>
    <m/>
    <m/>
  </r>
  <r>
    <x v="2"/>
    <x v="42"/>
    <s v="Janeiro"/>
    <n v="2021"/>
    <n v="5.4752999999999998"/>
    <m/>
    <m/>
  </r>
  <r>
    <x v="2"/>
    <x v="43"/>
    <s v="Fevereiro"/>
    <n v="2021"/>
    <n v="5.5296000000000003"/>
    <m/>
    <m/>
  </r>
  <r>
    <x v="2"/>
    <x v="44"/>
    <s v="Março"/>
    <n v="2021"/>
    <n v="5.6966999999999999"/>
    <m/>
    <m/>
  </r>
  <r>
    <x v="2"/>
    <x v="45"/>
    <s v="Abril"/>
    <n v="2021"/>
    <n v="5.4029999999999996"/>
    <m/>
    <m/>
  </r>
  <r>
    <x v="2"/>
    <x v="46"/>
    <s v="Maio"/>
    <n v="2021"/>
    <n v="5.4029999999999996"/>
    <m/>
    <m/>
  </r>
  <r>
    <x v="2"/>
    <x v="47"/>
    <s v="Junho"/>
    <n v="2021"/>
    <n v="5.0015999999999998"/>
    <m/>
    <m/>
  </r>
  <r>
    <x v="2"/>
    <x v="48"/>
    <s v="Julho"/>
    <n v="2021"/>
    <n v="5.1210000000000004"/>
    <m/>
    <m/>
  </r>
  <r>
    <x v="2"/>
    <x v="49"/>
    <s v="Agosto"/>
    <n v="2021"/>
    <n v="5.1426999999999996"/>
    <m/>
    <m/>
  </r>
  <r>
    <x v="2"/>
    <x v="50"/>
    <s v="Setembro"/>
    <n v="2021"/>
    <n v="5.4387999999999996"/>
    <m/>
    <m/>
  </r>
  <r>
    <x v="2"/>
    <x v="51"/>
    <s v="Outubro"/>
    <n v="2021"/>
    <n v="5.6424000000000003"/>
    <m/>
    <m/>
  </r>
  <r>
    <x v="2"/>
    <x v="52"/>
    <s v="Novembro"/>
    <n v="2021"/>
    <n v="5.6193"/>
    <m/>
    <m/>
  </r>
  <r>
    <x v="2"/>
    <x v="53"/>
    <s v="Dezembro"/>
    <n v="2021"/>
    <n v="5.5799000000000003"/>
    <m/>
    <m/>
  </r>
  <r>
    <x v="2"/>
    <x v="54"/>
    <s v="Janeiro"/>
    <n v="2022"/>
    <n v="5.3574000000000002"/>
    <m/>
    <m/>
  </r>
  <r>
    <x v="2"/>
    <x v="55"/>
    <s v="Fevereiro"/>
    <n v="2022"/>
    <n v="5.1394000000000002"/>
    <m/>
    <m/>
  </r>
  <r>
    <x v="2"/>
    <x v="56"/>
    <s v="Março"/>
    <n v="2022"/>
    <n v="4.7378"/>
    <m/>
    <m/>
  </r>
  <r>
    <x v="2"/>
    <x v="57"/>
    <s v="Abril"/>
    <n v="2022"/>
    <n v="4.9191000000000003"/>
    <m/>
    <m/>
  </r>
  <r>
    <x v="2"/>
    <x v="58"/>
    <s v="Maio"/>
    <n v="2022"/>
    <n v="4.7289000000000003"/>
    <m/>
    <m/>
  </r>
  <r>
    <x v="2"/>
    <x v="59"/>
    <s v="Junho"/>
    <n v="2022"/>
    <n v="5.2374000000000001"/>
    <m/>
    <m/>
  </r>
  <r>
    <x v="2"/>
    <x v="60"/>
    <s v="Julho"/>
    <n v="2022"/>
    <n v="5.1878000000000002"/>
    <m/>
    <m/>
  </r>
  <r>
    <x v="2"/>
    <x v="61"/>
    <s v="Agosto"/>
    <n v="2022"/>
    <n v="5.1783999999999999"/>
    <m/>
    <m/>
  </r>
  <r>
    <x v="2"/>
    <x v="62"/>
    <s v="Setembro"/>
    <n v="2022"/>
    <n v="5.4059999999999997"/>
    <m/>
    <m/>
  </r>
  <r>
    <x v="2"/>
    <x v="63"/>
    <s v="Outubro"/>
    <n v="2022"/>
    <n v="5.2564000000000002"/>
    <m/>
    <m/>
  </r>
  <r>
    <x v="2"/>
    <x v="64"/>
    <s v="Novembro"/>
    <n v="2022"/>
    <n v="5.2941000000000003"/>
    <m/>
    <m/>
  </r>
  <r>
    <x v="2"/>
    <x v="65"/>
    <s v="Dezembro"/>
    <n v="2022"/>
    <n v="5.2176999999999998"/>
    <m/>
    <m/>
  </r>
  <r>
    <x v="2"/>
    <x v="66"/>
    <s v="Janeiro"/>
    <n v="2023"/>
    <n v="5.0993000000000004"/>
    <m/>
    <m/>
  </r>
  <r>
    <x v="2"/>
    <x v="67"/>
    <s v="Fevereiro"/>
    <n v="2023"/>
    <n v="5.2072000000000003"/>
    <m/>
    <m/>
  </r>
  <r>
    <x v="2"/>
    <x v="68"/>
    <s v="Março"/>
    <n v="2023"/>
    <n v="5.2072000000000003"/>
    <m/>
    <m/>
  </r>
  <r>
    <x v="2"/>
    <x v="69"/>
    <s v="Abril"/>
    <n v="2023"/>
    <n v="5"/>
    <m/>
    <m/>
  </r>
  <r>
    <x v="2"/>
    <x v="70"/>
    <s v="Maio"/>
    <n v="2023"/>
    <n v="5"/>
    <m/>
    <m/>
  </r>
  <r>
    <x v="2"/>
    <x v="71"/>
    <s v="Junho"/>
    <n v="2023"/>
    <n v="5"/>
    <m/>
    <m/>
  </r>
  <r>
    <x v="2"/>
    <x v="72"/>
    <s v="Julho"/>
    <n v="2023"/>
    <n v="5"/>
    <m/>
    <m/>
  </r>
  <r>
    <x v="2"/>
    <x v="73"/>
    <s v="Agosto"/>
    <n v="2023"/>
    <n v="5"/>
    <m/>
    <m/>
  </r>
  <r>
    <x v="2"/>
    <x v="74"/>
    <s v="Setembro"/>
    <n v="2023"/>
    <n v="5"/>
    <m/>
    <m/>
  </r>
  <r>
    <x v="2"/>
    <x v="75"/>
    <s v="Outubro"/>
    <n v="2023"/>
    <n v="5"/>
    <m/>
    <m/>
  </r>
  <r>
    <x v="2"/>
    <x v="76"/>
    <s v="Novembro"/>
    <n v="2023"/>
    <n v="5"/>
    <m/>
    <m/>
  </r>
  <r>
    <x v="2"/>
    <x v="77"/>
    <s v="Dezembro"/>
    <n v="2023"/>
    <n v="5"/>
    <m/>
    <m/>
  </r>
  <r>
    <x v="2"/>
    <x v="78"/>
    <s v="Janeiro"/>
    <n v="2024"/>
    <n v="5"/>
    <m/>
    <m/>
  </r>
  <r>
    <x v="2"/>
    <x v="79"/>
    <s v="Fevereiro"/>
    <n v="2024"/>
    <n v="5"/>
    <m/>
    <m/>
  </r>
  <r>
    <x v="2"/>
    <x v="80"/>
    <s v="Março"/>
    <n v="2024"/>
    <n v="5"/>
    <m/>
    <m/>
  </r>
  <r>
    <x v="2"/>
    <x v="81"/>
    <s v="Abril"/>
    <n v="2024"/>
    <n v="5"/>
    <m/>
    <m/>
  </r>
  <r>
    <x v="2"/>
    <x v="82"/>
    <s v="Maio"/>
    <n v="2024"/>
    <n v="5"/>
    <m/>
    <m/>
  </r>
  <r>
    <x v="2"/>
    <x v="83"/>
    <s v="Junho"/>
    <n v="2024"/>
    <n v="5"/>
    <m/>
    <m/>
  </r>
  <r>
    <x v="2"/>
    <x v="84"/>
    <s v="Julho"/>
    <n v="2024"/>
    <n v="5"/>
    <m/>
    <m/>
  </r>
  <r>
    <x v="2"/>
    <x v="85"/>
    <s v="Agosto"/>
    <n v="2024"/>
    <n v="5"/>
    <m/>
    <m/>
  </r>
  <r>
    <x v="2"/>
    <x v="86"/>
    <s v="Setembro"/>
    <n v="2024"/>
    <n v="5"/>
    <m/>
    <m/>
  </r>
  <r>
    <x v="2"/>
    <x v="87"/>
    <s v="Outubro"/>
    <n v="2024"/>
    <n v="5"/>
    <m/>
    <m/>
  </r>
  <r>
    <x v="2"/>
    <x v="88"/>
    <s v="Novembro"/>
    <n v="2024"/>
    <n v="5"/>
    <m/>
    <m/>
  </r>
  <r>
    <x v="2"/>
    <x v="89"/>
    <s v="Dezembro"/>
    <n v="2024"/>
    <n v="5"/>
    <m/>
    <m/>
  </r>
  <r>
    <x v="2"/>
    <x v="90"/>
    <s v="Janeiro"/>
    <n v="2025"/>
    <n v="5"/>
    <m/>
    <m/>
  </r>
  <r>
    <x v="2"/>
    <x v="91"/>
    <s v="Fevereiro"/>
    <n v="2025"/>
    <n v="5"/>
    <m/>
    <m/>
  </r>
  <r>
    <x v="2"/>
    <x v="92"/>
    <s v="Março"/>
    <n v="2025"/>
    <n v="5"/>
    <m/>
    <m/>
  </r>
  <r>
    <x v="2"/>
    <x v="93"/>
    <s v="Abril"/>
    <n v="2025"/>
    <n v="5"/>
    <m/>
    <m/>
  </r>
  <r>
    <x v="2"/>
    <x v="94"/>
    <s v="Maio"/>
    <n v="2025"/>
    <n v="5"/>
    <m/>
    <m/>
  </r>
  <r>
    <x v="2"/>
    <x v="95"/>
    <s v="Junho"/>
    <n v="2025"/>
    <n v="5"/>
    <m/>
    <m/>
  </r>
  <r>
    <x v="2"/>
    <x v="96"/>
    <s v="Julho"/>
    <n v="2025"/>
    <n v="5"/>
    <m/>
    <m/>
  </r>
  <r>
    <x v="2"/>
    <x v="97"/>
    <s v="Agosto"/>
    <n v="2025"/>
    <n v="5"/>
    <m/>
    <m/>
  </r>
  <r>
    <x v="2"/>
    <x v="98"/>
    <s v="Setembro"/>
    <n v="2025"/>
    <n v="5"/>
    <m/>
    <m/>
  </r>
  <r>
    <x v="2"/>
    <x v="99"/>
    <s v="Outubro"/>
    <n v="2025"/>
    <n v="5"/>
    <m/>
    <m/>
  </r>
  <r>
    <x v="2"/>
    <x v="100"/>
    <s v="Novembro"/>
    <n v="2025"/>
    <n v="5"/>
    <m/>
    <m/>
  </r>
  <r>
    <x v="2"/>
    <x v="101"/>
    <s v="Dezembro"/>
    <n v="2025"/>
    <n v="5"/>
    <m/>
    <m/>
  </r>
  <r>
    <x v="2"/>
    <x v="102"/>
    <s v="Janeiro"/>
    <n v="2026"/>
    <n v="5"/>
    <m/>
    <m/>
  </r>
  <r>
    <x v="0"/>
    <x v="0"/>
    <m/>
    <m/>
    <m/>
    <m/>
    <m/>
  </r>
  <r>
    <x v="3"/>
    <x v="6"/>
    <s v="Janeiro"/>
    <n v="2018"/>
    <n v="3.9403999999999999"/>
    <m/>
    <m/>
  </r>
  <r>
    <x v="3"/>
    <x v="7"/>
    <s v="Fevereiro"/>
    <n v="2018"/>
    <n v="3.9584999999999999"/>
    <m/>
    <m/>
  </r>
  <r>
    <x v="3"/>
    <x v="8"/>
    <s v="Março"/>
    <n v="2018"/>
    <n v="4.085"/>
    <m/>
    <m/>
  </r>
  <r>
    <x v="3"/>
    <x v="9"/>
    <s v="Abril"/>
    <n v="2018"/>
    <n v="4.2031000000000001"/>
    <m/>
    <m/>
  </r>
  <r>
    <x v="3"/>
    <x v="10"/>
    <s v="Maio"/>
    <n v="2018"/>
    <n v="4.3611000000000004"/>
    <m/>
    <m/>
  </r>
  <r>
    <x v="3"/>
    <x v="11"/>
    <s v="Junho"/>
    <n v="2018"/>
    <n v="4.5031999999999996"/>
    <m/>
    <m/>
  </r>
  <r>
    <x v="3"/>
    <x v="12"/>
    <s v="Julho"/>
    <n v="2018"/>
    <n v="4.3944000000000001"/>
    <m/>
    <m/>
  </r>
  <r>
    <x v="3"/>
    <x v="13"/>
    <s v="Agosto"/>
    <n v="2018"/>
    <n v="4.7942"/>
    <m/>
    <m/>
  </r>
  <r>
    <x v="3"/>
    <x v="14"/>
    <s v="Setembro"/>
    <n v="2018"/>
    <n v="4.7"/>
    <m/>
    <m/>
  </r>
  <r>
    <x v="3"/>
    <x v="15"/>
    <s v="Outubro"/>
    <n v="2018"/>
    <n v="4.2122000000000002"/>
    <m/>
    <m/>
  </r>
  <r>
    <x v="3"/>
    <x v="16"/>
    <s v="Novembro"/>
    <n v="2018"/>
    <n v="4.3788"/>
    <m/>
    <m/>
  </r>
  <r>
    <x v="3"/>
    <x v="17"/>
    <s v="Dezembro"/>
    <n v="2018"/>
    <n v="4.4375"/>
    <m/>
    <m/>
  </r>
  <r>
    <x v="3"/>
    <x v="18"/>
    <s v="Janeiro"/>
    <n v="2019"/>
    <n v="4.1901999999999999"/>
    <m/>
    <m/>
  </r>
  <r>
    <x v="3"/>
    <x v="19"/>
    <s v="Fevereiro"/>
    <n v="2019"/>
    <n v="4.2556000000000003"/>
    <m/>
    <m/>
  </r>
  <r>
    <x v="3"/>
    <x v="20"/>
    <s v="Março"/>
    <n v="2019"/>
    <n v="4.3738000000000001"/>
    <m/>
    <m/>
  </r>
  <r>
    <x v="3"/>
    <x v="21"/>
    <s v="Abril"/>
    <n v="2019"/>
    <n v="4.4177"/>
    <m/>
    <m/>
  </r>
  <r>
    <x v="3"/>
    <x v="22"/>
    <s v="Maio"/>
    <n v="2019"/>
    <n v="4.3924000000000003"/>
    <m/>
    <m/>
  </r>
  <r>
    <x v="3"/>
    <x v="23"/>
    <s v="Junho"/>
    <n v="2019"/>
    <n v="4.3577000000000004"/>
    <m/>
    <m/>
  </r>
  <r>
    <x v="3"/>
    <x v="24"/>
    <s v="Julho"/>
    <n v="2019"/>
    <n v="4.1893000000000002"/>
    <m/>
    <m/>
  </r>
  <r>
    <x v="3"/>
    <x v="25"/>
    <s v="Agosto"/>
    <n v="2019"/>
    <n v="4.5462999999999996"/>
    <m/>
    <m/>
  </r>
  <r>
    <x v="3"/>
    <x v="26"/>
    <s v="Setembro"/>
    <n v="2019"/>
    <n v="4.5401999999999996"/>
    <m/>
    <m/>
  </r>
  <r>
    <x v="3"/>
    <x v="27"/>
    <s v="Outubro"/>
    <n v="2019"/>
    <n v="4.4646999999999997"/>
    <m/>
    <m/>
  </r>
  <r>
    <x v="3"/>
    <x v="28"/>
    <s v="Novembro"/>
    <n v="2019"/>
    <n v="4.6566999999999998"/>
    <m/>
    <m/>
  </r>
  <r>
    <x v="3"/>
    <x v="29"/>
    <s v="Dezembro"/>
    <n v="2019"/>
    <n v="4.5289999999999999"/>
    <m/>
    <m/>
  </r>
  <r>
    <x v="3"/>
    <x v="30"/>
    <s v="Janeiro"/>
    <n v="2020"/>
    <n v="4.7290999999999999"/>
    <m/>
    <m/>
  </r>
  <r>
    <x v="3"/>
    <x v="31"/>
    <s v="Fevereiro"/>
    <n v="2020"/>
    <n v="4.9402999999999997"/>
    <m/>
    <m/>
  </r>
  <r>
    <x v="3"/>
    <x v="32"/>
    <s v="Março"/>
    <n v="2020"/>
    <n v="5.7247000000000003"/>
    <m/>
    <m/>
  </r>
  <r>
    <x v="3"/>
    <x v="33"/>
    <s v="Abril"/>
    <n v="2020"/>
    <n v="5.9316000000000004"/>
    <m/>
    <m/>
  </r>
  <r>
    <x v="3"/>
    <x v="34"/>
    <s v="Maio"/>
    <n v="2020"/>
    <n v="6.0258000000000003"/>
    <m/>
    <m/>
  </r>
  <r>
    <x v="3"/>
    <x v="35"/>
    <s v="Junho"/>
    <n v="2020"/>
    <n v="6.1521999999999997"/>
    <m/>
    <m/>
  </r>
  <r>
    <x v="3"/>
    <x v="36"/>
    <s v="Julho"/>
    <n v="2020"/>
    <n v="6.1490999999999998"/>
    <m/>
    <m/>
  </r>
  <r>
    <x v="3"/>
    <x v="37"/>
    <s v="Agosto"/>
    <n v="2020"/>
    <n v="6.5364000000000004"/>
    <m/>
    <m/>
  </r>
  <r>
    <x v="3"/>
    <x v="38"/>
    <s v="Setembro"/>
    <n v="2020"/>
    <n v="6.6101999999999999"/>
    <m/>
    <m/>
  </r>
  <r>
    <x v="3"/>
    <x v="39"/>
    <s v="Outubro"/>
    <n v="2020"/>
    <n v="6.7210999999999999"/>
    <m/>
    <m/>
  </r>
  <r>
    <x v="3"/>
    <x v="40"/>
    <s v="Novembro"/>
    <n v="2020"/>
    <n v="6.3799000000000001"/>
    <m/>
    <m/>
  </r>
  <r>
    <x v="3"/>
    <x v="41"/>
    <s v="Dezembro"/>
    <n v="2020"/>
    <n v="6.3756000000000004"/>
    <m/>
    <m/>
  </r>
  <r>
    <x v="3"/>
    <x v="42"/>
    <s v="Janeiro"/>
    <n v="2021"/>
    <n v="6.6519000000000004"/>
    <m/>
    <m/>
  </r>
  <r>
    <x v="3"/>
    <x v="43"/>
    <s v="Fevereiro"/>
    <n v="2021"/>
    <n v="6.7112999999999996"/>
    <m/>
    <m/>
  </r>
  <r>
    <x v="3"/>
    <x v="44"/>
    <s v="Março"/>
    <n v="2021"/>
    <n v="6.6885000000000003"/>
    <m/>
    <m/>
  </r>
  <r>
    <x v="3"/>
    <x v="45"/>
    <s v="Abril"/>
    <n v="2021"/>
    <n v="6.4992999999999999"/>
    <m/>
    <m/>
  </r>
  <r>
    <x v="3"/>
    <x v="46"/>
    <s v="Maio"/>
    <n v="2021"/>
    <n v="6.4992999999999999"/>
    <m/>
    <m/>
  </r>
  <r>
    <x v="3"/>
    <x v="47"/>
    <s v="Junho"/>
    <n v="2021"/>
    <n v="5.9249000000000001"/>
    <m/>
    <m/>
  </r>
  <r>
    <x v="3"/>
    <x v="48"/>
    <s v="Julho"/>
    <n v="2021"/>
    <n v="6.0755999999999997"/>
    <m/>
    <m/>
  </r>
  <r>
    <x v="3"/>
    <x v="49"/>
    <s v="Agosto"/>
    <n v="2021"/>
    <n v="6.0674000000000001"/>
    <m/>
    <m/>
  </r>
  <r>
    <x v="3"/>
    <x v="50"/>
    <s v="Setembro"/>
    <n v="2021"/>
    <n v="6.2953999999999999"/>
    <m/>
    <m/>
  </r>
  <r>
    <x v="3"/>
    <x v="51"/>
    <s v="Outubro"/>
    <n v="2021"/>
    <n v="6.5164"/>
    <m/>
    <m/>
  </r>
  <r>
    <x v="3"/>
    <x v="52"/>
    <s v="Novembro"/>
    <n v="2021"/>
    <n v="6.3255999999999997"/>
    <m/>
    <m/>
  </r>
  <r>
    <x v="3"/>
    <x v="53"/>
    <s v="Dezembro"/>
    <n v="2021"/>
    <n v="6.3186999999999998"/>
    <m/>
    <m/>
  </r>
  <r>
    <x v="3"/>
    <x v="54"/>
    <s v="Janeiro"/>
    <n v="2022"/>
    <n v="6.0072999999999999"/>
    <m/>
    <m/>
  </r>
  <r>
    <x v="3"/>
    <x v="55"/>
    <s v="Fevereiro"/>
    <n v="2022"/>
    <n v="5.7803000000000004"/>
    <m/>
    <m/>
  </r>
  <r>
    <x v="3"/>
    <x v="56"/>
    <s v="Março"/>
    <n v="2022"/>
    <n v="5.2561"/>
    <m/>
    <m/>
  </r>
  <r>
    <x v="3"/>
    <x v="57"/>
    <s v="Abril"/>
    <n v="2022"/>
    <n v="5.1852"/>
    <m/>
    <m/>
  </r>
  <r>
    <x v="3"/>
    <x v="58"/>
    <s v="Maio"/>
    <n v="2022"/>
    <n v="5.0754999999999999"/>
    <m/>
    <m/>
  </r>
  <r>
    <x v="3"/>
    <x v="59"/>
    <s v="Junho"/>
    <n v="2022"/>
    <n v="5.4829999999999997"/>
    <m/>
    <m/>
  </r>
  <r>
    <x v="3"/>
    <x v="60"/>
    <s v="Julho"/>
    <n v="2022"/>
    <n v="5.2910000000000004"/>
    <m/>
    <m/>
  </r>
  <r>
    <x v="3"/>
    <x v="61"/>
    <s v="Agosto"/>
    <n v="2022"/>
    <n v="5.21"/>
    <m/>
    <m/>
  </r>
  <r>
    <x v="3"/>
    <x v="62"/>
    <s v="Setembro"/>
    <n v="2022"/>
    <n v="5.2904"/>
    <m/>
    <m/>
  </r>
  <r>
    <x v="3"/>
    <x v="63"/>
    <s v="Outubro"/>
    <n v="2022"/>
    <n v="5.1948999999999996"/>
    <m/>
    <m/>
  </r>
  <r>
    <x v="3"/>
    <x v="64"/>
    <s v="Novembro"/>
    <n v="2022"/>
    <n v="5.4528999999999996"/>
    <m/>
    <m/>
  </r>
  <r>
    <x v="3"/>
    <x v="65"/>
    <s v="Dezembro"/>
    <n v="2022"/>
    <n v="5.5693999999999999"/>
    <m/>
    <m/>
  </r>
  <r>
    <x v="3"/>
    <x v="66"/>
    <s v="Janeiro"/>
    <n v="2023"/>
    <n v="5.5388999999999999"/>
    <m/>
    <m/>
  </r>
  <r>
    <x v="3"/>
    <x v="67"/>
    <s v="Fevereiro"/>
    <n v="2023"/>
    <n v="5.5217000000000001"/>
    <m/>
    <m/>
  </r>
  <r>
    <x v="3"/>
    <x v="68"/>
    <s v="Março"/>
    <n v="2023"/>
    <n v="5.5217000000000001"/>
    <m/>
    <m/>
  </r>
  <r>
    <x v="3"/>
    <x v="69"/>
    <s v="Abril"/>
    <n v="2023"/>
    <n v="5.51"/>
    <m/>
    <m/>
  </r>
  <r>
    <x v="3"/>
    <x v="70"/>
    <s v="Maio"/>
    <n v="2023"/>
    <n v="5.51"/>
    <m/>
    <m/>
  </r>
  <r>
    <x v="3"/>
    <x v="71"/>
    <s v="Junho"/>
    <n v="2023"/>
    <n v="5.51"/>
    <m/>
    <m/>
  </r>
  <r>
    <x v="3"/>
    <x v="72"/>
    <s v="Julho"/>
    <n v="2023"/>
    <n v="5.51"/>
    <m/>
    <m/>
  </r>
  <r>
    <x v="3"/>
    <x v="73"/>
    <s v="Agosto"/>
    <n v="2023"/>
    <n v="5.51"/>
    <m/>
    <m/>
  </r>
  <r>
    <x v="3"/>
    <x v="74"/>
    <s v="Setembro"/>
    <n v="2023"/>
    <n v="5.51"/>
    <m/>
    <m/>
  </r>
  <r>
    <x v="3"/>
    <x v="75"/>
    <s v="Outubro"/>
    <n v="2023"/>
    <n v="5.51"/>
    <m/>
    <m/>
  </r>
  <r>
    <x v="3"/>
    <x v="76"/>
    <s v="Novembro"/>
    <n v="2023"/>
    <n v="5.51"/>
    <m/>
    <m/>
  </r>
  <r>
    <x v="3"/>
    <x v="77"/>
    <s v="Dezembro"/>
    <n v="2023"/>
    <n v="5.51"/>
    <m/>
    <m/>
  </r>
  <r>
    <x v="3"/>
    <x v="78"/>
    <s v="Janeiro"/>
    <n v="2024"/>
    <n v="5.51"/>
    <m/>
    <m/>
  </r>
  <r>
    <x v="3"/>
    <x v="79"/>
    <s v="Fevereiro"/>
    <n v="2024"/>
    <n v="5.51"/>
    <m/>
    <m/>
  </r>
  <r>
    <x v="3"/>
    <x v="80"/>
    <s v="Março"/>
    <n v="2024"/>
    <n v="5.51"/>
    <m/>
    <m/>
  </r>
  <r>
    <x v="3"/>
    <x v="81"/>
    <s v="Abril"/>
    <n v="2024"/>
    <n v="5.51"/>
    <m/>
    <m/>
  </r>
  <r>
    <x v="3"/>
    <x v="82"/>
    <s v="Maio"/>
    <n v="2024"/>
    <n v="5.51"/>
    <m/>
    <m/>
  </r>
  <r>
    <x v="3"/>
    <x v="83"/>
    <s v="Junho"/>
    <n v="2024"/>
    <n v="5.51"/>
    <m/>
    <m/>
  </r>
  <r>
    <x v="3"/>
    <x v="84"/>
    <s v="Julho"/>
    <n v="2024"/>
    <n v="5.51"/>
    <m/>
    <m/>
  </r>
  <r>
    <x v="3"/>
    <x v="85"/>
    <s v="Agosto"/>
    <n v="2024"/>
    <n v="5.51"/>
    <m/>
    <m/>
  </r>
  <r>
    <x v="3"/>
    <x v="86"/>
    <s v="Setembro"/>
    <n v="2024"/>
    <n v="5.51"/>
    <m/>
    <m/>
  </r>
  <r>
    <x v="3"/>
    <x v="87"/>
    <s v="Outubro"/>
    <n v="2024"/>
    <n v="5.51"/>
    <m/>
    <m/>
  </r>
  <r>
    <x v="3"/>
    <x v="88"/>
    <s v="Novembro"/>
    <n v="2024"/>
    <n v="5.51"/>
    <m/>
    <m/>
  </r>
  <r>
    <x v="3"/>
    <x v="89"/>
    <s v="Dezembro"/>
    <n v="2024"/>
    <n v="5.51"/>
    <m/>
    <m/>
  </r>
  <r>
    <x v="3"/>
    <x v="90"/>
    <s v="Janeiro"/>
    <n v="2025"/>
    <n v="5.51"/>
    <m/>
    <m/>
  </r>
  <r>
    <x v="3"/>
    <x v="91"/>
    <s v="Fevereiro"/>
    <n v="2025"/>
    <n v="5.51"/>
    <m/>
    <m/>
  </r>
  <r>
    <x v="3"/>
    <x v="92"/>
    <s v="Março"/>
    <n v="2025"/>
    <n v="5.51"/>
    <m/>
    <m/>
  </r>
  <r>
    <x v="3"/>
    <x v="93"/>
    <s v="Abril"/>
    <n v="2025"/>
    <n v="5.51"/>
    <m/>
    <m/>
  </r>
  <r>
    <x v="3"/>
    <x v="94"/>
    <s v="Maio"/>
    <n v="2025"/>
    <n v="5.51"/>
    <m/>
    <m/>
  </r>
  <r>
    <x v="3"/>
    <x v="95"/>
    <s v="Junho"/>
    <n v="2025"/>
    <n v="5.51"/>
    <m/>
    <m/>
  </r>
  <r>
    <x v="3"/>
    <x v="96"/>
    <s v="Julho"/>
    <n v="2025"/>
    <n v="5.51"/>
    <m/>
    <m/>
  </r>
  <r>
    <x v="3"/>
    <x v="97"/>
    <s v="Agosto"/>
    <n v="2025"/>
    <n v="5.51"/>
    <m/>
    <m/>
  </r>
  <r>
    <x v="3"/>
    <x v="98"/>
    <s v="Setembro"/>
    <n v="2025"/>
    <n v="5.51"/>
    <m/>
    <m/>
  </r>
  <r>
    <x v="3"/>
    <x v="99"/>
    <s v="Outubro"/>
    <n v="2025"/>
    <n v="5.51"/>
    <m/>
    <m/>
  </r>
  <r>
    <x v="3"/>
    <x v="100"/>
    <s v="Novembro"/>
    <n v="2025"/>
    <n v="5.51"/>
    <m/>
    <m/>
  </r>
  <r>
    <x v="3"/>
    <x v="101"/>
    <s v="Dezembro"/>
    <n v="2025"/>
    <n v="5.51"/>
    <m/>
    <m/>
  </r>
  <r>
    <x v="3"/>
    <x v="102"/>
    <s v="Janeiro"/>
    <n v="2026"/>
    <n v="5.51"/>
    <m/>
    <m/>
  </r>
  <r>
    <x v="0"/>
    <x v="0"/>
    <m/>
    <m/>
    <m/>
    <m/>
    <m/>
  </r>
  <r>
    <x v="4"/>
    <x v="6"/>
    <s v="Janeiro"/>
    <n v="2018"/>
    <n v="0.89"/>
    <m/>
    <m/>
  </r>
  <r>
    <x v="4"/>
    <x v="7"/>
    <s v="Fevereiro"/>
    <n v="2018"/>
    <n v="0.76"/>
    <m/>
    <m/>
  </r>
  <r>
    <x v="4"/>
    <x v="8"/>
    <s v="Março"/>
    <n v="2018"/>
    <n v="0.76"/>
    <m/>
    <m/>
  </r>
  <r>
    <x v="4"/>
    <x v="8"/>
    <s v="Março"/>
    <n v="2018"/>
    <n v="0.76"/>
    <m/>
    <m/>
  </r>
  <r>
    <x v="4"/>
    <x v="8"/>
    <s v="Março"/>
    <n v="2018"/>
    <n v="7.0000000000000007E-2"/>
    <m/>
    <m/>
  </r>
  <r>
    <x v="4"/>
    <x v="9"/>
    <s v="Abril"/>
    <n v="2018"/>
    <n v="0.64"/>
    <m/>
    <m/>
  </r>
  <r>
    <x v="4"/>
    <x v="10"/>
    <s v="Maio"/>
    <n v="2018"/>
    <n v="0.56999999999999995"/>
    <m/>
    <m/>
  </r>
  <r>
    <x v="4"/>
    <x v="11"/>
    <s v="Junho"/>
    <n v="2018"/>
    <n v="1.38"/>
    <m/>
    <m/>
  </r>
  <r>
    <x v="4"/>
    <x v="12"/>
    <s v="Julho"/>
    <n v="2018"/>
    <n v="1.87"/>
    <m/>
    <m/>
  </r>
  <r>
    <x v="4"/>
    <x v="13"/>
    <s v="Agosto"/>
    <n v="2018"/>
    <n v="0.51"/>
    <m/>
    <m/>
  </r>
  <r>
    <x v="4"/>
    <x v="14"/>
    <s v="Setembro"/>
    <n v="2018"/>
    <n v="0.7"/>
    <m/>
    <m/>
  </r>
  <r>
    <x v="4"/>
    <x v="15"/>
    <s v="Outubro"/>
    <n v="2018"/>
    <n v="1.52"/>
    <m/>
    <m/>
  </r>
  <r>
    <x v="4"/>
    <x v="16"/>
    <s v="Novembro"/>
    <n v="2018"/>
    <n v="0.89"/>
    <m/>
    <m/>
  </r>
  <r>
    <x v="4"/>
    <x v="17"/>
    <s v="Dezembro"/>
    <n v="2018"/>
    <n v="-0.49"/>
    <m/>
    <m/>
  </r>
  <r>
    <x v="4"/>
    <x v="18"/>
    <s v="Janeiro"/>
    <n v="2019"/>
    <n v="-1.08"/>
    <m/>
    <m/>
  </r>
  <r>
    <x v="4"/>
    <x v="19"/>
    <s v="Fevereiro"/>
    <n v="2019"/>
    <n v="0.01"/>
    <m/>
    <m/>
  </r>
  <r>
    <x v="4"/>
    <x v="20"/>
    <s v="Março"/>
    <n v="2019"/>
    <n v="0.88"/>
    <m/>
    <m/>
  </r>
  <r>
    <x v="4"/>
    <x v="21"/>
    <s v="Abril"/>
    <n v="2019"/>
    <n v="1.26"/>
    <m/>
    <m/>
  </r>
  <r>
    <x v="4"/>
    <x v="22"/>
    <s v="Maio"/>
    <n v="2019"/>
    <n v="0.92"/>
    <m/>
    <m/>
  </r>
  <r>
    <x v="4"/>
    <x v="23"/>
    <s v="Junho"/>
    <n v="2019"/>
    <n v="0.45"/>
    <m/>
    <m/>
  </r>
  <r>
    <x v="4"/>
    <x v="24"/>
    <s v="Julho"/>
    <n v="2019"/>
    <n v="0.8"/>
    <m/>
    <m/>
  </r>
  <r>
    <x v="4"/>
    <x v="25"/>
    <s v="Agosto"/>
    <n v="2019"/>
    <n v="0.4"/>
    <m/>
    <m/>
  </r>
  <r>
    <x v="4"/>
    <x v="26"/>
    <s v="Setembro"/>
    <n v="2019"/>
    <n v="-0.67"/>
    <m/>
    <m/>
  </r>
  <r>
    <x v="4"/>
    <x v="27"/>
    <s v="Outubro"/>
    <n v="2019"/>
    <n v="-0.01"/>
    <m/>
    <m/>
  </r>
  <r>
    <x v="4"/>
    <x v="28"/>
    <s v="Novembro"/>
    <n v="2019"/>
    <n v="0.68"/>
    <m/>
    <m/>
  </r>
  <r>
    <x v="4"/>
    <x v="29"/>
    <s v="Dezembro"/>
    <n v="2019"/>
    <n v="0.3"/>
    <m/>
    <m/>
  </r>
  <r>
    <x v="4"/>
    <x v="30"/>
    <s v="Janeiro"/>
    <n v="2020"/>
    <n v="2.09"/>
    <m/>
    <m/>
  </r>
  <r>
    <x v="4"/>
    <x v="31"/>
    <s v="Fevereiro"/>
    <n v="2020"/>
    <n v="-0.04"/>
    <m/>
    <m/>
  </r>
  <r>
    <x v="4"/>
    <x v="32"/>
    <s v="Março"/>
    <n v="2020"/>
    <n v="1.24"/>
    <m/>
    <m/>
  </r>
  <r>
    <x v="4"/>
    <x v="33"/>
    <s v="Abril"/>
    <n v="2020"/>
    <n v="0.8"/>
    <m/>
    <m/>
  </r>
  <r>
    <x v="4"/>
    <x v="34"/>
    <s v="Maio"/>
    <n v="2020"/>
    <n v="0.28000000000000003"/>
    <m/>
    <m/>
  </r>
  <r>
    <x v="4"/>
    <x v="35"/>
    <s v="Junho"/>
    <n v="2020"/>
    <n v="1.56"/>
    <m/>
    <m/>
  </r>
  <r>
    <x v="4"/>
    <x v="36"/>
    <s v="Julho"/>
    <n v="2020"/>
    <n v="2.23"/>
    <m/>
    <m/>
  </r>
  <r>
    <x v="4"/>
    <x v="37"/>
    <s v="Agosto"/>
    <n v="2020"/>
    <n v="2.74"/>
    <m/>
    <m/>
  </r>
  <r>
    <x v="4"/>
    <x v="38"/>
    <s v="Setembro"/>
    <n v="2020"/>
    <n v="4.34"/>
    <m/>
    <m/>
  </r>
  <r>
    <x v="4"/>
    <x v="39"/>
    <s v="Outubro"/>
    <n v="2020"/>
    <n v="3.23"/>
    <m/>
    <m/>
  </r>
  <r>
    <x v="4"/>
    <x v="40"/>
    <s v="Novembro"/>
    <n v="2020"/>
    <n v="3.28"/>
    <m/>
    <m/>
  </r>
  <r>
    <x v="4"/>
    <x v="41"/>
    <s v="Dezembro"/>
    <n v="2020"/>
    <n v="0.96"/>
    <m/>
    <m/>
  </r>
  <r>
    <x v="4"/>
    <x v="42"/>
    <s v="Janeiro"/>
    <n v="2021"/>
    <n v="2.58"/>
    <m/>
    <m/>
  </r>
  <r>
    <x v="4"/>
    <x v="43"/>
    <s v="Fevereiro"/>
    <n v="2021"/>
    <n v="2.5299999999999998"/>
    <m/>
    <m/>
  </r>
  <r>
    <x v="4"/>
    <x v="44"/>
    <s v="Março"/>
    <n v="2021"/>
    <n v="2.94"/>
    <m/>
    <m/>
  </r>
  <r>
    <x v="4"/>
    <x v="45"/>
    <s v="Abril"/>
    <n v="2021"/>
    <n v="1.51"/>
    <m/>
    <m/>
  </r>
  <r>
    <x v="4"/>
    <x v="46"/>
    <s v="Maio"/>
    <n v="2021"/>
    <n v="4.0999999999999996"/>
    <m/>
    <m/>
  </r>
  <r>
    <x v="4"/>
    <x v="47"/>
    <s v="Junho"/>
    <n v="2021"/>
    <n v="0.6"/>
    <m/>
    <m/>
  </r>
  <r>
    <x v="4"/>
    <x v="48"/>
    <s v="Julho"/>
    <n v="2021"/>
    <n v="0.78"/>
    <m/>
    <m/>
  </r>
  <r>
    <x v="4"/>
    <x v="49"/>
    <s v="Agosto"/>
    <n v="2021"/>
    <n v="0.66"/>
    <m/>
    <m/>
  </r>
  <r>
    <x v="4"/>
    <x v="50"/>
    <s v="Setembro"/>
    <n v="2021"/>
    <n v="-0.64"/>
    <m/>
    <m/>
  </r>
  <r>
    <x v="4"/>
    <x v="51"/>
    <s v="Outubro"/>
    <n v="2021"/>
    <n v="0.64"/>
    <m/>
    <m/>
  </r>
  <r>
    <x v="4"/>
    <x v="52"/>
    <s v="Novembro"/>
    <n v="2021"/>
    <n v="0.02"/>
    <m/>
    <m/>
  </r>
  <r>
    <x v="4"/>
    <x v="53"/>
    <s v="Dezembro"/>
    <n v="2021"/>
    <n v="0.87"/>
    <m/>
    <m/>
  </r>
  <r>
    <x v="4"/>
    <x v="54"/>
    <s v="Janeiro"/>
    <n v="2022"/>
    <n v="1.82"/>
    <m/>
    <m/>
  </r>
  <r>
    <x v="4"/>
    <x v="55"/>
    <s v="Fevereiro"/>
    <n v="2022"/>
    <n v="1.83"/>
    <m/>
    <m/>
  </r>
  <r>
    <x v="4"/>
    <x v="56"/>
    <s v="Março"/>
    <n v="2022"/>
    <n v="1.74"/>
    <m/>
    <m/>
  </r>
  <r>
    <x v="4"/>
    <x v="57"/>
    <s v="Abril"/>
    <n v="2022"/>
    <n v="1.41"/>
    <m/>
    <m/>
  </r>
  <r>
    <x v="4"/>
    <x v="58"/>
    <s v="Maio"/>
    <n v="2022"/>
    <n v="0.52"/>
    <m/>
    <m/>
  </r>
  <r>
    <x v="4"/>
    <x v="59"/>
    <s v="Junho"/>
    <n v="2022"/>
    <n v="0.59"/>
    <m/>
    <m/>
  </r>
  <r>
    <x v="4"/>
    <x v="60"/>
    <s v="Julho"/>
    <n v="2022"/>
    <n v="0.21"/>
    <m/>
    <m/>
  </r>
  <r>
    <x v="4"/>
    <x v="61"/>
    <s v="Agosto"/>
    <n v="2022"/>
    <n v="-0.7"/>
    <m/>
    <m/>
  </r>
  <r>
    <x v="4"/>
    <x v="62"/>
    <s v="Setembro"/>
    <n v="2022"/>
    <n v="-0.95"/>
    <m/>
    <m/>
  </r>
  <r>
    <x v="4"/>
    <x v="63"/>
    <s v="Outubro"/>
    <n v="2022"/>
    <n v="-0.97"/>
    <m/>
    <m/>
  </r>
  <r>
    <x v="4"/>
    <x v="64"/>
    <s v="Novembro"/>
    <n v="2022"/>
    <n v="-0.56000000000000005"/>
    <m/>
    <m/>
  </r>
  <r>
    <x v="4"/>
    <x v="65"/>
    <s v="Dezembro"/>
    <n v="2022"/>
    <n v="0.45"/>
    <m/>
    <m/>
  </r>
  <r>
    <x v="4"/>
    <x v="66"/>
    <s v="Janeiro"/>
    <n v="2023"/>
    <n v="0.21"/>
    <m/>
    <m/>
  </r>
  <r>
    <x v="4"/>
    <x v="67"/>
    <s v="Fevereiro"/>
    <n v="2023"/>
    <n v="-0.06"/>
    <m/>
    <m/>
  </r>
  <r>
    <x v="4"/>
    <x v="68"/>
    <s v="Março"/>
    <n v="2023"/>
    <n v="0.05"/>
    <m/>
    <m/>
  </r>
  <r>
    <x v="4"/>
    <x v="69"/>
    <s v="Abril"/>
    <n v="2023"/>
    <n v="-0.95"/>
    <m/>
    <m/>
  </r>
  <r>
    <x v="4"/>
    <x v="70"/>
    <s v="Maio"/>
    <n v="2023"/>
    <n v="-0.95"/>
    <m/>
    <m/>
  </r>
  <r>
    <x v="4"/>
    <x v="71"/>
    <s v="Junho"/>
    <n v="2023"/>
    <n v="-0.95"/>
    <m/>
    <m/>
  </r>
  <r>
    <x v="4"/>
    <x v="72"/>
    <s v="Julho"/>
    <n v="2023"/>
    <n v="-0.95"/>
    <m/>
    <m/>
  </r>
  <r>
    <x v="4"/>
    <x v="73"/>
    <s v="Agosto"/>
    <n v="2023"/>
    <n v="-0.95"/>
    <m/>
    <m/>
  </r>
  <r>
    <x v="4"/>
    <x v="74"/>
    <s v="Setembro"/>
    <n v="2023"/>
    <n v="-0.95"/>
    <m/>
    <m/>
  </r>
  <r>
    <x v="4"/>
    <x v="75"/>
    <s v="Outubro"/>
    <n v="2023"/>
    <n v="-0.95"/>
    <m/>
    <m/>
  </r>
  <r>
    <x v="4"/>
    <x v="76"/>
    <s v="Novembro"/>
    <n v="2023"/>
    <n v="-0.95"/>
    <m/>
    <m/>
  </r>
  <r>
    <x v="4"/>
    <x v="77"/>
    <s v="Dezembro"/>
    <n v="2023"/>
    <n v="-0.95"/>
    <m/>
    <m/>
  </r>
  <r>
    <x v="4"/>
    <x v="78"/>
    <s v="Janeiro"/>
    <n v="2024"/>
    <n v="-0.95"/>
    <m/>
    <m/>
  </r>
  <r>
    <x v="4"/>
    <x v="79"/>
    <s v="Fevereiro"/>
    <n v="2024"/>
    <n v="-0.95"/>
    <m/>
    <m/>
  </r>
  <r>
    <x v="4"/>
    <x v="80"/>
    <s v="Março"/>
    <n v="2024"/>
    <n v="-0.95"/>
    <m/>
    <m/>
  </r>
  <r>
    <x v="4"/>
    <x v="81"/>
    <s v="Abril"/>
    <n v="2024"/>
    <n v="-0.95"/>
    <m/>
    <m/>
  </r>
  <r>
    <x v="4"/>
    <x v="82"/>
    <s v="Maio"/>
    <n v="2024"/>
    <n v="-0.95"/>
    <m/>
    <m/>
  </r>
  <r>
    <x v="4"/>
    <x v="83"/>
    <s v="Junho"/>
    <n v="2024"/>
    <n v="-0.95"/>
    <m/>
    <m/>
  </r>
  <r>
    <x v="4"/>
    <x v="84"/>
    <s v="Julho"/>
    <n v="2024"/>
    <n v="-0.95"/>
    <m/>
    <m/>
  </r>
  <r>
    <x v="4"/>
    <x v="85"/>
    <s v="Agosto"/>
    <n v="2024"/>
    <n v="-0.95"/>
    <m/>
    <m/>
  </r>
  <r>
    <x v="4"/>
    <x v="86"/>
    <s v="Setembro"/>
    <n v="2024"/>
    <n v="-0.95"/>
    <m/>
    <m/>
  </r>
  <r>
    <x v="4"/>
    <x v="87"/>
    <s v="Outubro"/>
    <n v="2024"/>
    <n v="-0.95"/>
    <m/>
    <m/>
  </r>
  <r>
    <x v="4"/>
    <x v="88"/>
    <s v="Novembro"/>
    <n v="2024"/>
    <n v="-0.95"/>
    <m/>
    <m/>
  </r>
  <r>
    <x v="4"/>
    <x v="89"/>
    <s v="Dezembro"/>
    <n v="2024"/>
    <n v="-0.95"/>
    <m/>
    <m/>
  </r>
  <r>
    <x v="4"/>
    <x v="90"/>
    <s v="Janeiro"/>
    <n v="2025"/>
    <n v="-0.95"/>
    <m/>
    <m/>
  </r>
  <r>
    <x v="4"/>
    <x v="91"/>
    <s v="Fevereiro"/>
    <n v="2025"/>
    <n v="-0.95"/>
    <m/>
    <m/>
  </r>
  <r>
    <x v="4"/>
    <x v="92"/>
    <s v="Março"/>
    <n v="2025"/>
    <n v="-0.95"/>
    <m/>
    <m/>
  </r>
  <r>
    <x v="4"/>
    <x v="93"/>
    <s v="Abril"/>
    <n v="2025"/>
    <n v="-0.95"/>
    <m/>
    <m/>
  </r>
  <r>
    <x v="4"/>
    <x v="94"/>
    <s v="Maio"/>
    <n v="2025"/>
    <n v="-0.95"/>
    <m/>
    <m/>
  </r>
  <r>
    <x v="4"/>
    <x v="95"/>
    <s v="Junho"/>
    <n v="2025"/>
    <n v="-0.95"/>
    <m/>
    <m/>
  </r>
  <r>
    <x v="4"/>
    <x v="96"/>
    <s v="Julho"/>
    <n v="2025"/>
    <n v="-0.95"/>
    <m/>
    <m/>
  </r>
  <r>
    <x v="4"/>
    <x v="97"/>
    <s v="Agosto"/>
    <n v="2025"/>
    <n v="-0.95"/>
    <m/>
    <m/>
  </r>
  <r>
    <x v="4"/>
    <x v="98"/>
    <s v="Setembro"/>
    <n v="2025"/>
    <n v="-0.95"/>
    <m/>
    <m/>
  </r>
  <r>
    <x v="4"/>
    <x v="99"/>
    <s v="Outubro"/>
    <n v="2025"/>
    <n v="-0.95"/>
    <m/>
    <m/>
  </r>
  <r>
    <x v="4"/>
    <x v="100"/>
    <s v="Novembro"/>
    <n v="2025"/>
    <n v="-0.95"/>
    <m/>
    <m/>
  </r>
  <r>
    <x v="4"/>
    <x v="101"/>
    <s v="Dezembro"/>
    <n v="2025"/>
    <n v="-0.95"/>
    <m/>
    <m/>
  </r>
  <r>
    <x v="4"/>
    <x v="102"/>
    <s v="Janeiro"/>
    <n v="2026"/>
    <n v="-0.95"/>
    <m/>
    <m/>
  </r>
  <r>
    <x v="0"/>
    <x v="0"/>
    <m/>
    <m/>
    <m/>
    <m/>
    <m/>
  </r>
  <r>
    <x v="5"/>
    <x v="6"/>
    <s v="Janeiro"/>
    <n v="2018"/>
    <n v="0.57999999999999996"/>
    <m/>
    <m/>
  </r>
  <r>
    <x v="5"/>
    <x v="7"/>
    <s v="Fevereiro"/>
    <n v="2018"/>
    <n v="0.47"/>
    <m/>
    <m/>
  </r>
  <r>
    <x v="5"/>
    <x v="8"/>
    <s v="Março"/>
    <n v="2018"/>
    <n v="0.53"/>
    <m/>
    <m/>
  </r>
  <r>
    <x v="5"/>
    <x v="9"/>
    <s v="Abril"/>
    <n v="2018"/>
    <n v="0.52"/>
    <m/>
    <m/>
  </r>
  <r>
    <x v="5"/>
    <x v="10"/>
    <s v="Maio"/>
    <n v="2018"/>
    <n v="0.52"/>
    <m/>
    <m/>
  </r>
  <r>
    <x v="5"/>
    <x v="11"/>
    <s v="Junho"/>
    <n v="2018"/>
    <n v="0.52"/>
    <m/>
    <m/>
  </r>
  <r>
    <x v="5"/>
    <x v="12"/>
    <s v="Julho"/>
    <n v="2018"/>
    <n v="0.52"/>
    <m/>
    <m/>
  </r>
  <r>
    <x v="5"/>
    <x v="13"/>
    <s v="Agosto"/>
    <n v="2018"/>
    <n v="0.56999999999999995"/>
    <m/>
    <m/>
  </r>
  <r>
    <x v="5"/>
    <x v="14"/>
    <s v="Setembro"/>
    <n v="2018"/>
    <n v="0.47"/>
    <m/>
    <m/>
  </r>
  <r>
    <x v="5"/>
    <x v="15"/>
    <s v="Outubro"/>
    <n v="2018"/>
    <n v="0.47"/>
    <m/>
    <m/>
  </r>
  <r>
    <x v="5"/>
    <x v="16"/>
    <s v="Novembro"/>
    <n v="2018"/>
    <n v="0.49"/>
    <m/>
    <m/>
  </r>
  <r>
    <x v="5"/>
    <x v="17"/>
    <s v="Dezembro"/>
    <n v="2018"/>
    <n v="0.49"/>
    <m/>
    <m/>
  </r>
  <r>
    <x v="5"/>
    <x v="18"/>
    <s v="Janeiro"/>
    <n v="2019"/>
    <n v="0.54"/>
    <m/>
    <m/>
  </r>
  <r>
    <x v="5"/>
    <x v="19"/>
    <s v="Fevereiro"/>
    <n v="2019"/>
    <n v="0.49"/>
    <m/>
    <m/>
  </r>
  <r>
    <x v="5"/>
    <x v="20"/>
    <s v="Março"/>
    <n v="2019"/>
    <n v="0.47"/>
    <m/>
    <m/>
  </r>
  <r>
    <x v="5"/>
    <x v="21"/>
    <s v="Abril"/>
    <n v="2019"/>
    <n v="0.52"/>
    <m/>
    <m/>
  </r>
  <r>
    <x v="5"/>
    <x v="22"/>
    <s v="Maio"/>
    <n v="2019"/>
    <n v="0.54"/>
    <m/>
    <m/>
  </r>
  <r>
    <x v="5"/>
    <x v="23"/>
    <s v="Junho"/>
    <n v="2019"/>
    <n v="0.47"/>
    <m/>
    <m/>
  </r>
  <r>
    <x v="5"/>
    <x v="24"/>
    <s v="Julho"/>
    <n v="2019"/>
    <n v="0.56999999999999995"/>
    <m/>
    <m/>
  </r>
  <r>
    <x v="5"/>
    <x v="25"/>
    <s v="Agosto"/>
    <n v="2019"/>
    <n v="0.5"/>
    <m/>
    <m/>
  </r>
  <r>
    <x v="5"/>
    <x v="26"/>
    <s v="Setembro"/>
    <n v="2019"/>
    <n v="0.46"/>
    <m/>
    <m/>
  </r>
  <r>
    <x v="5"/>
    <x v="27"/>
    <s v="Outubro"/>
    <n v="2019"/>
    <n v="0.48"/>
    <m/>
    <m/>
  </r>
  <r>
    <x v="5"/>
    <x v="28"/>
    <s v="Novembro"/>
    <n v="2019"/>
    <n v="0.38"/>
    <m/>
    <m/>
  </r>
  <r>
    <x v="5"/>
    <x v="29"/>
    <s v="Dezembro"/>
    <n v="2019"/>
    <n v="0.37"/>
    <m/>
    <m/>
  </r>
  <r>
    <x v="5"/>
    <x v="30"/>
    <s v="Janeiro"/>
    <n v="2020"/>
    <n v="0.38"/>
    <m/>
    <m/>
  </r>
  <r>
    <x v="5"/>
    <x v="31"/>
    <s v="Fevereiro"/>
    <n v="2020"/>
    <n v="0.28999999999999998"/>
    <m/>
    <m/>
  </r>
  <r>
    <x v="5"/>
    <x v="32"/>
    <s v="Março"/>
    <n v="2020"/>
    <n v="0.34"/>
    <m/>
    <m/>
  </r>
  <r>
    <x v="5"/>
    <x v="33"/>
    <s v="Abril"/>
    <n v="2020"/>
    <n v="0.28000000000000003"/>
    <m/>
    <m/>
  </r>
  <r>
    <x v="5"/>
    <x v="34"/>
    <s v="Maio"/>
    <n v="2020"/>
    <n v="0.24"/>
    <m/>
    <m/>
  </r>
  <r>
    <x v="5"/>
    <x v="35"/>
    <s v="Junho"/>
    <n v="2020"/>
    <n v="0.21"/>
    <m/>
    <m/>
  </r>
  <r>
    <x v="5"/>
    <x v="36"/>
    <s v="Julho"/>
    <n v="2020"/>
    <n v="0.19"/>
    <m/>
    <m/>
  </r>
  <r>
    <x v="5"/>
    <x v="37"/>
    <s v="Agosto"/>
    <n v="2020"/>
    <n v="0.16"/>
    <m/>
    <m/>
  </r>
  <r>
    <x v="5"/>
    <x v="38"/>
    <s v="Setembro"/>
    <n v="2020"/>
    <n v="0.16"/>
    <m/>
    <m/>
  </r>
  <r>
    <x v="5"/>
    <x v="39"/>
    <s v="Outubro"/>
    <n v="2020"/>
    <n v="0.16"/>
    <m/>
    <m/>
  </r>
  <r>
    <x v="5"/>
    <x v="40"/>
    <s v="Novembro"/>
    <n v="2020"/>
    <n v="0.15"/>
    <m/>
    <m/>
  </r>
  <r>
    <x v="5"/>
    <x v="41"/>
    <s v="Dezembro"/>
    <n v="2020"/>
    <n v="0.17299999999999999"/>
    <m/>
    <m/>
  </r>
  <r>
    <x v="5"/>
    <x v="42"/>
    <s v="Janeiro"/>
    <n v="2021"/>
    <n v="0.15"/>
    <m/>
    <m/>
  </r>
  <r>
    <x v="5"/>
    <x v="43"/>
    <s v="Fevereiro"/>
    <n v="2021"/>
    <n v="0.13"/>
    <m/>
    <m/>
  </r>
  <r>
    <x v="5"/>
    <x v="44"/>
    <s v="Março"/>
    <n v="2021"/>
    <n v="0.2"/>
    <m/>
    <m/>
  </r>
  <r>
    <x v="5"/>
    <x v="45"/>
    <s v="Abril"/>
    <n v="2021"/>
    <n v="0.21"/>
    <m/>
    <m/>
  </r>
  <r>
    <x v="5"/>
    <x v="46"/>
    <s v="Maio"/>
    <n v="2021"/>
    <n v="0.27"/>
    <m/>
    <m/>
  </r>
  <r>
    <x v="5"/>
    <x v="47"/>
    <s v="Junho"/>
    <n v="2021"/>
    <n v="0.31"/>
    <m/>
    <m/>
  </r>
  <r>
    <x v="5"/>
    <x v="48"/>
    <s v="Julho"/>
    <n v="2021"/>
    <n v="0.36"/>
    <m/>
    <m/>
  </r>
  <r>
    <x v="5"/>
    <x v="49"/>
    <s v="Agosto"/>
    <n v="2021"/>
    <n v="0.43"/>
    <m/>
    <m/>
  </r>
  <r>
    <x v="5"/>
    <x v="50"/>
    <s v="Setembro"/>
    <n v="2021"/>
    <n v="0.44"/>
    <m/>
    <m/>
  </r>
  <r>
    <x v="5"/>
    <x v="51"/>
    <s v="Outubro"/>
    <n v="2021"/>
    <n v="0.49"/>
    <m/>
    <m/>
  </r>
  <r>
    <x v="5"/>
    <x v="52"/>
    <s v="Novembro"/>
    <n v="2021"/>
    <n v="0.59"/>
    <m/>
    <m/>
  </r>
  <r>
    <x v="5"/>
    <x v="53"/>
    <s v="Dezembro"/>
    <n v="2021"/>
    <n v="0.77"/>
    <m/>
    <m/>
  </r>
  <r>
    <x v="5"/>
    <x v="54"/>
    <s v="Janeiro"/>
    <n v="2022"/>
    <n v="0.73"/>
    <m/>
    <m/>
  </r>
  <r>
    <x v="5"/>
    <x v="55"/>
    <s v="Fevereiro"/>
    <n v="2022"/>
    <n v="0.76"/>
    <m/>
    <m/>
  </r>
  <r>
    <x v="5"/>
    <x v="56"/>
    <s v="Março"/>
    <n v="2022"/>
    <n v="0.93"/>
    <m/>
    <m/>
  </r>
  <r>
    <x v="5"/>
    <x v="57"/>
    <s v="Abril"/>
    <n v="2022"/>
    <n v="0.83"/>
    <m/>
    <m/>
  </r>
  <r>
    <x v="5"/>
    <x v="58"/>
    <s v="Maio"/>
    <n v="2022"/>
    <n v="1.03"/>
    <m/>
    <m/>
  </r>
  <r>
    <x v="5"/>
    <x v="59"/>
    <s v="Junho"/>
    <n v="2022"/>
    <n v="1.02"/>
    <m/>
    <m/>
  </r>
  <r>
    <x v="5"/>
    <x v="60"/>
    <s v="Julho"/>
    <n v="2022"/>
    <n v="1.03"/>
    <m/>
    <m/>
  </r>
  <r>
    <x v="5"/>
    <x v="61"/>
    <s v="Agosto"/>
    <n v="2022"/>
    <n v="1.17"/>
    <m/>
    <m/>
  </r>
  <r>
    <x v="5"/>
    <x v="62"/>
    <s v="Setembro"/>
    <n v="2022"/>
    <n v="1.07"/>
    <m/>
    <m/>
  </r>
  <r>
    <x v="5"/>
    <x v="63"/>
    <s v="Outubro"/>
    <n v="2022"/>
    <n v="1.02"/>
    <m/>
    <m/>
  </r>
  <r>
    <x v="5"/>
    <x v="64"/>
    <s v="Novembro"/>
    <n v="2022"/>
    <n v="1.02"/>
    <m/>
    <m/>
  </r>
  <r>
    <x v="5"/>
    <x v="65"/>
    <s v="Dezembro"/>
    <n v="2022"/>
    <n v="1.1200000000000001"/>
    <m/>
    <m/>
  </r>
  <r>
    <x v="5"/>
    <x v="66"/>
    <s v="Janeiro"/>
    <n v="2023"/>
    <n v="1.1200000000000001"/>
    <m/>
    <m/>
  </r>
  <r>
    <x v="5"/>
    <x v="67"/>
    <s v="Fevereiro"/>
    <n v="2023"/>
    <n v="0.92"/>
    <m/>
    <m/>
  </r>
  <r>
    <x v="5"/>
    <x v="68"/>
    <s v="Março"/>
    <n v="2023"/>
    <n v="1.17"/>
    <m/>
    <m/>
  </r>
  <r>
    <x v="5"/>
    <x v="69"/>
    <s v="Abril"/>
    <n v="2023"/>
    <n v="1.1200000000000001"/>
    <m/>
    <m/>
  </r>
  <r>
    <x v="5"/>
    <x v="70"/>
    <s v="Maio"/>
    <n v="2023"/>
    <n v="1.1200000000000001"/>
    <m/>
    <m/>
  </r>
  <r>
    <x v="5"/>
    <x v="71"/>
    <s v="Junho"/>
    <n v="2023"/>
    <n v="1.1200000000000001"/>
    <m/>
    <m/>
  </r>
  <r>
    <x v="5"/>
    <x v="72"/>
    <s v="Julho"/>
    <n v="2023"/>
    <n v="1.1200000000000001"/>
    <m/>
    <m/>
  </r>
  <r>
    <x v="5"/>
    <x v="73"/>
    <s v="Agosto"/>
    <n v="2023"/>
    <n v="1.1200000000000001"/>
    <m/>
    <m/>
  </r>
  <r>
    <x v="5"/>
    <x v="74"/>
    <s v="Setembro"/>
    <n v="2023"/>
    <n v="1.1200000000000001"/>
    <m/>
    <m/>
  </r>
  <r>
    <x v="5"/>
    <x v="75"/>
    <s v="Outubro"/>
    <n v="2023"/>
    <n v="1.1200000000000001"/>
    <m/>
    <m/>
  </r>
  <r>
    <x v="5"/>
    <x v="76"/>
    <s v="Novembro"/>
    <n v="2023"/>
    <n v="1.1200000000000001"/>
    <m/>
    <m/>
  </r>
  <r>
    <x v="5"/>
    <x v="77"/>
    <s v="Dezembro"/>
    <n v="2023"/>
    <n v="1.1200000000000001"/>
    <m/>
    <m/>
  </r>
  <r>
    <x v="5"/>
    <x v="78"/>
    <s v="Janeiro"/>
    <n v="2024"/>
    <n v="1.1200000000000001"/>
    <m/>
    <m/>
  </r>
  <r>
    <x v="5"/>
    <x v="79"/>
    <s v="Fevereiro"/>
    <n v="2024"/>
    <n v="1.1200000000000001"/>
    <m/>
    <m/>
  </r>
  <r>
    <x v="5"/>
    <x v="80"/>
    <s v="Março"/>
    <n v="2024"/>
    <n v="1.1200000000000001"/>
    <m/>
    <m/>
  </r>
  <r>
    <x v="5"/>
    <x v="81"/>
    <s v="Abril"/>
    <n v="2024"/>
    <n v="1.1200000000000001"/>
    <m/>
    <m/>
  </r>
  <r>
    <x v="5"/>
    <x v="82"/>
    <s v="Maio"/>
    <n v="2024"/>
    <n v="1.1200000000000001"/>
    <m/>
    <m/>
  </r>
  <r>
    <x v="5"/>
    <x v="83"/>
    <s v="Junho"/>
    <n v="2024"/>
    <n v="1.1200000000000001"/>
    <m/>
    <m/>
  </r>
  <r>
    <x v="5"/>
    <x v="84"/>
    <s v="Julho"/>
    <n v="2024"/>
    <n v="1.1200000000000001"/>
    <m/>
    <m/>
  </r>
  <r>
    <x v="5"/>
    <x v="85"/>
    <s v="Agosto"/>
    <n v="2024"/>
    <n v="1.1200000000000001"/>
    <m/>
    <m/>
  </r>
  <r>
    <x v="5"/>
    <x v="86"/>
    <s v="Setembro"/>
    <n v="2024"/>
    <n v="1.1200000000000001"/>
    <m/>
    <m/>
  </r>
  <r>
    <x v="5"/>
    <x v="87"/>
    <s v="Outubro"/>
    <n v="2024"/>
    <n v="1.1200000000000001"/>
    <m/>
    <m/>
  </r>
  <r>
    <x v="5"/>
    <x v="88"/>
    <s v="Novembro"/>
    <n v="2024"/>
    <n v="1.1200000000000001"/>
    <m/>
    <m/>
  </r>
  <r>
    <x v="5"/>
    <x v="89"/>
    <s v="Dezembro"/>
    <n v="2024"/>
    <n v="1.1200000000000001"/>
    <m/>
    <m/>
  </r>
  <r>
    <x v="5"/>
    <x v="90"/>
    <s v="Janeiro"/>
    <n v="2025"/>
    <n v="1.1200000000000001"/>
    <m/>
    <m/>
  </r>
  <r>
    <x v="5"/>
    <x v="91"/>
    <s v="Fevereiro"/>
    <n v="2025"/>
    <n v="1.1200000000000001"/>
    <m/>
    <m/>
  </r>
  <r>
    <x v="5"/>
    <x v="92"/>
    <s v="Março"/>
    <n v="2025"/>
    <n v="1.1200000000000001"/>
    <m/>
    <m/>
  </r>
  <r>
    <x v="5"/>
    <x v="93"/>
    <s v="Abril"/>
    <n v="2025"/>
    <n v="1.1200000000000001"/>
    <m/>
    <m/>
  </r>
  <r>
    <x v="5"/>
    <x v="94"/>
    <s v="Maio"/>
    <n v="2025"/>
    <n v="1.1200000000000001"/>
    <m/>
    <m/>
  </r>
  <r>
    <x v="5"/>
    <x v="95"/>
    <s v="Junho"/>
    <n v="2025"/>
    <n v="1.1200000000000001"/>
    <m/>
    <m/>
  </r>
  <r>
    <x v="5"/>
    <x v="96"/>
    <s v="Julho"/>
    <n v="2025"/>
    <n v="1.1200000000000001"/>
    <m/>
    <m/>
  </r>
  <r>
    <x v="5"/>
    <x v="97"/>
    <s v="Agosto"/>
    <n v="2025"/>
    <n v="1.1200000000000001"/>
    <m/>
    <m/>
  </r>
  <r>
    <x v="5"/>
    <x v="98"/>
    <s v="Setembro"/>
    <n v="2025"/>
    <n v="1.1200000000000001"/>
    <m/>
    <m/>
  </r>
  <r>
    <x v="5"/>
    <x v="99"/>
    <s v="Outubro"/>
    <n v="2025"/>
    <n v="1.1200000000000001"/>
    <m/>
    <m/>
  </r>
  <r>
    <x v="5"/>
    <x v="100"/>
    <s v="Novembro"/>
    <n v="2025"/>
    <n v="1.1200000000000001"/>
    <m/>
    <m/>
  </r>
  <r>
    <x v="5"/>
    <x v="101"/>
    <s v="Dezembro"/>
    <n v="2025"/>
    <n v="1.1200000000000001"/>
    <m/>
    <m/>
  </r>
  <r>
    <x v="5"/>
    <x v="102"/>
    <s v="Janeiro"/>
    <n v="2026"/>
    <n v="1.1200000000000001"/>
    <m/>
    <m/>
  </r>
  <r>
    <x v="0"/>
    <x v="0"/>
    <m/>
    <m/>
    <m/>
    <m/>
    <m/>
  </r>
  <r>
    <x v="6"/>
    <x v="1"/>
    <s v="Dezembro"/>
    <n v="2013"/>
    <n v="6201265.330000001"/>
    <m/>
    <m/>
  </r>
  <r>
    <x v="6"/>
    <x v="2"/>
    <s v="Dezembro"/>
    <n v="2014"/>
    <n v="8310392.7266479991"/>
    <m/>
    <m/>
  </r>
  <r>
    <x v="6"/>
    <x v="3"/>
    <s v="Dezembro"/>
    <n v="2015"/>
    <n v="11687307.869999995"/>
    <m/>
    <m/>
  </r>
  <r>
    <x v="6"/>
    <x v="4"/>
    <s v="Dezembro"/>
    <n v="2016"/>
    <n v="13589895.405553121"/>
    <m/>
    <m/>
  </r>
  <r>
    <x v="6"/>
    <x v="5"/>
    <s v="Dezembro"/>
    <n v="2017"/>
    <n v="13809428.419999998"/>
    <m/>
    <m/>
  </r>
  <r>
    <x v="6"/>
    <x v="6"/>
    <s v="Janeiro"/>
    <n v="2018"/>
    <n v="14158794.593835996"/>
    <m/>
    <m/>
  </r>
  <r>
    <x v="6"/>
    <x v="7"/>
    <s v="Fevereiro"/>
    <n v="2018"/>
    <n v="14451095.597668"/>
    <m/>
    <m/>
  </r>
  <r>
    <x v="6"/>
    <x v="8"/>
    <s v="Março"/>
    <n v="2018"/>
    <n v="15056964.650511995"/>
    <m/>
    <m/>
  </r>
  <r>
    <x v="6"/>
    <x v="9"/>
    <s v="Abril"/>
    <n v="2018"/>
    <n v="11224150.739980001"/>
    <m/>
    <m/>
  </r>
  <r>
    <x v="6"/>
    <x v="10"/>
    <s v="Maio"/>
    <n v="2018"/>
    <n v="11073646.653176"/>
    <m/>
    <m/>
  </r>
  <r>
    <x v="6"/>
    <x v="11"/>
    <s v="Junho"/>
    <n v="2018"/>
    <n v="11283792.798540002"/>
    <m/>
    <m/>
  </r>
  <r>
    <x v="6"/>
    <x v="12"/>
    <s v="Julho"/>
    <n v="2018"/>
    <n v="11952861.84"/>
    <m/>
    <m/>
  </r>
  <r>
    <x v="6"/>
    <x v="13"/>
    <s v="Agosto"/>
    <n v="2018"/>
    <n v="12284469.909999998"/>
    <m/>
    <m/>
  </r>
  <r>
    <x v="6"/>
    <x v="14"/>
    <s v="Setembro"/>
    <n v="2018"/>
    <n v="13490057.84"/>
    <m/>
    <m/>
  </r>
  <r>
    <x v="6"/>
    <x v="15"/>
    <s v="Outubro"/>
    <n v="2018"/>
    <n v="13430373.078539999"/>
    <m/>
    <m/>
  </r>
  <r>
    <x v="6"/>
    <x v="16"/>
    <s v="Novembro"/>
    <n v="2018"/>
    <n v="13432856.658539999"/>
    <m/>
    <m/>
  </r>
  <r>
    <x v="6"/>
    <x v="17"/>
    <s v="Dezembro"/>
    <n v="2018"/>
    <n v="13549363.538540002"/>
    <m/>
    <m/>
  </r>
  <r>
    <x v="6"/>
    <x v="18"/>
    <s v="Janeiro"/>
    <n v="2019"/>
    <n v="13769866.281200001"/>
    <m/>
    <m/>
  </r>
  <r>
    <x v="6"/>
    <x v="19"/>
    <s v="Fevereiro"/>
    <n v="2019"/>
    <n v="13902166.261199996"/>
    <m/>
    <m/>
  </r>
  <r>
    <x v="6"/>
    <x v="20"/>
    <s v="Março"/>
    <n v="2019"/>
    <n v="14180188.041199999"/>
    <m/>
    <m/>
  </r>
  <r>
    <x v="6"/>
    <x v="21"/>
    <s v="Abril"/>
    <n v="2019"/>
    <n v="14719236.611199997"/>
    <m/>
    <m/>
  </r>
  <r>
    <x v="6"/>
    <x v="22"/>
    <s v="Maio"/>
    <n v="2019"/>
    <n v="15234880.49"/>
    <m/>
    <m/>
  </r>
  <r>
    <x v="6"/>
    <x v="23"/>
    <s v="Junho"/>
    <n v="2019"/>
    <n v="15351861.941200003"/>
    <m/>
    <m/>
  </r>
  <r>
    <x v="6"/>
    <x v="24"/>
    <s v="Julho"/>
    <n v="2019"/>
    <n v="16017346.131199999"/>
    <m/>
    <m/>
  </r>
  <r>
    <x v="6"/>
    <x v="25"/>
    <s v="Agosto"/>
    <n v="2019"/>
    <n v="16381186.131200003"/>
    <m/>
    <m/>
  </r>
  <r>
    <x v="6"/>
    <x v="26"/>
    <s v="Setembro"/>
    <n v="2019"/>
    <n v="17232964.891199999"/>
    <m/>
    <m/>
  </r>
  <r>
    <x v="6"/>
    <x v="27"/>
    <s v="Outubro"/>
    <n v="2019"/>
    <n v="17739754.001200002"/>
    <m/>
    <m/>
  </r>
  <r>
    <x v="6"/>
    <x v="28"/>
    <s v="Novembro"/>
    <n v="2019"/>
    <n v="18103785.731199998"/>
    <m/>
    <m/>
  </r>
  <r>
    <x v="6"/>
    <x v="29"/>
    <s v="Dezembro"/>
    <n v="2019"/>
    <n v="18090585.721199997"/>
    <m/>
    <m/>
  </r>
  <r>
    <x v="6"/>
    <x v="30"/>
    <s v="Janeiro"/>
    <n v="2020"/>
    <n v="18547065.869999997"/>
    <m/>
    <m/>
  </r>
  <r>
    <x v="6"/>
    <x v="31"/>
    <s v="Fevereiro"/>
    <n v="2020"/>
    <n v="18780887.190000001"/>
    <m/>
    <m/>
  </r>
  <r>
    <x v="6"/>
    <x v="32"/>
    <s v="Março"/>
    <n v="2020"/>
    <n v="18714336.619999997"/>
    <m/>
    <m/>
  </r>
  <r>
    <x v="6"/>
    <x v="33"/>
    <s v="Abril"/>
    <n v="2020"/>
    <n v="18760874.159999996"/>
    <m/>
    <m/>
  </r>
  <r>
    <x v="6"/>
    <x v="34"/>
    <s v="Maio"/>
    <n v="2020"/>
    <n v="18989711.119999997"/>
    <m/>
    <m/>
  </r>
  <r>
    <x v="6"/>
    <x v="35"/>
    <s v="Junho"/>
    <n v="2020"/>
    <n v="20269499.93"/>
    <m/>
    <m/>
  </r>
  <r>
    <x v="6"/>
    <x v="36"/>
    <s v="Julho"/>
    <n v="2020"/>
    <n v="21452911.489999998"/>
    <m/>
    <m/>
  </r>
  <r>
    <x v="6"/>
    <x v="37"/>
    <s v="Agosto"/>
    <n v="2020"/>
    <n v="22458935.66"/>
    <m/>
    <m/>
  </r>
  <r>
    <x v="6"/>
    <x v="38"/>
    <s v="Setembro"/>
    <n v="2020"/>
    <n v="23754811.089999996"/>
    <m/>
    <m/>
  </r>
  <r>
    <x v="6"/>
    <x v="39"/>
    <s v="Outubro"/>
    <n v="2020"/>
    <n v="25414629.910000004"/>
    <m/>
    <m/>
  </r>
  <r>
    <x v="6"/>
    <x v="40"/>
    <s v="Novembro"/>
    <n v="2020"/>
    <n v="26331588.270000003"/>
    <m/>
    <m/>
  </r>
  <r>
    <x v="6"/>
    <x v="41"/>
    <s v="Dezembro"/>
    <n v="2020"/>
    <n v="27389624.040000007"/>
    <m/>
    <m/>
  </r>
  <r>
    <x v="6"/>
    <x v="42"/>
    <s v="Janeiro"/>
    <n v="2021"/>
    <n v="28573669.670000002"/>
    <m/>
    <m/>
  </r>
  <r>
    <x v="6"/>
    <x v="43"/>
    <s v="Fevereiro"/>
    <n v="2021"/>
    <n v="29061365.91"/>
    <m/>
    <m/>
  </r>
  <r>
    <x v="6"/>
    <x v="44"/>
    <s v="Março"/>
    <n v="2021"/>
    <n v="30662948.140000001"/>
    <m/>
    <m/>
  </r>
  <r>
    <x v="6"/>
    <x v="45"/>
    <s v="Abril"/>
    <n v="2021"/>
    <n v="32950773.230000004"/>
    <m/>
    <m/>
  </r>
  <r>
    <x v="6"/>
    <x v="46"/>
    <s v="Maio"/>
    <n v="2021"/>
    <n v="34871180.95000001"/>
    <m/>
    <m/>
  </r>
  <r>
    <x v="6"/>
    <x v="47"/>
    <s v="Junho"/>
    <n v="2021"/>
    <n v="34815587.050000004"/>
    <m/>
    <m/>
  </r>
  <r>
    <x v="6"/>
    <x v="48"/>
    <s v="Julho"/>
    <n v="2021"/>
    <n v="37453851.100000009"/>
    <m/>
    <m/>
  </r>
  <r>
    <x v="6"/>
    <x v="49"/>
    <s v="Agosto"/>
    <n v="2021"/>
    <n v="40095762.100000001"/>
    <m/>
    <m/>
  </r>
  <r>
    <x v="6"/>
    <x v="50"/>
    <s v="Setembro"/>
    <n v="2021"/>
    <n v="43062360.840000004"/>
    <m/>
    <m/>
  </r>
  <r>
    <x v="6"/>
    <x v="51"/>
    <s v="Outubro"/>
    <n v="2021"/>
    <n v="44339862.369999997"/>
    <m/>
    <m/>
  </r>
  <r>
    <x v="6"/>
    <x v="52"/>
    <s v="Novembro"/>
    <n v="2021"/>
    <n v="45456941.509999998"/>
    <m/>
    <m/>
  </r>
  <r>
    <x v="6"/>
    <x v="53"/>
    <s v="Dezembro"/>
    <n v="2021"/>
    <n v="45711150.600000001"/>
    <m/>
    <m/>
  </r>
  <r>
    <x v="6"/>
    <x v="54"/>
    <s v="Janeiro"/>
    <n v="2022"/>
    <n v="46464784.460000008"/>
    <m/>
    <m/>
  </r>
  <r>
    <x v="6"/>
    <x v="55"/>
    <s v="Fevereiro"/>
    <n v="2022"/>
    <n v="48006736.359999992"/>
    <m/>
    <m/>
  </r>
  <r>
    <x v="6"/>
    <x v="56"/>
    <s v="Março"/>
    <n v="2022"/>
    <n v="48958231.019999996"/>
    <m/>
    <m/>
  </r>
  <r>
    <x v="6"/>
    <x v="57"/>
    <s v="Abril"/>
    <n v="2022"/>
    <n v="50444235.089999996"/>
    <m/>
    <m/>
  </r>
  <r>
    <x v="6"/>
    <x v="58"/>
    <s v="Maio"/>
    <n v="2022"/>
    <n v="51605011.560000002"/>
    <m/>
    <m/>
  </r>
  <r>
    <x v="6"/>
    <x v="59"/>
    <s v="Junho"/>
    <n v="2022"/>
    <n v="52912884.24000001"/>
    <m/>
    <m/>
  </r>
  <r>
    <x v="6"/>
    <x v="60"/>
    <s v="Julho"/>
    <n v="2022"/>
    <n v="54868883.399999991"/>
    <m/>
    <m/>
  </r>
  <r>
    <x v="6"/>
    <x v="61"/>
    <s v="Agosto"/>
    <n v="2022"/>
    <n v="55702952.919999994"/>
    <m/>
    <m/>
  </r>
  <r>
    <x v="6"/>
    <x v="62"/>
    <s v="Setembro"/>
    <n v="2022"/>
    <n v="57192619.100000001"/>
    <m/>
    <m/>
  </r>
  <r>
    <x v="6"/>
    <x v="63"/>
    <s v="Outubro"/>
    <n v="2022"/>
    <n v="57023274.350000009"/>
    <m/>
    <m/>
  </r>
  <r>
    <x v="6"/>
    <x v="64"/>
    <s v="Novembro"/>
    <n v="2022"/>
    <n v="58401434.289999999"/>
    <m/>
    <m/>
  </r>
  <r>
    <x v="6"/>
    <x v="65"/>
    <s v="Dezembro"/>
    <n v="2022"/>
    <n v="58422737.955000013"/>
    <m/>
    <m/>
  </r>
  <r>
    <x v="6"/>
    <x v="66"/>
    <s v="Janeiro"/>
    <n v="2023"/>
    <n v="58886268.542599991"/>
    <m/>
    <m/>
  </r>
  <r>
    <x v="6"/>
    <x v="67"/>
    <s v="Fevereiro"/>
    <n v="2023"/>
    <n v="58990650.708400004"/>
    <m/>
    <m/>
  </r>
  <r>
    <x v="6"/>
    <x v="68"/>
    <s v="Março"/>
    <n v="2023"/>
    <n v="59672353.2042"/>
    <m/>
    <m/>
  </r>
  <r>
    <x v="6"/>
    <x v="69"/>
    <s v="Abril"/>
    <n v="2023"/>
    <n v="60297646.804799996"/>
    <m/>
    <m/>
  </r>
  <r>
    <x v="6"/>
    <x v="70"/>
    <s v="Maio"/>
    <n v="2023"/>
    <n v="62046598.670400001"/>
    <m/>
    <m/>
  </r>
  <r>
    <x v="6"/>
    <x v="71"/>
    <s v="Junho"/>
    <n v="2023"/>
    <n v="63135835.859199993"/>
    <m/>
    <m/>
  </r>
  <r>
    <x v="6"/>
    <x v="72"/>
    <s v="Julho"/>
    <n v="2023"/>
    <n v="62856841.378200002"/>
    <m/>
    <m/>
  </r>
  <r>
    <x v="6"/>
    <x v="73"/>
    <s v="Agosto"/>
    <n v="2023"/>
    <n v="63627965.151600003"/>
    <m/>
    <m/>
  </r>
  <r>
    <x v="6"/>
    <x v="74"/>
    <s v="Setembro"/>
    <n v="2023"/>
    <n v="64024715.954199985"/>
    <m/>
    <m/>
  </r>
  <r>
    <x v="6"/>
    <x v="75"/>
    <s v="Outubro"/>
    <n v="2023"/>
    <n v="64953301.078999981"/>
    <m/>
    <m/>
  </r>
  <r>
    <x v="6"/>
    <x v="76"/>
    <s v="Novembro"/>
    <n v="2023"/>
    <n v="64941362.785399996"/>
    <m/>
    <m/>
  </r>
  <r>
    <x v="6"/>
    <x v="77"/>
    <s v="Dezembro"/>
    <n v="2023"/>
    <n v="66371459.695799991"/>
    <m/>
    <m/>
  </r>
  <r>
    <x v="6"/>
    <x v="78"/>
    <s v="Janeiro"/>
    <n v="2024"/>
    <n v="67691472.524199992"/>
    <m/>
    <m/>
  </r>
  <r>
    <x v="6"/>
    <x v="79"/>
    <s v="Fevereiro"/>
    <n v="2024"/>
    <n v="68786941.21100001"/>
    <m/>
    <m/>
  </r>
  <r>
    <x v="6"/>
    <x v="80"/>
    <s v="Março"/>
    <n v="2024"/>
    <n v="68388234.382400006"/>
    <m/>
    <m/>
  </r>
  <r>
    <x v="6"/>
    <x v="81"/>
    <s v="Abril"/>
    <n v="2024"/>
    <n v="70293275.555000007"/>
    <m/>
    <m/>
  </r>
  <r>
    <x v="6"/>
    <x v="82"/>
    <s v="Maio"/>
    <n v="2024"/>
    <n v="65745277.316600002"/>
    <m/>
    <m/>
  </r>
  <r>
    <x v="6"/>
    <x v="83"/>
    <s v="Junho"/>
    <n v="2024"/>
    <n v="66702096.924099989"/>
    <m/>
    <m/>
  </r>
  <r>
    <x v="6"/>
    <x v="84"/>
    <s v="Julho"/>
    <n v="2024"/>
    <n v="66894220.054099999"/>
    <m/>
    <m/>
  </r>
  <r>
    <x v="6"/>
    <x v="85"/>
    <s v="Agosto"/>
    <n v="2024"/>
    <n v="67555237.734099984"/>
    <m/>
    <m/>
  </r>
  <r>
    <x v="6"/>
    <x v="86"/>
    <s v="Setembro"/>
    <n v="2024"/>
    <n v="69064373.354100019"/>
    <m/>
    <m/>
  </r>
  <r>
    <x v="6"/>
    <x v="87"/>
    <s v="Outubro"/>
    <n v="2024"/>
    <n v="69509537.314100012"/>
    <m/>
    <m/>
  </r>
  <r>
    <x v="6"/>
    <x v="88"/>
    <s v="Novembro"/>
    <n v="2024"/>
    <n v="69216679.454099998"/>
    <m/>
    <m/>
  </r>
  <r>
    <x v="6"/>
    <x v="89"/>
    <s v="Dezembro"/>
    <n v="2024"/>
    <n v="71058325.324099988"/>
    <m/>
    <m/>
  </r>
  <r>
    <x v="6"/>
    <x v="90"/>
    <s v="Janeiro"/>
    <n v="2025"/>
    <n v="72217185.209399998"/>
    <m/>
    <m/>
  </r>
  <r>
    <x v="6"/>
    <x v="91"/>
    <s v="Fevereiro"/>
    <n v="2025"/>
    <n v="72784556.661599994"/>
    <m/>
    <m/>
  </r>
  <r>
    <x v="6"/>
    <x v="92"/>
    <s v="Março"/>
    <n v="2025"/>
    <n v="73999296.838"/>
    <m/>
    <m/>
  </r>
  <r>
    <x v="6"/>
    <x v="93"/>
    <s v="Abril"/>
    <n v="2025"/>
    <n v="76165146.953399986"/>
    <m/>
    <m/>
  </r>
  <r>
    <x v="6"/>
    <x v="94"/>
    <s v="Maio"/>
    <n v="2025"/>
    <n v="77927678.917999983"/>
    <m/>
    <m/>
  </r>
  <r>
    <x v="6"/>
    <x v="95"/>
    <s v="Junho"/>
    <n v="2025"/>
    <n v="77509807.808000013"/>
    <m/>
    <m/>
  </r>
  <r>
    <x v="6"/>
    <x v="96"/>
    <s v="Julho"/>
    <n v="2025"/>
    <n v="77531966.934199989"/>
    <m/>
    <m/>
  </r>
  <r>
    <x v="6"/>
    <x v="97"/>
    <s v="Agosto"/>
    <n v="2025"/>
    <n v="78921113.420999989"/>
    <m/>
    <m/>
  </r>
  <r>
    <x v="6"/>
    <x v="98"/>
    <s v="Setembro"/>
    <n v="2025"/>
    <n v="79105686.186399996"/>
    <m/>
    <m/>
  </r>
  <r>
    <x v="6"/>
    <x v="99"/>
    <s v="Outubro"/>
    <n v="2025"/>
    <n v="78806617.618799984"/>
    <m/>
    <m/>
  </r>
  <r>
    <x v="6"/>
    <x v="100"/>
    <s v="Novembro"/>
    <n v="2025"/>
    <n v="79453878.435399979"/>
    <m/>
    <m/>
  </r>
  <r>
    <x v="6"/>
    <x v="101"/>
    <s v="Dezembro"/>
    <n v="2025"/>
    <n v="64447827.749599986"/>
    <m/>
    <m/>
  </r>
  <r>
    <x v="6"/>
    <x v="102"/>
    <s v="Janeiro"/>
    <n v="2026"/>
    <n v="66917817.044799991"/>
    <m/>
    <m/>
  </r>
  <r>
    <x v="0"/>
    <x v="0"/>
    <m/>
    <m/>
    <m/>
    <m/>
    <m/>
  </r>
  <r>
    <x v="7"/>
    <x v="1"/>
    <s v="Dezembro"/>
    <n v="2013"/>
    <n v="0.1917880823096586"/>
    <m/>
    <m/>
  </r>
  <r>
    <x v="7"/>
    <x v="2"/>
    <s v="Dezembro"/>
    <n v="2014"/>
    <n v="0.29715632289821503"/>
    <m/>
    <m/>
  </r>
  <r>
    <x v="7"/>
    <x v="3"/>
    <s v="Dezembro"/>
    <n v="2015"/>
    <n v="0.18729769280844663"/>
    <m/>
    <m/>
  </r>
  <r>
    <x v="7"/>
    <x v="4"/>
    <s v="Dezembro"/>
    <n v="2016"/>
    <n v="0.13317935077118248"/>
    <m/>
    <m/>
  </r>
  <r>
    <x v="7"/>
    <x v="5"/>
    <s v="Dezembro"/>
    <n v="2017"/>
    <n v="0.13643886829482094"/>
    <m/>
    <m/>
  </r>
  <r>
    <x v="7"/>
    <x v="6"/>
    <s v="Janeiro"/>
    <n v="2018"/>
    <n v="0.11678543608337119"/>
    <m/>
    <m/>
  </r>
  <r>
    <x v="7"/>
    <x v="7"/>
    <s v="Fevereiro"/>
    <n v="2018"/>
    <n v="0.12410099834733386"/>
    <m/>
    <m/>
  </r>
  <r>
    <x v="7"/>
    <x v="8"/>
    <s v="Março"/>
    <n v="2018"/>
    <n v="0.13750934664392675"/>
    <m/>
    <m/>
  </r>
  <r>
    <x v="7"/>
    <x v="9"/>
    <s v="Abril"/>
    <n v="2018"/>
    <n v="0.31984198959396232"/>
    <m/>
    <m/>
  </r>
  <r>
    <x v="7"/>
    <x v="10"/>
    <s v="Maio"/>
    <n v="2018"/>
    <n v="0.29400067550941689"/>
    <m/>
    <m/>
  </r>
  <r>
    <x v="7"/>
    <x v="11"/>
    <s v="Junho"/>
    <n v="2018"/>
    <n v="0.30858580703961436"/>
    <m/>
    <m/>
  </r>
  <r>
    <x v="7"/>
    <x v="12"/>
    <s v="Julho"/>
    <n v="2018"/>
    <n v="0.28747975199315845"/>
    <m/>
    <m/>
  </r>
  <r>
    <x v="7"/>
    <x v="13"/>
    <s v="Agosto"/>
    <n v="2018"/>
    <n v="0.29112505822853896"/>
    <m/>
    <m/>
  </r>
  <r>
    <x v="7"/>
    <x v="14"/>
    <s v="Setembro"/>
    <n v="2018"/>
    <n v="0.30700619540100005"/>
    <m/>
    <m/>
  </r>
  <r>
    <x v="7"/>
    <x v="15"/>
    <s v="Outubro"/>
    <n v="2018"/>
    <n v="0.29041941353239559"/>
    <m/>
    <m/>
  </r>
  <r>
    <x v="7"/>
    <x v="16"/>
    <s v="Novembro"/>
    <n v="2018"/>
    <n v="0.26451793772016147"/>
    <m/>
    <m/>
  </r>
  <r>
    <x v="7"/>
    <x v="17"/>
    <s v="Dezembro"/>
    <n v="2018"/>
    <n v="0.25319145758156369"/>
    <m/>
    <m/>
  </r>
  <r>
    <x v="7"/>
    <x v="18"/>
    <s v="Janeiro"/>
    <n v="2019"/>
    <n v="0.27096617170550363"/>
    <m/>
    <m/>
  </r>
  <r>
    <x v="7"/>
    <x v="19"/>
    <s v="Fevereiro"/>
    <n v="2019"/>
    <n v="0.26041166252267772"/>
    <m/>
    <m/>
  </r>
  <r>
    <x v="7"/>
    <x v="20"/>
    <s v="Março"/>
    <n v="2019"/>
    <n v="0.27594745260699827"/>
    <m/>
    <m/>
  </r>
  <r>
    <x v="7"/>
    <x v="21"/>
    <s v="Abril"/>
    <n v="2019"/>
    <n v="0.25417595297513335"/>
    <m/>
    <m/>
  </r>
  <r>
    <x v="7"/>
    <x v="22"/>
    <s v="Maio"/>
    <n v="2019"/>
    <n v="0.26253745443454379"/>
    <m/>
    <m/>
  </r>
  <r>
    <x v="7"/>
    <x v="23"/>
    <s v="Junho"/>
    <n v="2019"/>
    <n v="0.27581499711679547"/>
    <m/>
    <m/>
  </r>
  <r>
    <x v="7"/>
    <x v="24"/>
    <s v="Julho"/>
    <n v="2019"/>
    <n v="0.26867231966273153"/>
    <m/>
    <m/>
  </r>
  <r>
    <x v="7"/>
    <x v="25"/>
    <s v="Agosto"/>
    <n v="2019"/>
    <n v="0.24756857637978116"/>
    <m/>
    <m/>
  </r>
  <r>
    <x v="7"/>
    <x v="26"/>
    <s v="Setembro"/>
    <n v="2019"/>
    <n v="0.2573282920728342"/>
    <m/>
    <m/>
  </r>
  <r>
    <x v="7"/>
    <x v="27"/>
    <s v="Outubro"/>
    <n v="2019"/>
    <n v="0.20033634162027034"/>
    <m/>
    <m/>
  </r>
  <r>
    <x v="7"/>
    <x v="28"/>
    <s v="Novembro"/>
    <n v="2019"/>
    <n v="0.21204136572302992"/>
    <m/>
    <m/>
  </r>
  <r>
    <x v="7"/>
    <x v="29"/>
    <s v="Dezembro"/>
    <n v="2019"/>
    <n v="0.18722131488352506"/>
    <m/>
    <m/>
  </r>
  <r>
    <x v="7"/>
    <x v="30"/>
    <s v="Janeiro"/>
    <n v="2020"/>
    <n v="0.18777082418121774"/>
    <m/>
    <m/>
  </r>
  <r>
    <x v="7"/>
    <x v="31"/>
    <s v="Fevereiro"/>
    <n v="2020"/>
    <n v="0.23386746375883213"/>
    <m/>
    <m/>
  </r>
  <r>
    <x v="7"/>
    <x v="32"/>
    <s v="Março"/>
    <n v="2020"/>
    <n v="0.21492621022923011"/>
    <m/>
    <m/>
  </r>
  <r>
    <x v="7"/>
    <x v="33"/>
    <s v="Abril"/>
    <n v="2020"/>
    <n v="0.19045011603419537"/>
    <m/>
    <m/>
  </r>
  <r>
    <x v="7"/>
    <x v="34"/>
    <s v="Maio"/>
    <n v="2020"/>
    <n v="0.20802428147150603"/>
    <m/>
    <m/>
  </r>
  <r>
    <x v="7"/>
    <x v="35"/>
    <s v="Junho"/>
    <n v="2020"/>
    <n v="0.20272031837801546"/>
    <m/>
    <m/>
  </r>
  <r>
    <x v="7"/>
    <x v="36"/>
    <s v="Julho"/>
    <n v="2020"/>
    <n v="0.19420182378303769"/>
    <m/>
    <m/>
  </r>
  <r>
    <x v="7"/>
    <x v="37"/>
    <s v="Agosto"/>
    <n v="2020"/>
    <n v="0.23001467041232992"/>
    <m/>
    <m/>
  </r>
  <r>
    <x v="7"/>
    <x v="38"/>
    <s v="Setembro"/>
    <n v="2020"/>
    <n v="0.22670374865735748"/>
    <m/>
    <m/>
  </r>
  <r>
    <x v="7"/>
    <x v="39"/>
    <s v="Outubro"/>
    <n v="2020"/>
    <n v="0.19585063550689163"/>
    <m/>
    <m/>
  </r>
  <r>
    <x v="7"/>
    <x v="40"/>
    <s v="Novembro"/>
    <n v="2020"/>
    <n v="0.21408707631907856"/>
    <m/>
    <m/>
  </r>
  <r>
    <x v="7"/>
    <x v="41"/>
    <s v="Dezembro"/>
    <n v="2020"/>
    <n v="0.24155889299180322"/>
    <m/>
    <m/>
  </r>
  <r>
    <x v="7"/>
    <x v="42"/>
    <s v="Janeiro"/>
    <n v="2021"/>
    <n v="0.226917316987681"/>
    <m/>
    <m/>
  </r>
  <r>
    <x v="7"/>
    <x v="43"/>
    <s v="Fevereiro"/>
    <n v="2021"/>
    <n v="0.26943890640976415"/>
    <m/>
    <m/>
  </r>
  <r>
    <x v="7"/>
    <x v="44"/>
    <s v="Março"/>
    <n v="2021"/>
    <n v="0.27754876803863082"/>
    <m/>
    <m/>
  </r>
  <r>
    <x v="7"/>
    <x v="45"/>
    <s v="Abril"/>
    <n v="2021"/>
    <n v="0.26667550184344757"/>
    <m/>
    <m/>
  </r>
  <r>
    <x v="7"/>
    <x v="46"/>
    <s v="Maio"/>
    <n v="2021"/>
    <n v="0.26293656235453516"/>
    <m/>
    <m/>
  </r>
  <r>
    <x v="7"/>
    <x v="47"/>
    <s v="Junho"/>
    <n v="2021"/>
    <n v="0.27776586632274891"/>
    <m/>
    <m/>
  </r>
  <r>
    <x v="7"/>
    <x v="48"/>
    <s v="Julho"/>
    <n v="2021"/>
    <n v="0.25612785395307774"/>
    <m/>
    <m/>
  </r>
  <r>
    <x v="7"/>
    <x v="49"/>
    <s v="Agosto"/>
    <n v="2021"/>
    <n v="0.23166153063730888"/>
    <m/>
    <m/>
  </r>
  <r>
    <x v="7"/>
    <x v="50"/>
    <s v="Setembro"/>
    <n v="2021"/>
    <n v="0.22075917393375905"/>
    <m/>
    <m/>
  </r>
  <r>
    <x v="7"/>
    <x v="51"/>
    <s v="Outubro"/>
    <n v="2021"/>
    <n v="0.21474946245057966"/>
    <m/>
    <m/>
  </r>
  <r>
    <x v="7"/>
    <x v="52"/>
    <s v="Novembro"/>
    <n v="2021"/>
    <n v="0.20272151144159292"/>
    <m/>
    <m/>
  </r>
  <r>
    <x v="7"/>
    <x v="53"/>
    <s v="Dezembro"/>
    <n v="2021"/>
    <n v="0.19799626341850707"/>
    <m/>
    <m/>
  </r>
  <r>
    <x v="7"/>
    <x v="54"/>
    <s v="Janeiro"/>
    <n v="2022"/>
    <n v="0.1862305038604653"/>
    <m/>
    <m/>
  </r>
  <r>
    <x v="7"/>
    <x v="55"/>
    <s v="Fevereiro"/>
    <n v="2022"/>
    <n v="0.20053072224475282"/>
    <m/>
    <m/>
  </r>
  <r>
    <x v="7"/>
    <x v="56"/>
    <s v="Março"/>
    <n v="2022"/>
    <n v="0.21079206242596635"/>
    <m/>
    <m/>
  </r>
  <r>
    <x v="7"/>
    <x v="57"/>
    <s v="Abril"/>
    <n v="2022"/>
    <n v="0.19186380439094328"/>
    <m/>
    <m/>
  </r>
  <r>
    <x v="7"/>
    <x v="58"/>
    <s v="Maio"/>
    <n v="2022"/>
    <n v="0.18054482460434276"/>
    <m/>
    <m/>
  </r>
  <r>
    <x v="7"/>
    <x v="59"/>
    <s v="Junho"/>
    <n v="2022"/>
    <n v="0.18333382796489908"/>
    <m/>
    <m/>
  </r>
  <r>
    <x v="7"/>
    <x v="60"/>
    <s v="Julho"/>
    <n v="2022"/>
    <n v="0.17730554025042247"/>
    <m/>
    <m/>
  </r>
  <r>
    <x v="7"/>
    <x v="61"/>
    <s v="Agosto"/>
    <n v="2022"/>
    <n v="0.19183412872714198"/>
    <m/>
    <m/>
  </r>
  <r>
    <x v="7"/>
    <x v="62"/>
    <s v="Setembro"/>
    <n v="2022"/>
    <n v="0.20062357411281043"/>
    <m/>
    <m/>
  </r>
  <r>
    <x v="7"/>
    <x v="63"/>
    <s v="Outubro"/>
    <n v="2022"/>
    <n v="0.17662122924870613"/>
    <m/>
    <m/>
  </r>
  <r>
    <x v="7"/>
    <x v="64"/>
    <s v="Novembro"/>
    <n v="2022"/>
    <n v="0.16497144296285154"/>
    <m/>
    <m/>
  </r>
  <r>
    <x v="7"/>
    <x v="65"/>
    <s v="Dezembro"/>
    <n v="2022"/>
    <n v="0.15422964921731355"/>
    <m/>
    <m/>
  </r>
  <r>
    <x v="7"/>
    <x v="66"/>
    <s v="Janeiro"/>
    <n v="2023"/>
    <n v="0.12708123384805242"/>
    <m/>
    <m/>
  </r>
  <r>
    <x v="7"/>
    <x v="67"/>
    <s v="Fevereiro"/>
    <n v="2023"/>
    <n v="0.13852486155584018"/>
    <m/>
    <m/>
  </r>
  <r>
    <x v="7"/>
    <x v="68"/>
    <s v="Março"/>
    <n v="2023"/>
    <n v="0.15826190730592307"/>
    <m/>
    <m/>
  </r>
  <r>
    <x v="7"/>
    <x v="69"/>
    <s v="Abril"/>
    <n v="2023"/>
    <n v="0.15485797987339617"/>
    <m/>
    <m/>
  </r>
  <r>
    <x v="7"/>
    <x v="70"/>
    <s v="Maio"/>
    <n v="2023"/>
    <n v="0.18489127378477688"/>
    <m/>
    <m/>
  </r>
  <r>
    <x v="7"/>
    <x v="71"/>
    <s v="Junho"/>
    <n v="2023"/>
    <n v="0.18651680170942725"/>
    <m/>
    <m/>
  </r>
  <r>
    <x v="7"/>
    <x v="72"/>
    <s v="Julho"/>
    <n v="2023"/>
    <n v="0.18993122706917456"/>
    <m/>
    <m/>
  </r>
  <r>
    <x v="7"/>
    <x v="73"/>
    <s v="Agosto"/>
    <n v="2023"/>
    <n v="0.19225692272416231"/>
    <m/>
    <m/>
  </r>
  <r>
    <x v="7"/>
    <x v="74"/>
    <s v="Setembro"/>
    <n v="2023"/>
    <n v="0.22533176978427352"/>
    <m/>
    <m/>
  </r>
  <r>
    <x v="7"/>
    <x v="75"/>
    <s v="Outubro"/>
    <n v="2023"/>
    <n v="0.22480694743028146"/>
    <m/>
    <m/>
  </r>
  <r>
    <x v="7"/>
    <x v="76"/>
    <s v="Novembro"/>
    <n v="2023"/>
    <n v="0.21813728078995381"/>
    <m/>
    <m/>
  </r>
  <r>
    <x v="7"/>
    <x v="77"/>
    <s v="Dezembro"/>
    <n v="2023"/>
    <n v="0.21163295520663072"/>
    <m/>
    <m/>
  </r>
  <r>
    <x v="7"/>
    <x v="78"/>
    <s v="Janeiro"/>
    <n v="2024"/>
    <n v="0.17001259666479226"/>
    <m/>
    <m/>
  </r>
  <r>
    <x v="7"/>
    <x v="79"/>
    <s v="Fevereiro"/>
    <n v="2024"/>
    <n v="0.19453192331273672"/>
    <m/>
    <m/>
  </r>
  <r>
    <x v="7"/>
    <x v="80"/>
    <s v="Março"/>
    <n v="2024"/>
    <n v="0.23076434506590687"/>
    <m/>
    <m/>
  </r>
  <r>
    <x v="7"/>
    <x v="81"/>
    <s v="Abril"/>
    <n v="2024"/>
    <n v="0.25300542934022857"/>
    <m/>
    <m/>
  </r>
  <r>
    <x v="7"/>
    <x v="82"/>
    <s v="Maio"/>
    <n v="2024"/>
    <n v="0.294101229483339"/>
    <m/>
    <m/>
  </r>
  <r>
    <x v="7"/>
    <x v="83"/>
    <s v="Junho"/>
    <n v="2024"/>
    <n v="0.29851775275520936"/>
    <m/>
    <m/>
  </r>
  <r>
    <x v="7"/>
    <x v="84"/>
    <s v="Julho"/>
    <n v="2024"/>
    <n v="0.36755678584918977"/>
    <m/>
    <m/>
  </r>
  <r>
    <x v="7"/>
    <x v="85"/>
    <s v="Agosto"/>
    <n v="2024"/>
    <n v="0.36616145199698319"/>
    <m/>
    <m/>
  </r>
  <r>
    <x v="7"/>
    <x v="86"/>
    <s v="Setembro"/>
    <n v="2024"/>
    <n v="0.36021500073068907"/>
    <m/>
    <m/>
  </r>
  <r>
    <x v="7"/>
    <x v="87"/>
    <s v="Outubro"/>
    <n v="2024"/>
    <n v="0.36744492111649413"/>
    <m/>
    <m/>
  </r>
  <r>
    <x v="7"/>
    <x v="88"/>
    <s v="Novembro"/>
    <n v="2024"/>
    <n v="0.38288981652640641"/>
    <m/>
    <m/>
  </r>
  <r>
    <x v="7"/>
    <x v="89"/>
    <s v="Dezembro"/>
    <n v="2024"/>
    <n v="0.37431222572278394"/>
    <m/>
    <m/>
  </r>
  <r>
    <x v="7"/>
    <x v="90"/>
    <s v="Janeiro"/>
    <n v="2025"/>
    <n v="0.34478722682028468"/>
    <m/>
    <m/>
  </r>
  <r>
    <x v="7"/>
    <x v="91"/>
    <s v="Fevereiro"/>
    <n v="2025"/>
    <n v="0.3414084323028298"/>
    <m/>
    <m/>
  </r>
  <r>
    <x v="7"/>
    <x v="92"/>
    <s v="Março"/>
    <n v="2025"/>
    <n v="0.32416364968436062"/>
    <m/>
    <m/>
  </r>
  <r>
    <x v="7"/>
    <x v="93"/>
    <s v="Abril"/>
    <n v="2025"/>
    <n v="0.31688331002373399"/>
    <m/>
    <m/>
  </r>
  <r>
    <x v="7"/>
    <x v="94"/>
    <s v="Maio"/>
    <n v="2025"/>
    <n v="0.3099093786501198"/>
    <m/>
    <m/>
  </r>
  <r>
    <x v="7"/>
    <x v="95"/>
    <s v="Junho"/>
    <n v="2025"/>
    <n v="0.32859380597997162"/>
    <m/>
    <m/>
  </r>
  <r>
    <x v="7"/>
    <x v="96"/>
    <s v="Julho"/>
    <n v="2025"/>
    <n v="0.35406313548686502"/>
    <m/>
    <m/>
  </r>
  <r>
    <x v="7"/>
    <x v="97"/>
    <s v="Agosto"/>
    <n v="2025"/>
    <n v="0.34043707422212227"/>
    <m/>
    <m/>
  </r>
  <r>
    <x v="7"/>
    <x v="98"/>
    <s v="Setembro"/>
    <n v="2025"/>
    <n v="0.33928415650940869"/>
    <m/>
    <m/>
  </r>
  <r>
    <x v="7"/>
    <x v="99"/>
    <s v="Outubro"/>
    <n v="2025"/>
    <n v="0.34862452941186123"/>
    <m/>
    <m/>
  </r>
  <r>
    <x v="7"/>
    <x v="100"/>
    <s v="Novembro"/>
    <n v="2025"/>
    <n v="0.34928353799290585"/>
    <m/>
    <m/>
  </r>
  <r>
    <x v="7"/>
    <x v="101"/>
    <s v="Dezembro"/>
    <n v="2025"/>
    <n v="0.43360137348668454"/>
    <m/>
    <m/>
  </r>
  <r>
    <x v="7"/>
    <x v="102"/>
    <s v="Janeiro"/>
    <n v="2026"/>
    <n v="0.41803911625665008"/>
    <m/>
    <m/>
  </r>
  <r>
    <x v="0"/>
    <x v="0"/>
    <m/>
    <m/>
    <m/>
    <m/>
    <m/>
  </r>
  <r>
    <x v="8"/>
    <x v="1"/>
    <s v="Dezembro"/>
    <n v="2013"/>
    <n v="0.23729925049575962"/>
    <m/>
    <m/>
  </r>
  <r>
    <x v="8"/>
    <x v="2"/>
    <s v="Dezembro"/>
    <n v="2014"/>
    <n v="0.41223682960950137"/>
    <m/>
    <m/>
  </r>
  <r>
    <x v="8"/>
    <x v="3"/>
    <s v="Dezembro"/>
    <n v="2015"/>
    <n v="0.23046285355789031"/>
    <m/>
    <m/>
  </r>
  <r>
    <x v="8"/>
    <x v="4"/>
    <s v="Dezembro"/>
    <n v="2016"/>
    <n v="0.1536411839351548"/>
    <m/>
    <m/>
  </r>
  <r>
    <x v="8"/>
    <x v="5"/>
    <s v="Dezembro"/>
    <n v="2017"/>
    <n v="0.1579956106007343"/>
    <m/>
    <m/>
  </r>
  <r>
    <x v="8"/>
    <x v="6"/>
    <s v="Janeiro"/>
    <n v="2018"/>
    <n v="0.13222770644257076"/>
    <m/>
    <m/>
  </r>
  <r>
    <x v="8"/>
    <x v="7"/>
    <s v="Fevereiro"/>
    <n v="2018"/>
    <n v="0.14168414179394806"/>
    <m/>
    <m/>
  </r>
  <r>
    <x v="8"/>
    <x v="8"/>
    <s v="Março"/>
    <n v="2018"/>
    <n v="0.15943285426340115"/>
    <m/>
    <m/>
  </r>
  <r>
    <x v="8"/>
    <x v="9"/>
    <s v="Abril"/>
    <n v="2018"/>
    <n v="0.47024659665718382"/>
    <m/>
    <m/>
  </r>
  <r>
    <x v="8"/>
    <x v="10"/>
    <s v="Maio"/>
    <n v="2018"/>
    <n v="0.41643195014518919"/>
    <m/>
    <m/>
  </r>
  <r>
    <x v="8"/>
    <x v="11"/>
    <s v="Junho"/>
    <n v="2018"/>
    <n v="0.44631106819973776"/>
    <m/>
    <m/>
  </r>
  <r>
    <x v="8"/>
    <x v="12"/>
    <s v="Julho"/>
    <n v="2018"/>
    <n v="0.40347025805383785"/>
    <m/>
    <m/>
  </r>
  <r>
    <x v="8"/>
    <x v="13"/>
    <s v="Agosto"/>
    <n v="2018"/>
    <n v="0.4106860619180932"/>
    <m/>
    <m/>
  </r>
  <r>
    <x v="8"/>
    <x v="14"/>
    <s v="Setembro"/>
    <n v="2018"/>
    <n v="0.44301434351011104"/>
    <m/>
    <m/>
  </r>
  <r>
    <x v="8"/>
    <x v="15"/>
    <s v="Outubro"/>
    <n v="2018"/>
    <n v="0.40928320066274648"/>
    <m/>
    <m/>
  </r>
  <r>
    <x v="8"/>
    <x v="16"/>
    <s v="Novembro"/>
    <n v="2018"/>
    <n v="0.3596524664697085"/>
    <m/>
    <m/>
  </r>
  <r>
    <x v="8"/>
    <x v="17"/>
    <s v="Dezembro"/>
    <n v="2018"/>
    <n v="0.33903128207877442"/>
    <m/>
    <m/>
  </r>
  <r>
    <x v="8"/>
    <x v="18"/>
    <s v="Janeiro"/>
    <n v="2019"/>
    <n v="0.37167846150611283"/>
    <m/>
    <m/>
  </r>
  <r>
    <x v="8"/>
    <x v="19"/>
    <s v="Fevereiro"/>
    <n v="2019"/>
    <n v="0.35210352747413243"/>
    <m/>
    <m/>
  </r>
  <r>
    <x v="8"/>
    <x v="20"/>
    <s v="Março"/>
    <n v="2019"/>
    <n v="0.38111522924907848"/>
    <m/>
    <m/>
  </r>
  <r>
    <x v="8"/>
    <x v="21"/>
    <s v="Abril"/>
    <n v="2019"/>
    <n v="0.34079881705630322"/>
    <m/>
    <m/>
  </r>
  <r>
    <x v="8"/>
    <x v="22"/>
    <s v="Maio"/>
    <n v="2019"/>
    <n v="0.35600106881799776"/>
    <m/>
    <m/>
  </r>
  <r>
    <x v="8"/>
    <x v="23"/>
    <s v="Junho"/>
    <n v="2019"/>
    <n v="0.38086261935947952"/>
    <m/>
    <m/>
  </r>
  <r>
    <x v="8"/>
    <x v="24"/>
    <s v="Julho"/>
    <n v="2019"/>
    <n v="0.3673761117890213"/>
    <m/>
    <m/>
  </r>
  <r>
    <x v="8"/>
    <x v="25"/>
    <s v="Agosto"/>
    <n v="2019"/>
    <n v="0.32902477035509481"/>
    <m/>
    <m/>
  </r>
  <r>
    <x v="8"/>
    <x v="26"/>
    <s v="Setembro"/>
    <n v="2019"/>
    <n v="0.34648996226862949"/>
    <m/>
    <m/>
  </r>
  <r>
    <x v="8"/>
    <x v="27"/>
    <s v="Outubro"/>
    <n v="2019"/>
    <n v="0.25052575480900696"/>
    <m/>
    <m/>
  </r>
  <r>
    <x v="8"/>
    <x v="28"/>
    <s v="Novembro"/>
    <n v="2019"/>
    <n v="0.26910215395476755"/>
    <m/>
    <m/>
  </r>
  <r>
    <x v="8"/>
    <x v="29"/>
    <s v="Dezembro"/>
    <n v="2019"/>
    <n v="0.23034722526749496"/>
    <m/>
    <m/>
  </r>
  <r>
    <x v="8"/>
    <x v="30"/>
    <s v="Janeiro"/>
    <n v="2020"/>
    <n v="0.23117961010441657"/>
    <m/>
    <m/>
  </r>
  <r>
    <x v="8"/>
    <x v="31"/>
    <s v="Fevereiro"/>
    <n v="2020"/>
    <n v="0.30525718814428981"/>
    <m/>
    <m/>
  </r>
  <r>
    <x v="8"/>
    <x v="32"/>
    <s v="Março"/>
    <n v="2020"/>
    <n v="0.27376561672245536"/>
    <m/>
    <m/>
  </r>
  <r>
    <x v="8"/>
    <x v="33"/>
    <s v="Abril"/>
    <n v="2020"/>
    <n v="0.23525433059322132"/>
    <m/>
    <m/>
  </r>
  <r>
    <x v="8"/>
    <x v="34"/>
    <s v="Maio"/>
    <n v="2020"/>
    <n v="0.26266497394392241"/>
    <m/>
    <m/>
  </r>
  <r>
    <x v="8"/>
    <x v="35"/>
    <s v="Junho"/>
    <n v="2020"/>
    <n v="0.25426500016355824"/>
    <m/>
    <m/>
  </r>
  <r>
    <x v="8"/>
    <x v="36"/>
    <s v="Julho"/>
    <n v="2020"/>
    <n v="0.24100553899832677"/>
    <m/>
    <m/>
  </r>
  <r>
    <x v="8"/>
    <x v="37"/>
    <s v="Agosto"/>
    <n v="2020"/>
    <n v="0.29872604265785618"/>
    <m/>
    <m/>
  </r>
  <r>
    <x v="8"/>
    <x v="38"/>
    <s v="Setembro"/>
    <n v="2020"/>
    <n v="0.29328534764657843"/>
    <m/>
    <m/>
  </r>
  <r>
    <x v="8"/>
    <x v="39"/>
    <s v="Outubro"/>
    <n v="2020"/>
    <n v="0.24364422688353748"/>
    <m/>
    <m/>
  </r>
  <r>
    <x v="8"/>
    <x v="40"/>
    <s v="Novembro"/>
    <n v="2020"/>
    <n v="0.27250759517196999"/>
    <m/>
    <m/>
  </r>
  <r>
    <x v="8"/>
    <x v="41"/>
    <s v="Dezembro"/>
    <n v="2020"/>
    <n v="0.31849393546807381"/>
    <m/>
    <m/>
  </r>
  <r>
    <x v="8"/>
    <x v="42"/>
    <s v="Janeiro"/>
    <n v="2021"/>
    <n v="0.29352270070711839"/>
    <m/>
    <m/>
  </r>
  <r>
    <x v="8"/>
    <x v="43"/>
    <s v="Fevereiro"/>
    <n v="2021"/>
    <n v="0.36881091639529551"/>
    <m/>
    <m/>
  </r>
  <r>
    <x v="8"/>
    <x v="44"/>
    <s v="Março"/>
    <n v="2021"/>
    <n v="0.38417647553194567"/>
    <m/>
    <m/>
  </r>
  <r>
    <x v="8"/>
    <x v="45"/>
    <s v="Abril"/>
    <n v="2021"/>
    <n v="0.36365279288203589"/>
    <m/>
    <m/>
  </r>
  <r>
    <x v="8"/>
    <x v="46"/>
    <s v="Maio"/>
    <n v="2021"/>
    <n v="0.35673532144598163"/>
    <m/>
    <m/>
  </r>
  <r>
    <x v="8"/>
    <x v="47"/>
    <s v="Junho"/>
    <n v="2021"/>
    <n v="0.38459254882970662"/>
    <m/>
    <m/>
  </r>
  <r>
    <x v="8"/>
    <x v="48"/>
    <s v="Julho"/>
    <n v="2021"/>
    <n v="0.34431703796706148"/>
    <m/>
    <m/>
  </r>
  <r>
    <x v="8"/>
    <x v="49"/>
    <s v="Agosto"/>
    <n v="2021"/>
    <n v="0.30150973805784265"/>
    <m/>
    <m/>
  </r>
  <r>
    <x v="8"/>
    <x v="50"/>
    <s v="Setembro"/>
    <n v="2021"/>
    <n v="0.28330031814194601"/>
    <m/>
    <m/>
  </r>
  <r>
    <x v="8"/>
    <x v="51"/>
    <s v="Outubro"/>
    <n v="2021"/>
    <n v="0.2734789117378531"/>
    <m/>
    <m/>
  </r>
  <r>
    <x v="8"/>
    <x v="52"/>
    <s v="Novembro"/>
    <n v="2021"/>
    <n v="0.25426687707094953"/>
    <m/>
    <m/>
  </r>
  <r>
    <x v="8"/>
    <x v="53"/>
    <s v="Dezembro"/>
    <n v="2021"/>
    <n v="0.24687698371887623"/>
    <m/>
    <m/>
  </r>
  <r>
    <x v="8"/>
    <x v="54"/>
    <s v="Janeiro"/>
    <n v="2022"/>
    <n v="0.22884920698542977"/>
    <m/>
    <m/>
  </r>
  <r>
    <x v="8"/>
    <x v="55"/>
    <s v="Fevereiro"/>
    <n v="2022"/>
    <n v="0.25082980400172938"/>
    <m/>
    <m/>
  </r>
  <r>
    <x v="8"/>
    <x v="56"/>
    <s v="Março"/>
    <n v="2022"/>
    <n v="0.26709318595290066"/>
    <m/>
    <m/>
  </r>
  <r>
    <x v="8"/>
    <x v="57"/>
    <s v="Abril"/>
    <n v="2022"/>
    <n v="0.23741518500646275"/>
    <m/>
    <m/>
  </r>
  <r>
    <x v="8"/>
    <x v="58"/>
    <s v="Maio"/>
    <n v="2022"/>
    <n v="0.22032300243533198"/>
    <m/>
    <m/>
  </r>
  <r>
    <x v="8"/>
    <x v="59"/>
    <s v="Junho"/>
    <n v="2022"/>
    <n v="0.22449053755714932"/>
    <m/>
    <m/>
  </r>
  <r>
    <x v="8"/>
    <x v="60"/>
    <s v="Julho"/>
    <n v="2022"/>
    <n v="0.21551809198325333"/>
    <m/>
    <m/>
  </r>
  <r>
    <x v="8"/>
    <x v="61"/>
    <s v="Agosto"/>
    <n v="2022"/>
    <n v="0.23736974740718009"/>
    <m/>
    <m/>
  </r>
  <r>
    <x v="8"/>
    <x v="62"/>
    <s v="Setembro"/>
    <n v="2022"/>
    <n v="0.25097509460595857"/>
    <m/>
    <m/>
  </r>
  <r>
    <x v="8"/>
    <x v="63"/>
    <s v="Outubro"/>
    <n v="2022"/>
    <n v="0.21450787356048506"/>
    <m/>
    <m/>
  </r>
  <r>
    <x v="8"/>
    <x v="64"/>
    <s v="Novembro"/>
    <n v="2022"/>
    <n v="0.19756383368277119"/>
    <m/>
    <m/>
  </r>
  <r>
    <x v="8"/>
    <x v="65"/>
    <s v="Dezembro"/>
    <n v="2022"/>
    <n v="0.18235405046603681"/>
    <m/>
    <m/>
  </r>
  <r>
    <x v="8"/>
    <x v="66"/>
    <s v="Janeiro"/>
    <n v="2023"/>
    <n v="0.14560439769078015"/>
    <m/>
    <m/>
  </r>
  <r>
    <x v="8"/>
    <x v="67"/>
    <s v="Fevereiro"/>
    <n v="2023"/>
    <n v="0.1607996045086324"/>
    <m/>
    <m/>
  </r>
  <r>
    <x v="8"/>
    <x v="68"/>
    <s v="Março"/>
    <n v="2023"/>
    <n v="0.1880179935772992"/>
    <m/>
    <m/>
  </r>
  <r>
    <x v="8"/>
    <x v="69"/>
    <s v="Abril"/>
    <n v="2023"/>
    <n v="0.18323308531055904"/>
    <m/>
    <m/>
  </r>
  <r>
    <x v="8"/>
    <x v="70"/>
    <s v="Maio"/>
    <n v="2023"/>
    <n v="0.22683019803171356"/>
    <m/>
    <m/>
  </r>
  <r>
    <x v="8"/>
    <x v="71"/>
    <s v="Junho"/>
    <n v="2023"/>
    <n v="0.22928168903963564"/>
    <m/>
    <m/>
  </r>
  <r>
    <x v="8"/>
    <x v="72"/>
    <s v="Julho"/>
    <n v="2023"/>
    <n v="0.23446308932759408"/>
    <m/>
    <m/>
  </r>
  <r>
    <x v="8"/>
    <x v="73"/>
    <s v="Agosto"/>
    <n v="2023"/>
    <n v="0.23801741931674658"/>
    <m/>
    <m/>
  </r>
  <r>
    <x v="8"/>
    <x v="74"/>
    <s v="Setembro"/>
    <n v="2023"/>
    <n v="0.29087519146296237"/>
    <m/>
    <m/>
  </r>
  <r>
    <x v="8"/>
    <x v="75"/>
    <s v="Outubro"/>
    <n v="2023"/>
    <n v="0.29000124121992576"/>
    <m/>
    <m/>
  </r>
  <r>
    <x v="8"/>
    <x v="76"/>
    <s v="Novembro"/>
    <n v="2023"/>
    <n v="0.27899690755219608"/>
    <m/>
    <m/>
  </r>
  <r>
    <x v="8"/>
    <x v="77"/>
    <s v="Dezembro"/>
    <n v="2023"/>
    <n v="0.26844470049368252"/>
    <m/>
    <m/>
  </r>
  <r>
    <x v="8"/>
    <x v="78"/>
    <s v="Janeiro"/>
    <n v="2024"/>
    <n v="0.20483756257217456"/>
    <m/>
    <m/>
  </r>
  <r>
    <x v="8"/>
    <x v="79"/>
    <s v="Fevereiro"/>
    <n v="2024"/>
    <n v="0.24151413189807514"/>
    <m/>
    <m/>
  </r>
  <r>
    <x v="8"/>
    <x v="80"/>
    <s v="Março"/>
    <n v="2024"/>
    <n v="0.29999174321382482"/>
    <m/>
    <m/>
  </r>
  <r>
    <x v="8"/>
    <x v="81"/>
    <s v="Abril"/>
    <n v="2024"/>
    <n v="0.33869781559023293"/>
    <m/>
    <m/>
  </r>
  <r>
    <x v="8"/>
    <x v="82"/>
    <s v="Maio"/>
    <n v="2024"/>
    <n v="0.4166337182710782"/>
    <m/>
    <m/>
  </r>
  <r>
    <x v="8"/>
    <x v="83"/>
    <s v="Junho"/>
    <n v="2024"/>
    <n v="0.42555282607321376"/>
    <m/>
    <m/>
  </r>
  <r>
    <x v="8"/>
    <x v="84"/>
    <s v="Julho"/>
    <n v="2024"/>
    <n v="0.58116962539113182"/>
    <m/>
    <m/>
  </r>
  <r>
    <x v="8"/>
    <x v="85"/>
    <s v="Agosto"/>
    <n v="2024"/>
    <n v="0.57768883440525687"/>
    <m/>
    <m/>
  </r>
  <r>
    <x v="8"/>
    <x v="86"/>
    <s v="Setembro"/>
    <n v="2024"/>
    <n v="0.56302508052249634"/>
    <m/>
    <m/>
  </r>
  <r>
    <x v="8"/>
    <x v="87"/>
    <s v="Outubro"/>
    <n v="2024"/>
    <n v="0.58089000212448605"/>
    <m/>
    <m/>
  </r>
  <r>
    <x v="8"/>
    <x v="88"/>
    <s v="Novembro"/>
    <n v="2024"/>
    <n v="0.62045616290302297"/>
    <m/>
    <m/>
  </r>
  <r>
    <x v="8"/>
    <x v="89"/>
    <s v="Dezembro"/>
    <n v="2024"/>
    <n v="0.598241233265558"/>
    <m/>
    <m/>
  </r>
  <r>
    <x v="8"/>
    <x v="90"/>
    <s v="Janeiro"/>
    <n v="2025"/>
    <n v="0.5262217724282896"/>
    <m/>
    <m/>
  </r>
  <r>
    <x v="8"/>
    <x v="91"/>
    <s v="Fevereiro"/>
    <n v="2025"/>
    <n v="0.51839174542819877"/>
    <m/>
    <m/>
  </r>
  <r>
    <x v="8"/>
    <x v="92"/>
    <s v="Março"/>
    <n v="2025"/>
    <n v="0.47964814193993077"/>
    <m/>
    <m/>
  </r>
  <r>
    <x v="8"/>
    <x v="93"/>
    <s v="Abril"/>
    <n v="2025"/>
    <n v="0.46387874088502179"/>
    <m/>
    <m/>
  </r>
  <r>
    <x v="8"/>
    <x v="94"/>
    <s v="Maio"/>
    <n v="2025"/>
    <n v="0.44908504631450996"/>
    <m/>
    <m/>
  </r>
  <r>
    <x v="8"/>
    <x v="95"/>
    <s v="Junho"/>
    <n v="2025"/>
    <n v="0.4894113413111727"/>
    <m/>
    <m/>
  </r>
  <r>
    <x v="8"/>
    <x v="96"/>
    <s v="Julho"/>
    <n v="2025"/>
    <n v="0.54813892028555267"/>
    <m/>
    <m/>
  </r>
  <r>
    <x v="8"/>
    <x v="97"/>
    <s v="Agosto"/>
    <n v="2025"/>
    <n v="0.51615556441505017"/>
    <m/>
    <m/>
  </r>
  <r>
    <x v="8"/>
    <x v="98"/>
    <s v="Setembro"/>
    <n v="2025"/>
    <n v="0.51350994508767234"/>
    <m/>
    <m/>
  </r>
  <r>
    <x v="8"/>
    <x v="99"/>
    <s v="Outubro"/>
    <n v="2025"/>
    <n v="0.5352128613272491"/>
    <m/>
    <m/>
  </r>
  <r>
    <x v="8"/>
    <x v="100"/>
    <s v="Novembro"/>
    <n v="2025"/>
    <n v="0.53676763749846246"/>
    <m/>
    <m/>
  </r>
  <r>
    <x v="8"/>
    <x v="101"/>
    <s v="Dezembro"/>
    <n v="2025"/>
    <n v="0.7655410044969293"/>
    <m/>
    <m/>
  </r>
  <r>
    <x v="8"/>
    <x v="102"/>
    <s v="Janeiro"/>
    <n v="2026"/>
    <n v="0.71832854738912189"/>
    <m/>
    <m/>
  </r>
  <r>
    <x v="0"/>
    <x v="0"/>
    <m/>
    <m/>
    <m/>
    <m/>
    <m/>
  </r>
  <r>
    <x v="9"/>
    <x v="1"/>
    <s v="Dezembro"/>
    <n v="2013"/>
    <n v="0.80821180856928598"/>
    <m/>
    <m/>
  </r>
  <r>
    <x v="9"/>
    <x v="2"/>
    <s v="Dezembro"/>
    <n v="2014"/>
    <n v="0.70809646822189043"/>
    <m/>
    <m/>
  </r>
  <r>
    <x v="9"/>
    <x v="3"/>
    <s v="Dezembro"/>
    <n v="2015"/>
    <n v="0.81270225199063495"/>
    <m/>
    <m/>
  </r>
  <r>
    <x v="9"/>
    <x v="4"/>
    <s v="Dezembro"/>
    <n v="2016"/>
    <n v="0.86682059683929091"/>
    <m/>
    <m/>
  </r>
  <r>
    <x v="9"/>
    <x v="5"/>
    <s v="Dezembro"/>
    <n v="2017"/>
    <n v="0.86356108190604863"/>
    <m/>
    <m/>
  </r>
  <r>
    <x v="9"/>
    <x v="6"/>
    <s v="Janeiro"/>
    <n v="2018"/>
    <n v="0.8832145137947276"/>
    <m/>
    <m/>
  </r>
  <r>
    <x v="9"/>
    <x v="7"/>
    <s v="Fevereiro"/>
    <n v="2018"/>
    <n v="0.87589895260455941"/>
    <m/>
    <m/>
  </r>
  <r>
    <x v="9"/>
    <x v="8"/>
    <s v="Março"/>
    <n v="2018"/>
    <n v="0.86249060604390859"/>
    <m/>
    <m/>
  </r>
  <r>
    <x v="9"/>
    <x v="9"/>
    <s v="Abril"/>
    <n v="2018"/>
    <n v="0.68015796305761211"/>
    <m/>
    <m/>
  </r>
  <r>
    <x v="9"/>
    <x v="10"/>
    <s v="Maio"/>
    <n v="2018"/>
    <n v="0.70599927470207979"/>
    <m/>
    <m/>
  </r>
  <r>
    <x v="9"/>
    <x v="11"/>
    <s v="Junho"/>
    <n v="2018"/>
    <n v="0.69141414480792496"/>
    <m/>
    <m/>
  </r>
  <r>
    <x v="9"/>
    <x v="12"/>
    <s v="Julho"/>
    <n v="2018"/>
    <n v="0.71251950442839629"/>
    <m/>
    <m/>
  </r>
  <r>
    <x v="9"/>
    <x v="13"/>
    <s v="Agosto"/>
    <n v="2018"/>
    <n v="0.70887489550789473"/>
    <m/>
    <m/>
  </r>
  <r>
    <x v="9"/>
    <x v="14"/>
    <s v="Setembro"/>
    <n v="2018"/>
    <n v="0.69299376224725406"/>
    <m/>
    <m/>
  </r>
  <r>
    <x v="9"/>
    <x v="15"/>
    <s v="Outubro"/>
    <n v="2018"/>
    <n v="0.70958054425372075"/>
    <m/>
    <m/>
  </r>
  <r>
    <x v="9"/>
    <x v="16"/>
    <s v="Novembro"/>
    <n v="2018"/>
    <n v="0.73548201844177408"/>
    <m/>
    <m/>
  </r>
  <r>
    <x v="9"/>
    <x v="17"/>
    <s v="Dezembro"/>
    <n v="2018"/>
    <n v="0.74680849807828797"/>
    <m/>
    <m/>
  </r>
  <r>
    <x v="9"/>
    <x v="18"/>
    <s v="Janeiro"/>
    <n v="2019"/>
    <n v="0.72903378549892672"/>
    <m/>
    <m/>
  </r>
  <r>
    <x v="9"/>
    <x v="19"/>
    <s v="Fevereiro"/>
    <n v="2019"/>
    <n v="0.73958829445547658"/>
    <m/>
    <m/>
  </r>
  <r>
    <x v="9"/>
    <x v="20"/>
    <s v="Março"/>
    <n v="2019"/>
    <n v="0.7240525060034948"/>
    <m/>
    <m/>
  </r>
  <r>
    <x v="9"/>
    <x v="21"/>
    <s v="Abril"/>
    <n v="2019"/>
    <n v="0.74582400567832918"/>
    <m/>
    <m/>
  </r>
  <r>
    <x v="9"/>
    <x v="22"/>
    <s v="Maio"/>
    <n v="2019"/>
    <n v="0.7374625057973585"/>
    <m/>
    <m/>
  </r>
  <r>
    <x v="9"/>
    <x v="23"/>
    <s v="Junho"/>
    <n v="2019"/>
    <n v="0.72418496384892439"/>
    <m/>
    <m/>
  </r>
  <r>
    <x v="9"/>
    <x v="24"/>
    <s v="Julho"/>
    <n v="2019"/>
    <n v="0.73132764237439396"/>
    <m/>
    <m/>
  </r>
  <r>
    <x v="9"/>
    <x v="25"/>
    <s v="Agosto"/>
    <n v="2019"/>
    <n v="0.75243138518087427"/>
    <m/>
    <m/>
  </r>
  <r>
    <x v="9"/>
    <x v="26"/>
    <s v="Setembro"/>
    <n v="2019"/>
    <n v="0.74267167144903135"/>
    <m/>
    <m/>
  </r>
  <r>
    <x v="9"/>
    <x v="27"/>
    <s v="Outubro"/>
    <n v="2019"/>
    <n v="0.79966362061265195"/>
    <m/>
    <m/>
  </r>
  <r>
    <x v="9"/>
    <x v="28"/>
    <s v="Novembro"/>
    <n v="2019"/>
    <n v="0.78795859762029208"/>
    <m/>
    <m/>
  </r>
  <r>
    <x v="9"/>
    <x v="29"/>
    <s v="Dezembro"/>
    <n v="2019"/>
    <n v="0.81277864756558249"/>
    <m/>
    <m/>
  </r>
  <r>
    <x v="9"/>
    <x v="30"/>
    <s v="Janeiro"/>
    <n v="2020"/>
    <n v="0.8122291390441595"/>
    <m/>
    <m/>
  </r>
  <r>
    <x v="9"/>
    <x v="31"/>
    <s v="Fevereiro"/>
    <n v="2020"/>
    <n v="0.76613250185601345"/>
    <m/>
    <m/>
  </r>
  <r>
    <x v="9"/>
    <x v="32"/>
    <s v="Março"/>
    <n v="2020"/>
    <n v="0.78507375442203797"/>
    <m/>
    <m/>
  </r>
  <r>
    <x v="9"/>
    <x v="33"/>
    <s v="Abril"/>
    <n v="2020"/>
    <n v="0.80954984750084646"/>
    <m/>
    <m/>
  </r>
  <r>
    <x v="9"/>
    <x v="34"/>
    <s v="Maio"/>
    <n v="2020"/>
    <n v="0.79197568374594973"/>
    <m/>
    <m/>
  </r>
  <r>
    <x v="9"/>
    <x v="35"/>
    <s v="Junho"/>
    <n v="2020"/>
    <n v="0.79727964868980716"/>
    <m/>
    <m/>
  </r>
  <r>
    <x v="9"/>
    <x v="36"/>
    <s v="Julho"/>
    <n v="2020"/>
    <n v="0.8057981444730834"/>
    <m/>
    <m/>
  </r>
  <r>
    <x v="9"/>
    <x v="37"/>
    <s v="Agosto"/>
    <n v="2020"/>
    <n v="0.76998530051570302"/>
    <m/>
    <m/>
  </r>
  <r>
    <x v="9"/>
    <x v="38"/>
    <s v="Setembro"/>
    <n v="2020"/>
    <n v="0.77322453697123728"/>
    <m/>
    <m/>
  </r>
  <r>
    <x v="9"/>
    <x v="39"/>
    <s v="Outubro"/>
    <n v="2020"/>
    <n v="0.80408845588751299"/>
    <m/>
    <m/>
  </r>
  <r>
    <x v="9"/>
    <x v="40"/>
    <s v="Novembro"/>
    <n v="2020"/>
    <n v="0.78584990056512682"/>
    <m/>
    <m/>
  </r>
  <r>
    <x v="9"/>
    <x v="41"/>
    <s v="Dezembro"/>
    <n v="2020"/>
    <n v="0.75844108293155077"/>
    <m/>
    <m/>
  </r>
  <r>
    <x v="9"/>
    <x v="42"/>
    <s v="Janeiro"/>
    <n v="2021"/>
    <n v="0.77308265944273313"/>
    <m/>
    <m/>
  </r>
  <r>
    <x v="9"/>
    <x v="43"/>
    <s v="Fevereiro"/>
    <n v="2021"/>
    <n v="0.73056107180972107"/>
    <m/>
    <m/>
  </r>
  <r>
    <x v="9"/>
    <x v="44"/>
    <s v="Março"/>
    <n v="2021"/>
    <n v="0.72245121143485347"/>
    <m/>
    <m/>
  </r>
  <r>
    <x v="9"/>
    <x v="45"/>
    <s v="Abril"/>
    <n v="2021"/>
    <n v="0.73332447858588723"/>
    <m/>
    <m/>
  </r>
  <r>
    <x v="9"/>
    <x v="46"/>
    <s v="Maio"/>
    <n v="2021"/>
    <n v="0.73706341899185523"/>
    <m/>
    <m/>
  </r>
  <r>
    <x v="9"/>
    <x v="47"/>
    <s v="Junho"/>
    <n v="2021"/>
    <n v="0.72223411539397153"/>
    <m/>
    <m/>
  </r>
  <r>
    <x v="9"/>
    <x v="48"/>
    <s v="Julho"/>
    <n v="2021"/>
    <n v="0.74387212843409301"/>
    <m/>
    <m/>
  </r>
  <r>
    <x v="9"/>
    <x v="49"/>
    <s v="Agosto"/>
    <n v="2021"/>
    <n v="0.76833845221814046"/>
    <m/>
    <m/>
  </r>
  <r>
    <x v="9"/>
    <x v="50"/>
    <s v="Setembro"/>
    <n v="2021"/>
    <n v="0.77924080976601173"/>
    <m/>
    <m/>
  </r>
  <r>
    <x v="9"/>
    <x v="51"/>
    <s v="Outubro"/>
    <n v="2021"/>
    <n v="0.78525052155235997"/>
    <m/>
    <m/>
  </r>
  <r>
    <x v="9"/>
    <x v="52"/>
    <s v="Novembro"/>
    <n v="2021"/>
    <n v="0.79727847273693886"/>
    <m/>
    <m/>
  </r>
  <r>
    <x v="9"/>
    <x v="53"/>
    <s v="Dezembro"/>
    <n v="2021"/>
    <n v="0.80200372084529803"/>
    <m/>
    <m/>
  </r>
  <r>
    <x v="9"/>
    <x v="54"/>
    <s v="Janeiro"/>
    <n v="2022"/>
    <n v="0.81376948036968333"/>
    <m/>
    <m/>
  </r>
  <r>
    <x v="9"/>
    <x v="55"/>
    <s v="Fevereiro"/>
    <n v="2022"/>
    <n v="0.79946926256327167"/>
    <m/>
    <m/>
  </r>
  <r>
    <x v="9"/>
    <x v="56"/>
    <s v="Março"/>
    <n v="2022"/>
    <n v="0.78920792299527587"/>
    <m/>
    <m/>
  </r>
  <r>
    <x v="9"/>
    <x v="57"/>
    <s v="Abril"/>
    <n v="2022"/>
    <n v="0.80813618112299901"/>
    <m/>
    <m/>
  </r>
  <r>
    <x v="9"/>
    <x v="58"/>
    <s v="Maio"/>
    <n v="2022"/>
    <n v="0.81945516106672778"/>
    <m/>
    <m/>
  </r>
  <r>
    <x v="9"/>
    <x v="59"/>
    <s v="Junho"/>
    <n v="2022"/>
    <n v="0.81666615806620646"/>
    <m/>
    <m/>
  </r>
  <r>
    <x v="9"/>
    <x v="60"/>
    <s v="Julho"/>
    <n v="2022"/>
    <n v="0.8226944461283936"/>
    <m/>
    <m/>
  </r>
  <r>
    <x v="9"/>
    <x v="61"/>
    <s v="Agosto"/>
    <n v="2022"/>
    <n v="0.80816585807280839"/>
    <m/>
    <m/>
  </r>
  <r>
    <x v="9"/>
    <x v="62"/>
    <s v="Setembro"/>
    <n v="2022"/>
    <n v="0.79937641310823127"/>
    <m/>
    <m/>
  </r>
  <r>
    <x v="9"/>
    <x v="63"/>
    <s v="Outubro"/>
    <n v="2022"/>
    <n v="0.82337875766037183"/>
    <m/>
    <m/>
  </r>
  <r>
    <x v="9"/>
    <x v="64"/>
    <s v="Novembro"/>
    <n v="2022"/>
    <n v="0.83502854405752303"/>
    <m/>
    <m/>
  </r>
  <r>
    <x v="9"/>
    <x v="65"/>
    <s v="Dezembro"/>
    <n v="2022"/>
    <n v="0.84577033762212173"/>
    <m/>
    <m/>
  </r>
  <r>
    <x v="9"/>
    <x v="66"/>
    <s v="Janeiro"/>
    <n v="2023"/>
    <n v="0.87290166358672439"/>
    <m/>
    <m/>
  </r>
  <r>
    <x v="9"/>
    <x v="67"/>
    <s v="Fevereiro"/>
    <n v="2023"/>
    <n v="0.86147512515945179"/>
    <m/>
    <m/>
  </r>
  <r>
    <x v="9"/>
    <x v="68"/>
    <s v="Março"/>
    <n v="2023"/>
    <n v="0.84173807983773874"/>
    <m/>
    <m/>
  </r>
  <r>
    <x v="9"/>
    <x v="69"/>
    <s v="Abril"/>
    <n v="2023"/>
    <n v="0.84514200736816436"/>
    <m/>
    <m/>
  </r>
  <r>
    <x v="9"/>
    <x v="70"/>
    <s v="Maio"/>
    <n v="2023"/>
    <n v="0.81510871422773101"/>
    <m/>
    <m/>
  </r>
  <r>
    <x v="9"/>
    <x v="71"/>
    <s v="Junho"/>
    <n v="2023"/>
    <n v="0.81348318656328733"/>
    <m/>
    <m/>
  </r>
  <r>
    <x v="9"/>
    <x v="72"/>
    <s v="Julho"/>
    <n v="2023"/>
    <n v="0.81006876128591332"/>
    <m/>
    <m/>
  </r>
  <r>
    <x v="9"/>
    <x v="73"/>
    <s v="Agosto"/>
    <n v="2023"/>
    <n v="0.80774306582187416"/>
    <m/>
    <m/>
  </r>
  <r>
    <x v="9"/>
    <x v="74"/>
    <s v="Setembro"/>
    <n v="2023"/>
    <n v="0.77466821930897656"/>
    <m/>
    <m/>
  </r>
  <r>
    <x v="9"/>
    <x v="75"/>
    <s v="Outubro"/>
    <n v="2023"/>
    <n v="0.77519304184610083"/>
    <m/>
    <m/>
  </r>
  <r>
    <x v="9"/>
    <x v="76"/>
    <s v="Novembro"/>
    <n v="2023"/>
    <n v="0.78186270843545103"/>
    <m/>
    <m/>
  </r>
  <r>
    <x v="9"/>
    <x v="77"/>
    <s v="Dezembro"/>
    <n v="2023"/>
    <n v="0.78836703412734843"/>
    <m/>
    <m/>
  </r>
  <r>
    <x v="9"/>
    <x v="78"/>
    <s v="Janeiro"/>
    <n v="2024"/>
    <n v="0.82998739234931151"/>
    <m/>
    <m/>
  </r>
  <r>
    <x v="9"/>
    <x v="79"/>
    <s v="Fevereiro"/>
    <n v="2024"/>
    <n v="0.8054680661865713"/>
    <m/>
    <m/>
  </r>
  <r>
    <x v="9"/>
    <x v="80"/>
    <s v="Março"/>
    <n v="2024"/>
    <n v="0.76923564496417962"/>
    <m/>
    <m/>
  </r>
  <r>
    <x v="9"/>
    <x v="81"/>
    <s v="Abril"/>
    <n v="2024"/>
    <n v="0.74699456121516494"/>
    <m/>
    <m/>
  </r>
  <r>
    <x v="9"/>
    <x v="82"/>
    <s v="Maio"/>
    <n v="2024"/>
    <n v="0.70589876163242637"/>
    <m/>
    <m/>
  </r>
  <r>
    <x v="9"/>
    <x v="83"/>
    <s v="Junho"/>
    <n v="2024"/>
    <n v="0.70148223853657188"/>
    <m/>
    <m/>
  </r>
  <r>
    <x v="9"/>
    <x v="84"/>
    <s v="Julho"/>
    <n v="2024"/>
    <n v="0.63244320640999618"/>
    <m/>
    <m/>
  </r>
  <r>
    <x v="9"/>
    <x v="85"/>
    <s v="Agosto"/>
    <n v="2024"/>
    <n v="0.63383854030879572"/>
    <m/>
    <m/>
  </r>
  <r>
    <x v="9"/>
    <x v="86"/>
    <s v="Setembro"/>
    <n v="2024"/>
    <n v="0.63978499162203217"/>
    <m/>
    <m/>
  </r>
  <r>
    <x v="9"/>
    <x v="87"/>
    <s v="Outubro"/>
    <n v="2024"/>
    <n v="0.63255507134841105"/>
    <m/>
    <m/>
  </r>
  <r>
    <x v="9"/>
    <x v="88"/>
    <s v="Novembro"/>
    <n v="2024"/>
    <n v="0.61711017607178753"/>
    <m/>
    <m/>
  </r>
  <r>
    <x v="9"/>
    <x v="89"/>
    <s v="Dezembro"/>
    <n v="2024"/>
    <n v="0.62568776691913164"/>
    <m/>
    <m/>
  </r>
  <r>
    <x v="9"/>
    <x v="90"/>
    <s v="Janeiro"/>
    <n v="2025"/>
    <n v="0.6552127655693506"/>
    <m/>
    <m/>
  </r>
  <r>
    <x v="9"/>
    <x v="91"/>
    <s v="Fevereiro"/>
    <n v="2025"/>
    <n v="0.65859156010818132"/>
    <m/>
    <m/>
  </r>
  <r>
    <x v="9"/>
    <x v="92"/>
    <s v="Março"/>
    <n v="2025"/>
    <n v="0.67583634261836401"/>
    <m/>
    <m/>
  </r>
  <r>
    <x v="9"/>
    <x v="93"/>
    <s v="Abril"/>
    <n v="2025"/>
    <n v="0.68311668236114642"/>
    <m/>
    <m/>
  </r>
  <r>
    <x v="9"/>
    <x v="94"/>
    <s v="Maio"/>
    <n v="2025"/>
    <n v="0.69009061382805226"/>
    <m/>
    <m/>
  </r>
  <r>
    <x v="9"/>
    <x v="95"/>
    <s v="Junho"/>
    <n v="2025"/>
    <n v="0.67140618665268403"/>
    <m/>
    <m/>
  </r>
  <r>
    <x v="9"/>
    <x v="96"/>
    <s v="Julho"/>
    <n v="2025"/>
    <n v="0.64593685742220441"/>
    <m/>
    <m/>
  </r>
  <r>
    <x v="9"/>
    <x v="97"/>
    <s v="Agosto"/>
    <n v="2025"/>
    <n v="0.65956291864614813"/>
    <m/>
    <m/>
  </r>
  <r>
    <x v="9"/>
    <x v="98"/>
    <s v="Setembro"/>
    <n v="2025"/>
    <n v="0.66071583636651254"/>
    <m/>
    <m/>
  </r>
  <r>
    <x v="9"/>
    <x v="99"/>
    <s v="Outubro"/>
    <n v="2025"/>
    <n v="0.65137546351532272"/>
    <m/>
    <m/>
  </r>
  <r>
    <x v="9"/>
    <x v="100"/>
    <s v="Novembro"/>
    <n v="2025"/>
    <n v="0.65071645497865649"/>
    <m/>
    <m/>
  </r>
  <r>
    <x v="9"/>
    <x v="101"/>
    <s v="Dezembro"/>
    <n v="2025"/>
    <n v="0.56639861920693513"/>
    <m/>
    <m/>
  </r>
  <r>
    <x v="9"/>
    <x v="102"/>
    <s v="Janeiro"/>
    <n v="2026"/>
    <n v="0.58196087645379635"/>
    <m/>
    <m/>
  </r>
  <r>
    <x v="0"/>
    <x v="0"/>
    <m/>
    <m/>
    <m/>
    <m/>
    <m/>
  </r>
  <r>
    <x v="10"/>
    <x v="1"/>
    <s v="Dezembro"/>
    <n v="2013"/>
    <n v="6.8557958238307206"/>
    <n v="7"/>
    <m/>
  </r>
  <r>
    <x v="10"/>
    <x v="2"/>
    <s v="Dezembro"/>
    <n v="2014"/>
    <n v="4.0964600079531621"/>
    <n v="7"/>
    <m/>
  </r>
  <r>
    <x v="10"/>
    <x v="3"/>
    <s v="Dezembro"/>
    <n v="2015"/>
    <n v="6.4535179283247901"/>
    <n v="7"/>
    <m/>
  </r>
  <r>
    <x v="10"/>
    <x v="4"/>
    <s v="Dezembro"/>
    <n v="2016"/>
    <n v="8.1256591129324445"/>
    <n v="7"/>
    <m/>
  </r>
  <r>
    <x v="10"/>
    <x v="5"/>
    <s v="Dezembro"/>
    <n v="2017"/>
    <n v="7.2996024320969637"/>
    <n v="7"/>
    <m/>
  </r>
  <r>
    <x v="10"/>
    <x v="6"/>
    <s v="Janeiro"/>
    <n v="2018"/>
    <n v="8.696023104300016"/>
    <n v="7"/>
    <m/>
  </r>
  <r>
    <x v="10"/>
    <x v="7"/>
    <s v="Fevereiro"/>
    <n v="2018"/>
    <n v="7.9096823478822138"/>
    <n v="7"/>
    <m/>
  </r>
  <r>
    <x v="10"/>
    <x v="8"/>
    <s v="Março"/>
    <n v="2018"/>
    <n v="6.9746661208660896"/>
    <n v="7"/>
    <m/>
  </r>
  <r>
    <x v="10"/>
    <x v="9"/>
    <s v="Abril"/>
    <n v="2018"/>
    <n v="3.9881809379166735"/>
    <n v="7"/>
    <m/>
  </r>
  <r>
    <x v="10"/>
    <x v="10"/>
    <s v="Maio"/>
    <n v="2018"/>
    <n v="4.5811608613808454"/>
    <n v="7"/>
    <m/>
  </r>
  <r>
    <x v="10"/>
    <x v="11"/>
    <s v="Junho"/>
    <n v="2018"/>
    <n v="4.1327477689017256"/>
    <n v="7"/>
    <m/>
  </r>
  <r>
    <x v="10"/>
    <x v="12"/>
    <s v="Julho"/>
    <n v="2018"/>
    <n v="4.5807323188224389"/>
    <n v="7"/>
    <m/>
  </r>
  <r>
    <x v="10"/>
    <x v="13"/>
    <s v="Agosto"/>
    <n v="2018"/>
    <n v="4.3537795101140766"/>
    <n v="7"/>
    <m/>
  </r>
  <r>
    <x v="10"/>
    <x v="14"/>
    <s v="Setembro"/>
    <n v="2018"/>
    <n v="3.933934771358202"/>
    <n v="7"/>
    <m/>
  </r>
  <r>
    <x v="10"/>
    <x v="15"/>
    <s v="Outubro"/>
    <n v="2018"/>
    <n v="4.2782373170007739"/>
    <n v="7"/>
    <m/>
  </r>
  <r>
    <x v="10"/>
    <x v="16"/>
    <s v="Novembro"/>
    <n v="2018"/>
    <n v="4.9387500946060641"/>
    <n v="7"/>
    <m/>
  </r>
  <r>
    <x v="10"/>
    <x v="17"/>
    <s v="Dezembro"/>
    <n v="2018"/>
    <n v="5.2675289244933214"/>
    <n v="7"/>
    <m/>
  </r>
  <r>
    <x v="10"/>
    <x v="18"/>
    <s v="Janeiro"/>
    <n v="2019"/>
    <n v="4.6364465499728587"/>
    <n v="7"/>
    <m/>
  </r>
  <r>
    <x v="10"/>
    <x v="19"/>
    <s v="Fevereiro"/>
    <n v="2019"/>
    <n v="4.9008061868950143"/>
    <n v="7"/>
    <m/>
  </r>
  <r>
    <x v="10"/>
    <x v="20"/>
    <s v="Março"/>
    <n v="2019"/>
    <n v="4.3931987803641306"/>
    <n v="7"/>
    <m/>
  </r>
  <r>
    <x v="10"/>
    <x v="21"/>
    <s v="Abril"/>
    <n v="2019"/>
    <n v="4.137163859827246"/>
    <n v="7"/>
    <m/>
  </r>
  <r>
    <x v="10"/>
    <x v="22"/>
    <s v="Maio"/>
    <n v="2019"/>
    <n v="3.929893595350916"/>
    <n v="7"/>
    <m/>
  </r>
  <r>
    <x v="10"/>
    <x v="23"/>
    <s v="Junho"/>
    <n v="2019"/>
    <n v="3.6973012596023547"/>
    <n v="7"/>
    <m/>
  </r>
  <r>
    <x v="10"/>
    <x v="24"/>
    <s v="Julho"/>
    <n v="2019"/>
    <n v="4.2246222654623056"/>
    <n v="7"/>
    <m/>
  </r>
  <r>
    <x v="10"/>
    <x v="25"/>
    <s v="Agosto"/>
    <n v="2019"/>
    <n v="4.6748194163121752"/>
    <n v="7"/>
    <m/>
  </r>
  <r>
    <x v="10"/>
    <x v="26"/>
    <s v="Setembro"/>
    <n v="2019"/>
    <n v="4.3605353665242994"/>
    <n v="7"/>
    <m/>
  </r>
  <r>
    <x v="10"/>
    <x v="27"/>
    <s v="Outubro"/>
    <n v="2019"/>
    <n v="4.8821793601685908"/>
    <n v="7"/>
    <m/>
  </r>
  <r>
    <x v="10"/>
    <x v="28"/>
    <s v="Novembro"/>
    <n v="2019"/>
    <n v="4.5494146421767843"/>
    <n v="7"/>
    <m/>
  </r>
  <r>
    <x v="10"/>
    <x v="29"/>
    <s v="Dezembro"/>
    <n v="2019"/>
    <n v="5.154815573150664"/>
    <n v="7"/>
    <m/>
  </r>
  <r>
    <x v="10"/>
    <x v="30"/>
    <s v="Janeiro"/>
    <n v="2020"/>
    <n v="5.0970174692175716"/>
    <n v="7"/>
    <m/>
  </r>
  <r>
    <x v="10"/>
    <x v="31"/>
    <s v="Fevereiro"/>
    <n v="2020"/>
    <n v="4.3940595068755588"/>
    <n v="7"/>
    <m/>
  </r>
  <r>
    <x v="10"/>
    <x v="32"/>
    <s v="Março"/>
    <n v="2020"/>
    <n v="4.8043753137968661"/>
    <n v="7"/>
    <m/>
  </r>
  <r>
    <x v="10"/>
    <x v="33"/>
    <s v="Abril"/>
    <n v="2020"/>
    <n v="5.5419503550718394"/>
    <n v="7"/>
    <m/>
  </r>
  <r>
    <x v="10"/>
    <x v="34"/>
    <s v="Maio"/>
    <n v="2020"/>
    <n v="4.8295196490543582"/>
    <n v="7"/>
    <m/>
  </r>
  <r>
    <x v="10"/>
    <x v="35"/>
    <s v="Junho"/>
    <n v="2020"/>
    <n v="4.8813703534223389"/>
    <n v="7"/>
    <m/>
  </r>
  <r>
    <x v="10"/>
    <x v="36"/>
    <s v="Julho"/>
    <n v="2020"/>
    <n v="5.0709454549122919"/>
    <n v="7"/>
    <m/>
  </r>
  <r>
    <x v="10"/>
    <x v="37"/>
    <s v="Agosto"/>
    <n v="2020"/>
    <n v="4.7797483689043947"/>
    <n v="7"/>
    <m/>
  </r>
  <r>
    <x v="10"/>
    <x v="38"/>
    <s v="Setembro"/>
    <n v="2020"/>
    <n v="4.7738485696074804"/>
    <n v="7"/>
    <m/>
  </r>
  <r>
    <x v="10"/>
    <x v="39"/>
    <s v="Outubro"/>
    <n v="2020"/>
    <n v="5.6712185289408037"/>
    <n v="7"/>
    <m/>
  </r>
  <r>
    <x v="10"/>
    <x v="40"/>
    <s v="Novembro"/>
    <n v="2020"/>
    <n v="4.9757923758450673"/>
    <n v="7"/>
    <m/>
  </r>
  <r>
    <x v="10"/>
    <x v="41"/>
    <s v="Dezembro"/>
    <n v="2020"/>
    <n v="4.9630032973267308"/>
    <n v="7"/>
    <m/>
  </r>
  <r>
    <x v="10"/>
    <x v="42"/>
    <s v="Janeiro"/>
    <n v="2021"/>
    <n v="5.3047148225801806"/>
    <n v="7"/>
    <m/>
  </r>
  <r>
    <x v="10"/>
    <x v="43"/>
    <s v="Fevereiro"/>
    <n v="2021"/>
    <n v="4.1156453902151666"/>
    <n v="7"/>
    <m/>
  </r>
  <r>
    <x v="10"/>
    <x v="44"/>
    <s v="Março"/>
    <n v="2021"/>
    <n v="3.9067843399459581"/>
    <n v="7"/>
    <m/>
  </r>
  <r>
    <x v="10"/>
    <x v="45"/>
    <s v="Abril"/>
    <n v="2021"/>
    <n v="4.0569772650944032"/>
    <n v="7"/>
    <m/>
  </r>
  <r>
    <x v="10"/>
    <x v="46"/>
    <s v="Maio"/>
    <n v="2021"/>
    <n v="4.0757814346044769"/>
    <n v="7"/>
    <m/>
  </r>
  <r>
    <x v="10"/>
    <x v="47"/>
    <s v="Junho"/>
    <n v="2021"/>
    <n v="3.7599588901442318"/>
    <n v="7"/>
    <m/>
  </r>
  <r>
    <x v="10"/>
    <x v="48"/>
    <s v="Julho"/>
    <n v="2021"/>
    <n v="4.064052627992643"/>
    <n v="7"/>
    <m/>
  </r>
  <r>
    <x v="10"/>
    <x v="49"/>
    <s v="Agosto"/>
    <n v="2021"/>
    <n v="4.5189001764390611"/>
    <n v="7"/>
    <m/>
  </r>
  <r>
    <x v="10"/>
    <x v="50"/>
    <s v="Setembro"/>
    <n v="2021"/>
    <n v="4.6955674606466138"/>
    <n v="7"/>
    <m/>
  </r>
  <r>
    <x v="10"/>
    <x v="51"/>
    <s v="Outubro"/>
    <n v="2021"/>
    <n v="4.7671978698655453"/>
    <n v="7"/>
    <m/>
  </r>
  <r>
    <x v="10"/>
    <x v="52"/>
    <s v="Novembro"/>
    <n v="2021"/>
    <n v="5.0678517277539399"/>
    <n v="7"/>
    <m/>
  </r>
  <r>
    <x v="10"/>
    <x v="53"/>
    <s v="Dezembro"/>
    <n v="2021"/>
    <n v="5.1296961073298508"/>
    <n v="7"/>
    <m/>
  </r>
  <r>
    <x v="10"/>
    <x v="54"/>
    <s v="Janeiro"/>
    <n v="2022"/>
    <n v="5.4333411124070583"/>
    <n v="7"/>
    <m/>
  </r>
  <r>
    <x v="10"/>
    <x v="55"/>
    <s v="Fevereiro"/>
    <n v="2022"/>
    <n v="4.9718834401897531"/>
    <n v="7"/>
    <m/>
  </r>
  <r>
    <x v="10"/>
    <x v="56"/>
    <s v="Março"/>
    <n v="2022"/>
    <n v="4.6148793757961073"/>
    <n v="7"/>
    <m/>
  </r>
  <r>
    <x v="10"/>
    <x v="57"/>
    <s v="Abril"/>
    <n v="2022"/>
    <n v="5.0362459677489193"/>
    <n v="7"/>
    <m/>
  </r>
  <r>
    <x v="10"/>
    <x v="58"/>
    <s v="Maio"/>
    <n v="2022"/>
    <n v="5.2747724263311477"/>
    <n v="7"/>
    <m/>
  </r>
  <r>
    <x v="10"/>
    <x v="59"/>
    <s v="Junho"/>
    <n v="2022"/>
    <n v="5.1381789846560384"/>
    <n v="7"/>
    <m/>
  </r>
  <r>
    <x v="10"/>
    <x v="60"/>
    <s v="Julho"/>
    <n v="2022"/>
    <n v="5.7659030822399728"/>
    <n v="7"/>
    <m/>
  </r>
  <r>
    <x v="10"/>
    <x v="61"/>
    <s v="Agosto"/>
    <n v="2022"/>
    <n v="5.2085916495269569"/>
    <n v="7"/>
    <m/>
  </r>
  <r>
    <x v="10"/>
    <x v="62"/>
    <s v="Setembro"/>
    <n v="2022"/>
    <n v="4.8806446940528776"/>
    <n v="7"/>
    <m/>
  </r>
  <r>
    <x v="10"/>
    <x v="63"/>
    <s v="Outubro"/>
    <n v="2022"/>
    <n v="5.3965777834211037"/>
    <n v="7"/>
    <m/>
  </r>
  <r>
    <x v="10"/>
    <x v="64"/>
    <s v="Novembro"/>
    <n v="2022"/>
    <n v="6.0275420587674962"/>
    <n v="7"/>
    <m/>
  </r>
  <r>
    <x v="10"/>
    <x v="65"/>
    <s v="Dezembro"/>
    <n v="2022"/>
    <n v="6.4529852962159273"/>
    <n v="7"/>
    <m/>
  </r>
  <r>
    <x v="10"/>
    <x v="66"/>
    <s v="Janeiro"/>
    <n v="2023"/>
    <n v="7.7441766532872984"/>
    <n v="7"/>
    <m/>
  </r>
  <r>
    <x v="10"/>
    <x v="67"/>
    <s v="Fevereiro"/>
    <n v="2023"/>
    <n v="6.9350873511773496"/>
    <n v="7"/>
    <m/>
  </r>
  <r>
    <x v="10"/>
    <x v="68"/>
    <s v="Março"/>
    <n v="2023"/>
    <n v="6.2194202082732053"/>
    <n v="7"/>
    <m/>
  </r>
  <r>
    <x v="10"/>
    <x v="69"/>
    <s v="Abril"/>
    <n v="2023"/>
    <n v="6.2285313000245495"/>
    <n v="7"/>
    <m/>
  </r>
  <r>
    <x v="10"/>
    <x v="70"/>
    <s v="Maio"/>
    <n v="2023"/>
    <n v="5.105280373073489"/>
    <n v="7"/>
    <m/>
  </r>
  <r>
    <x v="10"/>
    <x v="71"/>
    <s v="Junho"/>
    <n v="2023"/>
    <n v="5.0247298769314783"/>
    <n v="7"/>
    <m/>
  </r>
  <r>
    <x v="10"/>
    <x v="72"/>
    <s v="Julho"/>
    <n v="2023"/>
    <n v="5.0713760137758603"/>
    <n v="7"/>
    <m/>
  </r>
  <r>
    <x v="10"/>
    <x v="73"/>
    <s v="Agosto"/>
    <n v="2023"/>
    <n v="5.0087716190791323"/>
    <n v="7"/>
    <m/>
  </r>
  <r>
    <x v="10"/>
    <x v="74"/>
    <s v="Setembro"/>
    <n v="2023"/>
    <n v="4.3132484385581904"/>
    <n v="7"/>
    <m/>
  </r>
  <r>
    <x v="10"/>
    <x v="75"/>
    <s v="Outubro"/>
    <n v="2023"/>
    <n v="4.3105259560099078"/>
    <n v="7"/>
    <m/>
  </r>
  <r>
    <x v="10"/>
    <x v="76"/>
    <s v="Novembro"/>
    <n v="2023"/>
    <n v="4.6740927872810953"/>
    <n v="7"/>
    <m/>
  </r>
  <r>
    <x v="10"/>
    <x v="77"/>
    <s v="Dezembro"/>
    <n v="2023"/>
    <n v="4.5158317796406306"/>
    <n v="7"/>
    <m/>
  </r>
  <r>
    <x v="10"/>
    <x v="78"/>
    <s v="Janeiro"/>
    <n v="2024"/>
    <n v="5.6587615603759405"/>
    <n v="7"/>
    <m/>
  </r>
  <r>
    <x v="10"/>
    <x v="79"/>
    <s v="Fevereiro"/>
    <n v="2024"/>
    <n v="5.065982644306585"/>
    <n v="7"/>
    <m/>
  </r>
  <r>
    <x v="10"/>
    <x v="80"/>
    <s v="Março"/>
    <n v="2024"/>
    <n v="4.3914954415298268"/>
    <n v="7"/>
    <m/>
  </r>
  <r>
    <x v="10"/>
    <x v="81"/>
    <s v="Abril"/>
    <n v="2024"/>
    <n v="3.9870476396508749"/>
    <n v="7"/>
    <m/>
  </r>
  <r>
    <x v="10"/>
    <x v="82"/>
    <s v="Maio"/>
    <n v="2024"/>
    <n v="3.1867461954460037"/>
    <n v="7"/>
    <m/>
  </r>
  <r>
    <x v="10"/>
    <x v="83"/>
    <s v="Junho"/>
    <n v="2024"/>
    <n v="3.462921203355446"/>
    <n v="7"/>
    <m/>
  </r>
  <r>
    <x v="10"/>
    <x v="84"/>
    <s v="Julho"/>
    <n v="2024"/>
    <n v="3.397561617284667"/>
    <n v="7"/>
    <m/>
  </r>
  <r>
    <x v="10"/>
    <x v="85"/>
    <s v="Agosto"/>
    <n v="2024"/>
    <n v="3.421666416117314"/>
    <n v="7"/>
    <m/>
  </r>
  <r>
    <x v="10"/>
    <x v="86"/>
    <s v="Setembro"/>
    <n v="2024"/>
    <n v="3.5215159086425514"/>
    <n v="7"/>
    <m/>
  </r>
  <r>
    <x v="10"/>
    <x v="87"/>
    <s v="Outubro"/>
    <n v="2024"/>
    <n v="3.4764344591518648"/>
    <n v="7"/>
    <m/>
  </r>
  <r>
    <x v="10"/>
    <x v="88"/>
    <s v="Novembro"/>
    <n v="2024"/>
    <n v="3.312963726789838"/>
    <n v="7"/>
    <m/>
  </r>
  <r>
    <x v="10"/>
    <x v="89"/>
    <s v="Dezembro"/>
    <n v="2024"/>
    <n v="3.392500523914475"/>
    <n v="7"/>
    <m/>
  </r>
  <r>
    <x v="10"/>
    <x v="90"/>
    <s v="Janeiro"/>
    <n v="2025"/>
    <n v="3.8841782772939801"/>
    <n v="7"/>
    <m/>
  </r>
  <r>
    <x v="10"/>
    <x v="91"/>
    <s v="Fevereiro"/>
    <n v="2025"/>
    <n v="3.9494449392984712"/>
    <n v="7"/>
    <m/>
  </r>
  <r>
    <x v="10"/>
    <x v="92"/>
    <s v="Março"/>
    <n v="2025"/>
    <n v="3.7330853162919908"/>
    <n v="7"/>
    <m/>
  </r>
  <r>
    <x v="10"/>
    <x v="93"/>
    <s v="Abril"/>
    <n v="2025"/>
    <n v="3.8788265454799955"/>
    <n v="7"/>
    <m/>
  </r>
  <r>
    <x v="10"/>
    <x v="94"/>
    <s v="Maio"/>
    <n v="2025"/>
    <n v="3.8807857645093327"/>
    <n v="7"/>
    <m/>
  </r>
  <r>
    <x v="10"/>
    <x v="95"/>
    <s v="Junho"/>
    <n v="2025"/>
    <n v="3.620833877957041"/>
    <n v="7"/>
    <m/>
  </r>
  <r>
    <x v="10"/>
    <x v="96"/>
    <s v="Julho"/>
    <n v="2025"/>
    <n v="3.6342456636112384"/>
    <n v="7"/>
    <m/>
  </r>
  <r>
    <x v="10"/>
    <x v="97"/>
    <s v="Agosto"/>
    <n v="2025"/>
    <n v="3.6845413968114311"/>
    <n v="7"/>
    <m/>
  </r>
  <r>
    <x v="10"/>
    <x v="98"/>
    <s v="Setembro"/>
    <n v="2025"/>
    <n v="3.5225353687961047"/>
    <n v="7"/>
    <m/>
  </r>
  <r>
    <x v="10"/>
    <x v="99"/>
    <s v="Outubro"/>
    <n v="2025"/>
    <n v="3.4145343291180561"/>
    <n v="7"/>
    <m/>
  </r>
  <r>
    <x v="10"/>
    <x v="100"/>
    <s v="Novembro"/>
    <n v="2025"/>
    <n v="3.4342436523900668"/>
    <n v="7"/>
    <m/>
  </r>
  <r>
    <x v="10"/>
    <x v="101"/>
    <s v="Dezembro"/>
    <n v="2025"/>
    <n v="3.1621234584173812"/>
    <n v="7"/>
    <m/>
  </r>
  <r>
    <x v="10"/>
    <x v="102"/>
    <s v="Janeiro"/>
    <n v="2026"/>
    <n v="3.2726457610112725"/>
    <n v="7"/>
    <m/>
  </r>
  <r>
    <x v="0"/>
    <x v="0"/>
    <m/>
    <m/>
    <m/>
    <m/>
    <m/>
  </r>
  <r>
    <x v="11"/>
    <x v="1"/>
    <s v="Dezembro"/>
    <n v="2013"/>
    <n v="4.3295823722742943"/>
    <n v="4"/>
    <m/>
  </r>
  <r>
    <x v="11"/>
    <x v="2"/>
    <s v="Dezembro"/>
    <n v="2014"/>
    <n v="2.5814844606253478"/>
    <n v="4"/>
    <m/>
  </r>
  <r>
    <x v="11"/>
    <x v="3"/>
    <s v="Dezembro"/>
    <n v="2015"/>
    <n v="3.929857212280722"/>
    <n v="4"/>
    <m/>
  </r>
  <r>
    <x v="11"/>
    <x v="4"/>
    <s v="Dezembro"/>
    <n v="2016"/>
    <n v="4.5947779975313301"/>
    <n v="4"/>
    <m/>
  </r>
  <r>
    <x v="11"/>
    <x v="5"/>
    <s v="Dezembro"/>
    <n v="2017"/>
    <n v="3.650305320170641"/>
    <n v="4"/>
    <m/>
  </r>
  <r>
    <x v="11"/>
    <x v="6"/>
    <s v="Janeiro"/>
    <n v="2018"/>
    <n v="4.4279417975793702"/>
    <n v="4"/>
    <m/>
  </r>
  <r>
    <x v="11"/>
    <x v="7"/>
    <s v="Fevereiro"/>
    <n v="2018"/>
    <n v="3.9862556777126428"/>
    <n v="4"/>
    <m/>
  </r>
  <r>
    <x v="11"/>
    <x v="8"/>
    <s v="Março"/>
    <n v="2018"/>
    <n v="3.9770076416319267"/>
    <n v="4"/>
    <m/>
  </r>
  <r>
    <x v="11"/>
    <x v="9"/>
    <s v="Abril"/>
    <n v="2018"/>
    <n v="2.3860810214211687"/>
    <n v="4"/>
    <m/>
  </r>
  <r>
    <x v="11"/>
    <x v="10"/>
    <s v="Maio"/>
    <n v="2018"/>
    <n v="2.5189492189943397"/>
    <n v="4"/>
    <m/>
  </r>
  <r>
    <x v="11"/>
    <x v="11"/>
    <s v="Junho"/>
    <n v="2018"/>
    <n v="2.3116785328783749"/>
    <n v="4"/>
    <m/>
  </r>
  <r>
    <x v="11"/>
    <x v="12"/>
    <s v="Julho"/>
    <n v="2018"/>
    <n v="2.7798048831019528"/>
    <n v="4"/>
    <m/>
  </r>
  <r>
    <x v="11"/>
    <x v="13"/>
    <s v="Agosto"/>
    <n v="2018"/>
    <n v="2.7130938643582452"/>
    <n v="4"/>
    <m/>
  </r>
  <r>
    <x v="11"/>
    <x v="14"/>
    <s v="Setembro"/>
    <n v="2018"/>
    <n v="2.5740311723502138"/>
    <n v="4"/>
    <m/>
  </r>
  <r>
    <x v="11"/>
    <x v="15"/>
    <s v="Outubro"/>
    <n v="2018"/>
    <n v="2.7804375206461702"/>
    <n v="4"/>
    <m/>
  </r>
  <r>
    <x v="11"/>
    <x v="16"/>
    <s v="Novembro"/>
    <n v="2018"/>
    <n v="3.0983192281051033"/>
    <n v="4"/>
    <m/>
  </r>
  <r>
    <x v="11"/>
    <x v="17"/>
    <s v="Dezembro"/>
    <n v="2018"/>
    <n v="3.3106212098084171"/>
    <n v="4"/>
    <m/>
  </r>
  <r>
    <x v="11"/>
    <x v="18"/>
    <s v="Janeiro"/>
    <n v="2019"/>
    <n v="2.8763765613940744"/>
    <n v="4"/>
    <m/>
  </r>
  <r>
    <x v="11"/>
    <x v="19"/>
    <s v="Fevereiro"/>
    <n v="2019"/>
    <n v="3.1023781610490815"/>
    <n v="4"/>
    <m/>
  </r>
  <r>
    <x v="11"/>
    <x v="20"/>
    <s v="Março"/>
    <n v="2019"/>
    <n v="2.8130103277265062"/>
    <n v="4"/>
    <m/>
  </r>
  <r>
    <x v="11"/>
    <x v="21"/>
    <s v="Abril"/>
    <n v="2019"/>
    <n v="2.5516406104389655"/>
    <n v="4"/>
    <m/>
  </r>
  <r>
    <x v="11"/>
    <x v="22"/>
    <s v="Maio"/>
    <n v="2019"/>
    <n v="2.4622303843080258"/>
    <n v="4"/>
    <m/>
  </r>
  <r>
    <x v="11"/>
    <x v="23"/>
    <s v="Junho"/>
    <n v="2019"/>
    <n v="2.1948571733885469"/>
    <n v="4"/>
    <m/>
  </r>
  <r>
    <x v="11"/>
    <x v="24"/>
    <s v="Julho"/>
    <n v="2019"/>
    <n v="2.5599260305790743"/>
    <n v="4"/>
    <m/>
  </r>
  <r>
    <x v="11"/>
    <x v="25"/>
    <s v="Agosto"/>
    <n v="2019"/>
    <n v="2.9047418575778883"/>
    <n v="4"/>
    <m/>
  </r>
  <r>
    <x v="11"/>
    <x v="26"/>
    <s v="Setembro"/>
    <n v="2019"/>
    <n v="2.819301708211631"/>
    <n v="4"/>
    <m/>
  </r>
  <r>
    <x v="11"/>
    <x v="27"/>
    <s v="Outubro"/>
    <n v="2019"/>
    <n v="3.1256989738709673"/>
    <n v="4"/>
    <m/>
  </r>
  <r>
    <x v="11"/>
    <x v="28"/>
    <s v="Novembro"/>
    <n v="2019"/>
    <n v="2.925987699162298"/>
    <n v="4"/>
    <m/>
  </r>
  <r>
    <x v="11"/>
    <x v="29"/>
    <s v="Dezembro"/>
    <n v="2019"/>
    <n v="3.2375347728589055"/>
    <n v="4"/>
    <m/>
  </r>
  <r>
    <x v="11"/>
    <x v="30"/>
    <s v="Janeiro"/>
    <n v="2020"/>
    <n v="3.224312662245759"/>
    <n v="4"/>
    <m/>
  </r>
  <r>
    <x v="11"/>
    <x v="31"/>
    <s v="Fevereiro"/>
    <n v="2020"/>
    <n v="2.7134869130833112"/>
    <n v="4"/>
    <m/>
  </r>
  <r>
    <x v="11"/>
    <x v="32"/>
    <s v="Março"/>
    <n v="2020"/>
    <n v="2.7489439979686785"/>
    <n v="4"/>
    <m/>
  </r>
  <r>
    <x v="11"/>
    <x v="33"/>
    <s v="Abril"/>
    <n v="2020"/>
    <n v="3.057310066958709"/>
    <n v="4"/>
    <m/>
  </r>
  <r>
    <x v="11"/>
    <x v="34"/>
    <s v="Maio"/>
    <n v="2020"/>
    <n v="2.6557955573473224"/>
    <n v="4"/>
    <m/>
  </r>
  <r>
    <x v="11"/>
    <x v="35"/>
    <s v="Junho"/>
    <n v="2020"/>
    <n v="3.0343343484389882"/>
    <n v="4"/>
    <m/>
  </r>
  <r>
    <x v="11"/>
    <x v="36"/>
    <s v="Julho"/>
    <n v="2020"/>
    <n v="3.2569062667349868"/>
    <n v="4"/>
    <m/>
  </r>
  <r>
    <x v="11"/>
    <x v="37"/>
    <s v="Agosto"/>
    <n v="2020"/>
    <n v="3.3479018530357498"/>
    <n v="4"/>
    <m/>
  </r>
  <r>
    <x v="11"/>
    <x v="38"/>
    <s v="Setembro"/>
    <n v="2020"/>
    <n v="3.3710473805661398"/>
    <n v="4"/>
    <m/>
  </r>
  <r>
    <x v="11"/>
    <x v="39"/>
    <s v="Outubro"/>
    <n v="2020"/>
    <n v="3.9935285925468742"/>
    <n v="4"/>
    <m/>
  </r>
  <r>
    <x v="11"/>
    <x v="40"/>
    <s v="Novembro"/>
    <n v="2020"/>
    <n v="3.46606746428168"/>
    <n v="4"/>
    <m/>
  </r>
  <r>
    <x v="11"/>
    <x v="41"/>
    <s v="Dezembro"/>
    <n v="2020"/>
    <n v="3.6235826831181157"/>
    <n v="4"/>
    <m/>
  </r>
  <r>
    <x v="11"/>
    <x v="42"/>
    <s v="Janeiro"/>
    <n v="2021"/>
    <n v="3.656956932021874"/>
    <n v="4"/>
    <m/>
  </r>
  <r>
    <x v="11"/>
    <x v="43"/>
    <s v="Fevereiro"/>
    <n v="2021"/>
    <n v="2.7976204216543747"/>
    <n v="4"/>
    <m/>
  </r>
  <r>
    <x v="11"/>
    <x v="44"/>
    <s v="Março"/>
    <n v="2021"/>
    <n v="2.677051394312532"/>
    <n v="4"/>
    <m/>
  </r>
  <r>
    <x v="11"/>
    <x v="45"/>
    <s v="Abril"/>
    <n v="2021"/>
    <n v="2.6563413554482032"/>
    <n v="4"/>
    <m/>
  </r>
  <r>
    <x v="11"/>
    <x v="46"/>
    <s v="Maio"/>
    <n v="2021"/>
    <n v="2.8308934026269763"/>
    <n v="4"/>
    <m/>
  </r>
  <r>
    <x v="11"/>
    <x v="47"/>
    <s v="Junho"/>
    <n v="2021"/>
    <n v="2.6310932595228635"/>
    <n v="4"/>
    <m/>
  </r>
  <r>
    <x v="11"/>
    <x v="48"/>
    <s v="Julho"/>
    <n v="2021"/>
    <n v="2.9007008740591451"/>
    <n v="4"/>
    <m/>
  </r>
  <r>
    <x v="11"/>
    <x v="49"/>
    <s v="Agosto"/>
    <n v="2021"/>
    <n v="3.1611393408752706"/>
    <n v="4"/>
    <m/>
  </r>
  <r>
    <x v="11"/>
    <x v="50"/>
    <s v="Setembro"/>
    <n v="2021"/>
    <n v="3.1930112862412283"/>
    <n v="4"/>
    <m/>
  </r>
  <r>
    <x v="11"/>
    <x v="51"/>
    <s v="Outubro"/>
    <n v="2021"/>
    <n v="3.1977679380109247"/>
    <n v="4"/>
    <m/>
  </r>
  <r>
    <x v="11"/>
    <x v="52"/>
    <s v="Novembro"/>
    <n v="2021"/>
    <n v="3.4116624962844004"/>
    <n v="4"/>
    <m/>
  </r>
  <r>
    <x v="11"/>
    <x v="53"/>
    <s v="Dezembro"/>
    <n v="2021"/>
    <n v="3.4782917310675541"/>
    <n v="4"/>
    <m/>
  </r>
  <r>
    <x v="11"/>
    <x v="54"/>
    <s v="Janeiro"/>
    <n v="2022"/>
    <n v="3.6692833078401716"/>
    <n v="4"/>
    <m/>
  </r>
  <r>
    <x v="11"/>
    <x v="55"/>
    <s v="Fevereiro"/>
    <n v="2022"/>
    <n v="3.3840773434262688"/>
    <n v="4"/>
    <m/>
  </r>
  <r>
    <x v="11"/>
    <x v="56"/>
    <s v="Março"/>
    <n v="2022"/>
    <n v="3.2423281990081003"/>
    <n v="4"/>
    <m/>
  </r>
  <r>
    <x v="11"/>
    <x v="57"/>
    <s v="Abril"/>
    <n v="2022"/>
    <n v="3.578738452390458"/>
    <n v="4"/>
    <m/>
  </r>
  <r>
    <x v="11"/>
    <x v="58"/>
    <s v="Maio"/>
    <n v="2022"/>
    <n v="3.8077287950416956"/>
    <n v="4"/>
    <m/>
  </r>
  <r>
    <x v="11"/>
    <x v="59"/>
    <s v="Junho"/>
    <n v="2022"/>
    <n v="3.6719001593711935"/>
    <n v="4"/>
    <m/>
  </r>
  <r>
    <x v="11"/>
    <x v="60"/>
    <s v="Julho"/>
    <n v="2022"/>
    <n v="4.0355187687134801"/>
    <n v="4"/>
    <m/>
  </r>
  <r>
    <x v="11"/>
    <x v="61"/>
    <s v="Agosto"/>
    <n v="2022"/>
    <n v="3.6206326351067579"/>
    <n v="4"/>
    <m/>
  </r>
  <r>
    <x v="11"/>
    <x v="62"/>
    <s v="Setembro"/>
    <n v="2022"/>
    <n v="3.3306182630671319"/>
    <n v="4"/>
    <m/>
  </r>
  <r>
    <x v="11"/>
    <x v="63"/>
    <s v="Outubro"/>
    <n v="2022"/>
    <n v="3.5889515533899101"/>
    <n v="4"/>
    <m/>
  </r>
  <r>
    <x v="11"/>
    <x v="64"/>
    <s v="Novembro"/>
    <n v="2022"/>
    <n v="4.0355785133288844"/>
    <n v="4"/>
    <m/>
  </r>
  <r>
    <x v="11"/>
    <x v="65"/>
    <s v="Dezembro"/>
    <n v="2022"/>
    <n v="4.1950148068760287"/>
    <n v="4"/>
    <m/>
  </r>
  <r>
    <x v="11"/>
    <x v="66"/>
    <s v="Janeiro"/>
    <n v="2023"/>
    <n v="4.9635597915872562"/>
    <n v="4"/>
    <m/>
  </r>
  <r>
    <x v="11"/>
    <x v="67"/>
    <s v="Fevereiro"/>
    <n v="2023"/>
    <n v="4.4899056126473491"/>
    <n v="4"/>
    <m/>
  </r>
  <r>
    <x v="11"/>
    <x v="68"/>
    <s v="Março"/>
    <n v="2023"/>
    <n v="3.9721512326463517"/>
    <n v="4"/>
    <m/>
  </r>
  <r>
    <x v="11"/>
    <x v="69"/>
    <s v="Abril"/>
    <n v="2023"/>
    <n v="4.064878308075822"/>
    <n v="4"/>
    <m/>
  </r>
  <r>
    <x v="11"/>
    <x v="70"/>
    <s v="Maio"/>
    <n v="2023"/>
    <n v="3.451555461694618"/>
    <n v="4"/>
    <m/>
  </r>
  <r>
    <x v="11"/>
    <x v="71"/>
    <s v="Junho"/>
    <n v="2023"/>
    <n v="3.4775641363295269"/>
    <n v="4"/>
    <m/>
  </r>
  <r>
    <x v="11"/>
    <x v="72"/>
    <s v="Julho"/>
    <n v="2023"/>
    <n v="3.3784246946904246"/>
    <n v="4"/>
    <m/>
  </r>
  <r>
    <x v="11"/>
    <x v="73"/>
    <s v="Agosto"/>
    <n v="2023"/>
    <n v="3.4407395634292972"/>
    <n v="4"/>
    <m/>
  </r>
  <r>
    <x v="11"/>
    <x v="74"/>
    <s v="Setembro"/>
    <n v="2023"/>
    <n v="2.9648319473818421"/>
    <n v="4"/>
    <m/>
  </r>
  <r>
    <x v="11"/>
    <x v="75"/>
    <s v="Outubro"/>
    <n v="2023"/>
    <n v="2.9916462340147461"/>
    <n v="4"/>
    <m/>
  </r>
  <r>
    <x v="11"/>
    <x v="76"/>
    <s v="Novembro"/>
    <n v="2023"/>
    <n v="3.176306678915592"/>
    <n v="4"/>
    <m/>
  </r>
  <r>
    <x v="11"/>
    <x v="77"/>
    <s v="Dezembro"/>
    <n v="2023"/>
    <n v="3.0671423826565785"/>
    <n v="4"/>
    <m/>
  </r>
  <r>
    <x v="11"/>
    <x v="78"/>
    <s v="Janeiro"/>
    <n v="2024"/>
    <n v="3.6793164945945063"/>
    <n v="4"/>
    <m/>
  </r>
  <r>
    <x v="11"/>
    <x v="79"/>
    <s v="Fevereiro"/>
    <n v="2024"/>
    <n v="3.3638697643874149"/>
    <n v="4"/>
    <m/>
  </r>
  <r>
    <x v="11"/>
    <x v="80"/>
    <s v="Março"/>
    <n v="2024"/>
    <n v="2.9691129296167866"/>
    <n v="4"/>
    <m/>
  </r>
  <r>
    <x v="11"/>
    <x v="81"/>
    <s v="Abril"/>
    <n v="2024"/>
    <n v="2.76244788433028"/>
    <n v="4"/>
    <m/>
  </r>
  <r>
    <x v="11"/>
    <x v="82"/>
    <s v="Maio"/>
    <n v="2024"/>
    <n v="2.2501332948544257"/>
    <n v="4"/>
    <m/>
  </r>
  <r>
    <x v="11"/>
    <x v="83"/>
    <s v="Junho"/>
    <n v="2024"/>
    <n v="2.4010114451726721"/>
    <n v="4"/>
    <m/>
  </r>
  <r>
    <x v="11"/>
    <x v="84"/>
    <s v="Julho"/>
    <n v="2024"/>
    <n v="2.4577591555969343"/>
    <n v="4"/>
    <m/>
  </r>
  <r>
    <x v="11"/>
    <x v="85"/>
    <s v="Agosto"/>
    <n v="2024"/>
    <n v="2.4559866569596873"/>
    <n v="4"/>
    <m/>
  </r>
  <r>
    <x v="11"/>
    <x v="86"/>
    <s v="Setembro"/>
    <n v="2024"/>
    <n v="2.5341745573814745"/>
    <n v="4"/>
    <m/>
  </r>
  <r>
    <x v="11"/>
    <x v="87"/>
    <s v="Outubro"/>
    <n v="2024"/>
    <n v="2.4763733541498851"/>
    <n v="4"/>
    <m/>
  </r>
  <r>
    <x v="11"/>
    <x v="88"/>
    <s v="Novembro"/>
    <n v="2024"/>
    <n v="2.3595799754545399"/>
    <n v="4"/>
    <m/>
  </r>
  <r>
    <x v="11"/>
    <x v="89"/>
    <s v="Dezembro"/>
    <n v="2024"/>
    <n v="2.4864339328738057"/>
    <n v="4"/>
    <m/>
  </r>
  <r>
    <x v="11"/>
    <x v="90"/>
    <s v="Janeiro"/>
    <n v="2025"/>
    <n v="2.7262509473226624"/>
    <n v="4"/>
    <m/>
  </r>
  <r>
    <x v="11"/>
    <x v="91"/>
    <s v="Fevereiro"/>
    <n v="2025"/>
    <n v="2.8035809633983972"/>
    <n v="4"/>
    <m/>
  </r>
  <r>
    <x v="11"/>
    <x v="92"/>
    <s v="Março"/>
    <n v="2025"/>
    <n v="2.6419785051906612"/>
    <n v="4"/>
    <m/>
  </r>
  <r>
    <x v="11"/>
    <x v="93"/>
    <s v="Abril"/>
    <n v="2025"/>
    <n v="2.8771216152706049"/>
    <n v="4"/>
    <m/>
  </r>
  <r>
    <x v="11"/>
    <x v="94"/>
    <s v="Maio"/>
    <n v="2025"/>
    <n v="2.9783091928032959"/>
    <n v="4"/>
    <m/>
  </r>
  <r>
    <x v="11"/>
    <x v="95"/>
    <s v="Junho"/>
    <n v="2025"/>
    <n v="2.7304584874782938"/>
    <n v="4"/>
    <m/>
  </r>
  <r>
    <x v="11"/>
    <x v="96"/>
    <s v="Julho"/>
    <n v="2025"/>
    <n v="2.7488657310922013"/>
    <n v="4"/>
    <m/>
  </r>
  <r>
    <x v="11"/>
    <x v="97"/>
    <s v="Agosto"/>
    <n v="2025"/>
    <n v="2.818414053876757"/>
    <n v="4"/>
    <m/>
  </r>
  <r>
    <x v="11"/>
    <x v="98"/>
    <s v="Setembro"/>
    <n v="2025"/>
    <n v="2.6973455208816839"/>
    <n v="4"/>
    <m/>
  </r>
  <r>
    <x v="11"/>
    <x v="99"/>
    <s v="Outubro"/>
    <n v="2025"/>
    <n v="2.6076002706938421"/>
    <n v="4"/>
    <m/>
  </r>
  <r>
    <x v="11"/>
    <x v="100"/>
    <s v="Novembro"/>
    <n v="2025"/>
    <n v="2.6471975563664634"/>
    <n v="4"/>
    <m/>
  </r>
  <r>
    <x v="11"/>
    <x v="101"/>
    <s v="Dezembro"/>
    <n v="2025"/>
    <n v="2.372885989909606"/>
    <n v="4"/>
    <m/>
  </r>
  <r>
    <x v="11"/>
    <x v="102"/>
    <s v="Janeiro"/>
    <n v="2026"/>
    <n v="2.4693815489985949"/>
    <n v="4"/>
    <m/>
  </r>
  <r>
    <x v="0"/>
    <x v="0"/>
    <m/>
    <m/>
    <m/>
    <m/>
    <m/>
  </r>
  <r>
    <x v="12"/>
    <x v="1"/>
    <s v="Dezembro"/>
    <n v="2013"/>
    <n v="4.52831422134902"/>
    <m/>
    <m/>
  </r>
  <r>
    <x v="12"/>
    <x v="2"/>
    <s v="Dezembro"/>
    <n v="2014"/>
    <n v="2.7267755113199987"/>
    <m/>
    <m/>
  </r>
  <r>
    <x v="12"/>
    <x v="3"/>
    <s v="Dezembro"/>
    <n v="2015"/>
    <n v="4.4445172226614584"/>
    <m/>
    <m/>
  </r>
  <r>
    <x v="12"/>
    <x v="4"/>
    <s v="Dezembro"/>
    <n v="2016"/>
    <n v="6.3427710893771572"/>
    <m/>
    <m/>
  </r>
  <r>
    <x v="12"/>
    <x v="5"/>
    <s v="Dezembro"/>
    <n v="2017"/>
    <n v="5.9335742087565544"/>
    <m/>
    <m/>
  </r>
  <r>
    <x v="12"/>
    <x v="6"/>
    <s v="Janeiro"/>
    <n v="2018"/>
    <n v="6.9511277373477318"/>
    <m/>
    <m/>
  </r>
  <r>
    <x v="12"/>
    <x v="7"/>
    <s v="Fevereiro"/>
    <n v="2018"/>
    <n v="6.595863990456353"/>
    <m/>
    <m/>
  </r>
  <r>
    <x v="12"/>
    <x v="8"/>
    <s v="Março"/>
    <n v="2018"/>
    <n v="6.0802944271736097"/>
    <m/>
    <m/>
  </r>
  <r>
    <x v="12"/>
    <x v="9"/>
    <s v="Abril"/>
    <n v="2018"/>
    <n v="2.618553041500387"/>
    <m/>
    <m/>
  </r>
  <r>
    <x v="12"/>
    <x v="10"/>
    <s v="Maio"/>
    <n v="2018"/>
    <n v="2.8260433139353882"/>
    <m/>
    <m/>
  </r>
  <r>
    <x v="12"/>
    <x v="11"/>
    <s v="Junho"/>
    <n v="2018"/>
    <n v="2.7124662550547098"/>
    <m/>
    <m/>
  </r>
  <r>
    <x v="12"/>
    <x v="12"/>
    <s v="Julho"/>
    <n v="2018"/>
    <n v="2.940478034164729"/>
    <m/>
    <m/>
  </r>
  <r>
    <x v="12"/>
    <x v="13"/>
    <s v="Agosto"/>
    <n v="2018"/>
    <n v="2.9027150725705853"/>
    <m/>
    <m/>
  </r>
  <r>
    <x v="12"/>
    <x v="14"/>
    <s v="Setembro"/>
    <n v="2018"/>
    <n v="2.8109773311295538"/>
    <m/>
    <m/>
  </r>
  <r>
    <x v="12"/>
    <x v="15"/>
    <s v="Outubro"/>
    <n v="2018"/>
    <n v="2.8987627562950209"/>
    <m/>
    <m/>
  </r>
  <r>
    <x v="12"/>
    <x v="16"/>
    <s v="Novembro"/>
    <n v="2018"/>
    <n v="3.1608232553656359"/>
    <m/>
    <m/>
  </r>
  <r>
    <x v="12"/>
    <x v="17"/>
    <s v="Dezembro"/>
    <n v="2018"/>
    <n v="3.3073506863384727"/>
    <m/>
    <m/>
  </r>
  <r>
    <x v="12"/>
    <x v="18"/>
    <s v="Janeiro"/>
    <n v="2019"/>
    <n v="3.1157959399132134"/>
    <m/>
    <m/>
  </r>
  <r>
    <x v="12"/>
    <x v="19"/>
    <s v="Fevereiro"/>
    <n v="2019"/>
    <n v="3.2353707925338302"/>
    <m/>
    <m/>
  </r>
  <r>
    <x v="12"/>
    <x v="20"/>
    <s v="Março"/>
    <n v="2019"/>
    <n v="3.0712325330544497"/>
    <m/>
    <m/>
  </r>
  <r>
    <x v="12"/>
    <x v="21"/>
    <s v="Abril"/>
    <n v="2019"/>
    <n v="3.3308184220757289"/>
    <m/>
    <m/>
  </r>
  <r>
    <x v="12"/>
    <x v="22"/>
    <s v="Maio"/>
    <n v="2019"/>
    <n v="3.2452429935900775"/>
    <m/>
    <m/>
  </r>
  <r>
    <x v="12"/>
    <x v="23"/>
    <s v="Junho"/>
    <n v="2019"/>
    <n v="3.1124199359771381"/>
    <m/>
    <m/>
  </r>
  <r>
    <x v="12"/>
    <x v="24"/>
    <s v="Julho"/>
    <n v="2019"/>
    <n v="3.2012767085711724"/>
    <m/>
    <m/>
  </r>
  <r>
    <x v="12"/>
    <x v="25"/>
    <s v="Agosto"/>
    <n v="2019"/>
    <n v="3.4714445084236405"/>
    <m/>
    <m/>
  </r>
  <r>
    <x v="12"/>
    <x v="26"/>
    <s v="Setembro"/>
    <n v="2019"/>
    <n v="3.3720564909722217"/>
    <m/>
    <m/>
  </r>
  <r>
    <x v="12"/>
    <x v="27"/>
    <s v="Outubro"/>
    <n v="2019"/>
    <n v="4.2474129674968522"/>
    <m/>
    <m/>
  </r>
  <r>
    <x v="12"/>
    <x v="28"/>
    <s v="Novembro"/>
    <n v="2019"/>
    <n v="4.0374096176801713"/>
    <m/>
    <m/>
  </r>
  <r>
    <x v="12"/>
    <x v="29"/>
    <s v="Dezembro"/>
    <n v="2019"/>
    <n v="4.5202532654305578"/>
    <m/>
    <m/>
  </r>
  <r>
    <x v="12"/>
    <x v="30"/>
    <s v="Janeiro"/>
    <n v="2020"/>
    <n v="4.5222877570050741"/>
    <m/>
    <m/>
  </r>
  <r>
    <x v="12"/>
    <x v="31"/>
    <s v="Fevereiro"/>
    <n v="2020"/>
    <n v="3.6762619210610517"/>
    <m/>
    <m/>
  </r>
  <r>
    <x v="12"/>
    <x v="32"/>
    <s v="Março"/>
    <n v="2020"/>
    <n v="3.9750759152195672"/>
    <m/>
    <m/>
  </r>
  <r>
    <x v="12"/>
    <x v="33"/>
    <s v="Abril"/>
    <n v="2020"/>
    <n v="4.4930554975436419"/>
    <m/>
    <m/>
  </r>
  <r>
    <x v="12"/>
    <x v="34"/>
    <s v="Maio"/>
    <n v="2020"/>
    <n v="4.0832909818898759"/>
    <m/>
    <m/>
  </r>
  <r>
    <x v="12"/>
    <x v="35"/>
    <s v="Junho"/>
    <n v="2020"/>
    <n v="4.1982144952677478"/>
    <m/>
    <m/>
  </r>
  <r>
    <x v="12"/>
    <x v="36"/>
    <s v="Julho"/>
    <n v="2020"/>
    <n v="4.4084708062216"/>
    <m/>
    <m/>
  </r>
  <r>
    <x v="12"/>
    <x v="37"/>
    <s v="Agosto"/>
    <n v="2020"/>
    <n v="3.7613532080925962"/>
    <m/>
    <m/>
  </r>
  <r>
    <x v="12"/>
    <x v="38"/>
    <s v="Setembro"/>
    <n v="2020"/>
    <n v="3.8314952385321939"/>
    <m/>
    <m/>
  </r>
  <r>
    <x v="12"/>
    <x v="39"/>
    <s v="Outubro"/>
    <n v="2020"/>
    <n v="4.4532041466983161"/>
    <m/>
    <m/>
  </r>
  <r>
    <x v="12"/>
    <x v="40"/>
    <s v="Novembro"/>
    <n v="2020"/>
    <n v="4.0949613806674829"/>
    <m/>
    <m/>
  </r>
  <r>
    <x v="12"/>
    <x v="41"/>
    <s v="Dezembro"/>
    <n v="2020"/>
    <n v="3.6665916505664082"/>
    <m/>
    <m/>
  </r>
  <r>
    <x v="12"/>
    <x v="42"/>
    <s v="Janeiro"/>
    <n v="2021"/>
    <n v="3.9003798630801922"/>
    <m/>
    <m/>
  </r>
  <r>
    <x v="12"/>
    <x v="43"/>
    <s v="Fevereiro"/>
    <n v="2021"/>
    <n v="3.2926448353402007"/>
    <m/>
    <m/>
  </r>
  <r>
    <x v="12"/>
    <x v="44"/>
    <s v="Março"/>
    <n v="2021"/>
    <n v="3.2129656496699019"/>
    <m/>
    <m/>
  </r>
  <r>
    <x v="12"/>
    <x v="45"/>
    <s v="Abril"/>
    <n v="2021"/>
    <n v="3.3631735781959069"/>
    <m/>
    <m/>
  </r>
  <r>
    <x v="12"/>
    <x v="46"/>
    <s v="Maio"/>
    <n v="2021"/>
    <n v="3.4226626005059182"/>
    <m/>
    <m/>
  </r>
  <r>
    <x v="12"/>
    <x v="47"/>
    <s v="Junho"/>
    <n v="2021"/>
    <n v="3.2349453507953485"/>
    <m/>
    <m/>
  </r>
  <r>
    <x v="12"/>
    <x v="48"/>
    <s v="Julho"/>
    <n v="2021"/>
    <n v="3.5089025470164206"/>
    <m/>
    <m/>
  </r>
  <r>
    <x v="12"/>
    <x v="49"/>
    <s v="Agosto"/>
    <n v="2021"/>
    <n v="3.8992195237212801"/>
    <m/>
    <m/>
  </r>
  <r>
    <x v="12"/>
    <x v="50"/>
    <s v="Setembro"/>
    <n v="2021"/>
    <n v="4.0997790121149702"/>
    <m/>
    <m/>
  </r>
  <r>
    <x v="12"/>
    <x v="51"/>
    <s v="Outubro"/>
    <n v="2021"/>
    <n v="4.2044595239424254"/>
    <m/>
    <m/>
  </r>
  <r>
    <x v="12"/>
    <x v="52"/>
    <s v="Novembro"/>
    <n v="2021"/>
    <n v="4.4344153696981703"/>
    <m/>
    <m/>
  </r>
  <r>
    <x v="12"/>
    <x v="53"/>
    <s v="Dezembro"/>
    <n v="2021"/>
    <n v="4.5339808161101693"/>
    <m/>
    <m/>
  </r>
  <r>
    <x v="12"/>
    <x v="54"/>
    <s v="Janeiro"/>
    <n v="2022"/>
    <n v="4.8253889999762469"/>
    <m/>
    <m/>
  </r>
  <r>
    <x v="12"/>
    <x v="55"/>
    <s v="Fevereiro"/>
    <n v="2022"/>
    <n v="4.5274840494850972"/>
    <m/>
    <m/>
  </r>
  <r>
    <x v="12"/>
    <x v="56"/>
    <s v="Março"/>
    <n v="2022"/>
    <n v="4.2834563054164123"/>
    <m/>
    <m/>
  </r>
  <r>
    <x v="12"/>
    <x v="57"/>
    <s v="Abril"/>
    <n v="2022"/>
    <n v="4.6943977488197497"/>
    <m/>
    <m/>
  </r>
  <r>
    <x v="12"/>
    <x v="58"/>
    <s v="Maio"/>
    <n v="2022"/>
    <n v="4.9569921134700268"/>
    <m/>
    <m/>
  </r>
  <r>
    <x v="12"/>
    <x v="59"/>
    <s v="Junho"/>
    <n v="2022"/>
    <n v="4.8961181973072385"/>
    <m/>
    <m/>
  </r>
  <r>
    <x v="12"/>
    <x v="60"/>
    <s v="Julho"/>
    <n v="2022"/>
    <n v="5.0614068942435519"/>
    <m/>
    <m/>
  </r>
  <r>
    <x v="12"/>
    <x v="61"/>
    <s v="Agosto"/>
    <n v="2022"/>
    <n v="4.6900575370645567"/>
    <m/>
    <m/>
  </r>
  <r>
    <x v="12"/>
    <x v="62"/>
    <s v="Setembro"/>
    <n v="2022"/>
    <n v="4.4380450831349672"/>
    <m/>
    <m/>
  </r>
  <r>
    <x v="12"/>
    <x v="63"/>
    <s v="Outubro"/>
    <n v="2022"/>
    <n v="4.9788384323662784"/>
    <m/>
    <m/>
  </r>
  <r>
    <x v="12"/>
    <x v="64"/>
    <s v="Novembro"/>
    <n v="2022"/>
    <n v="5.3194432425285143"/>
    <m/>
    <m/>
  </r>
  <r>
    <x v="12"/>
    <x v="65"/>
    <s v="Dezembro"/>
    <n v="2022"/>
    <n v="5.6810070643916974"/>
    <m/>
    <m/>
  </r>
  <r>
    <x v="12"/>
    <x v="66"/>
    <s v="Janeiro"/>
    <n v="2023"/>
    <n v="6.8497587816284593"/>
    <m/>
    <m/>
  </r>
  <r>
    <x v="12"/>
    <x v="67"/>
    <s v="Fevereiro"/>
    <n v="2023"/>
    <n v="6.2876028377384321"/>
    <m/>
    <m/>
  </r>
  <r>
    <x v="12"/>
    <x v="68"/>
    <s v="Março"/>
    <n v="2023"/>
    <n v="5.5345138682937671"/>
    <m/>
    <m/>
  </r>
  <r>
    <x v="12"/>
    <x v="69"/>
    <s v="Abril"/>
    <n v="2023"/>
    <n v="5.6494327196103047"/>
    <m/>
    <m/>
  </r>
  <r>
    <x v="12"/>
    <x v="70"/>
    <s v="Maio"/>
    <n v="2023"/>
    <n v="4.771315486830801"/>
    <m/>
    <m/>
  </r>
  <r>
    <x v="12"/>
    <x v="71"/>
    <s v="Junho"/>
    <n v="2023"/>
    <n v="4.72488819255768"/>
    <m/>
    <m/>
  </r>
  <r>
    <x v="12"/>
    <x v="72"/>
    <s v="Julho"/>
    <n v="2023"/>
    <n v="4.6142403194080215"/>
    <m/>
    <m/>
  </r>
  <r>
    <x v="12"/>
    <x v="73"/>
    <s v="Agosto"/>
    <n v="2023"/>
    <n v="4.5569855688868293"/>
    <m/>
    <m/>
  </r>
  <r>
    <x v="12"/>
    <x v="74"/>
    <s v="Setembro"/>
    <n v="2023"/>
    <n v="3.9105628964623937"/>
    <m/>
    <m/>
  </r>
  <r>
    <x v="12"/>
    <x v="75"/>
    <s v="Outubro"/>
    <n v="2023"/>
    <n v="3.9120018027984984"/>
    <m/>
    <m/>
  </r>
  <r>
    <x v="12"/>
    <x v="76"/>
    <s v="Novembro"/>
    <n v="2023"/>
    <n v="4.0140721573366234"/>
    <m/>
    <m/>
  </r>
  <r>
    <x v="12"/>
    <x v="77"/>
    <s v="Dezembro"/>
    <n v="2023"/>
    <n v="4.1440340638500111"/>
    <m/>
    <m/>
  </r>
  <r>
    <x v="12"/>
    <x v="78"/>
    <s v="Janeiro"/>
    <n v="2024"/>
    <n v="5.0478997707346895"/>
    <m/>
    <m/>
  </r>
  <r>
    <x v="12"/>
    <x v="79"/>
    <s v="Fevereiro"/>
    <n v="2024"/>
    <n v="4.4363011284272895"/>
    <m/>
    <m/>
  </r>
  <r>
    <x v="12"/>
    <x v="80"/>
    <s v="Março"/>
    <n v="2024"/>
    <n v="3.7368923105065779"/>
    <m/>
    <m/>
  </r>
  <r>
    <x v="12"/>
    <x v="81"/>
    <s v="Abril"/>
    <n v="2024"/>
    <n v="3.4261620907977002"/>
    <m/>
    <m/>
  </r>
  <r>
    <x v="12"/>
    <x v="82"/>
    <s v="Maio"/>
    <n v="2024"/>
    <n v="2.8700590678886813"/>
    <m/>
    <m/>
  </r>
  <r>
    <x v="12"/>
    <x v="83"/>
    <s v="Junho"/>
    <n v="2024"/>
    <n v="2.830756420732353"/>
    <m/>
    <m/>
  </r>
  <r>
    <x v="12"/>
    <x v="84"/>
    <s v="Julho"/>
    <n v="2024"/>
    <n v="2.3237268672908828"/>
    <m/>
    <m/>
  </r>
  <r>
    <x v="12"/>
    <x v="85"/>
    <s v="Agosto"/>
    <n v="2024"/>
    <n v="2.3304864853790881"/>
    <m/>
    <m/>
  </r>
  <r>
    <x v="12"/>
    <x v="86"/>
    <s v="Setembro"/>
    <n v="2024"/>
    <n v="2.3747090305803242"/>
    <m/>
    <m/>
  </r>
  <r>
    <x v="12"/>
    <x v="87"/>
    <s v="Outubro"/>
    <n v="2024"/>
    <n v="2.365518236413549"/>
    <m/>
    <m/>
  </r>
  <r>
    <x v="12"/>
    <x v="88"/>
    <s v="Novembro"/>
    <n v="2024"/>
    <n v="2.2806297948296268"/>
    <m/>
    <m/>
  </r>
  <r>
    <x v="12"/>
    <x v="89"/>
    <s v="Dezembro"/>
    <n v="2024"/>
    <n v="2.3362578393041051"/>
    <m/>
    <m/>
  </r>
  <r>
    <x v="12"/>
    <x v="90"/>
    <s v="Janeiro"/>
    <n v="2025"/>
    <n v="2.5194874543012076"/>
    <m/>
    <m/>
  </r>
  <r>
    <x v="12"/>
    <x v="91"/>
    <s v="Fevereiro"/>
    <n v="2025"/>
    <n v="2.5473476692352883"/>
    <m/>
    <m/>
  </r>
  <r>
    <x v="12"/>
    <x v="92"/>
    <s v="Março"/>
    <n v="2025"/>
    <n v="2.68348519915989"/>
    <m/>
    <m/>
  </r>
  <r>
    <x v="12"/>
    <x v="93"/>
    <s v="Abril"/>
    <n v="2025"/>
    <n v="2.7559048804329409"/>
    <m/>
    <m/>
  </r>
  <r>
    <x v="12"/>
    <x v="94"/>
    <s v="Maio"/>
    <n v="2025"/>
    <n v="2.8126390388979972"/>
    <m/>
    <m/>
  </r>
  <r>
    <x v="12"/>
    <x v="95"/>
    <s v="Junho"/>
    <n v="2025"/>
    <n v="2.6629299182256703"/>
    <m/>
    <m/>
  </r>
  <r>
    <x v="12"/>
    <x v="96"/>
    <s v="Julho"/>
    <n v="2025"/>
    <n v="2.4849908552016968"/>
    <m/>
    <m/>
  </r>
  <r>
    <x v="12"/>
    <x v="97"/>
    <s v="Agosto"/>
    <n v="2025"/>
    <n v="2.579631169835817"/>
    <m/>
    <m/>
  </r>
  <r>
    <x v="12"/>
    <x v="98"/>
    <s v="Setembro"/>
    <n v="2025"/>
    <n v="2.5871740596944224"/>
    <m/>
    <m/>
  </r>
  <r>
    <x v="12"/>
    <x v="99"/>
    <s v="Outubro"/>
    <n v="2025"/>
    <n v="2.5274680935511609"/>
    <m/>
    <m/>
  </r>
  <r>
    <x v="12"/>
    <x v="100"/>
    <s v="Novembro"/>
    <n v="2025"/>
    <n v="2.5280445687013513"/>
    <m/>
    <m/>
  </r>
  <r>
    <x v="12"/>
    <x v="101"/>
    <s v="Dezembro"/>
    <n v="2025"/>
    <n v="2.0267198043910875"/>
    <m/>
    <m/>
  </r>
  <r>
    <x v="12"/>
    <x v="102"/>
    <s v="Janeiro"/>
    <n v="2026"/>
    <n v="2.1055591079745204"/>
    <m/>
    <m/>
  </r>
  <r>
    <x v="0"/>
    <x v="0"/>
    <m/>
    <m/>
    <m/>
    <m/>
    <m/>
  </r>
  <r>
    <x v="13"/>
    <x v="1"/>
    <s v="Dezembro"/>
    <n v="2013"/>
    <n v="1.4968390592855818"/>
    <m/>
    <m/>
  </r>
  <r>
    <x v="13"/>
    <x v="2"/>
    <s v="Dezembro"/>
    <n v="2014"/>
    <n v="1.1388341956451447"/>
    <m/>
    <m/>
  </r>
  <r>
    <x v="13"/>
    <x v="3"/>
    <s v="Dezembro"/>
    <n v="2015"/>
    <n v="1.3687924591698994"/>
    <m/>
    <m/>
  </r>
  <r>
    <x v="13"/>
    <x v="4"/>
    <s v="Dezembro"/>
    <n v="2016"/>
    <n v="1.1287550413300997"/>
    <m/>
    <m/>
  </r>
  <r>
    <x v="13"/>
    <x v="5"/>
    <s v="Dezembro"/>
    <n v="2017"/>
    <n v="1.0676385424794286"/>
    <m/>
    <m/>
  </r>
  <r>
    <x v="13"/>
    <x v="6"/>
    <s v="Janeiro"/>
    <n v="2018"/>
    <n v="7.5817672782886897E-2"/>
    <m/>
    <m/>
  </r>
  <r>
    <x v="13"/>
    <x v="7"/>
    <s v="Fevereiro"/>
    <n v="2018"/>
    <n v="8.275427416482993E-2"/>
    <m/>
    <m/>
  </r>
  <r>
    <x v="13"/>
    <x v="8"/>
    <s v="Março"/>
    <n v="2018"/>
    <n v="0.11346911581073747"/>
    <m/>
    <m/>
  </r>
  <r>
    <x v="13"/>
    <x v="9"/>
    <s v="Abril"/>
    <n v="2018"/>
    <n v="0.10076249701543591"/>
    <m/>
    <m/>
  </r>
  <r>
    <x v="13"/>
    <x v="10"/>
    <s v="Maio"/>
    <n v="2018"/>
    <n v="6.8913347278238099E-2"/>
    <m/>
    <m/>
  </r>
  <r>
    <x v="13"/>
    <x v="11"/>
    <s v="Junho"/>
    <n v="2018"/>
    <n v="9.6218026707871745E-2"/>
    <m/>
    <m/>
  </r>
  <r>
    <x v="13"/>
    <x v="12"/>
    <s v="Julho"/>
    <n v="2018"/>
    <n v="0.15728050052865963"/>
    <m/>
    <m/>
  </r>
  <r>
    <x v="13"/>
    <x v="13"/>
    <s v="Agosto"/>
    <n v="2018"/>
    <n v="0.11848350124479595"/>
    <m/>
    <m/>
  </r>
  <r>
    <x v="13"/>
    <x v="14"/>
    <s v="Setembro"/>
    <n v="2018"/>
    <n v="0.14813516256955445"/>
    <m/>
    <m/>
  </r>
  <r>
    <x v="13"/>
    <x v="15"/>
    <s v="Outubro"/>
    <n v="2018"/>
    <n v="0.11923499773495923"/>
    <m/>
    <m/>
  </r>
  <r>
    <x v="13"/>
    <x v="16"/>
    <s v="Novembro"/>
    <n v="2018"/>
    <n v="7.694256313944868E-2"/>
    <m/>
    <m/>
  </r>
  <r>
    <x v="13"/>
    <x v="17"/>
    <s v="Dezembro"/>
    <n v="2018"/>
    <n v="7.1499687419289346E-2"/>
    <m/>
    <m/>
  </r>
  <r>
    <x v="13"/>
    <x v="18"/>
    <s v="Janeiro"/>
    <n v="2019"/>
    <n v="0.10398046696146804"/>
    <m/>
    <m/>
  </r>
  <r>
    <x v="13"/>
    <x v="19"/>
    <s v="Fevereiro"/>
    <n v="2019"/>
    <n v="9.601579058582492E-2"/>
    <m/>
    <m/>
  </r>
  <r>
    <x v="13"/>
    <x v="20"/>
    <s v="Março"/>
    <n v="2019"/>
    <n v="0.10168551593801974"/>
    <m/>
    <m/>
  </r>
  <r>
    <x v="13"/>
    <x v="21"/>
    <s v="Abril"/>
    <n v="2019"/>
    <n v="0.11681445358912403"/>
    <m/>
    <m/>
  </r>
  <r>
    <x v="13"/>
    <x v="22"/>
    <s v="Maio"/>
    <n v="2019"/>
    <n v="0.11120317098753615"/>
    <m/>
    <m/>
  </r>
  <r>
    <x v="13"/>
    <x v="23"/>
    <s v="Junho"/>
    <n v="2019"/>
    <n v="7.8186630026269868E-2"/>
    <m/>
    <m/>
  </r>
  <r>
    <x v="13"/>
    <x v="24"/>
    <s v="Julho"/>
    <n v="2019"/>
    <n v="0.10601407436025656"/>
    <m/>
    <m/>
  </r>
  <r>
    <x v="13"/>
    <x v="25"/>
    <s v="Agosto"/>
    <n v="2019"/>
    <n v="9.4316389672034137E-2"/>
    <m/>
    <m/>
  </r>
  <r>
    <x v="13"/>
    <x v="26"/>
    <s v="Setembro"/>
    <n v="2019"/>
    <n v="0.13168074078781775"/>
    <m/>
    <m/>
  </r>
  <r>
    <x v="13"/>
    <x v="27"/>
    <s v="Outubro"/>
    <n v="2019"/>
    <n v="0.13952105592476335"/>
    <m/>
    <m/>
  </r>
  <r>
    <x v="13"/>
    <x v="28"/>
    <s v="Novembro"/>
    <n v="2019"/>
    <n v="0.10102886405063377"/>
    <m/>
    <m/>
  </r>
  <r>
    <x v="13"/>
    <x v="29"/>
    <s v="Dezembro"/>
    <n v="2019"/>
    <n v="7.7594518808818541E-2"/>
    <m/>
    <m/>
  </r>
  <r>
    <x v="13"/>
    <x v="30"/>
    <s v="Janeiro"/>
    <n v="2020"/>
    <n v="0.10816658733191489"/>
    <m/>
    <m/>
  </r>
  <r>
    <x v="13"/>
    <x v="31"/>
    <s v="Fevereiro"/>
    <n v="2020"/>
    <n v="8.0786420567812059E-2"/>
    <m/>
    <m/>
  </r>
  <r>
    <x v="13"/>
    <x v="32"/>
    <s v="Março"/>
    <n v="2020"/>
    <n v="6.2784423142984408E-2"/>
    <m/>
    <m/>
  </r>
  <r>
    <x v="13"/>
    <x v="33"/>
    <s v="Abril"/>
    <n v="2020"/>
    <n v="6.4109438635431559E-2"/>
    <m/>
    <m/>
  </r>
  <r>
    <x v="13"/>
    <x v="34"/>
    <s v="Maio"/>
    <n v="2020"/>
    <n v="8.9041378925026213E-2"/>
    <m/>
    <m/>
  </r>
  <r>
    <x v="13"/>
    <x v="35"/>
    <s v="Junho"/>
    <n v="2020"/>
    <n v="0.12802415315700524"/>
    <m/>
    <m/>
  </r>
  <r>
    <x v="13"/>
    <x v="36"/>
    <s v="Julho"/>
    <n v="2020"/>
    <n v="0.13152049717222367"/>
    <m/>
    <m/>
  </r>
  <r>
    <x v="13"/>
    <x v="37"/>
    <s v="Agosto"/>
    <n v="2020"/>
    <n v="0.12988755091039275"/>
    <m/>
    <m/>
  </r>
  <r>
    <x v="13"/>
    <x v="38"/>
    <s v="Setembro"/>
    <n v="2020"/>
    <n v="0.13324134111261363"/>
    <m/>
    <m/>
  </r>
  <r>
    <x v="13"/>
    <x v="39"/>
    <s v="Outubro"/>
    <n v="2020"/>
    <n v="0.15508759879042802"/>
    <m/>
    <m/>
  </r>
  <r>
    <x v="13"/>
    <x v="40"/>
    <s v="Novembro"/>
    <n v="2020"/>
    <n v="0.11991635625094989"/>
    <m/>
    <m/>
  </r>
  <r>
    <x v="13"/>
    <x v="41"/>
    <s v="Dezembro"/>
    <n v="2020"/>
    <n v="0.10770015859024336"/>
    <m/>
    <m/>
  </r>
  <r>
    <x v="13"/>
    <x v="42"/>
    <s v="Janeiro"/>
    <n v="2021"/>
    <n v="0.11654984857106751"/>
    <m/>
    <m/>
  </r>
  <r>
    <x v="13"/>
    <x v="43"/>
    <s v="Fevereiro"/>
    <n v="2021"/>
    <n v="0.11400462921317814"/>
    <m/>
    <m/>
  </r>
  <r>
    <x v="13"/>
    <x v="44"/>
    <s v="Março"/>
    <n v="2021"/>
    <n v="0.12378022055853109"/>
    <m/>
    <m/>
  </r>
  <r>
    <x v="13"/>
    <x v="45"/>
    <s v="Abril"/>
    <n v="2021"/>
    <n v="0.13905525821631984"/>
    <m/>
    <m/>
  </r>
  <r>
    <x v="13"/>
    <x v="46"/>
    <s v="Maio"/>
    <n v="2021"/>
    <n v="0.14771252154606629"/>
    <m/>
    <m/>
  </r>
  <r>
    <x v="13"/>
    <x v="47"/>
    <s v="Junho"/>
    <n v="2021"/>
    <n v="0.16214559949243568"/>
    <m/>
    <m/>
  </r>
  <r>
    <x v="13"/>
    <x v="48"/>
    <s v="Julho"/>
    <n v="2021"/>
    <n v="0.16562279122956278"/>
    <m/>
    <m/>
  </r>
  <r>
    <x v="13"/>
    <x v="49"/>
    <s v="Agosto"/>
    <n v="2021"/>
    <n v="0.14916552363275315"/>
    <m/>
    <m/>
  </r>
  <r>
    <x v="13"/>
    <x v="50"/>
    <s v="Setembro"/>
    <n v="2021"/>
    <n v="0.14031013017720739"/>
    <m/>
    <m/>
  </r>
  <r>
    <x v="13"/>
    <x v="51"/>
    <s v="Outubro"/>
    <n v="2021"/>
    <n v="0.119391472078604"/>
    <m/>
    <m/>
  </r>
  <r>
    <x v="13"/>
    <x v="52"/>
    <s v="Novembro"/>
    <n v="2021"/>
    <n v="9.7549832418478477E-2"/>
    <m/>
    <m/>
  </r>
  <r>
    <x v="13"/>
    <x v="53"/>
    <s v="Dezembro"/>
    <n v="2021"/>
    <n v="8.6816406694578241E-2"/>
    <m/>
    <m/>
  </r>
  <r>
    <x v="13"/>
    <x v="54"/>
    <s v="Janeiro"/>
    <n v="2022"/>
    <n v="8.4318722852823755E-2"/>
    <m/>
    <m/>
  </r>
  <r>
    <x v="13"/>
    <x v="55"/>
    <s v="Fevereiro"/>
    <n v="2022"/>
    <n v="0.10129916312883727"/>
    <m/>
    <m/>
  </r>
  <r>
    <x v="13"/>
    <x v="56"/>
    <s v="Março"/>
    <n v="2022"/>
    <n v="0.15159500877656884"/>
    <m/>
    <m/>
  </r>
  <r>
    <x v="13"/>
    <x v="57"/>
    <s v="Abril"/>
    <n v="2022"/>
    <n v="0.10490853324577747"/>
    <m/>
    <m/>
  </r>
  <r>
    <x v="13"/>
    <x v="58"/>
    <s v="Maio"/>
    <n v="2022"/>
    <n v="0.1122281991505049"/>
    <m/>
    <m/>
  </r>
  <r>
    <x v="13"/>
    <x v="59"/>
    <s v="Junho"/>
    <n v="2022"/>
    <n v="0.10995628654791058"/>
    <m/>
    <m/>
  </r>
  <r>
    <x v="13"/>
    <x v="60"/>
    <s v="Julho"/>
    <n v="2022"/>
    <n v="9.7165000426780307E-2"/>
    <m/>
    <m/>
  </r>
  <r>
    <x v="13"/>
    <x v="61"/>
    <s v="Agosto"/>
    <n v="2022"/>
    <n v="0.10234601906048736"/>
    <m/>
    <m/>
  </r>
  <r>
    <x v="13"/>
    <x v="62"/>
    <s v="Setembro"/>
    <n v="2022"/>
    <n v="0.10097704071292977"/>
    <m/>
    <m/>
  </r>
  <r>
    <x v="13"/>
    <x v="63"/>
    <s v="Outubro"/>
    <n v="2022"/>
    <n v="6.824266709929161E-2"/>
    <m/>
    <m/>
  </r>
  <r>
    <x v="13"/>
    <x v="64"/>
    <s v="Novembro"/>
    <n v="2022"/>
    <n v="8.6105956672559825E-2"/>
    <m/>
    <m/>
  </r>
  <r>
    <x v="13"/>
    <x v="65"/>
    <s v="Dezembro"/>
    <n v="2022"/>
    <n v="7.2620973270209305E-2"/>
    <m/>
    <m/>
  </r>
  <r>
    <x v="13"/>
    <x v="66"/>
    <s v="Janeiro"/>
    <n v="2023"/>
    <n v="6.0969501617001397E-2"/>
    <m/>
    <m/>
  </r>
  <r>
    <x v="13"/>
    <x v="67"/>
    <s v="Fevereiro"/>
    <n v="2023"/>
    <n v="6.6697273216839575E-2"/>
    <m/>
    <m/>
  </r>
  <r>
    <x v="13"/>
    <x v="68"/>
    <s v="Março"/>
    <n v="2023"/>
    <n v="7.9238742441198523E-2"/>
    <m/>
    <m/>
  </r>
  <r>
    <x v="13"/>
    <x v="69"/>
    <s v="Abril"/>
    <n v="2023"/>
    <n v="6.9537168003233063E-2"/>
    <m/>
    <m/>
  </r>
  <r>
    <x v="13"/>
    <x v="70"/>
    <s v="Maio"/>
    <n v="2023"/>
    <n v="0.10894117433196324"/>
    <m/>
    <m/>
  </r>
  <r>
    <x v="13"/>
    <x v="71"/>
    <s v="Junho"/>
    <n v="2023"/>
    <n v="9.7067622528932987E-2"/>
    <m/>
    <m/>
  </r>
  <r>
    <x v="13"/>
    <x v="72"/>
    <s v="Julho"/>
    <n v="2023"/>
    <n v="6.0535425483804271E-2"/>
    <m/>
    <m/>
  </r>
  <r>
    <x v="13"/>
    <x v="73"/>
    <s v="Agosto"/>
    <n v="2023"/>
    <n v="9.150556401066326E-2"/>
    <m/>
    <m/>
  </r>
  <r>
    <x v="13"/>
    <x v="74"/>
    <s v="Setembro"/>
    <n v="2023"/>
    <n v="7.9680225714509056E-2"/>
    <m/>
    <m/>
  </r>
  <r>
    <x v="13"/>
    <x v="75"/>
    <s v="Outubro"/>
    <n v="2023"/>
    <n v="9.4708305995489794E-2"/>
    <m/>
    <m/>
  </r>
  <r>
    <x v="13"/>
    <x v="76"/>
    <s v="Novembro"/>
    <n v="2023"/>
    <n v="6.4338318717609019E-2"/>
    <m/>
    <m/>
  </r>
  <r>
    <x v="13"/>
    <x v="77"/>
    <s v="Dezembro"/>
    <n v="2023"/>
    <n v="8.7734316128871115E-2"/>
    <m/>
    <m/>
  </r>
  <r>
    <x v="13"/>
    <x v="78"/>
    <s v="Janeiro"/>
    <n v="2024"/>
    <n v="8.2190003549212381E-2"/>
    <m/>
    <m/>
  </r>
  <r>
    <x v="13"/>
    <x v="79"/>
    <s v="Fevereiro"/>
    <n v="2024"/>
    <n v="8.828915988166991E-2"/>
    <m/>
    <m/>
  </r>
  <r>
    <x v="13"/>
    <x v="80"/>
    <s v="Março"/>
    <n v="2024"/>
    <n v="7.6483221980599592E-2"/>
    <m/>
    <m/>
  </r>
  <r>
    <x v="13"/>
    <x v="81"/>
    <s v="Abril"/>
    <n v="2024"/>
    <n v="0.10001032630781836"/>
    <m/>
    <m/>
  </r>
  <r>
    <x v="13"/>
    <x v="82"/>
    <s v="Maio"/>
    <n v="2024"/>
    <n v="0.10491914044820723"/>
    <m/>
    <m/>
  </r>
  <r>
    <x v="13"/>
    <x v="83"/>
    <s v="Junho"/>
    <n v="2024"/>
    <n v="9.2395847981155882E-2"/>
    <m/>
    <m/>
  </r>
  <r>
    <x v="13"/>
    <x v="84"/>
    <s v="Julho"/>
    <n v="2024"/>
    <n v="9.2503144568522377E-2"/>
    <m/>
    <m/>
  </r>
  <r>
    <x v="13"/>
    <x v="85"/>
    <s v="Agosto"/>
    <n v="2024"/>
    <n v="7.2170656805798802E-2"/>
    <m/>
    <m/>
  </r>
  <r>
    <x v="13"/>
    <x v="86"/>
    <s v="Setembro"/>
    <n v="2024"/>
    <n v="7.946532403817344E-2"/>
    <m/>
    <m/>
  </r>
  <r>
    <x v="13"/>
    <x v="87"/>
    <s v="Outubro"/>
    <n v="2024"/>
    <n v="8.2304712370295741E-2"/>
    <m/>
    <m/>
  </r>
  <r>
    <x v="13"/>
    <x v="88"/>
    <s v="Novembro"/>
    <n v="2024"/>
    <n v="6.2414332541716855E-2"/>
    <m/>
    <m/>
  </r>
  <r>
    <x v="13"/>
    <x v="89"/>
    <s v="Dezembro"/>
    <n v="2024"/>
    <n v="9.4596835568826393E-2"/>
    <m/>
    <m/>
  </r>
  <r>
    <x v="13"/>
    <x v="90"/>
    <s v="Janeiro"/>
    <n v="2025"/>
    <n v="6.1464778277562561E-2"/>
    <m/>
    <m/>
  </r>
  <r>
    <x v="13"/>
    <x v="91"/>
    <s v="Fevereiro"/>
    <n v="2025"/>
    <n v="7.0644989593340521E-2"/>
    <m/>
    <m/>
  </r>
  <r>
    <x v="13"/>
    <x v="92"/>
    <s v="Março"/>
    <n v="2025"/>
    <n v="7.1185822382969777E-2"/>
    <m/>
    <m/>
  </r>
  <r>
    <x v="13"/>
    <x v="93"/>
    <s v="Abril"/>
    <n v="2025"/>
    <n v="0.10020745842929092"/>
    <m/>
    <m/>
  </r>
  <r>
    <x v="13"/>
    <x v="94"/>
    <s v="Maio"/>
    <n v="2025"/>
    <n v="0.10500451390531547"/>
    <m/>
    <m/>
  </r>
  <r>
    <x v="13"/>
    <x v="95"/>
    <s v="Junho"/>
    <n v="2025"/>
    <n v="5.5889393826130958E-2"/>
    <m/>
    <m/>
  </r>
  <r>
    <x v="13"/>
    <x v="96"/>
    <s v="Julho"/>
    <n v="2025"/>
    <n v="6.0562300292925669E-2"/>
    <m/>
    <m/>
  </r>
  <r>
    <x v="13"/>
    <x v="97"/>
    <s v="Agosto"/>
    <n v="2025"/>
    <n v="6.3726501659919207E-2"/>
    <m/>
    <m/>
  </r>
  <r>
    <x v="13"/>
    <x v="98"/>
    <s v="Setembro"/>
    <n v="2025"/>
    <n v="5.8923541617266165E-2"/>
    <m/>
    <m/>
  </r>
  <r>
    <x v="13"/>
    <x v="99"/>
    <s v="Outubro"/>
    <n v="2025"/>
    <n v="5.8178026038746451E-2"/>
    <m/>
    <m/>
  </r>
  <r>
    <x v="13"/>
    <x v="100"/>
    <s v="Novembro"/>
    <n v="2025"/>
    <n v="6.3060997737035718E-2"/>
    <m/>
    <m/>
  </r>
  <r>
    <x v="13"/>
    <x v="101"/>
    <s v="Dezembro"/>
    <n v="2025"/>
    <n v="5.2546254115395867E-2"/>
    <m/>
    <m/>
  </r>
  <r>
    <x v="13"/>
    <x v="102"/>
    <s v="Janeiro"/>
    <n v="2026"/>
    <n v="6.4997155118704006E-2"/>
    <m/>
    <m/>
  </r>
  <r>
    <x v="0"/>
    <x v="0"/>
    <m/>
    <m/>
    <m/>
    <m/>
    <m/>
  </r>
  <r>
    <x v="14"/>
    <x v="1"/>
    <s v="Dezembro"/>
    <n v="2013"/>
    <n v="0.53273158789163666"/>
    <m/>
    <m/>
  </r>
  <r>
    <x v="14"/>
    <x v="2"/>
    <s v="Dezembro"/>
    <n v="2014"/>
    <n v="0.31378242648639326"/>
    <m/>
    <m/>
  </r>
  <r>
    <x v="14"/>
    <x v="3"/>
    <s v="Dezembro"/>
    <n v="2015"/>
    <n v="0.330700165617825"/>
    <m/>
    <m/>
  </r>
  <r>
    <x v="14"/>
    <x v="4"/>
    <s v="Dezembro"/>
    <n v="2016"/>
    <n v="0.21438016414469377"/>
    <m/>
    <m/>
  </r>
  <r>
    <x v="14"/>
    <x v="5"/>
    <s v="Dezembro"/>
    <n v="2017"/>
    <n v="0.1502600611933407"/>
    <m/>
    <m/>
  </r>
  <r>
    <x v="14"/>
    <x v="6"/>
    <s v="Janeiro"/>
    <n v="2018"/>
    <n v="1.4636557690576467E-2"/>
    <m/>
    <m/>
  </r>
  <r>
    <x v="14"/>
    <x v="7"/>
    <s v="Fevereiro"/>
    <n v="2018"/>
    <n v="1.5086676923083556E-2"/>
    <m/>
    <m/>
  </r>
  <r>
    <x v="14"/>
    <x v="8"/>
    <s v="Março"/>
    <n v="2018"/>
    <n v="2.3321213335488335E-2"/>
    <m/>
    <m/>
  </r>
  <r>
    <x v="14"/>
    <x v="9"/>
    <s v="Abril"/>
    <n v="2018"/>
    <n v="2.1517526977857044E-2"/>
    <m/>
    <m/>
  </r>
  <r>
    <x v="14"/>
    <x v="10"/>
    <s v="Maio"/>
    <n v="2018"/>
    <n v="8.6338455824179188E-3"/>
    <m/>
    <m/>
  </r>
  <r>
    <x v="14"/>
    <x v="11"/>
    <s v="Junho"/>
    <n v="2018"/>
    <n v="9.6707281660766073E-3"/>
    <m/>
    <m/>
  </r>
  <r>
    <x v="14"/>
    <x v="12"/>
    <s v="Julho"/>
    <n v="2018"/>
    <n v="2.9154974984787984E-2"/>
    <m/>
    <m/>
  </r>
  <r>
    <x v="14"/>
    <x v="13"/>
    <s v="Agosto"/>
    <n v="2018"/>
    <n v="2.5745275854566242E-2"/>
    <m/>
    <m/>
  </r>
  <r>
    <x v="14"/>
    <x v="14"/>
    <s v="Setembro"/>
    <n v="2018"/>
    <n v="4.7374305874526242E-2"/>
    <m/>
    <m/>
  </r>
  <r>
    <x v="14"/>
    <x v="15"/>
    <s v="Outubro"/>
    <n v="2018"/>
    <n v="2.4492773761867745E-2"/>
    <m/>
    <m/>
  </r>
  <r>
    <x v="14"/>
    <x v="16"/>
    <s v="Novembro"/>
    <n v="2018"/>
    <n v="2.36898884119321E-3"/>
    <m/>
    <m/>
  </r>
  <r>
    <x v="14"/>
    <x v="17"/>
    <s v="Dezembro"/>
    <n v="2018"/>
    <n v="1.0494756915185387E-2"/>
    <m/>
    <m/>
  </r>
  <r>
    <x v="14"/>
    <x v="18"/>
    <s v="Janeiro"/>
    <n v="2019"/>
    <n v="1.0881832379168982E-2"/>
    <m/>
    <m/>
  </r>
  <r>
    <x v="14"/>
    <x v="19"/>
    <s v="Fevereiro"/>
    <n v="2019"/>
    <n v="1.0046863954776594E-2"/>
    <m/>
    <m/>
  </r>
  <r>
    <x v="14"/>
    <x v="20"/>
    <s v="Março"/>
    <n v="2019"/>
    <n v="1.6442174711624052E-2"/>
    <m/>
    <m/>
  </r>
  <r>
    <x v="14"/>
    <x v="21"/>
    <s v="Abril"/>
    <n v="2019"/>
    <n v="2.556123050552684E-2"/>
    <m/>
    <m/>
  </r>
  <r>
    <x v="14"/>
    <x v="22"/>
    <s v="Maio"/>
    <n v="2019"/>
    <n v="2.3227355227619498E-2"/>
    <m/>
    <m/>
  </r>
  <r>
    <x v="14"/>
    <x v="23"/>
    <s v="Junho"/>
    <n v="2019"/>
    <n v="5.254211290440995E-3"/>
    <m/>
    <m/>
  </r>
  <r>
    <x v="14"/>
    <x v="24"/>
    <s v="Julho"/>
    <n v="2019"/>
    <n v="3.0952382461439828E-2"/>
    <m/>
    <m/>
  </r>
  <r>
    <x v="14"/>
    <x v="25"/>
    <s v="Agosto"/>
    <n v="2019"/>
    <n v="1.5250122360628128E-2"/>
    <m/>
    <m/>
  </r>
  <r>
    <x v="14"/>
    <x v="26"/>
    <s v="Setembro"/>
    <n v="2019"/>
    <n v="3.2027603243159224E-2"/>
    <m/>
    <m/>
  </r>
  <r>
    <x v="14"/>
    <x v="27"/>
    <s v="Outubro"/>
    <n v="2019"/>
    <n v="3.4338700618263766E-2"/>
    <m/>
    <m/>
  </r>
  <r>
    <x v="14"/>
    <x v="28"/>
    <s v="Novembro"/>
    <n v="2019"/>
    <n v="1.5057292761725637E-2"/>
    <m/>
    <m/>
  </r>
  <r>
    <x v="14"/>
    <x v="29"/>
    <s v="Dezembro"/>
    <n v="2019"/>
    <n v="1.6322290559329482E-2"/>
    <m/>
    <m/>
  </r>
  <r>
    <x v="14"/>
    <x v="30"/>
    <s v="Janeiro"/>
    <n v="2020"/>
    <n v="1.9551702962063398E-2"/>
    <m/>
    <m/>
  </r>
  <r>
    <x v="14"/>
    <x v="31"/>
    <s v="Fevereiro"/>
    <n v="2020"/>
    <n v="9.1086180987082956E-3"/>
    <m/>
    <m/>
  </r>
  <r>
    <x v="14"/>
    <x v="32"/>
    <s v="Março"/>
    <n v="2020"/>
    <n v="1.1065754367742266E-3"/>
    <m/>
    <m/>
  </r>
  <r>
    <x v="14"/>
    <x v="33"/>
    <s v="Abril"/>
    <n v="2020"/>
    <n v="4.5517026701802563E-3"/>
    <m/>
    <m/>
  </r>
  <r>
    <x v="14"/>
    <x v="34"/>
    <s v="Maio"/>
    <n v="2020"/>
    <n v="2.1303746591662846E-2"/>
    <m/>
    <m/>
  </r>
  <r>
    <x v="14"/>
    <x v="35"/>
    <s v="Junho"/>
    <n v="2020"/>
    <n v="4.9177625983456298E-2"/>
    <m/>
    <m/>
  </r>
  <r>
    <x v="14"/>
    <x v="36"/>
    <s v="Julho"/>
    <n v="2020"/>
    <n v="3.8015471242139443E-2"/>
    <m/>
    <m/>
  </r>
  <r>
    <x v="14"/>
    <x v="37"/>
    <s v="Agosto"/>
    <n v="2020"/>
    <n v="3.8228966928928007E-2"/>
    <m/>
    <m/>
  </r>
  <r>
    <x v="14"/>
    <x v="38"/>
    <s v="Setembro"/>
    <n v="2020"/>
    <n v="4.0621814921881966E-2"/>
    <m/>
    <m/>
  </r>
  <r>
    <x v="14"/>
    <x v="39"/>
    <s v="Outubro"/>
    <n v="2020"/>
    <n v="4.6239230324162897E-2"/>
    <m/>
    <m/>
  </r>
  <r>
    <x v="14"/>
    <x v="40"/>
    <s v="Novembro"/>
    <n v="2020"/>
    <n v="2.8696719316546389E-2"/>
    <m/>
    <m/>
  </r>
  <r>
    <x v="14"/>
    <x v="41"/>
    <s v="Dezembro"/>
    <n v="2020"/>
    <n v="3.0792873446724368E-2"/>
    <m/>
    <m/>
  </r>
  <r>
    <x v="14"/>
    <x v="42"/>
    <s v="Janeiro"/>
    <n v="2021"/>
    <n v="3.2550248612934624E-2"/>
    <m/>
    <m/>
  </r>
  <r>
    <x v="14"/>
    <x v="43"/>
    <s v="Fevereiro"/>
    <n v="2021"/>
    <n v="2.0583097616616669E-2"/>
    <m/>
    <m/>
  </r>
  <r>
    <x v="14"/>
    <x v="44"/>
    <s v="Março"/>
    <n v="2021"/>
    <n v="3.7497618901095382E-2"/>
    <m/>
    <m/>
  </r>
  <r>
    <x v="14"/>
    <x v="45"/>
    <s v="Abril"/>
    <n v="2021"/>
    <n v="4.9260534110870384E-2"/>
    <m/>
    <m/>
  </r>
  <r>
    <x v="14"/>
    <x v="46"/>
    <s v="Maio"/>
    <n v="2021"/>
    <n v="4.4449131752482364E-2"/>
    <m/>
    <m/>
  </r>
  <r>
    <x v="14"/>
    <x v="47"/>
    <s v="Junho"/>
    <n v="2021"/>
    <n v="5.2409278335061378E-2"/>
    <m/>
    <m/>
  </r>
  <r>
    <x v="14"/>
    <x v="48"/>
    <s v="Julho"/>
    <n v="2021"/>
    <n v="5.1001790811370296E-2"/>
    <m/>
    <m/>
  </r>
  <r>
    <x v="14"/>
    <x v="49"/>
    <s v="Agosto"/>
    <n v="2021"/>
    <n v="4.6840920450448124E-2"/>
    <m/>
    <m/>
  </r>
  <r>
    <x v="14"/>
    <x v="50"/>
    <s v="Setembro"/>
    <n v="2021"/>
    <n v="5.0104976850784376E-2"/>
    <m/>
    <m/>
  </r>
  <r>
    <x v="14"/>
    <x v="51"/>
    <s v="Outubro"/>
    <n v="2021"/>
    <n v="2.2130495237899457E-2"/>
    <m/>
    <m/>
  </r>
  <r>
    <x v="14"/>
    <x v="52"/>
    <s v="Novembro"/>
    <n v="2021"/>
    <n v="2.3483479056826722E-2"/>
    <m/>
    <m/>
  </r>
  <r>
    <x v="14"/>
    <x v="53"/>
    <s v="Dezembro"/>
    <n v="2021"/>
    <n v="1.6731511984914956E-2"/>
    <m/>
    <m/>
  </r>
  <r>
    <x v="14"/>
    <x v="54"/>
    <s v="Janeiro"/>
    <n v="2022"/>
    <n v="1.1252153090926644E-2"/>
    <m/>
    <m/>
  </r>
  <r>
    <x v="14"/>
    <x v="55"/>
    <s v="Fevereiro"/>
    <n v="2022"/>
    <n v="1.6630213787335618E-2"/>
    <m/>
    <m/>
  </r>
  <r>
    <x v="14"/>
    <x v="56"/>
    <s v="Março"/>
    <n v="2022"/>
    <n v="2.4337094502415106E-2"/>
    <m/>
    <m/>
  </r>
  <r>
    <x v="14"/>
    <x v="57"/>
    <s v="Abril"/>
    <n v="2022"/>
    <n v="2.5033924446023079E-2"/>
    <m/>
    <m/>
  </r>
  <r>
    <x v="14"/>
    <x v="58"/>
    <s v="Maio"/>
    <n v="2022"/>
    <n v="2.1546024386242285E-2"/>
    <m/>
    <m/>
  </r>
  <r>
    <x v="14"/>
    <x v="59"/>
    <s v="Junho"/>
    <n v="2022"/>
    <n v="1.9041385759761213E-2"/>
    <m/>
    <m/>
  </r>
  <r>
    <x v="14"/>
    <x v="60"/>
    <s v="Julho"/>
    <n v="2022"/>
    <n v="2.3519940519624135E-2"/>
    <m/>
    <m/>
  </r>
  <r>
    <x v="14"/>
    <x v="61"/>
    <s v="Agosto"/>
    <n v="2022"/>
    <n v="1.8563958486819583E-2"/>
    <m/>
    <m/>
  </r>
  <r>
    <x v="14"/>
    <x v="62"/>
    <s v="Setembro"/>
    <n v="2022"/>
    <n v="1.7941784228148287E-2"/>
    <m/>
    <m/>
  </r>
  <r>
    <x v="14"/>
    <x v="63"/>
    <s v="Outubro"/>
    <n v="2022"/>
    <n v="5.6166666553713754E-3"/>
    <m/>
    <m/>
  </r>
  <r>
    <x v="14"/>
    <x v="64"/>
    <s v="Novembro"/>
    <n v="2022"/>
    <n v="1.9655492716395193E-2"/>
    <m/>
    <m/>
  </r>
  <r>
    <x v="14"/>
    <x v="65"/>
    <s v="Dezembro"/>
    <n v="2022"/>
    <n v="2.1018378319743458E-3"/>
    <m/>
    <m/>
  </r>
  <r>
    <x v="14"/>
    <x v="66"/>
    <s v="Janeiro"/>
    <n v="2023"/>
    <n v="6.9075657413992407E-3"/>
    <m/>
    <m/>
  </r>
  <r>
    <x v="14"/>
    <x v="67"/>
    <s v="Fevereiro"/>
    <n v="2023"/>
    <n v="2.2178399634191176E-3"/>
    <m/>
    <m/>
  </r>
  <r>
    <x v="14"/>
    <x v="68"/>
    <s v="Março"/>
    <n v="2023"/>
    <n v="9.0770690765857604E-3"/>
    <m/>
    <m/>
  </r>
  <r>
    <x v="14"/>
    <x v="69"/>
    <s v="Abril"/>
    <n v="2023"/>
    <n v="1.1701211623357161E-2"/>
    <m/>
    <m/>
  </r>
  <r>
    <x v="14"/>
    <x v="70"/>
    <s v="Maio"/>
    <n v="2023"/>
    <n v="2.1921854952620203E-2"/>
    <m/>
    <m/>
  </r>
  <r>
    <x v="14"/>
    <x v="71"/>
    <s v="Junho"/>
    <n v="2023"/>
    <n v="1.7030399571378058E-2"/>
    <m/>
    <m/>
  </r>
  <r>
    <x v="14"/>
    <x v="72"/>
    <s v="Julho"/>
    <n v="2023"/>
    <n v="4.7141246438074233E-3"/>
    <m/>
    <m/>
  </r>
  <r>
    <x v="14"/>
    <x v="73"/>
    <s v="Agosto"/>
    <n v="2023"/>
    <n v="1.1810037882842104E-2"/>
    <m/>
    <m/>
  </r>
  <r>
    <x v="14"/>
    <x v="74"/>
    <s v="Setembro"/>
    <n v="2023"/>
    <n v="6.313946897570223E-3"/>
    <m/>
    <m/>
  </r>
  <r>
    <x v="14"/>
    <x v="75"/>
    <s v="Outubro"/>
    <n v="2023"/>
    <n v="1.4887510038222956E-2"/>
    <m/>
    <m/>
  </r>
  <r>
    <x v="14"/>
    <x v="76"/>
    <s v="Novembro"/>
    <n v="2023"/>
    <n v="3.8764253001615867E-3"/>
    <m/>
    <m/>
  </r>
  <r>
    <x v="14"/>
    <x v="77"/>
    <s v="Dezembro"/>
    <n v="2023"/>
    <n v="1.575113252409388E-2"/>
    <m/>
    <m/>
  </r>
  <r>
    <x v="14"/>
    <x v="78"/>
    <s v="Janeiro"/>
    <n v="2024"/>
    <n v="7.1957531657547025E-3"/>
    <m/>
    <m/>
  </r>
  <r>
    <x v="14"/>
    <x v="79"/>
    <s v="Fevereiro"/>
    <n v="2024"/>
    <n v="1.2945011718367934E-2"/>
    <m/>
    <m/>
  </r>
  <r>
    <x v="14"/>
    <x v="80"/>
    <s v="Março"/>
    <n v="2024"/>
    <n v="5.221298424221082E-3"/>
    <m/>
    <m/>
  </r>
  <r>
    <x v="14"/>
    <x v="81"/>
    <s v="Abril"/>
    <n v="2024"/>
    <n v="1.9006984862208653E-2"/>
    <m/>
    <m/>
  </r>
  <r>
    <x v="14"/>
    <x v="82"/>
    <s v="Maio"/>
    <n v="2024"/>
    <n v="3.9007856286298096E-3"/>
    <m/>
    <m/>
  </r>
  <r>
    <x v="14"/>
    <x v="83"/>
    <s v="Junho"/>
    <n v="2024"/>
    <n v="1.0145872201716501E-2"/>
    <m/>
    <m/>
  </r>
  <r>
    <x v="14"/>
    <x v="84"/>
    <s v="Julho"/>
    <n v="2024"/>
    <n v="9.4139002684504921E-3"/>
    <m/>
    <m/>
  </r>
  <r>
    <x v="14"/>
    <x v="85"/>
    <s v="Agosto"/>
    <n v="2024"/>
    <n v="4.0905781998443122E-3"/>
    <m/>
    <m/>
  </r>
  <r>
    <x v="14"/>
    <x v="86"/>
    <s v="Setembro"/>
    <n v="2024"/>
    <n v="1.0017248243041017E-2"/>
    <m/>
    <m/>
  </r>
  <r>
    <x v="14"/>
    <x v="87"/>
    <s v="Outubro"/>
    <n v="2024"/>
    <n v="2.3595261071893336E-3"/>
    <m/>
    <m/>
  </r>
  <r>
    <x v="14"/>
    <x v="88"/>
    <s v="Novembro"/>
    <n v="2024"/>
    <n v="-3.7650960270242304E-3"/>
    <m/>
    <m/>
  </r>
  <r>
    <x v="14"/>
    <x v="89"/>
    <s v="Dezembro"/>
    <n v="2024"/>
    <n v="1.2424340720759196E-2"/>
    <m/>
    <m/>
  </r>
  <r>
    <x v="14"/>
    <x v="90"/>
    <s v="Janeiro"/>
    <n v="2025"/>
    <n v="8.2751918748974734E-3"/>
    <m/>
    <m/>
  </r>
  <r>
    <x v="14"/>
    <x v="91"/>
    <s v="Fevereiro"/>
    <n v="2025"/>
    <n v="5.9651258551939642E-3"/>
    <m/>
    <m/>
  </r>
  <r>
    <x v="14"/>
    <x v="92"/>
    <s v="Março"/>
    <n v="2025"/>
    <n v="8.5062781773385752E-3"/>
    <m/>
    <m/>
  </r>
  <r>
    <x v="14"/>
    <x v="93"/>
    <s v="Abril"/>
    <n v="2025"/>
    <n v="1.5144765628293437E-2"/>
    <m/>
    <m/>
  </r>
  <r>
    <x v="14"/>
    <x v="94"/>
    <s v="Maio"/>
    <n v="2025"/>
    <n v="1.598646197802327E-2"/>
    <m/>
    <m/>
  </r>
  <r>
    <x v="14"/>
    <x v="95"/>
    <s v="Junho"/>
    <n v="2025"/>
    <n v="-3.8781956952581519E-3"/>
    <m/>
    <m/>
  </r>
  <r>
    <x v="14"/>
    <x v="96"/>
    <s v="Julho"/>
    <n v="2025"/>
    <n v="3.3013781360925932E-4"/>
    <m/>
    <m/>
  </r>
  <r>
    <x v="14"/>
    <x v="97"/>
    <s v="Agosto"/>
    <n v="2025"/>
    <n v="8.6926581313237026E-3"/>
    <m/>
    <m/>
  </r>
  <r>
    <x v="14"/>
    <x v="98"/>
    <s v="Setembro"/>
    <n v="2025"/>
    <n v="2.4580848427583524E-3"/>
    <m/>
    <m/>
  </r>
  <r>
    <x v="14"/>
    <x v="99"/>
    <s v="Outubro"/>
    <n v="2025"/>
    <n v="3.1009402217657359E-3"/>
    <m/>
    <m/>
  </r>
  <r>
    <x v="14"/>
    <x v="100"/>
    <s v="Novembro"/>
    <n v="2025"/>
    <n v="4.0277518692093082E-3"/>
    <m/>
    <m/>
  </r>
  <r>
    <x v="14"/>
    <x v="101"/>
    <s v="Dezembro"/>
    <n v="2025"/>
    <n v="2.9436824758648803E-4"/>
    <m/>
    <m/>
  </r>
  <r>
    <x v="14"/>
    <x v="102"/>
    <s v="Janeiro"/>
    <n v="2026"/>
    <n v="7.0820965806059916E-3"/>
    <m/>
    <m/>
  </r>
  <r>
    <x v="0"/>
    <x v="0"/>
    <m/>
    <m/>
    <m/>
    <m/>
    <m/>
  </r>
  <r>
    <x v="15"/>
    <x v="1"/>
    <s v="Dezembro"/>
    <n v="2013"/>
    <n v="0.53273158789163666"/>
    <m/>
    <m/>
  </r>
  <r>
    <x v="15"/>
    <x v="2"/>
    <s v="Dezembro"/>
    <n v="2014"/>
    <n v="0.31378242648639326"/>
    <m/>
    <m/>
  </r>
  <r>
    <x v="15"/>
    <x v="3"/>
    <s v="Dezembro"/>
    <n v="2015"/>
    <n v="0.330700165617825"/>
    <m/>
    <m/>
  </r>
  <r>
    <x v="15"/>
    <x v="4"/>
    <s v="Dezembro"/>
    <n v="2016"/>
    <n v="0.21438016414469377"/>
    <m/>
    <m/>
  </r>
  <r>
    <x v="15"/>
    <x v="5"/>
    <s v="Dezembro"/>
    <n v="2017"/>
    <n v="0.1502600611933407"/>
    <m/>
    <m/>
  </r>
  <r>
    <x v="15"/>
    <x v="17"/>
    <s v="Dezembro"/>
    <n v="2018"/>
    <n v="0.22498155826884791"/>
    <m/>
    <m/>
  </r>
  <r>
    <x v="15"/>
    <x v="29"/>
    <s v="Dezembro"/>
    <n v="2019"/>
    <n v="0.22780032982636125"/>
    <m/>
    <m/>
  </r>
  <r>
    <x v="15"/>
    <x v="41"/>
    <s v="Dezembro"/>
    <n v="2020"/>
    <n v="0.26774980373879825"/>
    <m/>
    <m/>
  </r>
  <r>
    <x v="15"/>
    <x v="53"/>
    <s v="Dezembro"/>
    <n v="2021"/>
    <n v="0.38635413063618945"/>
    <m/>
    <m/>
  </r>
  <r>
    <x v="15"/>
    <x v="65"/>
    <s v="Dezembro"/>
    <n v="2022"/>
    <n v="0.19347936045626318"/>
    <m/>
    <m/>
  </r>
  <r>
    <x v="15"/>
    <x v="77"/>
    <s v="Dezembro"/>
    <n v="2023"/>
    <n v="0.11535156410753618"/>
    <m/>
    <m/>
  </r>
  <r>
    <x v="15"/>
    <x v="89"/>
    <s v="Dezembro"/>
    <n v="2024"/>
    <n v="7.7839685507916978E-2"/>
    <m/>
    <m/>
  </r>
  <r>
    <x v="15"/>
    <x v="101"/>
    <s v="Dezembro"/>
    <n v="2025"/>
    <n v="6.7426580847428821E-2"/>
    <m/>
    <m/>
  </r>
  <r>
    <x v="15"/>
    <x v="101"/>
    <s v="Dezembro"/>
    <n v="2025"/>
    <n v="6.7426580847428821E-2"/>
    <m/>
    <m/>
  </r>
  <r>
    <x v="0"/>
    <x v="0"/>
    <m/>
    <m/>
    <m/>
    <m/>
    <m/>
  </r>
  <r>
    <x v="16"/>
    <x v="1"/>
    <s v="Dezembro"/>
    <n v="2013"/>
    <n v="0.65914839441373785"/>
    <m/>
    <m/>
  </r>
  <r>
    <x v="16"/>
    <x v="2"/>
    <s v="Dezembro"/>
    <n v="2014"/>
    <n v="0.43530176783831853"/>
    <m/>
    <m/>
  </r>
  <r>
    <x v="16"/>
    <x v="3"/>
    <s v="Dezembro"/>
    <n v="2015"/>
    <n v="0.40691426945817599"/>
    <m/>
    <m/>
  </r>
  <r>
    <x v="16"/>
    <x v="4"/>
    <s v="Dezembro"/>
    <n v="2016"/>
    <n v="0.24731778643368085"/>
    <m/>
    <m/>
  </r>
  <r>
    <x v="16"/>
    <x v="5"/>
    <s v="Dezembro"/>
    <n v="2017"/>
    <n v="0.17400049131048628"/>
    <m/>
    <m/>
  </r>
  <r>
    <x v="16"/>
    <x v="6"/>
    <s v="Janeiro"/>
    <n v="2018"/>
    <n v="1.6571916144215767E-2"/>
    <m/>
    <m/>
  </r>
  <r>
    <x v="16"/>
    <x v="7"/>
    <s v="Fevereiro"/>
    <n v="2018"/>
    <n v="1.7224219795453209E-2"/>
    <m/>
    <m/>
  </r>
  <r>
    <x v="16"/>
    <x v="8"/>
    <s v="Março"/>
    <n v="2018"/>
    <n v="2.70393809417959E-2"/>
    <m/>
    <m/>
  </r>
  <r>
    <x v="16"/>
    <x v="9"/>
    <s v="Abril"/>
    <n v="2018"/>
    <n v="3.1636070806906405E-2"/>
    <m/>
    <m/>
  </r>
  <r>
    <x v="16"/>
    <x v="10"/>
    <s v="Maio"/>
    <n v="2018"/>
    <n v="1.2229254735244848E-2"/>
    <m/>
    <m/>
  </r>
  <r>
    <x v="16"/>
    <x v="11"/>
    <s v="Junho"/>
    <n v="2018"/>
    <n v="1.3986881183802664E-2"/>
    <m/>
    <m/>
  </r>
  <r>
    <x v="16"/>
    <x v="12"/>
    <s v="Julho"/>
    <n v="2018"/>
    <n v="4.091823928158092E-2"/>
    <m/>
    <m/>
  </r>
  <r>
    <x v="16"/>
    <x v="13"/>
    <s v="Agosto"/>
    <n v="2018"/>
    <n v="3.6318501808273028E-2"/>
    <m/>
    <m/>
  </r>
  <r>
    <x v="16"/>
    <x v="14"/>
    <s v="Setembro"/>
    <n v="2018"/>
    <n v="6.8361802890776688E-2"/>
    <m/>
    <m/>
  </r>
  <r>
    <x v="16"/>
    <x v="15"/>
    <s v="Outubro"/>
    <n v="2018"/>
    <n v="3.4517254602359979E-2"/>
    <m/>
    <m/>
  </r>
  <r>
    <x v="16"/>
    <x v="16"/>
    <s v="Novembro"/>
    <n v="2018"/>
    <n v="3.2210015211736409E-3"/>
    <m/>
    <m/>
  </r>
  <r>
    <x v="16"/>
    <x v="17"/>
    <s v="Dezembro"/>
    <n v="2018"/>
    <n v="1.4052807808155161E-2"/>
    <m/>
    <m/>
  </r>
  <r>
    <x v="16"/>
    <x v="18"/>
    <s v="Janeiro"/>
    <n v="2019"/>
    <n v="1.4926375095459124E-2"/>
    <m/>
    <m/>
  </r>
  <r>
    <x v="16"/>
    <x v="19"/>
    <s v="Fevereiro"/>
    <n v="2019"/>
    <n v="1.3584400192604616E-2"/>
    <m/>
    <m/>
  </r>
  <r>
    <x v="16"/>
    <x v="20"/>
    <s v="Março"/>
    <n v="2019"/>
    <n v="2.2708537895069804E-2"/>
    <m/>
    <m/>
  </r>
  <r>
    <x v="16"/>
    <x v="21"/>
    <s v="Abril"/>
    <n v="2019"/>
    <n v="3.42724676226129E-2"/>
    <m/>
    <m/>
  </r>
  <r>
    <x v="16"/>
    <x v="22"/>
    <s v="Maio"/>
    <n v="2019"/>
    <n v="3.1496318514467346E-2"/>
    <m/>
    <m/>
  </r>
  <r>
    <x v="16"/>
    <x v="23"/>
    <s v="Junho"/>
    <n v="2019"/>
    <n v="7.2553439648465412E-3"/>
    <m/>
    <m/>
  </r>
  <r>
    <x v="16"/>
    <x v="24"/>
    <s v="Julho"/>
    <n v="2019"/>
    <n v="4.2323548378801597E-2"/>
    <m/>
    <m/>
  </r>
  <r>
    <x v="16"/>
    <x v="25"/>
    <s v="Agosto"/>
    <n v="2019"/>
    <n v="2.026779036728572E-2"/>
    <m/>
    <m/>
  </r>
  <r>
    <x v="16"/>
    <x v="26"/>
    <s v="Setembro"/>
    <n v="2019"/>
    <n v="4.3124846280547774E-2"/>
    <m/>
    <m/>
  </r>
  <r>
    <x v="16"/>
    <x v="27"/>
    <s v="Outubro"/>
    <n v="2019"/>
    <n v="4.2941429507868216E-2"/>
    <m/>
    <m/>
  </r>
  <r>
    <x v="16"/>
    <x v="28"/>
    <s v="Novembro"/>
    <n v="2019"/>
    <n v="1.910924267579275E-2"/>
    <m/>
    <m/>
  </r>
  <r>
    <x v="16"/>
    <x v="29"/>
    <s v="Dezembro"/>
    <n v="2019"/>
    <n v="2.0082084898775734E-2"/>
    <m/>
    <m/>
  </r>
  <r>
    <x v="16"/>
    <x v="30"/>
    <s v="Janeiro"/>
    <n v="2020"/>
    <n v="2.407165802971057E-2"/>
    <m/>
    <m/>
  </r>
  <r>
    <x v="16"/>
    <x v="31"/>
    <s v="Fevereiro"/>
    <n v="2020"/>
    <n v="1.1889089247400179E-2"/>
    <m/>
    <m/>
  </r>
  <r>
    <x v="16"/>
    <x v="32"/>
    <s v="Março"/>
    <n v="2020"/>
    <n v="1.4095177436726438E-3"/>
    <m/>
    <m/>
  </r>
  <r>
    <x v="16"/>
    <x v="33"/>
    <s v="Abril"/>
    <n v="2020"/>
    <n v="5.622510434912892E-3"/>
    <m/>
    <m/>
  </r>
  <r>
    <x v="16"/>
    <x v="34"/>
    <s v="Maio"/>
    <n v="2020"/>
    <n v="2.6899494635069892E-2"/>
    <m/>
    <m/>
  </r>
  <r>
    <x v="16"/>
    <x v="35"/>
    <s v="Junho"/>
    <n v="2020"/>
    <n v="6.1681775062183204E-2"/>
    <m/>
    <m/>
  </r>
  <r>
    <x v="16"/>
    <x v="36"/>
    <s v="Julho"/>
    <n v="2020"/>
    <n v="4.7177410379126671E-2"/>
    <m/>
    <m/>
  </r>
  <r>
    <x v="16"/>
    <x v="37"/>
    <s v="Agosto"/>
    <n v="2020"/>
    <n v="4.9648954934504733E-2"/>
    <m/>
    <m/>
  </r>
  <r>
    <x v="16"/>
    <x v="38"/>
    <s v="Setembro"/>
    <n v="2020"/>
    <n v="5.2552210459500322E-2"/>
    <m/>
    <m/>
  </r>
  <r>
    <x v="16"/>
    <x v="39"/>
    <s v="Outubro"/>
    <n v="2020"/>
    <n v="5.7523027662700982E-2"/>
    <m/>
    <m/>
  </r>
  <r>
    <x v="16"/>
    <x v="40"/>
    <s v="Novembro"/>
    <n v="2020"/>
    <n v="3.6527538722710778E-2"/>
    <m/>
    <m/>
  </r>
  <r>
    <x v="16"/>
    <x v="41"/>
    <s v="Dezembro"/>
    <n v="2020"/>
    <n v="4.0600216895141962E-2"/>
    <m/>
    <m/>
  </r>
  <r>
    <x v="16"/>
    <x v="42"/>
    <s v="Janeiro"/>
    <n v="2021"/>
    <n v="4.210448549449132E-2"/>
    <m/>
    <m/>
  </r>
  <r>
    <x v="16"/>
    <x v="43"/>
    <s v="Fevereiro"/>
    <n v="2021"/>
    <n v="2.8174368710854884E-2"/>
    <m/>
    <m/>
  </r>
  <r>
    <x v="16"/>
    <x v="44"/>
    <s v="Março"/>
    <n v="2021"/>
    <n v="5.1903321971358281E-2"/>
    <m/>
    <m/>
  </r>
  <r>
    <x v="16"/>
    <x v="45"/>
    <s v="Abril"/>
    <n v="2021"/>
    <n v="6.7174264919149185E-2"/>
    <m/>
    <m/>
  </r>
  <r>
    <x v="16"/>
    <x v="46"/>
    <s v="Maio"/>
    <n v="2021"/>
    <n v="6.0305707056198941E-2"/>
    <m/>
    <m/>
  </r>
  <r>
    <x v="16"/>
    <x v="47"/>
    <s v="Junho"/>
    <n v="2021"/>
    <n v="7.2565496272268146E-2"/>
    <m/>
    <m/>
  </r>
  <r>
    <x v="16"/>
    <x v="48"/>
    <s v="Julho"/>
    <n v="2021"/>
    <n v="6.8562576354557009E-2"/>
    <m/>
    <m/>
  </r>
  <r>
    <x v="16"/>
    <x v="49"/>
    <s v="Agosto"/>
    <n v="2021"/>
    <n v="6.0963914105850975E-2"/>
    <m/>
    <m/>
  </r>
  <r>
    <x v="16"/>
    <x v="50"/>
    <s v="Setembro"/>
    <n v="2021"/>
    <n v="6.4299732733106421E-2"/>
    <m/>
    <m/>
  </r>
  <r>
    <x v="16"/>
    <x v="51"/>
    <s v="Outubro"/>
    <n v="2021"/>
    <n v="2.8182718991779945E-2"/>
    <m/>
    <m/>
  </r>
  <r>
    <x v="16"/>
    <x v="52"/>
    <s v="Novembro"/>
    <n v="2021"/>
    <n v="2.9454549939367095E-2"/>
    <m/>
    <m/>
  </r>
  <r>
    <x v="16"/>
    <x v="53"/>
    <s v="Dezembro"/>
    <n v="2021"/>
    <n v="2.0862137196806987E-2"/>
    <m/>
    <m/>
  </r>
  <r>
    <x v="16"/>
    <x v="54"/>
    <s v="Janeiro"/>
    <n v="2022"/>
    <n v="1.3827199402663857E-2"/>
    <m/>
    <m/>
  </r>
  <r>
    <x v="16"/>
    <x v="55"/>
    <s v="Fevereiro"/>
    <n v="2022"/>
    <n v="2.0801567052119871E-2"/>
    <m/>
    <m/>
  </r>
  <r>
    <x v="16"/>
    <x v="56"/>
    <s v="Março"/>
    <n v="2022"/>
    <n v="3.0837366609901974E-2"/>
    <m/>
    <m/>
  </r>
  <r>
    <x v="16"/>
    <x v="57"/>
    <s v="Abril"/>
    <n v="2022"/>
    <n v="3.0977358249813465E-2"/>
    <m/>
    <m/>
  </r>
  <r>
    <x v="16"/>
    <x v="58"/>
    <s v="Maio"/>
    <n v="2022"/>
    <n v="2.629310916956407E-2"/>
    <m/>
    <m/>
  </r>
  <r>
    <x v="16"/>
    <x v="59"/>
    <s v="Junho"/>
    <n v="2022"/>
    <n v="2.3315996684803057E-2"/>
    <m/>
    <m/>
  </r>
  <r>
    <x v="16"/>
    <x v="60"/>
    <s v="Julho"/>
    <n v="2022"/>
    <n v="2.8588913223973136E-2"/>
    <m/>
    <m/>
  </r>
  <r>
    <x v="16"/>
    <x v="61"/>
    <s v="Agosto"/>
    <n v="2022"/>
    <n v="2.2970480623713329E-2"/>
    <m/>
    <m/>
  </r>
  <r>
    <x v="16"/>
    <x v="62"/>
    <s v="Setembro"/>
    <n v="2022"/>
    <n v="2.2444725222207498E-2"/>
    <m/>
    <m/>
  </r>
  <r>
    <x v="16"/>
    <x v="63"/>
    <s v="Outubro"/>
    <n v="2022"/>
    <n v="6.8214858761131703E-3"/>
    <m/>
    <m/>
  </r>
  <r>
    <x v="16"/>
    <x v="64"/>
    <s v="Novembro"/>
    <n v="2022"/>
    <n v="2.3538707210370009E-2"/>
    <m/>
    <m/>
  </r>
  <r>
    <x v="16"/>
    <x v="65"/>
    <s v="Dezembro"/>
    <n v="2022"/>
    <n v="2.4851164742210221E-3"/>
    <m/>
    <m/>
  </r>
  <r>
    <x v="16"/>
    <x v="66"/>
    <s v="Janeiro"/>
    <n v="2023"/>
    <n v="7.9144018265393853E-3"/>
    <m/>
    <m/>
  </r>
  <r>
    <x v="16"/>
    <x v="67"/>
    <s v="Fevereiro"/>
    <n v="2023"/>
    <n v="2.5744677524003512E-3"/>
    <m/>
    <m/>
  </r>
  <r>
    <x v="16"/>
    <x v="68"/>
    <s v="Março"/>
    <n v="2023"/>
    <n v="1.0783721391927965E-2"/>
    <m/>
    <m/>
  </r>
  <r>
    <x v="16"/>
    <x v="69"/>
    <s v="Abril"/>
    <n v="2023"/>
    <n v="1.384526073097667E-2"/>
    <m/>
    <m/>
  </r>
  <r>
    <x v="16"/>
    <x v="70"/>
    <s v="Maio"/>
    <n v="2023"/>
    <n v="2.6894393652745544E-2"/>
    <m/>
    <m/>
  </r>
  <r>
    <x v="16"/>
    <x v="71"/>
    <s v="Junho"/>
    <n v="2023"/>
    <n v="2.0935158350123505E-2"/>
    <m/>
    <m/>
  </r>
  <r>
    <x v="16"/>
    <x v="72"/>
    <s v="Julho"/>
    <n v="2023"/>
    <n v="5.8194128712698552E-3"/>
    <m/>
    <m/>
  </r>
  <r>
    <x v="16"/>
    <x v="73"/>
    <s v="Agosto"/>
    <n v="2023"/>
    <n v="1.4621032621749196E-2"/>
    <m/>
    <m/>
  </r>
  <r>
    <x v="16"/>
    <x v="74"/>
    <s v="Setembro"/>
    <n v="2023"/>
    <n v="8.1505174102879403E-3"/>
    <m/>
    <m/>
  </r>
  <r>
    <x v="16"/>
    <x v="75"/>
    <s v="Outubro"/>
    <n v="2023"/>
    <n v="1.920490642798172E-2"/>
    <m/>
    <m/>
  </r>
  <r>
    <x v="16"/>
    <x v="76"/>
    <s v="Novembro"/>
    <n v="2023"/>
    <n v="4.9579359712637622E-3"/>
    <m/>
    <m/>
  </r>
  <r>
    <x v="16"/>
    <x v="77"/>
    <s v="Dezembro"/>
    <n v="2023"/>
    <n v="1.99794405778548E-2"/>
    <m/>
    <m/>
  </r>
  <r>
    <x v="16"/>
    <x v="78"/>
    <s v="Janeiro"/>
    <n v="2024"/>
    <n v="8.6697137050989054E-3"/>
    <m/>
    <m/>
  </r>
  <r>
    <x v="16"/>
    <x v="79"/>
    <s v="Fevereiro"/>
    <n v="2024"/>
    <n v="1.6071414985939978E-2"/>
    <m/>
    <m/>
  </r>
  <r>
    <x v="16"/>
    <x v="80"/>
    <s v="Março"/>
    <n v="2024"/>
    <n v="6.7876448403427613E-3"/>
    <m/>
    <m/>
  </r>
  <r>
    <x v="16"/>
    <x v="81"/>
    <s v="Abril"/>
    <n v="2024"/>
    <n v="2.5444609115995349E-2"/>
    <m/>
    <m/>
  </r>
  <r>
    <x v="16"/>
    <x v="82"/>
    <s v="Maio"/>
    <n v="2024"/>
    <n v="5.525984449264232E-3"/>
    <m/>
    <m/>
  </r>
  <r>
    <x v="16"/>
    <x v="83"/>
    <s v="Junho"/>
    <n v="2024"/>
    <n v="1.4463476790134619E-2"/>
    <m/>
    <m/>
  </r>
  <r>
    <x v="16"/>
    <x v="84"/>
    <s v="Julho"/>
    <n v="2024"/>
    <n v="1.4884973160935339E-2"/>
    <m/>
    <m/>
  </r>
  <r>
    <x v="16"/>
    <x v="85"/>
    <s v="Agosto"/>
    <n v="2024"/>
    <n v="6.4536595521559265E-3"/>
    <m/>
    <m/>
  </r>
  <r>
    <x v="16"/>
    <x v="86"/>
    <s v="Setembro"/>
    <n v="2024"/>
    <n v="1.5657210241693018E-2"/>
    <m/>
    <m/>
  </r>
  <r>
    <x v="16"/>
    <x v="87"/>
    <s v="Outubro"/>
    <n v="2024"/>
    <n v="3.730151232607325E-3"/>
    <m/>
    <m/>
  </r>
  <r>
    <x v="16"/>
    <x v="88"/>
    <s v="Novembro"/>
    <n v="2024"/>
    <n v="-6.1011730609131006E-3"/>
    <m/>
    <m/>
  </r>
  <r>
    <x v="16"/>
    <x v="89"/>
    <s v="Dezembro"/>
    <n v="2024"/>
    <n v="1.9857093636057668E-2"/>
    <m/>
    <m/>
  </r>
  <r>
    <x v="16"/>
    <x v="90"/>
    <s v="Janeiro"/>
    <n v="2025"/>
    <n v="1.2629778010490204E-2"/>
    <m/>
    <m/>
  </r>
  <r>
    <x v="16"/>
    <x v="91"/>
    <s v="Fevereiro"/>
    <n v="2025"/>
    <n v="9.0573978589668386E-3"/>
    <m/>
    <m/>
  </r>
  <r>
    <x v="16"/>
    <x v="92"/>
    <s v="Março"/>
    <n v="2025"/>
    <n v="1.2586298699923204E-2"/>
    <m/>
    <m/>
  </r>
  <r>
    <x v="16"/>
    <x v="93"/>
    <s v="Abril"/>
    <n v="2025"/>
    <n v="2.2170100438944948E-2"/>
    <m/>
    <m/>
  </r>
  <r>
    <x v="16"/>
    <x v="94"/>
    <s v="Maio"/>
    <n v="2025"/>
    <n v="2.3165742995829002E-2"/>
    <m/>
    <m/>
  </r>
  <r>
    <x v="16"/>
    <x v="95"/>
    <s v="Junho"/>
    <n v="2025"/>
    <n v="-5.7762286523416603E-3"/>
    <m/>
    <m/>
  </r>
  <r>
    <x v="16"/>
    <x v="96"/>
    <s v="Julho"/>
    <n v="2025"/>
    <n v="5.1109919830647182E-4"/>
    <m/>
    <m/>
  </r>
  <r>
    <x v="16"/>
    <x v="97"/>
    <s v="Agosto"/>
    <n v="2025"/>
    <n v="1.3179421995364163E-2"/>
    <m/>
    <m/>
  </r>
  <r>
    <x v="16"/>
    <x v="98"/>
    <s v="Setembro"/>
    <n v="2025"/>
    <n v="3.7203358553840344E-3"/>
    <m/>
    <m/>
  </r>
  <r>
    <x v="16"/>
    <x v="99"/>
    <s v="Outubro"/>
    <n v="2025"/>
    <n v="4.7606033106617294E-3"/>
    <m/>
    <m/>
  </r>
  <r>
    <x v="16"/>
    <x v="100"/>
    <s v="Novembro"/>
    <n v="2025"/>
    <n v="6.1897187244748042E-3"/>
    <m/>
    <m/>
  </r>
  <r>
    <x v="16"/>
    <x v="101"/>
    <s v="Dezembro"/>
    <n v="2025"/>
    <n v="5.1971921153584893E-4"/>
    <m/>
    <m/>
  </r>
  <r>
    <x v="16"/>
    <x v="102"/>
    <s v="Janeiro"/>
    <n v="2026"/>
    <n v="1.2169368729822164E-2"/>
    <m/>
    <m/>
  </r>
  <r>
    <x v="0"/>
    <x v="0"/>
    <m/>
    <m/>
    <m/>
    <m/>
    <m/>
  </r>
  <r>
    <x v="17"/>
    <x v="1"/>
    <s v="Dezembro"/>
    <n v="2013"/>
    <n v="0.65914839441373785"/>
    <m/>
    <m/>
  </r>
  <r>
    <x v="17"/>
    <x v="2"/>
    <s v="Dezembro"/>
    <n v="2014"/>
    <n v="0.43530176783831853"/>
    <m/>
    <m/>
  </r>
  <r>
    <x v="17"/>
    <x v="3"/>
    <s v="Dezembro"/>
    <n v="2015"/>
    <n v="0.40691426945817599"/>
    <m/>
    <m/>
  </r>
  <r>
    <x v="17"/>
    <x v="4"/>
    <s v="Dezembro"/>
    <n v="2016"/>
    <n v="0.24731778643368085"/>
    <m/>
    <m/>
  </r>
  <r>
    <x v="17"/>
    <x v="5"/>
    <s v="Dezembro"/>
    <n v="2017"/>
    <n v="0.17400049131048628"/>
    <m/>
    <m/>
  </r>
  <r>
    <x v="17"/>
    <x v="17"/>
    <s v="Dezembro"/>
    <n v="2018"/>
    <n v="0.30125734443231095"/>
    <m/>
    <m/>
  </r>
  <r>
    <x v="17"/>
    <x v="29"/>
    <s v="Dezembro"/>
    <n v="2019"/>
    <n v="0.28027350370425147"/>
    <m/>
    <m/>
  </r>
  <r>
    <x v="17"/>
    <x v="41"/>
    <s v="Dezembro"/>
    <n v="2020"/>
    <n v="0.3530264924523725"/>
    <m/>
    <m/>
  </r>
  <r>
    <x v="17"/>
    <x v="53"/>
    <s v="Dezembro"/>
    <n v="2021"/>
    <n v="0.48173607305498056"/>
    <m/>
    <m/>
  </r>
  <r>
    <x v="17"/>
    <x v="65"/>
    <s v="Dezembro"/>
    <n v="2022"/>
    <n v="0.22876110553208259"/>
    <m/>
    <m/>
  </r>
  <r>
    <x v="17"/>
    <x v="77"/>
    <s v="Dezembro"/>
    <n v="2023"/>
    <n v="0.14631708019241038"/>
    <m/>
    <m/>
  </r>
  <r>
    <x v="17"/>
    <x v="89"/>
    <s v="Dezembro"/>
    <n v="2024"/>
    <n v="0.12440659496917478"/>
    <m/>
    <m/>
  </r>
  <r>
    <x v="17"/>
    <x v="101"/>
    <s v="Dezembro"/>
    <n v="2025"/>
    <n v="0.11904439327854865"/>
    <m/>
    <m/>
  </r>
  <r>
    <x v="17"/>
    <x v="101"/>
    <s v="Dezembro"/>
    <n v="2025"/>
    <n v="0.11904439327854865"/>
    <m/>
    <m/>
  </r>
  <r>
    <x v="0"/>
    <x v="0"/>
    <m/>
    <m/>
    <m/>
    <m/>
    <m/>
  </r>
  <r>
    <x v="18"/>
    <x v="1"/>
    <s v="Dezembro"/>
    <n v="2013"/>
    <n v="0.39009028107230537"/>
    <m/>
    <m/>
  </r>
  <r>
    <x v="18"/>
    <x v="2"/>
    <s v="Dezembro"/>
    <n v="2014"/>
    <n v="0.32707179320348573"/>
    <m/>
    <m/>
  </r>
  <r>
    <x v="18"/>
    <x v="3"/>
    <s v="Dezembro"/>
    <n v="2015"/>
    <n v="0.2975135483613397"/>
    <m/>
    <m/>
  </r>
  <r>
    <x v="18"/>
    <x v="4"/>
    <s v="Dezembro"/>
    <n v="2016"/>
    <n v="0.22708613187782928"/>
    <m/>
    <m/>
  </r>
  <r>
    <x v="18"/>
    <x v="5"/>
    <s v="Dezembro"/>
    <n v="2017"/>
    <n v="0.19180692088600215"/>
    <m/>
    <m/>
  </r>
  <r>
    <x v="18"/>
    <x v="6"/>
    <s v="Janeiro"/>
    <n v="2018"/>
    <n v="0.2357782540613704"/>
    <m/>
    <m/>
  </r>
  <r>
    <x v="18"/>
    <x v="7"/>
    <s v="Fevereiro"/>
    <n v="2018"/>
    <n v="0.2314034995685085"/>
    <m/>
    <m/>
  </r>
  <r>
    <x v="18"/>
    <x v="8"/>
    <s v="Março"/>
    <n v="2018"/>
    <n v="0.24838906619145035"/>
    <m/>
    <m/>
  </r>
  <r>
    <x v="18"/>
    <x v="9"/>
    <s v="Abril"/>
    <n v="2018"/>
    <n v="0.25181819187144355"/>
    <m/>
    <m/>
  </r>
  <r>
    <x v="18"/>
    <x v="9"/>
    <s v="Abril"/>
    <n v="2018"/>
    <n v="0.25181819187144355"/>
    <m/>
    <m/>
  </r>
  <r>
    <x v="18"/>
    <x v="10"/>
    <s v="Maio"/>
    <n v="2018"/>
    <n v="0.18212141086811123"/>
    <m/>
    <m/>
  </r>
  <r>
    <x v="18"/>
    <x v="11"/>
    <s v="Junho"/>
    <n v="2018"/>
    <n v="0.1290552316132425"/>
    <m/>
    <m/>
  </r>
  <r>
    <x v="18"/>
    <x v="12"/>
    <s v="Julho"/>
    <n v="2018"/>
    <n v="0.26542960054905052"/>
    <m/>
    <m/>
  </r>
  <r>
    <x v="18"/>
    <x v="13"/>
    <s v="Agosto"/>
    <n v="2018"/>
    <n v="0.22201567923858978"/>
    <m/>
    <m/>
  </r>
  <r>
    <x v="18"/>
    <x v="14"/>
    <s v="Setembro"/>
    <n v="2018"/>
    <n v="0.37355230935910083"/>
    <m/>
    <m/>
  </r>
  <r>
    <x v="18"/>
    <x v="15"/>
    <s v="Outubro"/>
    <n v="2018"/>
    <n v="0.24154111012779017"/>
    <m/>
    <m/>
  </r>
  <r>
    <x v="18"/>
    <x v="16"/>
    <s v="Novembro"/>
    <n v="2018"/>
    <n v="5.4599652937191157E-2"/>
    <m/>
    <m/>
  </r>
  <r>
    <x v="18"/>
    <x v="17"/>
    <s v="Dezembro"/>
    <n v="2018"/>
    <n v="0.23883593112741403"/>
    <m/>
    <m/>
  </r>
  <r>
    <x v="18"/>
    <x v="18"/>
    <s v="Janeiro"/>
    <n v="2019"/>
    <n v="0.13062797183774053"/>
    <m/>
    <m/>
  </r>
  <r>
    <x v="18"/>
    <x v="19"/>
    <s v="Fevereiro"/>
    <n v="2019"/>
    <n v="0.15169133386171368"/>
    <m/>
    <m/>
  </r>
  <r>
    <x v="18"/>
    <x v="20"/>
    <s v="Março"/>
    <n v="2019"/>
    <n v="0.19971096763841473"/>
    <m/>
    <m/>
  </r>
  <r>
    <x v="18"/>
    <x v="21"/>
    <s v="Abril"/>
    <n v="2019"/>
    <n v="0.25428242099522258"/>
    <m/>
    <m/>
  </r>
  <r>
    <x v="18"/>
    <x v="22"/>
    <s v="Maio"/>
    <n v="2019"/>
    <n v="0.24475552334606324"/>
    <m/>
    <m/>
  </r>
  <r>
    <x v="18"/>
    <x v="23"/>
    <s v="Junho"/>
    <n v="2019"/>
    <n v="8.7040088923789338E-2"/>
    <m/>
    <m/>
  </r>
  <r>
    <x v="18"/>
    <x v="24"/>
    <s v="Julho"/>
    <n v="2019"/>
    <n v="0.32814061373871573"/>
    <m/>
    <m/>
  </r>
  <r>
    <x v="18"/>
    <x v="25"/>
    <s v="Agosto"/>
    <n v="2019"/>
    <n v="0.22174055863904338"/>
    <m/>
    <m/>
  </r>
  <r>
    <x v="18"/>
    <x v="26"/>
    <s v="Setembro"/>
    <n v="2019"/>
    <n v="0.27019607426175601"/>
    <m/>
    <m/>
  </r>
  <r>
    <x v="18"/>
    <x v="27"/>
    <s v="Outubro"/>
    <n v="2019"/>
    <n v="0.28483649098244795"/>
    <m/>
    <m/>
  </r>
  <r>
    <x v="18"/>
    <x v="28"/>
    <s v="Novembro"/>
    <n v="2019"/>
    <n v="0.20301538714313677"/>
    <m/>
    <m/>
  </r>
  <r>
    <x v="18"/>
    <x v="29"/>
    <s v="Dezembro"/>
    <n v="2019"/>
    <n v="0.23995339274190264"/>
    <m/>
    <m/>
  </r>
  <r>
    <x v="18"/>
    <x v="30"/>
    <s v="Janeiro"/>
    <n v="2020"/>
    <n v="0.23292923534950133"/>
    <m/>
    <m/>
  </r>
  <r>
    <x v="18"/>
    <x v="31"/>
    <s v="Fevereiro"/>
    <n v="2020"/>
    <n v="0.17115974219040511"/>
    <m/>
    <m/>
  </r>
  <r>
    <x v="18"/>
    <x v="32"/>
    <s v="Março"/>
    <n v="2020"/>
    <n v="0.10880978439817339"/>
    <m/>
    <m/>
  </r>
  <r>
    <x v="18"/>
    <x v="33"/>
    <s v="Abril"/>
    <n v="2020"/>
    <n v="0.15993714503269232"/>
    <m/>
    <m/>
  </r>
  <r>
    <x v="18"/>
    <x v="34"/>
    <s v="Maio"/>
    <n v="2020"/>
    <n v="0.28583206450043241"/>
    <m/>
    <m/>
  </r>
  <r>
    <x v="18"/>
    <x v="35"/>
    <s v="Junho"/>
    <n v="2020"/>
    <n v="0.41349168345318504"/>
    <m/>
    <m/>
  </r>
  <r>
    <x v="18"/>
    <x v="36"/>
    <s v="Julho"/>
    <n v="2020"/>
    <n v="0.33461589269821718"/>
    <m/>
    <m/>
  </r>
  <r>
    <x v="18"/>
    <x v="37"/>
    <s v="Agosto"/>
    <n v="2020"/>
    <n v="0.35142120752541117"/>
    <m/>
    <m/>
  </r>
  <r>
    <x v="18"/>
    <x v="38"/>
    <s v="Setembro"/>
    <n v="2020"/>
    <n v="0.33090159916505929"/>
    <m/>
    <m/>
  </r>
  <r>
    <x v="18"/>
    <x v="39"/>
    <s v="Outubro"/>
    <n v="2020"/>
    <n v="0.34182632804094781"/>
    <m/>
    <m/>
  </r>
  <r>
    <x v="18"/>
    <x v="40"/>
    <s v="Novembro"/>
    <n v="2020"/>
    <n v="0.26173328511713417"/>
    <m/>
    <m/>
  </r>
  <r>
    <x v="18"/>
    <x v="41"/>
    <s v="Dezembro"/>
    <n v="2020"/>
    <n v="0.33375714800086381"/>
    <m/>
    <m/>
  </r>
  <r>
    <x v="18"/>
    <x v="42"/>
    <s v="Janeiro"/>
    <n v="2021"/>
    <n v="0.30467345352981673"/>
    <m/>
    <m/>
  </r>
  <r>
    <x v="18"/>
    <x v="43"/>
    <s v="Fevereiro"/>
    <n v="2021"/>
    <n v="0.2209612083730178"/>
    <m/>
    <m/>
  </r>
  <r>
    <x v="18"/>
    <x v="44"/>
    <s v="Março"/>
    <n v="2021"/>
    <n v="0.34371349374697657"/>
    <m/>
    <m/>
  </r>
  <r>
    <x v="18"/>
    <x v="45"/>
    <s v="Abril"/>
    <n v="2021"/>
    <n v="0.3878605425322274"/>
    <m/>
    <m/>
  </r>
  <r>
    <x v="18"/>
    <x v="46"/>
    <s v="Maio"/>
    <n v="2021"/>
    <n v="0.34098973966443447"/>
    <m/>
    <m/>
  </r>
  <r>
    <x v="18"/>
    <x v="47"/>
    <s v="Junho"/>
    <n v="2021"/>
    <n v="0.35233943977200982"/>
    <m/>
    <m/>
  </r>
  <r>
    <x v="18"/>
    <x v="48"/>
    <s v="Julho"/>
    <n v="2021"/>
    <n v="0.33402716311063774"/>
    <m/>
    <m/>
  </r>
  <r>
    <x v="18"/>
    <x v="49"/>
    <s v="Agosto"/>
    <n v="2021"/>
    <n v="0.35923989931818184"/>
    <m/>
    <m/>
  </r>
  <r>
    <x v="18"/>
    <x v="50"/>
    <s v="Setembro"/>
    <n v="2021"/>
    <n v="0.36952456219339458"/>
    <m/>
    <m/>
  </r>
  <r>
    <x v="18"/>
    <x v="51"/>
    <s v="Outubro"/>
    <n v="2021"/>
    <n v="0.18594770208062153"/>
    <m/>
    <m/>
  </r>
  <r>
    <x v="18"/>
    <x v="52"/>
    <s v="Novembro"/>
    <n v="2021"/>
    <n v="0.26348207606383334"/>
    <m/>
    <m/>
  </r>
  <r>
    <x v="18"/>
    <x v="53"/>
    <s v="Dezembro"/>
    <n v="2021"/>
    <n v="0.23235852465200432"/>
    <m/>
    <m/>
  </r>
  <r>
    <x v="18"/>
    <x v="54"/>
    <s v="Janeiro"/>
    <n v="2022"/>
    <n v="0.20314924961723071"/>
    <m/>
    <m/>
  </r>
  <r>
    <x v="18"/>
    <x v="55"/>
    <s v="Fevereiro"/>
    <n v="2022"/>
    <n v="0.21791220483933599"/>
    <m/>
    <m/>
  </r>
  <r>
    <x v="18"/>
    <x v="56"/>
    <s v="Março"/>
    <n v="2022"/>
    <n v="0.276699269586346"/>
    <m/>
    <m/>
  </r>
  <r>
    <x v="18"/>
    <x v="57"/>
    <s v="Abril"/>
    <n v="2022"/>
    <n v="0.32903380409233091"/>
    <m/>
    <m/>
  </r>
  <r>
    <x v="18"/>
    <x v="58"/>
    <s v="Maio"/>
    <n v="2022"/>
    <n v="0.2541337246924722"/>
    <m/>
    <m/>
  </r>
  <r>
    <x v="18"/>
    <x v="59"/>
    <s v="Junho"/>
    <n v="2022"/>
    <n v="0.27219782016857907"/>
    <m/>
    <m/>
  </r>
  <r>
    <x v="18"/>
    <x v="60"/>
    <s v="Julho"/>
    <n v="2022"/>
    <n v="0.2987627578599702"/>
    <m/>
    <m/>
  </r>
  <r>
    <x v="18"/>
    <x v="61"/>
    <s v="Agosto"/>
    <n v="2022"/>
    <n v="0.24659329514677214"/>
    <m/>
    <m/>
  </r>
  <r>
    <x v="18"/>
    <x v="62"/>
    <s v="Setembro"/>
    <n v="2022"/>
    <n v="0.28166502613131222"/>
    <m/>
    <m/>
  </r>
  <r>
    <x v="18"/>
    <x v="63"/>
    <s v="Outubro"/>
    <n v="2022"/>
    <n v="5.6824608460001841E-2"/>
    <m/>
    <m/>
  </r>
  <r>
    <x v="18"/>
    <x v="64"/>
    <s v="Novembro"/>
    <n v="2022"/>
    <n v="0.29860210331900955"/>
    <m/>
    <m/>
  </r>
  <r>
    <x v="18"/>
    <x v="65"/>
    <s v="Dezembro"/>
    <n v="2022"/>
    <n v="0.10345157638077045"/>
    <m/>
    <m/>
  </r>
  <r>
    <x v="18"/>
    <x v="66"/>
    <s v="Janeiro"/>
    <n v="2023"/>
    <n v="7.473535593085423E-2"/>
    <m/>
    <m/>
  </r>
  <r>
    <x v="18"/>
    <x v="67"/>
    <s v="Fevereiro"/>
    <n v="2023"/>
    <n v="2.4430776087680874E-2"/>
    <m/>
    <m/>
  </r>
  <r>
    <x v="18"/>
    <x v="68"/>
    <s v="Março"/>
    <n v="2023"/>
    <n v="0.19445504145609419"/>
    <m/>
    <m/>
  </r>
  <r>
    <x v="18"/>
    <x v="69"/>
    <s v="Abril"/>
    <n v="2023"/>
    <n v="0.23518698936103349"/>
    <m/>
    <m/>
  </r>
  <r>
    <x v="18"/>
    <x v="70"/>
    <s v="Maio"/>
    <n v="2023"/>
    <n v="0.29784787718509892"/>
    <m/>
    <m/>
  </r>
  <r>
    <x v="18"/>
    <x v="71"/>
    <s v="Junho"/>
    <n v="2023"/>
    <n v="0.28967185003592433"/>
    <m/>
    <m/>
  </r>
  <r>
    <x v="18"/>
    <x v="72"/>
    <s v="Julho"/>
    <n v="2023"/>
    <n v="8.6601170685653775E-2"/>
    <m/>
    <m/>
  </r>
  <r>
    <x v="18"/>
    <x v="73"/>
    <s v="Agosto"/>
    <n v="2023"/>
    <n v="0.20275539542722804"/>
    <m/>
    <m/>
  </r>
  <r>
    <x v="18"/>
    <x v="74"/>
    <s v="Setembro"/>
    <n v="2023"/>
    <n v="0.18491451831586891"/>
    <m/>
    <m/>
  </r>
  <r>
    <x v="18"/>
    <x v="75"/>
    <s v="Outubro"/>
    <n v="2023"/>
    <n v="0.23934826943231621"/>
    <m/>
    <m/>
  </r>
  <r>
    <x v="18"/>
    <x v="76"/>
    <s v="Novembro"/>
    <n v="2023"/>
    <n v="6.6776069233938529E-2"/>
    <m/>
    <m/>
  </r>
  <r>
    <x v="18"/>
    <x v="77"/>
    <s v="Dezembro"/>
    <n v="2023"/>
    <n v="0.29616342626070846"/>
    <m/>
    <m/>
  </r>
  <r>
    <x v="18"/>
    <x v="78"/>
    <s v="Janeiro"/>
    <n v="2024"/>
    <n v="0.11717771058020307"/>
    <m/>
    <m/>
  </r>
  <r>
    <x v="18"/>
    <x v="79"/>
    <s v="Fevereiro"/>
    <n v="2024"/>
    <n v="0.21061536053410995"/>
    <m/>
    <m/>
  </r>
  <r>
    <x v="18"/>
    <x v="80"/>
    <s v="Março"/>
    <n v="2024"/>
    <n v="0.16643807440276764"/>
    <m/>
    <m/>
  </r>
  <r>
    <x v="18"/>
    <x v="81"/>
    <s v="Abril"/>
    <n v="2024"/>
    <n v="0.26946038237458037"/>
    <m/>
    <m/>
  </r>
  <r>
    <x v="18"/>
    <x v="82"/>
    <s v="Maio"/>
    <n v="2024"/>
    <n v="0.24686593905114815"/>
    <m/>
    <m/>
  </r>
  <r>
    <x v="18"/>
    <x v="83"/>
    <s v="Junho"/>
    <n v="2024"/>
    <n v="0.23783550505725798"/>
    <m/>
    <m/>
  </r>
  <r>
    <x v="18"/>
    <x v="84"/>
    <s v="Julho"/>
    <n v="2024"/>
    <n v="0.15249509819150403"/>
    <m/>
    <m/>
  </r>
  <r>
    <x v="18"/>
    <x v="85"/>
    <s v="Agosto"/>
    <n v="2024"/>
    <n v="5.6259983799424894E-2"/>
    <m/>
    <m/>
  </r>
  <r>
    <x v="18"/>
    <x v="86"/>
    <s v="Setembro"/>
    <n v="2024"/>
    <n v="0.17039588908220363"/>
    <m/>
    <m/>
  </r>
  <r>
    <x v="18"/>
    <x v="87"/>
    <s v="Outubro"/>
    <n v="2024"/>
    <n v="0.13728602764400807"/>
    <m/>
    <m/>
  </r>
  <r>
    <x v="18"/>
    <x v="88"/>
    <s v="Novembro"/>
    <n v="2024"/>
    <n v="3.6361110538281761E-2"/>
    <m/>
    <m/>
  </r>
  <r>
    <x v="18"/>
    <x v="89"/>
    <s v="Dezembro"/>
    <n v="2024"/>
    <n v="0.26613040968054869"/>
    <m/>
    <m/>
  </r>
  <r>
    <x v="18"/>
    <x v="90"/>
    <s v="Janeiro"/>
    <n v="2025"/>
    <n v="9.2868540394706045E-2"/>
    <m/>
    <m/>
  </r>
  <r>
    <x v="18"/>
    <x v="91"/>
    <s v="Fevereiro"/>
    <n v="2025"/>
    <n v="0.14215625036863308"/>
    <m/>
    <m/>
  </r>
  <r>
    <x v="18"/>
    <x v="92"/>
    <s v="Março"/>
    <n v="2025"/>
    <n v="0.17986041524029198"/>
    <m/>
    <m/>
  </r>
  <r>
    <x v="18"/>
    <x v="93"/>
    <s v="Abril"/>
    <n v="2025"/>
    <n v="0.2202897629616839"/>
    <m/>
    <m/>
  </r>
  <r>
    <x v="18"/>
    <x v="94"/>
    <s v="Maio"/>
    <n v="2025"/>
    <n v="0.1860653176048406"/>
    <m/>
    <m/>
  </r>
  <r>
    <x v="18"/>
    <x v="95"/>
    <s v="Junho"/>
    <n v="2025"/>
    <n v="-0.11956533214641467"/>
    <m/>
    <m/>
  </r>
  <r>
    <x v="18"/>
    <x v="96"/>
    <s v="Julho"/>
    <n v="2025"/>
    <n v="0.10342428670152701"/>
    <m/>
    <m/>
  </r>
  <r>
    <x v="18"/>
    <x v="97"/>
    <s v="Agosto"/>
    <n v="2025"/>
    <n v="0.12264747271314046"/>
    <m/>
    <m/>
  </r>
  <r>
    <x v="18"/>
    <x v="98"/>
    <s v="Setembro"/>
    <n v="2025"/>
    <n v="1.5602636144862601E-2"/>
    <m/>
    <m/>
  </r>
  <r>
    <x v="18"/>
    <x v="99"/>
    <s v="Outubro"/>
    <n v="2025"/>
    <n v="0.1063581142849326"/>
    <m/>
    <m/>
  </r>
  <r>
    <x v="18"/>
    <x v="100"/>
    <s v="Novembro"/>
    <n v="2025"/>
    <n v="9.6347608907899576E-2"/>
    <m/>
    <m/>
  </r>
  <r>
    <x v="18"/>
    <x v="101"/>
    <s v="Dezembro"/>
    <n v="2025"/>
    <n v="-1.139967654274438E-2"/>
    <m/>
    <m/>
  </r>
  <r>
    <x v="18"/>
    <x v="102"/>
    <s v="Janeiro"/>
    <n v="2026"/>
    <n v="0.15670315593320747"/>
    <m/>
    <m/>
  </r>
  <r>
    <x v="0"/>
    <x v="0"/>
    <m/>
    <m/>
    <m/>
    <m/>
    <m/>
  </r>
  <r>
    <x v="19"/>
    <x v="1"/>
    <s v="Dezembro"/>
    <n v="2013"/>
    <e v="#DIV/0!"/>
    <m/>
    <m/>
  </r>
  <r>
    <x v="19"/>
    <x v="2"/>
    <s v="Dezembro"/>
    <n v="2014"/>
    <e v="#DIV/0!"/>
    <m/>
    <m/>
  </r>
  <r>
    <x v="19"/>
    <x v="3"/>
    <s v="Dezembro"/>
    <n v="2015"/>
    <e v="#DIV/0!"/>
    <m/>
    <m/>
  </r>
  <r>
    <x v="19"/>
    <x v="4"/>
    <s v="Dezembro"/>
    <n v="2016"/>
    <e v="#DIV/0!"/>
    <m/>
    <m/>
  </r>
  <r>
    <x v="19"/>
    <x v="5"/>
    <s v="Dezembro"/>
    <n v="2017"/>
    <n v="27.750622768986879"/>
    <m/>
    <m/>
  </r>
  <r>
    <x v="19"/>
    <x v="6"/>
    <s v="Janeiro"/>
    <n v="2018"/>
    <n v="428.12504791192634"/>
    <m/>
    <m/>
  </r>
  <r>
    <x v="19"/>
    <x v="7"/>
    <s v="Fevereiro"/>
    <n v="2018"/>
    <n v="343.57283457079001"/>
    <m/>
    <m/>
  </r>
  <r>
    <x v="19"/>
    <x v="8"/>
    <s v="Março"/>
    <n v="2018"/>
    <n v="206.81030396622072"/>
    <m/>
    <m/>
  </r>
  <r>
    <x v="19"/>
    <x v="9"/>
    <s v="Abril"/>
    <n v="2018"/>
    <n v="226.35976588066563"/>
    <m/>
    <m/>
  </r>
  <r>
    <x v="19"/>
    <x v="10"/>
    <s v="Maio"/>
    <n v="2018"/>
    <n v="517.21192380146294"/>
    <m/>
    <m/>
  </r>
  <r>
    <x v="19"/>
    <x v="11"/>
    <s v="Junho"/>
    <n v="2018"/>
    <n v="232.63179661355048"/>
    <m/>
    <m/>
  </r>
  <r>
    <x v="19"/>
    <x v="12"/>
    <s v="Julho"/>
    <n v="2018"/>
    <n v="134.53564147147216"/>
    <m/>
    <m/>
  </r>
  <r>
    <x v="19"/>
    <x v="13"/>
    <s v="Agosto"/>
    <n v="2018"/>
    <n v="173.98236187748788"/>
    <m/>
    <m/>
  </r>
  <r>
    <x v="19"/>
    <x v="14"/>
    <s v="Setembro"/>
    <n v="2018"/>
    <n v="153.15666523646615"/>
    <m/>
    <m/>
  </r>
  <r>
    <x v="19"/>
    <x v="15"/>
    <s v="Outubro"/>
    <n v="2018"/>
    <n v="167.55585846177047"/>
    <m/>
    <m/>
  </r>
  <r>
    <x v="19"/>
    <x v="16"/>
    <s v="Novembro"/>
    <n v="2018"/>
    <n v="264.45708858719757"/>
    <m/>
    <m/>
  </r>
  <r>
    <x v="19"/>
    <x v="17"/>
    <s v="Dezembro"/>
    <n v="2018"/>
    <n v="448.83983105794783"/>
    <m/>
    <m/>
  </r>
  <r>
    <x v="19"/>
    <x v="18"/>
    <s v="Janeiro"/>
    <n v="2019"/>
    <n v="188.05281541497069"/>
    <m/>
    <m/>
  </r>
  <r>
    <x v="19"/>
    <x v="19"/>
    <s v="Fevereiro"/>
    <n v="2019"/>
    <n v="225.81516634336938"/>
    <m/>
    <m/>
  </r>
  <r>
    <x v="19"/>
    <x v="20"/>
    <s v="Março"/>
    <n v="2019"/>
    <n v="193.61666456462189"/>
    <m/>
    <m/>
  </r>
  <r>
    <x v="19"/>
    <x v="21"/>
    <s v="Abril"/>
    <n v="2019"/>
    <n v="183.76093684559291"/>
    <m/>
    <m/>
  </r>
  <r>
    <x v="19"/>
    <x v="22"/>
    <s v="Maio"/>
    <n v="2019"/>
    <n v="193.72274483863458"/>
    <m/>
    <m/>
  </r>
  <r>
    <x v="19"/>
    <x v="23"/>
    <s v="Junho"/>
    <n v="2019"/>
    <n v="271.24490736645362"/>
    <m/>
    <m/>
  </r>
  <r>
    <x v="19"/>
    <x v="24"/>
    <s v="Julho"/>
    <n v="2019"/>
    <n v="270.65650567524426"/>
    <m/>
    <m/>
  </r>
  <r>
    <x v="19"/>
    <x v="25"/>
    <s v="Agosto"/>
    <n v="2019"/>
    <n v="229.4694158471724"/>
    <m/>
    <m/>
  </r>
  <r>
    <x v="19"/>
    <x v="26"/>
    <s v="Setembro"/>
    <n v="2019"/>
    <n v="144.53581126960583"/>
    <m/>
    <m/>
  </r>
  <r>
    <x v="19"/>
    <x v="27"/>
    <s v="Outubro"/>
    <n v="2019"/>
    <n v="137.78541690732877"/>
    <m/>
    <m/>
  </r>
  <r>
    <x v="19"/>
    <x v="28"/>
    <s v="Novembro"/>
    <n v="2019"/>
    <n v="201.5415764609541"/>
    <m/>
    <m/>
  </r>
  <r>
    <x v="19"/>
    <x v="29"/>
    <s v="Dezembro"/>
    <n v="2019"/>
    <n v="287.27762739794559"/>
    <m/>
    <m/>
  </r>
  <r>
    <x v="19"/>
    <x v="30"/>
    <s v="Janeiro"/>
    <n v="2020"/>
    <n v="192.30463148023043"/>
    <m/>
    <m/>
  </r>
  <r>
    <x v="19"/>
    <x v="31"/>
    <s v="Fevereiro"/>
    <n v="2020"/>
    <n v="303.9760553462412"/>
    <m/>
    <m/>
  </r>
  <r>
    <x v="19"/>
    <x v="32"/>
    <s v="Março"/>
    <n v="2020"/>
    <n v="386.27990524104837"/>
    <m/>
    <m/>
  </r>
  <r>
    <x v="19"/>
    <x v="33"/>
    <s v="Abril"/>
    <n v="2020"/>
    <n v="388.53099585535716"/>
    <m/>
    <m/>
  </r>
  <r>
    <x v="19"/>
    <x v="34"/>
    <s v="Maio"/>
    <n v="2020"/>
    <n v="281.97634522260444"/>
    <m/>
    <m/>
  </r>
  <r>
    <x v="19"/>
    <x v="35"/>
    <s v="Junho"/>
    <n v="2020"/>
    <n v="188.90797742141399"/>
    <m/>
    <m/>
  </r>
  <r>
    <x v="19"/>
    <x v="36"/>
    <s v="Julho"/>
    <n v="2020"/>
    <n v="151.81465123491424"/>
    <m/>
    <m/>
  </r>
  <r>
    <x v="19"/>
    <x v="37"/>
    <s v="Agosto"/>
    <n v="2020"/>
    <n v="134.1984047902194"/>
    <m/>
    <m/>
  </r>
  <r>
    <x v="19"/>
    <x v="38"/>
    <s v="Setembro"/>
    <n v="2020"/>
    <n v="133.00175698411138"/>
    <m/>
    <m/>
  </r>
  <r>
    <x v="19"/>
    <x v="39"/>
    <s v="Outubro"/>
    <n v="2020"/>
    <n v="106.08562975026391"/>
    <m/>
    <m/>
  </r>
  <r>
    <x v="19"/>
    <x v="40"/>
    <s v="Novembro"/>
    <n v="2020"/>
    <n v="137.73787741785785"/>
    <m/>
    <m/>
  </r>
  <r>
    <x v="19"/>
    <x v="41"/>
    <s v="Dezembro"/>
    <n v="2020"/>
    <n v="150.68216636102977"/>
    <m/>
    <m/>
  </r>
  <r>
    <x v="19"/>
    <x v="42"/>
    <s v="Janeiro"/>
    <n v="2021"/>
    <n v="150.08671441955164"/>
    <m/>
    <m/>
  </r>
  <r>
    <x v="19"/>
    <x v="43"/>
    <s v="Fevereiro"/>
    <n v="2021"/>
    <n v="164.59115305095406"/>
    <m/>
    <m/>
  </r>
  <r>
    <x v="19"/>
    <x v="44"/>
    <s v="Março"/>
    <n v="2021"/>
    <n v="154.72880256189711"/>
    <m/>
    <m/>
  </r>
  <r>
    <x v="19"/>
    <x v="45"/>
    <s v="Abril"/>
    <n v="2021"/>
    <n v="154.62051582486862"/>
    <m/>
    <m/>
  </r>
  <r>
    <x v="19"/>
    <x v="46"/>
    <s v="Maio"/>
    <n v="2021"/>
    <n v="116.18904504780981"/>
    <m/>
    <m/>
  </r>
  <r>
    <x v="19"/>
    <x v="47"/>
    <s v="Junho"/>
    <n v="2021"/>
    <n v="106.48871139439787"/>
    <m/>
    <m/>
  </r>
  <r>
    <x v="19"/>
    <x v="48"/>
    <s v="Julho"/>
    <n v="2021"/>
    <n v="96.010860517965114"/>
    <m/>
    <m/>
  </r>
  <r>
    <x v="19"/>
    <x v="49"/>
    <s v="Agosto"/>
    <n v="2021"/>
    <n v="119.86636129333641"/>
    <m/>
    <m/>
  </r>
  <r>
    <x v="19"/>
    <x v="50"/>
    <s v="Setembro"/>
    <n v="2021"/>
    <n v="139.25113091759636"/>
    <m/>
    <m/>
  </r>
  <r>
    <x v="19"/>
    <x v="51"/>
    <s v="Outubro"/>
    <n v="2021"/>
    <n v="139.35458684072469"/>
    <m/>
    <m/>
  </r>
  <r>
    <x v="19"/>
    <x v="52"/>
    <s v="Novembro"/>
    <n v="2021"/>
    <n v="214.7681960068555"/>
    <m/>
    <m/>
  </r>
  <r>
    <x v="19"/>
    <x v="53"/>
    <s v="Dezembro"/>
    <n v="2021"/>
    <n v="183.50437868853527"/>
    <m/>
    <m/>
  </r>
  <r>
    <x v="19"/>
    <x v="54"/>
    <s v="Janeiro"/>
    <n v="2022"/>
    <n v="215.20453246019616"/>
    <m/>
    <m/>
  </r>
  <r>
    <x v="19"/>
    <x v="55"/>
    <s v="Fevereiro"/>
    <n v="2022"/>
    <n v="200.3208812920183"/>
    <m/>
    <m/>
  </r>
  <r>
    <x v="19"/>
    <x v="56"/>
    <s v="Março"/>
    <n v="2022"/>
    <n v="95.841889430874261"/>
    <m/>
    <m/>
  </r>
  <r>
    <x v="19"/>
    <x v="57"/>
    <s v="Abril"/>
    <n v="2022"/>
    <n v="173.19497616570169"/>
    <m/>
    <m/>
  </r>
  <r>
    <x v="19"/>
    <x v="58"/>
    <s v="Maio"/>
    <n v="2022"/>
    <n v="140.7972015957051"/>
    <m/>
    <m/>
  </r>
  <r>
    <x v="19"/>
    <x v="59"/>
    <s v="Junho"/>
    <n v="2022"/>
    <n v="147.77926548298257"/>
    <m/>
    <m/>
  </r>
  <r>
    <x v="19"/>
    <x v="60"/>
    <s v="Julho"/>
    <n v="2022"/>
    <n v="183.79019907792178"/>
    <m/>
    <m/>
  </r>
  <r>
    <x v="19"/>
    <x v="61"/>
    <s v="Agosto"/>
    <n v="2022"/>
    <n v="157.25060499758487"/>
    <m/>
    <m/>
  </r>
  <r>
    <x v="19"/>
    <x v="62"/>
    <s v="Setembro"/>
    <n v="2022"/>
    <n v="187.35000709882581"/>
    <m/>
    <m/>
  </r>
  <r>
    <x v="19"/>
    <x v="63"/>
    <s v="Outubro"/>
    <n v="2022"/>
    <n v="234.88288482551738"/>
    <m/>
    <m/>
  </r>
  <r>
    <x v="19"/>
    <x v="64"/>
    <s v="Novembro"/>
    <n v="2022"/>
    <n v="226.77164879665099"/>
    <m/>
    <m/>
  </r>
  <r>
    <x v="19"/>
    <x v="65"/>
    <s v="Dezembro"/>
    <n v="2022"/>
    <n v="214.81638982856816"/>
    <m/>
    <m/>
  </r>
  <r>
    <x v="19"/>
    <x v="66"/>
    <s v="Janeiro"/>
    <n v="2023"/>
    <n v="340.09030787519509"/>
    <m/>
    <m/>
  </r>
  <r>
    <x v="19"/>
    <x v="67"/>
    <s v="Fevereiro"/>
    <n v="2023"/>
    <n v="257.36638085651083"/>
    <m/>
    <m/>
  </r>
  <r>
    <x v="19"/>
    <x v="68"/>
    <s v="Março"/>
    <n v="2023"/>
    <n v="253.07481168842176"/>
    <m/>
    <m/>
  </r>
  <r>
    <x v="19"/>
    <x v="69"/>
    <s v="Abril"/>
    <n v="2023"/>
    <n v="291.71371854340072"/>
    <m/>
    <m/>
  </r>
  <r>
    <x v="19"/>
    <x v="70"/>
    <s v="Maio"/>
    <n v="2023"/>
    <n v="158.03390809190444"/>
    <m/>
    <m/>
  </r>
  <r>
    <x v="19"/>
    <x v="71"/>
    <s v="Junho"/>
    <n v="2023"/>
    <n v="173.06881717663433"/>
    <m/>
    <m/>
  </r>
  <r>
    <x v="19"/>
    <x v="72"/>
    <s v="Julho"/>
    <n v="2023"/>
    <n v="302.67634711096377"/>
    <m/>
    <m/>
  </r>
  <r>
    <x v="19"/>
    <x v="73"/>
    <s v="Agosto"/>
    <n v="2023"/>
    <n v="179.63448473717511"/>
    <m/>
    <m/>
  </r>
  <r>
    <x v="19"/>
    <x v="74"/>
    <s v="Setembro"/>
    <n v="2023"/>
    <n v="208.33301597067751"/>
    <m/>
    <m/>
  </r>
  <r>
    <x v="19"/>
    <x v="75"/>
    <s v="Outubro"/>
    <n v="2023"/>
    <n v="172.67449219948864"/>
    <m/>
    <m/>
  </r>
  <r>
    <x v="19"/>
    <x v="76"/>
    <s v="Novembro"/>
    <n v="2023"/>
    <n v="253.45918732771852"/>
    <m/>
    <m/>
  </r>
  <r>
    <x v="19"/>
    <x v="77"/>
    <s v="Dezembro"/>
    <n v="2023"/>
    <n v="217.40240582338106"/>
    <m/>
    <m/>
  </r>
  <r>
    <x v="19"/>
    <x v="78"/>
    <s v="Janeiro"/>
    <n v="2024"/>
    <n v="229.70741219123713"/>
    <m/>
    <m/>
  </r>
  <r>
    <x v="19"/>
    <x v="79"/>
    <s v="Fevereiro"/>
    <n v="2024"/>
    <n v="223.28953973973597"/>
    <m/>
    <m/>
  </r>
  <r>
    <x v="19"/>
    <x v="80"/>
    <s v="Março"/>
    <n v="2024"/>
    <n v="214.83850437584789"/>
    <m/>
    <m/>
  </r>
  <r>
    <x v="19"/>
    <x v="81"/>
    <s v="Abril"/>
    <n v="2024"/>
    <n v="168.62662474475277"/>
    <m/>
    <m/>
  </r>
  <r>
    <x v="19"/>
    <x v="82"/>
    <s v="Maio"/>
    <n v="2024"/>
    <n v="154.03519322229494"/>
    <m/>
    <m/>
  </r>
  <r>
    <x v="19"/>
    <x v="83"/>
    <s v="Junho"/>
    <n v="2024"/>
    <n v="172.57961871692893"/>
    <m/>
    <m/>
  </r>
  <r>
    <x v="19"/>
    <x v="84"/>
    <s v="Julho"/>
    <n v="2024"/>
    <n v="123.48028797249695"/>
    <m/>
    <m/>
  </r>
  <r>
    <x v="19"/>
    <x v="85"/>
    <s v="Agosto"/>
    <n v="2024"/>
    <n v="167.65423931112346"/>
    <m/>
    <m/>
  </r>
  <r>
    <x v="19"/>
    <x v="86"/>
    <s v="Setembro"/>
    <n v="2024"/>
    <n v="166.84410229075831"/>
    <m/>
    <m/>
  </r>
  <r>
    <x v="19"/>
    <x v="87"/>
    <s v="Outubro"/>
    <n v="2024"/>
    <n v="152.48856393346452"/>
    <m/>
    <m/>
  </r>
  <r>
    <x v="19"/>
    <x v="88"/>
    <s v="Novembro"/>
    <n v="2024"/>
    <n v="207.55249790844601"/>
    <m/>
    <m/>
  </r>
  <r>
    <x v="19"/>
    <x v="89"/>
    <s v="Dezembro"/>
    <n v="2024"/>
    <n v="143.19190552853121"/>
    <m/>
    <m/>
  </r>
  <r>
    <x v="19"/>
    <x v="90"/>
    <s v="Janeiro"/>
    <n v="2025"/>
    <n v="244.79698283291395"/>
    <m/>
    <m/>
  </r>
  <r>
    <x v="19"/>
    <x v="91"/>
    <s v="Fevereiro"/>
    <n v="2025"/>
    <n v="221.2851436539631"/>
    <m/>
    <m/>
  </r>
  <r>
    <x v="19"/>
    <x v="92"/>
    <s v="Março"/>
    <n v="2025"/>
    <n v="207.78320448960744"/>
    <m/>
    <m/>
  </r>
  <r>
    <x v="19"/>
    <x v="93"/>
    <s v="Abril"/>
    <n v="2025"/>
    <n v="116.72169346461227"/>
    <m/>
    <m/>
  </r>
  <r>
    <x v="19"/>
    <x v="94"/>
    <s v="Maio"/>
    <n v="2025"/>
    <n v="91.590536410445793"/>
    <m/>
    <m/>
  </r>
  <r>
    <x v="19"/>
    <x v="95"/>
    <s v="Junho"/>
    <n v="2025"/>
    <n v="193.20263823142335"/>
    <m/>
    <m/>
  </r>
  <r>
    <x v="19"/>
    <x v="96"/>
    <s v="Julho"/>
    <n v="2025"/>
    <n v="194.92656123849164"/>
    <m/>
    <m/>
  </r>
  <r>
    <x v="19"/>
    <x v="97"/>
    <s v="Agosto"/>
    <n v="2025"/>
    <n v="186.3687703929879"/>
    <m/>
    <m/>
  </r>
  <r>
    <x v="19"/>
    <x v="98"/>
    <s v="Setembro"/>
    <n v="2025"/>
    <n v="183.83057820063834"/>
    <m/>
    <m/>
  </r>
  <r>
    <x v="19"/>
    <x v="99"/>
    <s v="Outubro"/>
    <n v="2025"/>
    <n v="198.30070514760726"/>
    <m/>
    <m/>
  </r>
  <r>
    <x v="19"/>
    <x v="100"/>
    <s v="Novembro"/>
    <n v="2025"/>
    <n v="156.02035497763973"/>
    <m/>
    <m/>
  </r>
  <r>
    <x v="19"/>
    <x v="101"/>
    <s v="Dezembro"/>
    <n v="2025"/>
    <n v="237.59184596772289"/>
    <m/>
    <m/>
  </r>
  <r>
    <x v="19"/>
    <x v="102"/>
    <s v="Janeiro"/>
    <n v="2026"/>
    <n v="180.3574247649629"/>
    <m/>
    <m/>
  </r>
  <r>
    <x v="0"/>
    <x v="0"/>
    <m/>
    <m/>
    <m/>
    <m/>
    <m/>
  </r>
  <r>
    <x v="20"/>
    <x v="1"/>
    <s v="Dezembro"/>
    <n v="2013"/>
    <n v="3.8451022327014579"/>
    <m/>
    <m/>
  </r>
  <r>
    <x v="20"/>
    <x v="2"/>
    <s v="Dezembro"/>
    <n v="2014"/>
    <n v="5.0056274419354558"/>
    <m/>
    <m/>
  </r>
  <r>
    <x v="20"/>
    <x v="3"/>
    <s v="Dezembro"/>
    <n v="2015"/>
    <n v="5.0546612084980014"/>
    <m/>
    <m/>
  </r>
  <r>
    <x v="20"/>
    <x v="4"/>
    <s v="Dezembro"/>
    <n v="2016"/>
    <n v="6.2088203530241479"/>
    <m/>
    <m/>
  </r>
  <r>
    <x v="20"/>
    <x v="5"/>
    <s v="Dezembro"/>
    <n v="2017"/>
    <n v="5.7376194430621235"/>
    <m/>
    <m/>
  </r>
  <r>
    <x v="20"/>
    <x v="6"/>
    <s v="Janeiro"/>
    <n v="2018"/>
    <n v="84.083181311102749"/>
    <m/>
    <m/>
  </r>
  <r>
    <x v="20"/>
    <x v="7"/>
    <s v="Fevereiro"/>
    <n v="2018"/>
    <n v="74.994321399948547"/>
    <m/>
    <m/>
  </r>
  <r>
    <x v="20"/>
    <x v="8"/>
    <s v="Março"/>
    <n v="2018"/>
    <n v="61.639309687353801"/>
    <m/>
    <m/>
  </r>
  <r>
    <x v="20"/>
    <x v="9"/>
    <s v="Abril"/>
    <n v="2018"/>
    <n v="71.087128367262949"/>
    <m/>
    <m/>
  </r>
  <r>
    <x v="20"/>
    <x v="10"/>
    <s v="Maio"/>
    <n v="2018"/>
    <n v="111.42560671021408"/>
    <m/>
    <m/>
  </r>
  <r>
    <x v="20"/>
    <x v="11"/>
    <s v="Junho"/>
    <n v="2018"/>
    <n v="75.434459595169798"/>
    <m/>
    <m/>
  </r>
  <r>
    <x v="20"/>
    <x v="12"/>
    <s v="Julho"/>
    <n v="2018"/>
    <n v="53.677025269583794"/>
    <m/>
    <m/>
  </r>
  <r>
    <x v="20"/>
    <x v="13"/>
    <s v="Agosto"/>
    <n v="2018"/>
    <n v="75.672042125476437"/>
    <m/>
    <m/>
  </r>
  <r>
    <x v="20"/>
    <x v="14"/>
    <s v="Setembro"/>
    <n v="2018"/>
    <n v="60.94476511128893"/>
    <m/>
    <m/>
  </r>
  <r>
    <x v="20"/>
    <x v="15"/>
    <s v="Outubro"/>
    <n v="2018"/>
    <n v="77.205224117947139"/>
    <m/>
    <m/>
  </r>
  <r>
    <x v="20"/>
    <x v="16"/>
    <s v="Novembro"/>
    <n v="2018"/>
    <n v="123.06838399038385"/>
    <m/>
    <m/>
  </r>
  <r>
    <x v="20"/>
    <x v="17"/>
    <s v="Dezembro"/>
    <n v="2018"/>
    <n v="134.89994114320447"/>
    <m/>
    <m/>
  </r>
  <r>
    <x v="20"/>
    <x v="18"/>
    <s v="Janeiro"/>
    <n v="2019"/>
    <n v="81.972425270279615"/>
    <m/>
    <m/>
  </r>
  <r>
    <x v="20"/>
    <x v="19"/>
    <s v="Fevereiro"/>
    <n v="2019"/>
    <n v="91.302500553173346"/>
    <m/>
    <m/>
  </r>
  <r>
    <x v="20"/>
    <x v="20"/>
    <s v="Março"/>
    <n v="2019"/>
    <n v="77.727866205430871"/>
    <m/>
    <m/>
  </r>
  <r>
    <x v="20"/>
    <x v="21"/>
    <s v="Abril"/>
    <n v="2019"/>
    <n v="78.731687867490422"/>
    <m/>
    <m/>
  </r>
  <r>
    <x v="20"/>
    <x v="22"/>
    <s v="Maio"/>
    <n v="2019"/>
    <n v="79.752567936400212"/>
    <m/>
    <m/>
  </r>
  <r>
    <x v="20"/>
    <x v="23"/>
    <s v="Junho"/>
    <n v="2019"/>
    <n v="117.47307614134692"/>
    <m/>
    <m/>
  </r>
  <r>
    <x v="20"/>
    <x v="24"/>
    <s v="Julho"/>
    <n v="2019"/>
    <n v="87.774457884951104"/>
    <m/>
    <m/>
  </r>
  <r>
    <x v="20"/>
    <x v="25"/>
    <s v="Agosto"/>
    <n v="2019"/>
    <n v="94.10949390260798"/>
    <m/>
    <m/>
  </r>
  <r>
    <x v="20"/>
    <x v="26"/>
    <s v="Setembro"/>
    <n v="2019"/>
    <n v="72.068604777367923"/>
    <m/>
    <m/>
  </r>
  <r>
    <x v="20"/>
    <x v="27"/>
    <s v="Outubro"/>
    <n v="2019"/>
    <n v="76.271323183336037"/>
    <m/>
    <m/>
  </r>
  <r>
    <x v="20"/>
    <x v="28"/>
    <s v="Novembro"/>
    <n v="2019"/>
    <n v="98.437099758469074"/>
    <m/>
    <m/>
  </r>
  <r>
    <x v="20"/>
    <x v="29"/>
    <s v="Dezembro"/>
    <n v="2019"/>
    <n v="115.72455745223682"/>
    <m/>
    <m/>
  </r>
  <r>
    <x v="20"/>
    <x v="30"/>
    <s v="Janeiro"/>
    <n v="2020"/>
    <n v="93.083909391821919"/>
    <m/>
    <m/>
  </r>
  <r>
    <x v="20"/>
    <x v="31"/>
    <s v="Fevereiro"/>
    <n v="2020"/>
    <n v="110.59326738570242"/>
    <m/>
    <m/>
  </r>
  <r>
    <x v="20"/>
    <x v="32"/>
    <s v="Março"/>
    <n v="2020"/>
    <n v="137.16074878380454"/>
    <m/>
    <m/>
  </r>
  <r>
    <x v="20"/>
    <x v="33"/>
    <s v="Abril"/>
    <n v="2020"/>
    <n v="118.25221292525174"/>
    <m/>
    <m/>
  </r>
  <r>
    <x v="20"/>
    <x v="34"/>
    <s v="Maio"/>
    <n v="2020"/>
    <n v="88.17495642789369"/>
    <m/>
    <m/>
  </r>
  <r>
    <x v="20"/>
    <x v="35"/>
    <s v="Junho"/>
    <n v="2020"/>
    <n v="63.716888361998116"/>
    <m/>
    <m/>
  </r>
  <r>
    <x v="20"/>
    <x v="36"/>
    <s v="Julho"/>
    <n v="2020"/>
    <n v="62.552319148851225"/>
    <m/>
    <m/>
  </r>
  <r>
    <x v="20"/>
    <x v="37"/>
    <s v="Agosto"/>
    <n v="2020"/>
    <n v="69.165736984923271"/>
    <m/>
    <m/>
  </r>
  <r>
    <x v="20"/>
    <x v="38"/>
    <s v="Setembro"/>
    <n v="2020"/>
    <n v="69.656163013098876"/>
    <m/>
    <m/>
  </r>
  <r>
    <x v="20"/>
    <x v="39"/>
    <s v="Outubro"/>
    <n v="2020"/>
    <n v="64.19494025655689"/>
    <m/>
    <m/>
  </r>
  <r>
    <x v="20"/>
    <x v="40"/>
    <s v="Novembro"/>
    <n v="2020"/>
    <n v="81.199585888529683"/>
    <m/>
    <m/>
  </r>
  <r>
    <x v="20"/>
    <x v="41"/>
    <s v="Dezembro"/>
    <n v="2020"/>
    <n v="88.872126573109156"/>
    <m/>
    <m/>
  </r>
  <r>
    <x v="20"/>
    <x v="42"/>
    <s v="Janeiro"/>
    <n v="2021"/>
    <n v="79.585605367764259"/>
    <m/>
    <m/>
  </r>
  <r>
    <x v="20"/>
    <x v="43"/>
    <s v="Fevereiro"/>
    <n v="2021"/>
    <n v="81.272737923046336"/>
    <m/>
    <m/>
  </r>
  <r>
    <x v="20"/>
    <x v="44"/>
    <s v="Março"/>
    <n v="2021"/>
    <n v="76.319835262812916"/>
    <m/>
    <m/>
  </r>
  <r>
    <x v="20"/>
    <x v="45"/>
    <s v="Abril"/>
    <n v="2021"/>
    <n v="67.650835614884272"/>
    <m/>
    <m/>
  </r>
  <r>
    <x v="20"/>
    <x v="46"/>
    <s v="Maio"/>
    <n v="2021"/>
    <n v="64.527233261370668"/>
    <m/>
    <m/>
  </r>
  <r>
    <x v="20"/>
    <x v="47"/>
    <s v="Junho"/>
    <n v="2021"/>
    <n v="63.82274798128033"/>
    <m/>
    <m/>
  </r>
  <r>
    <x v="20"/>
    <x v="48"/>
    <s v="Julho"/>
    <n v="2021"/>
    <n v="70.519578249451058"/>
    <m/>
    <m/>
  </r>
  <r>
    <x v="20"/>
    <x v="49"/>
    <s v="Agosto"/>
    <n v="2021"/>
    <n v="73.392148594687512"/>
    <m/>
    <m/>
  </r>
  <r>
    <x v="20"/>
    <x v="50"/>
    <s v="Setembro"/>
    <n v="2021"/>
    <n v="80.926702508921792"/>
    <m/>
    <m/>
  </r>
  <r>
    <x v="20"/>
    <x v="51"/>
    <s v="Outubro"/>
    <n v="2021"/>
    <n v="89.959942590183289"/>
    <m/>
    <m/>
  </r>
  <r>
    <x v="20"/>
    <x v="52"/>
    <s v="Novembro"/>
    <n v="2021"/>
    <n v="105.10649904233669"/>
    <m/>
    <m/>
  </r>
  <r>
    <x v="20"/>
    <x v="53"/>
    <s v="Dezembro"/>
    <n v="2021"/>
    <n v="101.52953443568022"/>
    <m/>
    <m/>
  </r>
  <r>
    <x v="20"/>
    <x v="54"/>
    <s v="Janeiro"/>
    <n v="2022"/>
    <n v="107.12185807554833"/>
    <m/>
    <m/>
  </r>
  <r>
    <x v="20"/>
    <x v="55"/>
    <s v="Fevereiro"/>
    <n v="2022"/>
    <n v="91.740683320764759"/>
    <m/>
    <m/>
  </r>
  <r>
    <x v="20"/>
    <x v="56"/>
    <s v="Março"/>
    <n v="2022"/>
    <n v="64.566994885273147"/>
    <m/>
    <m/>
  </r>
  <r>
    <x v="20"/>
    <x v="57"/>
    <s v="Abril"/>
    <n v="2022"/>
    <n v="93.5504960265704"/>
    <m/>
    <m/>
  </r>
  <r>
    <x v="20"/>
    <x v="58"/>
    <s v="Maio"/>
    <n v="2022"/>
    <n v="87.576301637295586"/>
    <m/>
    <m/>
  </r>
  <r>
    <x v="20"/>
    <x v="59"/>
    <s v="Junho"/>
    <n v="2022"/>
    <n v="86.491707084912363"/>
    <m/>
    <m/>
  </r>
  <r>
    <x v="20"/>
    <x v="60"/>
    <s v="Julho"/>
    <n v="2022"/>
    <n v="99.532069072095936"/>
    <m/>
    <m/>
  </r>
  <r>
    <x v="20"/>
    <x v="61"/>
    <s v="Agosto"/>
    <n v="2022"/>
    <n v="93.398046989869414"/>
    <m/>
    <m/>
  </r>
  <r>
    <x v="20"/>
    <x v="62"/>
    <s v="Setembro"/>
    <n v="2022"/>
    <n v="88.241870661545562"/>
    <m/>
    <m/>
  </r>
  <r>
    <x v="20"/>
    <x v="63"/>
    <s v="Outubro"/>
    <n v="2022"/>
    <n v="116.92037022581195"/>
    <m/>
    <m/>
  </r>
  <r>
    <x v="20"/>
    <x v="64"/>
    <s v="Novembro"/>
    <n v="2022"/>
    <n v="104.77863308884322"/>
    <m/>
    <m/>
  </r>
  <r>
    <x v="20"/>
    <x v="65"/>
    <s v="Dezembro"/>
    <n v="2022"/>
    <n v="113.73949797693884"/>
    <m/>
    <m/>
  </r>
  <r>
    <x v="20"/>
    <x v="66"/>
    <s v="Janeiro"/>
    <n v="2023"/>
    <n v="121.25964832450008"/>
    <m/>
    <m/>
  </r>
  <r>
    <x v="20"/>
    <x v="67"/>
    <s v="Fevereiro"/>
    <n v="2023"/>
    <n v="118.39382993491985"/>
    <m/>
    <m/>
  </r>
  <r>
    <x v="20"/>
    <x v="68"/>
    <s v="Março"/>
    <n v="2023"/>
    <n v="97.851001874274331"/>
    <m/>
    <m/>
  </r>
  <r>
    <x v="20"/>
    <x v="69"/>
    <s v="Abril"/>
    <n v="2023"/>
    <n v="108.85680453792678"/>
    <m/>
    <m/>
  </r>
  <r>
    <x v="20"/>
    <x v="70"/>
    <s v="Maio"/>
    <n v="2023"/>
    <n v="78.505925173324542"/>
    <m/>
    <m/>
  </r>
  <r>
    <x v="20"/>
    <x v="71"/>
    <s v="Junho"/>
    <n v="2023"/>
    <n v="92.780823660384286"/>
    <m/>
    <m/>
  </r>
  <r>
    <x v="20"/>
    <x v="72"/>
    <s v="Julho"/>
    <n v="2023"/>
    <n v="121.93262713305282"/>
    <m/>
    <m/>
  </r>
  <r>
    <x v="20"/>
    <x v="73"/>
    <s v="Agosto"/>
    <n v="2023"/>
    <n v="91.724890422473123"/>
    <m/>
    <m/>
  </r>
  <r>
    <x v="20"/>
    <x v="74"/>
    <s v="Setembro"/>
    <n v="2023"/>
    <n v="106.5301824867059"/>
    <m/>
    <m/>
  </r>
  <r>
    <x v="20"/>
    <x v="75"/>
    <s v="Outubro"/>
    <n v="2023"/>
    <n v="90.496192161142275"/>
    <m/>
    <m/>
  </r>
  <r>
    <x v="20"/>
    <x v="76"/>
    <s v="Novembro"/>
    <n v="2023"/>
    <n v="125.54303131203424"/>
    <m/>
    <m/>
  </r>
  <r>
    <x v="20"/>
    <x v="77"/>
    <s v="Dezembro"/>
    <n v="2023"/>
    <n v="94.090625475958007"/>
    <m/>
    <m/>
  </r>
  <r>
    <x v="20"/>
    <x v="78"/>
    <s v="Janeiro"/>
    <n v="2024"/>
    <n v="109.8433635115892"/>
    <m/>
    <m/>
  </r>
  <r>
    <x v="20"/>
    <x v="79"/>
    <s v="Fevereiro"/>
    <n v="2024"/>
    <n v="104.62040778552338"/>
    <m/>
    <m/>
  </r>
  <r>
    <x v="20"/>
    <x v="80"/>
    <s v="Março"/>
    <n v="2024"/>
    <n v="115.36857114098495"/>
    <m/>
    <m/>
  </r>
  <r>
    <x v="20"/>
    <x v="81"/>
    <s v="Abril"/>
    <n v="2024"/>
    <n v="90.217479257238978"/>
    <m/>
    <m/>
  </r>
  <r>
    <x v="20"/>
    <x v="82"/>
    <s v="Maio"/>
    <n v="2024"/>
    <n v="90.816888229369013"/>
    <m/>
    <m/>
  </r>
  <r>
    <x v="20"/>
    <x v="83"/>
    <s v="Junho"/>
    <n v="2024"/>
    <n v="106.63813508648511"/>
    <m/>
    <m/>
  </r>
  <r>
    <x v="20"/>
    <x v="84"/>
    <s v="Julho"/>
    <n v="2024"/>
    <n v="97.94057504536751"/>
    <m/>
    <m/>
  </r>
  <r>
    <x v="20"/>
    <x v="85"/>
    <s v="Agosto"/>
    <n v="2024"/>
    <n v="126.17802343342771"/>
    <m/>
    <m/>
  </r>
  <r>
    <x v="20"/>
    <x v="86"/>
    <s v="Setembro"/>
    <n v="2024"/>
    <n v="114.40572710885799"/>
    <m/>
    <m/>
  </r>
  <r>
    <x v="20"/>
    <x v="87"/>
    <s v="Outubro"/>
    <n v="2024"/>
    <n v="116.8032183598694"/>
    <m/>
    <m/>
  </r>
  <r>
    <x v="20"/>
    <x v="88"/>
    <s v="Novembro"/>
    <n v="2024"/>
    <n v="123.44475768668627"/>
    <m/>
    <m/>
  </r>
  <r>
    <x v="20"/>
    <x v="89"/>
    <s v="Dezembro"/>
    <n v="2024"/>
    <n v="106.28350195055307"/>
    <m/>
    <m/>
  </r>
  <r>
    <x v="20"/>
    <x v="90"/>
    <s v="Janeiro"/>
    <n v="2025"/>
    <n v="162.26602041136505"/>
    <m/>
    <m/>
  </r>
  <r>
    <x v="20"/>
    <x v="91"/>
    <s v="Fevereiro"/>
    <n v="2025"/>
    <n v="149.90210255183374"/>
    <m/>
    <m/>
  </r>
  <r>
    <x v="20"/>
    <x v="92"/>
    <s v="Março"/>
    <n v="2025"/>
    <n v="135.18533671561948"/>
    <m/>
    <m/>
  </r>
  <r>
    <x v="20"/>
    <x v="93"/>
    <s v="Abril"/>
    <n v="2025"/>
    <n v="108.93590386565225"/>
    <m/>
    <m/>
  </r>
  <r>
    <x v="20"/>
    <x v="94"/>
    <s v="Maio"/>
    <n v="2025"/>
    <n v="117.26018834362506"/>
    <m/>
    <m/>
  </r>
  <r>
    <x v="20"/>
    <x v="95"/>
    <s v="Junho"/>
    <n v="2025"/>
    <n v="138.02602235762703"/>
    <m/>
    <m/>
  </r>
  <r>
    <x v="20"/>
    <x v="96"/>
    <s v="Julho"/>
    <n v="2025"/>
    <n v="169.15418023753435"/>
    <m/>
    <m/>
  </r>
  <r>
    <x v="20"/>
    <x v="97"/>
    <s v="Agosto"/>
    <n v="2025"/>
    <n v="162.20663470981381"/>
    <m/>
    <m/>
  </r>
  <r>
    <x v="20"/>
    <x v="98"/>
    <s v="Setembro"/>
    <n v="2025"/>
    <n v="157.42280715742089"/>
    <m/>
    <m/>
  </r>
  <r>
    <x v="20"/>
    <x v="99"/>
    <s v="Outubro"/>
    <n v="2025"/>
    <n v="167.14279899607473"/>
    <m/>
    <m/>
  </r>
  <r>
    <x v="20"/>
    <x v="100"/>
    <s v="Novembro"/>
    <n v="2025"/>
    <n v="162.1455626953842"/>
    <m/>
    <m/>
  </r>
  <r>
    <x v="20"/>
    <x v="101"/>
    <s v="Dezembro"/>
    <n v="2025"/>
    <n v="183.66149279475385"/>
    <m/>
    <m/>
  </r>
  <r>
    <x v="20"/>
    <x v="102"/>
    <s v="Janeiro"/>
    <n v="2026"/>
    <n v="151.05864267110141"/>
    <m/>
    <m/>
  </r>
  <r>
    <x v="0"/>
    <x v="0"/>
    <m/>
    <m/>
    <m/>
    <m/>
    <m/>
  </r>
  <r>
    <x v="21"/>
    <x v="1"/>
    <s v="Dezembro"/>
    <n v="2013"/>
    <n v="0"/>
    <m/>
    <m/>
  </r>
  <r>
    <x v="21"/>
    <x v="2"/>
    <s v="Dezembro"/>
    <n v="2014"/>
    <n v="22.390336302969828"/>
    <m/>
    <m/>
  </r>
  <r>
    <x v="21"/>
    <x v="3"/>
    <s v="Dezembro"/>
    <n v="2015"/>
    <n v="21.759957077904499"/>
    <m/>
    <m/>
  </r>
  <r>
    <x v="21"/>
    <x v="4"/>
    <s v="Dezembro"/>
    <n v="2016"/>
    <n v="14.361762914738563"/>
    <m/>
    <m/>
  </r>
  <r>
    <x v="21"/>
    <x v="5"/>
    <s v="Dezembro"/>
    <n v="2017"/>
    <n v="2.8326666588986913"/>
    <m/>
    <m/>
  </r>
  <r>
    <x v="21"/>
    <x v="6"/>
    <s v="Janeiro"/>
    <n v="2018"/>
    <n v="50.502343670554531"/>
    <m/>
    <m/>
  </r>
  <r>
    <x v="21"/>
    <x v="7"/>
    <s v="Fevereiro"/>
    <n v="2018"/>
    <n v="22.713803610870929"/>
    <m/>
    <m/>
  </r>
  <r>
    <x v="21"/>
    <x v="8"/>
    <s v="Março"/>
    <n v="2018"/>
    <n v="63.645903492666363"/>
    <m/>
    <m/>
  </r>
  <r>
    <x v="21"/>
    <x v="9"/>
    <s v="Abril"/>
    <n v="2018"/>
    <n v="61.092657027168364"/>
    <m/>
    <m/>
  </r>
  <r>
    <x v="21"/>
    <x v="10"/>
    <s v="Maio"/>
    <n v="2018"/>
    <n v="48.449219423136277"/>
    <m/>
    <m/>
  </r>
  <r>
    <x v="21"/>
    <x v="11"/>
    <s v="Junho"/>
    <n v="2018"/>
    <n v="46.536749622941898"/>
    <m/>
    <m/>
  </r>
  <r>
    <x v="21"/>
    <x v="12"/>
    <s v="Julho"/>
    <n v="2018"/>
    <n v="51.771941574751324"/>
    <m/>
    <m/>
  </r>
  <r>
    <x v="21"/>
    <x v="13"/>
    <s v="Agosto"/>
    <n v="2018"/>
    <n v="42.944840538272288"/>
    <m/>
    <m/>
  </r>
  <r>
    <x v="21"/>
    <x v="14"/>
    <s v="Setembro"/>
    <n v="2018"/>
    <n v="38.84026986465728"/>
    <m/>
    <m/>
  </r>
  <r>
    <x v="21"/>
    <x v="15"/>
    <s v="Outubro"/>
    <n v="2018"/>
    <n v="52.134176306461612"/>
    <m/>
    <m/>
  </r>
  <r>
    <x v="21"/>
    <x v="16"/>
    <s v="Novembro"/>
    <n v="2018"/>
    <n v="46.997994732813147"/>
    <m/>
    <m/>
  </r>
  <r>
    <x v="21"/>
    <x v="17"/>
    <s v="Dezembro"/>
    <n v="2018"/>
    <n v="95.50762662828231"/>
    <m/>
    <m/>
  </r>
  <r>
    <x v="21"/>
    <x v="18"/>
    <s v="Janeiro"/>
    <n v="2019"/>
    <n v="36.067314105527331"/>
    <m/>
    <m/>
  </r>
  <r>
    <x v="21"/>
    <x v="19"/>
    <s v="Fevereiro"/>
    <n v="2019"/>
    <n v="72.933056367148907"/>
    <m/>
    <m/>
  </r>
  <r>
    <x v="21"/>
    <x v="20"/>
    <s v="Março"/>
    <n v="2019"/>
    <n v="47.019903335446841"/>
    <m/>
    <m/>
  </r>
  <r>
    <x v="21"/>
    <x v="21"/>
    <s v="Abril"/>
    <n v="2019"/>
    <n v="43.699842747276612"/>
    <m/>
    <m/>
  </r>
  <r>
    <x v="21"/>
    <x v="22"/>
    <s v="Maio"/>
    <n v="2019"/>
    <n v="58.959904920862563"/>
    <m/>
    <m/>
  </r>
  <r>
    <x v="21"/>
    <x v="23"/>
    <s v="Junho"/>
    <n v="2019"/>
    <n v="49.07738307164216"/>
    <m/>
    <m/>
  </r>
  <r>
    <x v="21"/>
    <x v="24"/>
    <s v="Julho"/>
    <n v="2019"/>
    <n v="66.917986842293558"/>
    <m/>
    <m/>
  </r>
  <r>
    <x v="21"/>
    <x v="25"/>
    <s v="Agosto"/>
    <n v="2019"/>
    <n v="80.415938058152506"/>
    <m/>
    <m/>
  </r>
  <r>
    <x v="21"/>
    <x v="26"/>
    <s v="Setembro"/>
    <n v="2019"/>
    <n v="42.547580714446838"/>
    <m/>
    <m/>
  </r>
  <r>
    <x v="21"/>
    <x v="27"/>
    <s v="Outubro"/>
    <n v="2019"/>
    <n v="54.649371921510053"/>
    <m/>
    <m/>
  </r>
  <r>
    <x v="21"/>
    <x v="28"/>
    <s v="Novembro"/>
    <n v="2019"/>
    <n v="65.054450175522575"/>
    <m/>
    <m/>
  </r>
  <r>
    <x v="21"/>
    <x v="29"/>
    <s v="Dezembro"/>
    <n v="2019"/>
    <n v="88.597757189499021"/>
    <m/>
    <m/>
  </r>
  <r>
    <x v="21"/>
    <x v="30"/>
    <s v="Janeiro"/>
    <n v="2020"/>
    <n v="65.283221167567717"/>
    <m/>
    <m/>
  </r>
  <r>
    <x v="21"/>
    <x v="31"/>
    <s v="Fevereiro"/>
    <n v="2020"/>
    <n v="56.367009257894935"/>
    <m/>
    <m/>
  </r>
  <r>
    <x v="21"/>
    <x v="32"/>
    <s v="Março"/>
    <n v="2020"/>
    <n v="61.439970295005978"/>
    <m/>
    <m/>
  </r>
  <r>
    <x v="21"/>
    <x v="33"/>
    <s v="Abril"/>
    <n v="2020"/>
    <n v="67.403069374626114"/>
    <m/>
    <m/>
  </r>
  <r>
    <x v="21"/>
    <x v="34"/>
    <s v="Maio"/>
    <n v="2020"/>
    <n v="50.521311922971677"/>
    <m/>
    <m/>
  </r>
  <r>
    <x v="21"/>
    <x v="35"/>
    <s v="Junho"/>
    <n v="2020"/>
    <n v="210.42882285213341"/>
    <m/>
    <m/>
  </r>
  <r>
    <x v="21"/>
    <x v="36"/>
    <s v="Julho"/>
    <n v="2020"/>
    <n v="42.427311640001548"/>
    <m/>
    <m/>
  </r>
  <r>
    <x v="21"/>
    <x v="37"/>
    <s v="Agosto"/>
    <n v="2020"/>
    <n v="67.823401000540301"/>
    <m/>
    <m/>
  </r>
  <r>
    <x v="21"/>
    <x v="38"/>
    <s v="Setembro"/>
    <n v="2020"/>
    <n v="34.43384190846956"/>
    <m/>
    <m/>
  </r>
  <r>
    <x v="21"/>
    <x v="39"/>
    <s v="Outubro"/>
    <n v="2020"/>
    <n v="24.148091628021294"/>
    <m/>
    <m/>
  </r>
  <r>
    <x v="21"/>
    <x v="40"/>
    <s v="Novembro"/>
    <n v="2020"/>
    <n v="33.281880284290061"/>
    <m/>
    <m/>
  </r>
  <r>
    <x v="21"/>
    <x v="41"/>
    <s v="Dezembro"/>
    <n v="2020"/>
    <n v="53.995227505441804"/>
    <m/>
    <m/>
  </r>
  <r>
    <x v="21"/>
    <x v="42"/>
    <s v="Janeiro"/>
    <n v="2021"/>
    <n v="21.258364382417522"/>
    <m/>
    <m/>
  </r>
  <r>
    <x v="21"/>
    <x v="43"/>
    <s v="Fevereiro"/>
    <n v="2021"/>
    <n v="33.807617579925818"/>
    <m/>
    <m/>
  </r>
  <r>
    <x v="21"/>
    <x v="44"/>
    <s v="Março"/>
    <n v="2021"/>
    <n v="45.018243118530002"/>
    <m/>
    <m/>
  </r>
  <r>
    <x v="21"/>
    <x v="45"/>
    <s v="Abril"/>
    <n v="2021"/>
    <n v="29.190664622931138"/>
    <m/>
    <m/>
  </r>
  <r>
    <x v="21"/>
    <x v="46"/>
    <s v="Maio"/>
    <n v="2021"/>
    <n v="54.363030233908169"/>
    <m/>
    <m/>
  </r>
  <r>
    <x v="21"/>
    <x v="47"/>
    <s v="Junho"/>
    <n v="2021"/>
    <n v="36.745823379153343"/>
    <m/>
    <m/>
  </r>
  <r>
    <x v="21"/>
    <x v="48"/>
    <s v="Julho"/>
    <n v="2021"/>
    <n v="34.894695063247831"/>
    <m/>
    <m/>
  </r>
  <r>
    <x v="21"/>
    <x v="49"/>
    <s v="Agosto"/>
    <n v="2021"/>
    <n v="24.471629103860515"/>
    <m/>
    <m/>
  </r>
  <r>
    <x v="21"/>
    <x v="50"/>
    <s v="Setembro"/>
    <n v="2021"/>
    <n v="27.767754026390921"/>
    <m/>
    <m/>
  </r>
  <r>
    <x v="21"/>
    <x v="51"/>
    <s v="Outubro"/>
    <n v="2021"/>
    <n v="32.878996504580272"/>
    <m/>
    <m/>
  </r>
  <r>
    <x v="21"/>
    <x v="52"/>
    <s v="Novembro"/>
    <n v="2021"/>
    <n v="51.073126424111543"/>
    <m/>
    <m/>
  </r>
  <r>
    <x v="21"/>
    <x v="53"/>
    <s v="Dezembro"/>
    <n v="2021"/>
    <n v="30.496561508796105"/>
    <m/>
    <m/>
  </r>
  <r>
    <x v="21"/>
    <x v="54"/>
    <s v="Janeiro"/>
    <n v="2022"/>
    <n v="40.697904571260757"/>
    <m/>
    <m/>
  </r>
  <r>
    <x v="21"/>
    <x v="55"/>
    <s v="Fevereiro"/>
    <n v="2022"/>
    <n v="40.822256394433069"/>
    <m/>
    <m/>
  </r>
  <r>
    <x v="21"/>
    <x v="56"/>
    <s v="Março"/>
    <n v="2022"/>
    <n v="29.569062453394153"/>
    <m/>
    <m/>
  </r>
  <r>
    <x v="21"/>
    <x v="57"/>
    <s v="Abril"/>
    <n v="2022"/>
    <n v="50.864199995302933"/>
    <m/>
    <m/>
  </r>
  <r>
    <x v="21"/>
    <x v="58"/>
    <s v="Maio"/>
    <n v="2022"/>
    <n v="47.368915115850982"/>
    <m/>
    <m/>
  </r>
  <r>
    <x v="21"/>
    <x v="59"/>
    <s v="Junho"/>
    <n v="2022"/>
    <n v="37.444313896990764"/>
    <m/>
    <m/>
  </r>
  <r>
    <x v="21"/>
    <x v="60"/>
    <s v="Julho"/>
    <n v="2022"/>
    <n v="31.593578824620174"/>
    <m/>
    <m/>
  </r>
  <r>
    <x v="21"/>
    <x v="61"/>
    <s v="Agosto"/>
    <n v="2022"/>
    <n v="31.861339308425478"/>
    <m/>
    <m/>
  </r>
  <r>
    <x v="21"/>
    <x v="62"/>
    <s v="Setembro"/>
    <n v="2022"/>
    <n v="31.797461186430407"/>
    <m/>
    <m/>
  </r>
  <r>
    <x v="21"/>
    <x v="63"/>
    <s v="Outubro"/>
    <n v="2022"/>
    <n v="50.240687007571765"/>
    <m/>
    <m/>
  </r>
  <r>
    <x v="21"/>
    <x v="64"/>
    <s v="Novembro"/>
    <n v="2022"/>
    <n v="35.354498301322593"/>
    <m/>
    <m/>
  </r>
  <r>
    <x v="21"/>
    <x v="65"/>
    <s v="Dezembro"/>
    <n v="2022"/>
    <n v="26.835994458628615"/>
    <m/>
    <m/>
  </r>
  <r>
    <x v="21"/>
    <x v="66"/>
    <s v="Janeiro"/>
    <n v="2023"/>
    <n v="34.741072773798209"/>
    <m/>
    <m/>
  </r>
  <r>
    <x v="21"/>
    <x v="67"/>
    <s v="Fevereiro"/>
    <n v="2023"/>
    <n v="38.796266607855969"/>
    <m/>
    <m/>
  </r>
  <r>
    <x v="21"/>
    <x v="68"/>
    <s v="Março"/>
    <n v="2023"/>
    <n v="26.602683097556959"/>
    <m/>
    <m/>
  </r>
  <r>
    <x v="21"/>
    <x v="69"/>
    <s v="Abril"/>
    <n v="2023"/>
    <n v="56.408580483073713"/>
    <m/>
    <m/>
  </r>
  <r>
    <x v="21"/>
    <x v="70"/>
    <s v="Maio"/>
    <n v="2023"/>
    <n v="39.155550129351809"/>
    <m/>
    <m/>
  </r>
  <r>
    <x v="21"/>
    <x v="71"/>
    <s v="Junho"/>
    <n v="2023"/>
    <n v="52.646866076103407"/>
    <m/>
    <m/>
  </r>
  <r>
    <x v="21"/>
    <x v="72"/>
    <s v="Julho"/>
    <n v="2023"/>
    <n v="38.827060786897228"/>
    <m/>
    <m/>
  </r>
  <r>
    <x v="21"/>
    <x v="73"/>
    <s v="Agosto"/>
    <n v="2023"/>
    <n v="54.085802930367748"/>
    <m/>
    <m/>
  </r>
  <r>
    <x v="21"/>
    <x v="74"/>
    <s v="Setembro"/>
    <n v="2023"/>
    <n v="44.12939823952793"/>
    <m/>
    <m/>
  </r>
  <r>
    <x v="21"/>
    <x v="75"/>
    <s v="Outubro"/>
    <n v="2023"/>
    <n v="48.229468331303472"/>
    <m/>
    <m/>
  </r>
  <r>
    <x v="21"/>
    <x v="76"/>
    <s v="Novembro"/>
    <n v="2023"/>
    <n v="34.584670458285871"/>
    <m/>
    <m/>
  </r>
  <r>
    <x v="21"/>
    <x v="77"/>
    <s v="Dezembro"/>
    <n v="2023"/>
    <n v="32.160604960317166"/>
    <m/>
    <m/>
  </r>
  <r>
    <x v="21"/>
    <x v="78"/>
    <s v="Janeiro"/>
    <n v="2024"/>
    <n v="41.050213099237105"/>
    <m/>
    <m/>
  </r>
  <r>
    <x v="21"/>
    <x v="79"/>
    <s v="Fevereiro"/>
    <n v="2024"/>
    <n v="51.582826099042002"/>
    <m/>
    <m/>
  </r>
  <r>
    <x v="21"/>
    <x v="80"/>
    <s v="Março"/>
    <n v="2024"/>
    <n v="56.949043326188708"/>
    <m/>
    <m/>
  </r>
  <r>
    <x v="21"/>
    <x v="81"/>
    <s v="Abril"/>
    <n v="2024"/>
    <n v="51.936137479232386"/>
    <m/>
    <m/>
  </r>
  <r>
    <x v="21"/>
    <x v="82"/>
    <s v="Maio"/>
    <n v="2024"/>
    <n v="81.287087771230659"/>
    <m/>
    <m/>
  </r>
  <r>
    <x v="21"/>
    <x v="83"/>
    <s v="Junho"/>
    <n v="2024"/>
    <n v="52.232607497002299"/>
    <m/>
    <m/>
  </r>
  <r>
    <x v="21"/>
    <x v="84"/>
    <s v="Julho"/>
    <n v="2024"/>
    <n v="57.532064379678552"/>
    <m/>
    <m/>
  </r>
  <r>
    <x v="21"/>
    <x v="85"/>
    <s v="Agosto"/>
    <n v="2024"/>
    <n v="54.195633267072914"/>
    <m/>
    <m/>
  </r>
  <r>
    <x v="21"/>
    <x v="86"/>
    <s v="Setembro"/>
    <n v="2024"/>
    <n v="47.395977491248082"/>
    <m/>
    <m/>
  </r>
  <r>
    <x v="21"/>
    <x v="87"/>
    <s v="Outubro"/>
    <n v="2024"/>
    <n v="34.395702106810262"/>
    <m/>
    <m/>
  </r>
  <r>
    <x v="21"/>
    <x v="88"/>
    <s v="Novembro"/>
    <n v="2024"/>
    <n v="58.551831715287527"/>
    <m/>
    <m/>
  </r>
  <r>
    <x v="21"/>
    <x v="89"/>
    <s v="Dezembro"/>
    <n v="2024"/>
    <n v="62.172548916148884"/>
    <m/>
    <m/>
  </r>
  <r>
    <x v="21"/>
    <x v="90"/>
    <s v="Janeiro"/>
    <n v="2025"/>
    <n v="45.634779874450238"/>
    <m/>
    <m/>
  </r>
  <r>
    <x v="21"/>
    <x v="91"/>
    <s v="Fevereiro"/>
    <n v="2025"/>
    <n v="79.653847744581654"/>
    <m/>
    <m/>
  </r>
  <r>
    <x v="21"/>
    <x v="92"/>
    <s v="Março"/>
    <n v="2025"/>
    <n v="51.545670902606886"/>
    <m/>
    <m/>
  </r>
  <r>
    <x v="21"/>
    <x v="93"/>
    <s v="Abril"/>
    <n v="2025"/>
    <n v="47.649467458881638"/>
    <m/>
    <m/>
  </r>
  <r>
    <x v="21"/>
    <x v="94"/>
    <s v="Maio"/>
    <n v="2025"/>
    <n v="33.306027722833903"/>
    <m/>
    <m/>
  </r>
  <r>
    <x v="21"/>
    <x v="95"/>
    <s v="Junho"/>
    <n v="2025"/>
    <n v="40.018829651163635"/>
    <m/>
    <m/>
  </r>
  <r>
    <x v="21"/>
    <x v="96"/>
    <s v="Julho"/>
    <n v="2025"/>
    <n v="46.720856707246107"/>
    <m/>
    <m/>
  </r>
  <r>
    <x v="21"/>
    <x v="97"/>
    <s v="Agosto"/>
    <n v="2025"/>
    <n v="51.681665071012468"/>
    <m/>
    <m/>
  </r>
  <r>
    <x v="21"/>
    <x v="98"/>
    <s v="Setembro"/>
    <n v="2025"/>
    <n v="31.690789680241657"/>
    <m/>
    <m/>
  </r>
  <r>
    <x v="21"/>
    <x v="99"/>
    <s v="Outubro"/>
    <n v="2025"/>
    <n v="36.045183812568943"/>
    <m/>
    <m/>
  </r>
  <r>
    <x v="21"/>
    <x v="100"/>
    <s v="Novembro"/>
    <n v="2025"/>
    <n v="36.755664125789821"/>
    <m/>
    <m/>
  </r>
  <r>
    <x v="21"/>
    <x v="101"/>
    <s v="Dezembro"/>
    <n v="2025"/>
    <n v="28.928573028705049"/>
    <m/>
    <m/>
  </r>
  <r>
    <x v="21"/>
    <x v="102"/>
    <s v="Janeiro"/>
    <n v="2026"/>
    <n v="36.179072366358056"/>
    <m/>
    <m/>
  </r>
  <r>
    <x v="0"/>
    <x v="0"/>
    <m/>
    <m/>
    <m/>
    <m/>
    <m/>
  </r>
  <r>
    <x v="22"/>
    <x v="5"/>
    <s v="Dezembro"/>
    <n v="2017"/>
    <n v="0"/>
    <m/>
    <m/>
  </r>
  <r>
    <x v="22"/>
    <x v="1"/>
    <s v="Dezembro"/>
    <n v="2013"/>
    <e v="#DIV/0!"/>
    <m/>
    <m/>
  </r>
  <r>
    <x v="22"/>
    <x v="2"/>
    <s v="Dezembro"/>
    <n v="2014"/>
    <e v="#DIV/0!"/>
    <m/>
    <m/>
  </r>
  <r>
    <x v="22"/>
    <x v="3"/>
    <s v="Dezembro"/>
    <n v="2015"/>
    <e v="#DIV/0!"/>
    <m/>
    <m/>
  </r>
  <r>
    <x v="22"/>
    <x v="4"/>
    <s v="Dezembro"/>
    <n v="2016"/>
    <e v="#DIV/0!"/>
    <m/>
    <m/>
  </r>
  <r>
    <x v="22"/>
    <x v="5"/>
    <s v="Dezembro"/>
    <n v="2017"/>
    <n v="30.65557555315031"/>
    <m/>
    <m/>
  </r>
  <r>
    <x v="22"/>
    <x v="6"/>
    <s v="Janeiro"/>
    <n v="2018"/>
    <n v="461.70588555247457"/>
    <m/>
    <m/>
  </r>
  <r>
    <x v="22"/>
    <x v="7"/>
    <s v="Fevereiro"/>
    <n v="2018"/>
    <n v="395.85335235986764"/>
    <m/>
    <m/>
  </r>
  <r>
    <x v="22"/>
    <x v="8"/>
    <s v="Março"/>
    <n v="2018"/>
    <n v="204.80371016090811"/>
    <m/>
    <m/>
  </r>
  <r>
    <x v="22"/>
    <x v="9"/>
    <s v="Abril"/>
    <n v="2018"/>
    <n v="236.35423722076021"/>
    <m/>
    <m/>
  </r>
  <r>
    <x v="22"/>
    <x v="10"/>
    <s v="Maio"/>
    <n v="2018"/>
    <n v="580.18831108854079"/>
    <m/>
    <m/>
  </r>
  <r>
    <x v="22"/>
    <x v="11"/>
    <s v="Junho"/>
    <n v="2018"/>
    <n v="261.52950658577839"/>
    <m/>
    <m/>
  </r>
  <r>
    <x v="22"/>
    <x v="12"/>
    <s v="Julho"/>
    <n v="2018"/>
    <n v="136.44072516630462"/>
    <m/>
    <m/>
  </r>
  <r>
    <x v="22"/>
    <x v="13"/>
    <s v="Agosto"/>
    <n v="2018"/>
    <n v="206.70956346469205"/>
    <m/>
    <m/>
  </r>
  <r>
    <x v="22"/>
    <x v="14"/>
    <s v="Setembro"/>
    <n v="2018"/>
    <n v="175.2611604830978"/>
    <m/>
    <m/>
  </r>
  <r>
    <x v="22"/>
    <x v="15"/>
    <s v="Outubro"/>
    <n v="2018"/>
    <n v="192.626906273256"/>
    <m/>
    <m/>
  </r>
  <r>
    <x v="22"/>
    <x v="16"/>
    <s v="Novembro"/>
    <n v="2018"/>
    <n v="340.52747784476827"/>
    <m/>
    <m/>
  </r>
  <r>
    <x v="22"/>
    <x v="17"/>
    <s v="Dezembro"/>
    <n v="2018"/>
    <n v="488.23214557286997"/>
    <m/>
    <m/>
  </r>
  <r>
    <x v="22"/>
    <x v="18"/>
    <s v="Janeiro"/>
    <n v="2019"/>
    <n v="233.95792657972299"/>
    <m/>
    <m/>
  </r>
  <r>
    <x v="22"/>
    <x v="19"/>
    <s v="Fevereiro"/>
    <n v="2019"/>
    <n v="244.18461052939384"/>
    <m/>
    <m/>
  </r>
  <r>
    <x v="22"/>
    <x v="20"/>
    <s v="Março"/>
    <n v="2019"/>
    <n v="224.32462743460593"/>
    <m/>
    <m/>
  </r>
  <r>
    <x v="22"/>
    <x v="21"/>
    <s v="Abril"/>
    <n v="2019"/>
    <n v="218.79278196580671"/>
    <m/>
    <m/>
  </r>
  <r>
    <x v="22"/>
    <x v="22"/>
    <s v="Maio"/>
    <n v="2019"/>
    <n v="214.51540785417225"/>
    <m/>
    <m/>
  </r>
  <r>
    <x v="22"/>
    <x v="23"/>
    <s v="Junho"/>
    <n v="2019"/>
    <n v="339.64060043615842"/>
    <m/>
    <m/>
  </r>
  <r>
    <x v="22"/>
    <x v="24"/>
    <s v="Julho"/>
    <n v="2019"/>
    <n v="291.51297671790184"/>
    <m/>
    <m/>
  </r>
  <r>
    <x v="22"/>
    <x v="25"/>
    <s v="Agosto"/>
    <n v="2019"/>
    <n v="243.16297169162789"/>
    <m/>
    <m/>
  </r>
  <r>
    <x v="22"/>
    <x v="26"/>
    <s v="Setembro"/>
    <n v="2019"/>
    <n v="174.05683533252693"/>
    <m/>
    <m/>
  </r>
  <r>
    <x v="22"/>
    <x v="27"/>
    <s v="Outubro"/>
    <n v="2019"/>
    <n v="159.40736816915472"/>
    <m/>
    <m/>
  </r>
  <r>
    <x v="22"/>
    <x v="28"/>
    <s v="Novembro"/>
    <n v="2019"/>
    <n v="234.9242260439006"/>
    <m/>
    <m/>
  </r>
  <r>
    <x v="22"/>
    <x v="29"/>
    <s v="Dezembro"/>
    <n v="2019"/>
    <n v="314.40442766068338"/>
    <m/>
    <m/>
  </r>
  <r>
    <x v="22"/>
    <x v="30"/>
    <s v="Janeiro"/>
    <n v="2020"/>
    <n v="220.1053197044846"/>
    <m/>
    <m/>
  </r>
  <r>
    <x v="22"/>
    <x v="31"/>
    <s v="Fevereiro"/>
    <n v="2020"/>
    <n v="358.20231347404865"/>
    <m/>
    <m/>
  </r>
  <r>
    <x v="22"/>
    <x v="32"/>
    <s v="Março"/>
    <n v="2020"/>
    <n v="462.00068372984686"/>
    <m/>
    <m/>
  </r>
  <r>
    <x v="22"/>
    <x v="33"/>
    <s v="Abril"/>
    <n v="2020"/>
    <n v="439.38013940598279"/>
    <m/>
    <m/>
  </r>
  <r>
    <x v="22"/>
    <x v="34"/>
    <s v="Maio"/>
    <n v="2020"/>
    <n v="319.62998972752644"/>
    <m/>
    <m/>
  </r>
  <r>
    <x v="22"/>
    <x v="35"/>
    <s v="Junho"/>
    <n v="2020"/>
    <n v="42.196042931278697"/>
    <m/>
    <m/>
  </r>
  <r>
    <x v="22"/>
    <x v="36"/>
    <s v="Julho"/>
    <n v="2020"/>
    <n v="171.93965874376391"/>
    <m/>
    <m/>
  </r>
  <r>
    <x v="22"/>
    <x v="37"/>
    <s v="Agosto"/>
    <n v="2020"/>
    <n v="135.5407407746024"/>
    <m/>
    <m/>
  </r>
  <r>
    <x v="22"/>
    <x v="38"/>
    <s v="Setembro"/>
    <n v="2020"/>
    <n v="168.2240780887407"/>
    <m/>
    <m/>
  </r>
  <r>
    <x v="22"/>
    <x v="39"/>
    <s v="Outubro"/>
    <n v="2020"/>
    <n v="146.1324783787995"/>
    <m/>
    <m/>
  </r>
  <r>
    <x v="22"/>
    <x v="40"/>
    <s v="Novembro"/>
    <n v="2020"/>
    <n v="185.65558302209749"/>
    <m/>
    <m/>
  </r>
  <r>
    <x v="22"/>
    <x v="41"/>
    <s v="Dezembro"/>
    <n v="2020"/>
    <n v="185.55906542869712"/>
    <m/>
    <m/>
  </r>
  <r>
    <x v="22"/>
    <x v="42"/>
    <s v="Janeiro"/>
    <n v="2021"/>
    <n v="208.41395540489839"/>
    <m/>
    <m/>
  </r>
  <r>
    <x v="22"/>
    <x v="43"/>
    <s v="Fevereiro"/>
    <n v="2021"/>
    <n v="212.05627339407459"/>
    <m/>
    <m/>
  </r>
  <r>
    <x v="22"/>
    <x v="44"/>
    <s v="Março"/>
    <n v="2021"/>
    <n v="186.03039470618003"/>
    <m/>
    <m/>
  </r>
  <r>
    <x v="22"/>
    <x v="45"/>
    <s v="Abril"/>
    <n v="2021"/>
    <n v="193.08068681682175"/>
    <m/>
    <m/>
  </r>
  <r>
    <x v="22"/>
    <x v="46"/>
    <s v="Maio"/>
    <n v="2021"/>
    <n v="126.35324807527232"/>
    <m/>
    <m/>
  </r>
  <r>
    <x v="22"/>
    <x v="47"/>
    <s v="Junho"/>
    <n v="2021"/>
    <n v="133.56563599652486"/>
    <m/>
    <m/>
  </r>
  <r>
    <x v="22"/>
    <x v="48"/>
    <s v="Julho"/>
    <n v="2021"/>
    <n v="131.63574370416833"/>
    <m/>
    <m/>
  </r>
  <r>
    <x v="22"/>
    <x v="49"/>
    <s v="Agosto"/>
    <n v="2021"/>
    <n v="168.7868807841634"/>
    <m/>
    <m/>
  </r>
  <r>
    <x v="22"/>
    <x v="50"/>
    <s v="Setembro"/>
    <n v="2021"/>
    <n v="192.41007940012722"/>
    <m/>
    <m/>
  </r>
  <r>
    <x v="22"/>
    <x v="51"/>
    <s v="Outubro"/>
    <n v="2021"/>
    <n v="196.43553292632771"/>
    <m/>
    <m/>
  </r>
  <r>
    <x v="22"/>
    <x v="52"/>
    <s v="Novembro"/>
    <n v="2021"/>
    <n v="268.80156862508068"/>
    <m/>
    <m/>
  </r>
  <r>
    <x v="22"/>
    <x v="53"/>
    <s v="Dezembro"/>
    <n v="2021"/>
    <n v="254.53735161541937"/>
    <m/>
    <m/>
  </r>
  <r>
    <x v="22"/>
    <x v="54"/>
    <s v="Janeiro"/>
    <n v="2022"/>
    <n v="281.62848596448373"/>
    <m/>
    <m/>
  </r>
  <r>
    <x v="22"/>
    <x v="55"/>
    <s v="Fevereiro"/>
    <n v="2022"/>
    <n v="251.23930821835"/>
    <m/>
    <m/>
  </r>
  <r>
    <x v="22"/>
    <x v="56"/>
    <s v="Março"/>
    <n v="2022"/>
    <n v="130.83982186275324"/>
    <m/>
    <m/>
  </r>
  <r>
    <x v="22"/>
    <x v="57"/>
    <s v="Abril"/>
    <n v="2022"/>
    <n v="215.88127219696915"/>
    <m/>
    <m/>
  </r>
  <r>
    <x v="22"/>
    <x v="58"/>
    <s v="Maio"/>
    <n v="2022"/>
    <n v="181.00458811714969"/>
    <m/>
    <m/>
  </r>
  <r>
    <x v="22"/>
    <x v="59"/>
    <s v="Junho"/>
    <n v="2022"/>
    <n v="196.82665867090418"/>
    <m/>
    <m/>
  </r>
  <r>
    <x v="22"/>
    <x v="60"/>
    <s v="Julho"/>
    <n v="2022"/>
    <n v="251.72868932539757"/>
    <m/>
    <m/>
  </r>
  <r>
    <x v="22"/>
    <x v="61"/>
    <s v="Agosto"/>
    <n v="2022"/>
    <n v="218.78731267902882"/>
    <m/>
    <m/>
  </r>
  <r>
    <x v="22"/>
    <x v="62"/>
    <s v="Setembro"/>
    <n v="2022"/>
    <n v="243.79441657394099"/>
    <m/>
    <m/>
  </r>
  <r>
    <x v="22"/>
    <x v="63"/>
    <s v="Outubro"/>
    <n v="2022"/>
    <n v="301.56256804375755"/>
    <m/>
    <m/>
  </r>
  <r>
    <x v="22"/>
    <x v="64"/>
    <s v="Novembro"/>
    <n v="2022"/>
    <n v="296.19578358417164"/>
    <m/>
    <m/>
  </r>
  <r>
    <x v="22"/>
    <x v="65"/>
    <s v="Dezembro"/>
    <n v="2022"/>
    <n v="301.71989334687839"/>
    <m/>
    <m/>
  </r>
  <r>
    <x v="22"/>
    <x v="66"/>
    <s v="Janeiro"/>
    <n v="2023"/>
    <n v="426.60888342589692"/>
    <m/>
    <m/>
  </r>
  <r>
    <x v="22"/>
    <x v="67"/>
    <s v="Fevereiro"/>
    <n v="2023"/>
    <n v="336.96394418357471"/>
    <m/>
    <m/>
  </r>
  <r>
    <x v="22"/>
    <x v="68"/>
    <s v="Março"/>
    <n v="2023"/>
    <n v="324.32313046513912"/>
    <m/>
    <m/>
  </r>
  <r>
    <x v="22"/>
    <x v="69"/>
    <s v="Abril"/>
    <n v="2023"/>
    <n v="344.1619425982538"/>
    <m/>
    <m/>
  </r>
  <r>
    <x v="22"/>
    <x v="70"/>
    <s v="Maio"/>
    <n v="2023"/>
    <n v="197.38428313587718"/>
    <m/>
    <m/>
  </r>
  <r>
    <x v="22"/>
    <x v="71"/>
    <s v="Junho"/>
    <n v="2023"/>
    <n v="213.20277476091522"/>
    <m/>
    <m/>
  </r>
  <r>
    <x v="22"/>
    <x v="72"/>
    <s v="Julho"/>
    <n v="2023"/>
    <n v="385.7819134571194"/>
    <m/>
    <m/>
  </r>
  <r>
    <x v="22"/>
    <x v="73"/>
    <s v="Agosto"/>
    <n v="2023"/>
    <n v="217.27357222928052"/>
    <m/>
    <m/>
  </r>
  <r>
    <x v="22"/>
    <x v="74"/>
    <s v="Setembro"/>
    <n v="2023"/>
    <n v="270.7338002178555"/>
    <m/>
    <m/>
  </r>
  <r>
    <x v="22"/>
    <x v="75"/>
    <s v="Outubro"/>
    <n v="2023"/>
    <n v="214.94121602932742"/>
    <m/>
    <m/>
  </r>
  <r>
    <x v="22"/>
    <x v="76"/>
    <s v="Novembro"/>
    <n v="2023"/>
    <n v="344.41754818146688"/>
    <m/>
    <m/>
  </r>
  <r>
    <x v="22"/>
    <x v="77"/>
    <s v="Dezembro"/>
    <n v="2023"/>
    <n v="279.33242633902188"/>
    <m/>
    <m/>
  </r>
  <r>
    <x v="22"/>
    <x v="78"/>
    <s v="Janeiro"/>
    <n v="2024"/>
    <n v="298.50056260358923"/>
    <m/>
    <m/>
  </r>
  <r>
    <x v="22"/>
    <x v="79"/>
    <s v="Fevereiro"/>
    <n v="2024"/>
    <n v="276.32712142621733"/>
    <m/>
    <m/>
  </r>
  <r>
    <x v="22"/>
    <x v="80"/>
    <s v="Março"/>
    <n v="2024"/>
    <n v="273.25803219064414"/>
    <m/>
    <m/>
  </r>
  <r>
    <x v="22"/>
    <x v="81"/>
    <s v="Abril"/>
    <n v="2024"/>
    <n v="206.90796652275935"/>
    <m/>
    <m/>
  </r>
  <r>
    <x v="22"/>
    <x v="82"/>
    <s v="Maio"/>
    <n v="2024"/>
    <n v="163.56499368043328"/>
    <m/>
    <m/>
  </r>
  <r>
    <x v="22"/>
    <x v="83"/>
    <s v="Junho"/>
    <n v="2024"/>
    <n v="226.98514630641174"/>
    <m/>
    <m/>
  </r>
  <r>
    <x v="22"/>
    <x v="84"/>
    <s v="Julho"/>
    <n v="2024"/>
    <n v="163.8887986381859"/>
    <m/>
    <m/>
  </r>
  <r>
    <x v="22"/>
    <x v="85"/>
    <s v="Agosto"/>
    <n v="2024"/>
    <n v="239.63662947747824"/>
    <m/>
    <m/>
  </r>
  <r>
    <x v="22"/>
    <x v="86"/>
    <s v="Setembro"/>
    <n v="2024"/>
    <n v="233.85385190836823"/>
    <m/>
    <m/>
  </r>
  <r>
    <x v="22"/>
    <x v="87"/>
    <s v="Outubro"/>
    <n v="2024"/>
    <n v="234.89608018652368"/>
    <m/>
    <m/>
  </r>
  <r>
    <x v="22"/>
    <x v="88"/>
    <s v="Novembro"/>
    <n v="2024"/>
    <n v="272.44542387984478"/>
    <m/>
    <m/>
  </r>
  <r>
    <x v="22"/>
    <x v="89"/>
    <s v="Dezembro"/>
    <n v="2024"/>
    <n v="187.3028585629354"/>
    <m/>
    <m/>
  </r>
  <r>
    <x v="22"/>
    <x v="90"/>
    <s v="Janeiro"/>
    <n v="2025"/>
    <n v="361.42822336982874"/>
    <m/>
    <m/>
  </r>
  <r>
    <x v="22"/>
    <x v="91"/>
    <s v="Fevereiro"/>
    <n v="2025"/>
    <n v="291.5333984612152"/>
    <m/>
    <m/>
  </r>
  <r>
    <x v="22"/>
    <x v="92"/>
    <s v="Março"/>
    <n v="2025"/>
    <n v="291.42287030262003"/>
    <m/>
    <m/>
  </r>
  <r>
    <x v="22"/>
    <x v="93"/>
    <s v="Abril"/>
    <n v="2025"/>
    <n v="178.00812987138289"/>
    <m/>
    <m/>
  </r>
  <r>
    <x v="22"/>
    <x v="94"/>
    <s v="Maio"/>
    <n v="2025"/>
    <n v="175.54469703123695"/>
    <m/>
    <m/>
  </r>
  <r>
    <x v="22"/>
    <x v="95"/>
    <s v="Junho"/>
    <n v="2025"/>
    <n v="291.20983093788675"/>
    <m/>
    <m/>
  </r>
  <r>
    <x v="22"/>
    <x v="96"/>
    <s v="Julho"/>
    <n v="2025"/>
    <n v="317.35988476877986"/>
    <m/>
    <m/>
  </r>
  <r>
    <x v="22"/>
    <x v="97"/>
    <s v="Agosto"/>
    <n v="2025"/>
    <n v="296.89374003178926"/>
    <m/>
    <m/>
  </r>
  <r>
    <x v="22"/>
    <x v="98"/>
    <s v="Setembro"/>
    <n v="2025"/>
    <n v="309.56259567781757"/>
    <m/>
    <m/>
  </r>
  <r>
    <x v="22"/>
    <x v="99"/>
    <s v="Outubro"/>
    <n v="2025"/>
    <n v="329.39832033111304"/>
    <m/>
    <m/>
  </r>
  <r>
    <x v="22"/>
    <x v="100"/>
    <s v="Novembro"/>
    <n v="2025"/>
    <n v="281.41025354723411"/>
    <m/>
    <m/>
  </r>
  <r>
    <x v="22"/>
    <x v="101"/>
    <s v="Dezembro"/>
    <n v="2025"/>
    <n v="392.3247657337717"/>
    <m/>
    <m/>
  </r>
  <r>
    <x v="22"/>
    <x v="102"/>
    <s v="Janeiro"/>
    <n v="2026"/>
    <n v="0"/>
    <m/>
    <m/>
  </r>
  <r>
    <x v="0"/>
    <x v="0"/>
    <m/>
    <m/>
    <m/>
    <m/>
    <m/>
  </r>
  <r>
    <x v="23"/>
    <x v="54"/>
    <s v="Janeiro"/>
    <n v="2022"/>
    <n v="66.423953504287567"/>
    <m/>
    <m/>
  </r>
  <r>
    <x v="23"/>
    <x v="55"/>
    <s v="Fevereiro"/>
    <n v="2022"/>
    <n v="50.918426926331691"/>
    <m/>
    <m/>
  </r>
  <r>
    <x v="23"/>
    <x v="56"/>
    <s v="Março"/>
    <n v="2022"/>
    <n v="34.997932431878993"/>
    <m/>
    <m/>
  </r>
  <r>
    <x v="23"/>
    <x v="57"/>
    <s v="Abril"/>
    <n v="2022"/>
    <n v="42.686296031267467"/>
    <m/>
    <m/>
  </r>
  <r>
    <x v="23"/>
    <x v="58"/>
    <s v="Maio"/>
    <n v="2022"/>
    <n v="40.207386521444604"/>
    <m/>
    <m/>
  </r>
  <r>
    <x v="23"/>
    <x v="59"/>
    <s v="Junho"/>
    <n v="2022"/>
    <n v="49.0473931879216"/>
    <m/>
    <m/>
  </r>
  <r>
    <x v="23"/>
    <x v="60"/>
    <s v="Julho"/>
    <n v="2022"/>
    <n v="67.938490247475755"/>
    <m/>
    <m/>
  </r>
  <r>
    <x v="23"/>
    <x v="61"/>
    <s v="Agosto"/>
    <n v="2022"/>
    <n v="61.536707681443936"/>
    <m/>
    <m/>
  </r>
  <r>
    <x v="23"/>
    <x v="62"/>
    <s v="Setembro"/>
    <n v="2022"/>
    <n v="56.444409475115151"/>
    <m/>
    <m/>
  </r>
  <r>
    <x v="23"/>
    <x v="63"/>
    <s v="Outubro"/>
    <n v="2022"/>
    <n v="66.679683218240186"/>
    <m/>
    <m/>
  </r>
  <r>
    <x v="23"/>
    <x v="64"/>
    <s v="Novembro"/>
    <n v="2022"/>
    <n v="69.424134787520629"/>
    <m/>
    <m/>
  </r>
  <r>
    <x v="23"/>
    <x v="65"/>
    <s v="Dezembro"/>
    <n v="2022"/>
    <n v="86.903503518310217"/>
    <m/>
    <m/>
  </r>
  <r>
    <x v="23"/>
    <x v="66"/>
    <s v="Janeiro"/>
    <n v="2023"/>
    <n v="86.518575550701868"/>
    <m/>
    <m/>
  </r>
  <r>
    <x v="23"/>
    <x v="67"/>
    <s v="Fevereiro"/>
    <n v="2023"/>
    <n v="79.597563327063881"/>
    <m/>
    <m/>
  </r>
  <r>
    <x v="23"/>
    <x v="68"/>
    <s v="Março"/>
    <n v="2023"/>
    <n v="71.248318776717369"/>
    <m/>
    <m/>
  </r>
  <r>
    <x v="23"/>
    <x v="69"/>
    <s v="Abril"/>
    <n v="2023"/>
    <n v="52.448224054853064"/>
    <m/>
    <m/>
  </r>
  <r>
    <x v="23"/>
    <x v="70"/>
    <s v="Maio"/>
    <n v="2023"/>
    <n v="39.350375043972733"/>
    <m/>
    <m/>
  </r>
  <r>
    <x v="23"/>
    <x v="71"/>
    <s v="Junho"/>
    <n v="2023"/>
    <n v="40.133957584280878"/>
    <m/>
    <m/>
  </r>
  <r>
    <x v="23"/>
    <x v="72"/>
    <s v="Julho"/>
    <n v="2023"/>
    <n v="83.105566346155598"/>
    <m/>
    <m/>
  </r>
  <r>
    <x v="23"/>
    <x v="73"/>
    <s v="Agosto"/>
    <n v="2023"/>
    <n v="37.639087492105375"/>
    <m/>
    <m/>
  </r>
  <r>
    <x v="23"/>
    <x v="74"/>
    <s v="Setembro"/>
    <n v="2023"/>
    <n v="62.400784247177967"/>
    <m/>
    <m/>
  </r>
  <r>
    <x v="23"/>
    <x v="75"/>
    <s v="Outubro"/>
    <n v="2023"/>
    <n v="42.266723829838803"/>
    <m/>
    <m/>
  </r>
  <r>
    <x v="23"/>
    <x v="76"/>
    <s v="Novembro"/>
    <n v="2023"/>
    <n v="90.958360853748374"/>
    <m/>
    <m/>
  </r>
  <r>
    <x v="23"/>
    <x v="77"/>
    <s v="Dezembro"/>
    <n v="2023"/>
    <n v="61.930020515640841"/>
    <m/>
    <m/>
  </r>
  <r>
    <x v="23"/>
    <x v="78"/>
    <s v="Janeiro"/>
    <n v="2024"/>
    <n v="68.793150412352105"/>
    <m/>
    <m/>
  </r>
  <r>
    <x v="23"/>
    <x v="79"/>
    <s v="Fevereiro"/>
    <n v="2024"/>
    <n v="53.037581686481381"/>
    <m/>
    <m/>
  </r>
  <r>
    <x v="23"/>
    <x v="80"/>
    <s v="Março"/>
    <n v="2024"/>
    <n v="58.419527814796247"/>
    <m/>
    <m/>
  </r>
  <r>
    <x v="23"/>
    <x v="81"/>
    <s v="Abril"/>
    <n v="2024"/>
    <n v="38.281341778006592"/>
    <m/>
    <m/>
  </r>
  <r>
    <x v="23"/>
    <x v="82"/>
    <s v="Maio"/>
    <n v="2024"/>
    <n v="9.5298004581383537"/>
    <m/>
    <m/>
  </r>
  <r>
    <x v="23"/>
    <x v="83"/>
    <s v="Junho"/>
    <n v="2024"/>
    <n v="54.405527589482809"/>
    <m/>
    <m/>
  </r>
  <r>
    <x v="23"/>
    <x v="84"/>
    <s v="Julho"/>
    <n v="2024"/>
    <n v="40.408510665688958"/>
    <m/>
    <m/>
  </r>
  <r>
    <x v="23"/>
    <x v="85"/>
    <s v="Agosto"/>
    <n v="2024"/>
    <n v="71.982390166354804"/>
    <m/>
    <m/>
  </r>
  <r>
    <x v="23"/>
    <x v="86"/>
    <s v="Setembro"/>
    <n v="2024"/>
    <n v="67.009749617609913"/>
    <m/>
    <m/>
  </r>
  <r>
    <x v="23"/>
    <x v="87"/>
    <s v="Outubro"/>
    <n v="2024"/>
    <n v="82.407516253059143"/>
    <m/>
    <m/>
  </r>
  <r>
    <x v="23"/>
    <x v="88"/>
    <s v="Novembro"/>
    <n v="2024"/>
    <n v="64.892925971398739"/>
    <m/>
    <m/>
  </r>
  <r>
    <x v="23"/>
    <x v="89"/>
    <s v="Dezembro"/>
    <n v="2024"/>
    <n v="44.11095303440419"/>
    <m/>
    <m/>
  </r>
  <r>
    <x v="23"/>
    <x v="90"/>
    <s v="Janeiro"/>
    <n v="2025"/>
    <n v="116.63124053691482"/>
    <m/>
    <m/>
  </r>
  <r>
    <x v="23"/>
    <x v="91"/>
    <s v="Fevereiro"/>
    <n v="2025"/>
    <n v="70.248254807252081"/>
    <m/>
    <m/>
  </r>
  <r>
    <x v="23"/>
    <x v="92"/>
    <s v="Março"/>
    <n v="2025"/>
    <n v="83.639665813012599"/>
    <m/>
    <m/>
  </r>
  <r>
    <x v="23"/>
    <x v="93"/>
    <s v="Abril"/>
    <n v="2025"/>
    <n v="61.286436406770612"/>
    <m/>
    <m/>
  </r>
  <r>
    <x v="23"/>
    <x v="94"/>
    <s v="Maio"/>
    <n v="2025"/>
    <n v="83.954160620791157"/>
    <m/>
    <m/>
  </r>
  <r>
    <x v="23"/>
    <x v="95"/>
    <s v="Junho"/>
    <n v="2025"/>
    <n v="98.0071927064634"/>
    <m/>
    <m/>
  </r>
  <r>
    <x v="23"/>
    <x v="96"/>
    <s v="Julho"/>
    <n v="2025"/>
    <n v="122.43332353028825"/>
    <m/>
    <m/>
  </r>
  <r>
    <x v="23"/>
    <x v="97"/>
    <s v="Agosto"/>
    <n v="2025"/>
    <n v="110.52496963880134"/>
    <m/>
    <m/>
  </r>
  <r>
    <x v="23"/>
    <x v="98"/>
    <s v="Setembro"/>
    <n v="2025"/>
    <n v="125.73201747717923"/>
    <m/>
    <m/>
  </r>
  <r>
    <x v="23"/>
    <x v="99"/>
    <s v="Outubro"/>
    <n v="2025"/>
    <n v="131.09761518350578"/>
    <m/>
    <m/>
  </r>
  <r>
    <x v="23"/>
    <x v="100"/>
    <s v="Novembro"/>
    <n v="2025"/>
    <n v="125.38989856959438"/>
    <m/>
    <m/>
  </r>
  <r>
    <x v="23"/>
    <x v="101"/>
    <s v="Dezembro"/>
    <n v="2025"/>
    <n v="154.73291976604881"/>
    <m/>
    <m/>
  </r>
  <r>
    <x v="23"/>
    <x v="102"/>
    <s v="Janeiro"/>
    <n v="2026"/>
    <n v="114.87957030474335"/>
    <m/>
    <m/>
  </r>
  <r>
    <x v="0"/>
    <x v="0"/>
    <m/>
    <m/>
    <m/>
    <m/>
    <m/>
  </r>
  <r>
    <x v="24"/>
    <x v="1"/>
    <s v="Dezembro"/>
    <n v="2013"/>
    <n v="7406562.5000000009"/>
    <n v="17000000"/>
    <m/>
  </r>
  <r>
    <x v="24"/>
    <x v="2"/>
    <s v="Dezembro"/>
    <n v="2014"/>
    <n v="11278963.076647999"/>
    <n v="17000000"/>
    <m/>
  </r>
  <r>
    <x v="24"/>
    <x v="3"/>
    <s v="Dezembro"/>
    <n v="2015"/>
    <n v="14722622.919999996"/>
    <n v="17000000"/>
    <m/>
  </r>
  <r>
    <x v="24"/>
    <x v="4"/>
    <s v="Dezembro"/>
    <n v="2016"/>
    <n v="16555484.765553121"/>
    <n v="17000000"/>
    <m/>
  </r>
  <r>
    <x v="24"/>
    <x v="5"/>
    <s v="Dezembro"/>
    <n v="2017"/>
    <n v="17340887.759999998"/>
    <n v="17000000"/>
    <m/>
  </r>
  <r>
    <x v="24"/>
    <x v="6"/>
    <s v="Janeiro"/>
    <n v="2018"/>
    <n v="17621330.043835998"/>
    <n v="17000000"/>
    <m/>
  </r>
  <r>
    <x v="24"/>
    <x v="7"/>
    <s v="Fevereiro"/>
    <n v="2018"/>
    <n v="17857957.427667998"/>
    <n v="17000000"/>
    <m/>
  </r>
  <r>
    <x v="24"/>
    <x v="8"/>
    <s v="Março"/>
    <n v="2018"/>
    <n v="18228502.860511996"/>
    <n v="17000000"/>
    <m/>
  </r>
  <r>
    <x v="24"/>
    <x v="9"/>
    <s v="Abril"/>
    <n v="2018"/>
    <n v="14362602.809980001"/>
    <n v="17000000"/>
    <m/>
  </r>
  <r>
    <x v="24"/>
    <x v="10"/>
    <s v="Maio"/>
    <n v="2018"/>
    <n v="14177832.333176"/>
    <n v="17000000"/>
    <m/>
  </r>
  <r>
    <x v="24"/>
    <x v="11"/>
    <s v="Junho"/>
    <n v="2018"/>
    <n v="14356586.19854"/>
    <n v="17000000"/>
    <m/>
  </r>
  <r>
    <x v="24"/>
    <x v="12"/>
    <s v="Julho"/>
    <n v="2018"/>
    <n v="14869559.9"/>
    <n v="17000000"/>
    <m/>
  </r>
  <r>
    <x v="24"/>
    <x v="13"/>
    <s v="Agosto"/>
    <n v="2018"/>
    <n v="15322531.279999999"/>
    <n v="17000000"/>
    <m/>
  </r>
  <r>
    <x v="24"/>
    <x v="14"/>
    <s v="Setembro"/>
    <n v="2018"/>
    <n v="16362815.529999999"/>
    <n v="17000000"/>
    <m/>
  </r>
  <r>
    <x v="24"/>
    <x v="15"/>
    <s v="Outubro"/>
    <n v="2018"/>
    <n v="16816302.93854"/>
    <n v="17000000"/>
    <m/>
  </r>
  <r>
    <x v="24"/>
    <x v="16"/>
    <s v="Novembro"/>
    <n v="2018"/>
    <n v="16783726.93854"/>
    <n v="17000000"/>
    <m/>
  </r>
  <r>
    <x v="24"/>
    <x v="17"/>
    <s v="Dezembro"/>
    <n v="2018"/>
    <n v="16848942.448540002"/>
    <n v="17000000"/>
    <m/>
  </r>
  <r>
    <x v="24"/>
    <x v="18"/>
    <s v="Janeiro"/>
    <n v="2019"/>
    <n v="17029724.871199999"/>
    <n v="20000000"/>
    <m/>
  </r>
  <r>
    <x v="24"/>
    <x v="19"/>
    <s v="Fevereiro"/>
    <n v="2019"/>
    <n v="17185622.971199997"/>
    <n v="20000000"/>
    <m/>
  </r>
  <r>
    <x v="24"/>
    <x v="20"/>
    <s v="Março"/>
    <n v="2019"/>
    <n v="17487833.071199998"/>
    <n v="20000000"/>
    <m/>
  </r>
  <r>
    <x v="24"/>
    <x v="21"/>
    <s v="Abril"/>
    <n v="2019"/>
    <n v="18032865.821199998"/>
    <n v="20000000"/>
    <m/>
  </r>
  <r>
    <x v="24"/>
    <x v="22"/>
    <s v="Maio"/>
    <n v="2019"/>
    <n v="18544073.960000001"/>
    <n v="20000000"/>
    <m/>
  </r>
  <r>
    <x v="24"/>
    <x v="23"/>
    <s v="Junho"/>
    <n v="2019"/>
    <n v="18546398.441200003"/>
    <n v="20000000"/>
    <m/>
  </r>
  <r>
    <x v="24"/>
    <x v="24"/>
    <s v="Julho"/>
    <n v="2019"/>
    <n v="19258075.2612"/>
    <n v="20000000"/>
    <m/>
  </r>
  <r>
    <x v="24"/>
    <x v="25"/>
    <s v="Agosto"/>
    <n v="2019"/>
    <n v="19568697.071200002"/>
    <n v="20000000"/>
    <m/>
  </r>
  <r>
    <x v="24"/>
    <x v="26"/>
    <s v="Setembro"/>
    <n v="2019"/>
    <n v="20353079.621199999"/>
    <n v="20000000"/>
    <m/>
  </r>
  <r>
    <x v="24"/>
    <x v="27"/>
    <s v="Outubro"/>
    <n v="2019"/>
    <n v="21168474.371200003"/>
    <n v="20000000"/>
    <m/>
  </r>
  <r>
    <x v="24"/>
    <x v="28"/>
    <s v="Novembro"/>
    <n v="2019"/>
    <n v="21490167.191199999"/>
    <n v="20000000"/>
    <m/>
  </r>
  <r>
    <x v="24"/>
    <x v="29"/>
    <s v="Dezembro"/>
    <n v="2019"/>
    <n v="21639860.711199999"/>
    <n v="20000000"/>
    <m/>
  </r>
  <r>
    <x v="24"/>
    <x v="30"/>
    <s v="Janeiro"/>
    <n v="2020"/>
    <n v="22086675.93"/>
    <n v="25000000"/>
    <m/>
  </r>
  <r>
    <x v="24"/>
    <x v="31"/>
    <s v="Fevereiro"/>
    <n v="2020"/>
    <n v="22280910.210000001"/>
    <n v="25000000"/>
    <m/>
  </r>
  <r>
    <x v="24"/>
    <x v="32"/>
    <s v="Março"/>
    <n v="2020"/>
    <n v="22209390.509999998"/>
    <n v="25000000"/>
    <m/>
  </r>
  <r>
    <x v="24"/>
    <x v="33"/>
    <s v="Abril"/>
    <n v="2020"/>
    <n v="22200762.709999997"/>
    <n v="25000000"/>
    <m/>
  </r>
  <r>
    <x v="24"/>
    <x v="34"/>
    <s v="Maio"/>
    <n v="2020"/>
    <n v="22769344.119999997"/>
    <n v="25000000"/>
    <m/>
  </r>
  <r>
    <x v="24"/>
    <x v="35"/>
    <s v="Junho"/>
    <n v="2020"/>
    <n v="24209747.02"/>
    <n v="25000000"/>
    <m/>
  </r>
  <r>
    <x v="24"/>
    <x v="36"/>
    <s v="Julho"/>
    <n v="2020"/>
    <n v="25384364.049999997"/>
    <n v="25000000"/>
    <m/>
  </r>
  <r>
    <x v="24"/>
    <x v="37"/>
    <s v="Agosto"/>
    <n v="2020"/>
    <n v="26485491.219999999"/>
    <n v="25000000"/>
    <m/>
  </r>
  <r>
    <x v="24"/>
    <x v="38"/>
    <s v="Setembro"/>
    <n v="2020"/>
    <n v="27859585.299999997"/>
    <n v="25000000"/>
    <m/>
  </r>
  <r>
    <x v="24"/>
    <x v="39"/>
    <s v="Outubro"/>
    <n v="2020"/>
    <n v="29470882.860000003"/>
    <n v="25000000"/>
    <m/>
  </r>
  <r>
    <x v="24"/>
    <x v="40"/>
    <s v="Novembro"/>
    <n v="2020"/>
    <n v="30426822.580000002"/>
    <n v="25000000"/>
    <m/>
  </r>
  <r>
    <x v="24"/>
    <x v="41"/>
    <s v="Dezembro"/>
    <n v="2020"/>
    <n v="31501111.270000007"/>
    <n v="25000000"/>
    <m/>
  </r>
  <r>
    <x v="24"/>
    <x v="42"/>
    <s v="Janeiro"/>
    <n v="2021"/>
    <n v="32800011.300000001"/>
    <n v="35000000"/>
    <m/>
  </r>
  <r>
    <x v="24"/>
    <x v="43"/>
    <s v="Fevereiro"/>
    <n v="2021"/>
    <n v="33541957.220000003"/>
    <n v="35000000"/>
    <m/>
  </r>
  <r>
    <x v="24"/>
    <x v="44"/>
    <s v="Março"/>
    <n v="2021"/>
    <n v="35195999.420000002"/>
    <n v="35000000"/>
    <m/>
  </r>
  <r>
    <x v="24"/>
    <x v="45"/>
    <s v="Abril"/>
    <n v="2021"/>
    <n v="37470596.560000002"/>
    <n v="35000000"/>
    <m/>
  </r>
  <r>
    <x v="24"/>
    <x v="46"/>
    <s v="Maio"/>
    <n v="2021"/>
    <n v="39513180.20000001"/>
    <n v="35000000"/>
    <m/>
  </r>
  <r>
    <x v="24"/>
    <x v="47"/>
    <s v="Junho"/>
    <n v="2021"/>
    <n v="39502439"/>
    <n v="35000000"/>
    <m/>
  </r>
  <r>
    <x v="24"/>
    <x v="48"/>
    <s v="Julho"/>
    <n v="2021"/>
    <n v="42234676.320000008"/>
    <n v="35000000"/>
    <m/>
  </r>
  <r>
    <x v="24"/>
    <x v="49"/>
    <s v="Agosto"/>
    <n v="2021"/>
    <n v="44815316.570000008"/>
    <n v="35000000"/>
    <m/>
  </r>
  <r>
    <x v="24"/>
    <x v="50"/>
    <s v="Setembro"/>
    <n v="2021"/>
    <n v="47805513.170000009"/>
    <n v="35000000"/>
    <m/>
  </r>
  <r>
    <x v="24"/>
    <x v="51"/>
    <s v="Outubro"/>
    <n v="2021"/>
    <n v="49087177.159999996"/>
    <n v="35000000"/>
    <m/>
  </r>
  <r>
    <x v="24"/>
    <x v="52"/>
    <s v="Novembro"/>
    <n v="2021"/>
    <n v="50392193.5"/>
    <n v="35000000"/>
    <m/>
  </r>
  <r>
    <x v="24"/>
    <x v="53"/>
    <s v="Dezembro"/>
    <n v="2021"/>
    <n v="50965544.420000002"/>
    <n v="35000000"/>
    <m/>
  </r>
  <r>
    <x v="24"/>
    <x v="54"/>
    <s v="Janeiro"/>
    <n v="2022"/>
    <n v="51602863.980000004"/>
    <n v="35000000"/>
    <m/>
  </r>
  <r>
    <x v="24"/>
    <x v="55"/>
    <s v="Fevereiro"/>
    <n v="2022"/>
    <n v="52624444.939999998"/>
    <n v="35000000"/>
    <m/>
  </r>
  <r>
    <x v="24"/>
    <x v="56"/>
    <s v="Março"/>
    <n v="2022"/>
    <n v="54134100.719999999"/>
    <n v="35000000"/>
    <m/>
  </r>
  <r>
    <x v="24"/>
    <x v="57"/>
    <s v="Abril"/>
    <n v="2022"/>
    <n v="55787171.909999996"/>
    <n v="35000000"/>
    <m/>
  </r>
  <r>
    <x v="24"/>
    <x v="58"/>
    <s v="Maio"/>
    <n v="2022"/>
    <n v="57188862.310000002"/>
    <n v="35000000"/>
    <m/>
  </r>
  <r>
    <x v="24"/>
    <x v="59"/>
    <s v="Junho"/>
    <n v="2022"/>
    <n v="58463193.250000007"/>
    <n v="35000000"/>
    <m/>
  </r>
  <r>
    <x v="24"/>
    <x v="60"/>
    <s v="Julho"/>
    <n v="2022"/>
    <n v="60398160.869999997"/>
    <n v="35000000"/>
    <m/>
  </r>
  <r>
    <x v="24"/>
    <x v="61"/>
    <s v="Agosto"/>
    <n v="2022"/>
    <n v="61224456.859999999"/>
    <n v="35000000"/>
    <m/>
  </r>
  <r>
    <x v="24"/>
    <x v="62"/>
    <s v="Setembro"/>
    <n v="2022"/>
    <n v="62554114.880000003"/>
    <n v="35000000"/>
    <m/>
  </r>
  <r>
    <x v="24"/>
    <x v="63"/>
    <s v="Outubro"/>
    <n v="2022"/>
    <n v="62896927.120000005"/>
    <n v="35000000"/>
    <m/>
  </r>
  <r>
    <x v="24"/>
    <x v="64"/>
    <s v="Novembro"/>
    <n v="2022"/>
    <n v="64333794.82"/>
    <n v="35000000"/>
    <m/>
  </r>
  <r>
    <x v="24"/>
    <x v="65"/>
    <s v="Dezembro"/>
    <n v="2022"/>
    <n v="64315063.965000011"/>
    <n v="35000000"/>
    <m/>
  </r>
  <r>
    <x v="24"/>
    <x v="66"/>
    <s v="Janeiro"/>
    <n v="2023"/>
    <n v="64752368.382599995"/>
    <n v="80000000"/>
    <m/>
  </r>
  <r>
    <x v="24"/>
    <x v="67"/>
    <s v="Fevereiro"/>
    <n v="2023"/>
    <n v="64847126.418399997"/>
    <n v="80000000"/>
    <m/>
  </r>
  <r>
    <x v="24"/>
    <x v="68"/>
    <s v="Março"/>
    <n v="2023"/>
    <n v="65472615.634199999"/>
    <n v="80000000"/>
    <m/>
  </r>
  <r>
    <x v="24"/>
    <x v="69"/>
    <s v="Abril"/>
    <n v="2023"/>
    <n v="66241802.044799998"/>
    <n v="80000000"/>
    <m/>
  </r>
  <r>
    <x v="24"/>
    <x v="70"/>
    <s v="Maio"/>
    <n v="2023"/>
    <n v="67996601.790399998"/>
    <n v="80000000"/>
    <m/>
  </r>
  <r>
    <x v="24"/>
    <x v="71"/>
    <s v="Junho"/>
    <n v="2023"/>
    <n v="69366709.0792"/>
    <n v="80000000"/>
    <m/>
  </r>
  <r>
    <x v="24"/>
    <x v="72"/>
    <s v="Julho"/>
    <n v="2023"/>
    <n v="69564180.778200001"/>
    <n v="80000000"/>
    <m/>
  </r>
  <r>
    <x v="24"/>
    <x v="73"/>
    <s v="Agosto"/>
    <n v="2023"/>
    <n v="70520835.981600001"/>
    <n v="80000000"/>
    <m/>
  </r>
  <r>
    <x v="24"/>
    <x v="74"/>
    <s v="Setembro"/>
    <n v="2023"/>
    <n v="71026496.044199988"/>
    <n v="80000000"/>
    <m/>
  </r>
  <r>
    <x v="24"/>
    <x v="75"/>
    <s v="Outubro"/>
    <n v="2023"/>
    <n v="72288389.948999986"/>
    <n v="80000000"/>
    <m/>
  </r>
  <r>
    <x v="24"/>
    <x v="76"/>
    <s v="Novembro"/>
    <n v="2023"/>
    <n v="72565391.825399995"/>
    <n v="80000000"/>
    <m/>
  </r>
  <r>
    <x v="24"/>
    <x v="77"/>
    <s v="Dezembro"/>
    <n v="2023"/>
    <n v="73979584.895799994"/>
    <n v="80000000"/>
    <m/>
  </r>
  <r>
    <x v="24"/>
    <x v="78"/>
    <s v="Janeiro"/>
    <n v="2024"/>
    <n v="75550268.034199998"/>
    <n v="80000000"/>
    <m/>
  </r>
  <r>
    <x v="24"/>
    <x v="79"/>
    <s v="Fevereiro"/>
    <n v="2024"/>
    <n v="76706190.331"/>
    <n v="80000000"/>
    <m/>
  </r>
  <r>
    <x v="24"/>
    <x v="80"/>
    <s v="Março"/>
    <n v="2024"/>
    <n v="77155700.352400005"/>
    <n v="80000000"/>
    <m/>
  </r>
  <r>
    <x v="24"/>
    <x v="81"/>
    <s v="Abril"/>
    <n v="2024"/>
    <n v="79092185.045000002"/>
    <n v="80000000"/>
    <m/>
  </r>
  <r>
    <x v="24"/>
    <x v="82"/>
    <s v="Maio"/>
    <n v="2024"/>
    <n v="79455214.836600006"/>
    <n v="80000000"/>
    <m/>
  </r>
  <r>
    <x v="24"/>
    <x v="83"/>
    <s v="Junho"/>
    <n v="2024"/>
    <n v="80554045.504099995"/>
    <n v="80000000"/>
    <m/>
  </r>
  <r>
    <x v="24"/>
    <x v="84"/>
    <s v="Julho"/>
    <n v="2024"/>
    <n v="81702416.044100001"/>
    <n v="80000000"/>
    <m/>
  </r>
  <r>
    <x v="24"/>
    <x v="85"/>
    <s v="Agosto"/>
    <n v="2024"/>
    <n v="82378519.614099994"/>
    <n v="80000000"/>
    <m/>
  </r>
  <r>
    <x v="24"/>
    <x v="86"/>
    <s v="Setembro"/>
    <n v="2024"/>
    <n v="83661785.834100008"/>
    <n v="80000000"/>
    <m/>
  </r>
  <r>
    <x v="24"/>
    <x v="87"/>
    <s v="Outubro"/>
    <n v="2024"/>
    <n v="83947859.074100003"/>
    <n v="80000000"/>
    <m/>
  </r>
  <r>
    <x v="24"/>
    <x v="88"/>
    <s v="Novembro"/>
    <n v="2024"/>
    <n v="83372919.424099997"/>
    <n v="80000000"/>
    <m/>
  </r>
  <r>
    <x v="24"/>
    <x v="89"/>
    <s v="Dezembro"/>
    <n v="2024"/>
    <n v="85034056.894099995"/>
    <n v="80000000"/>
    <m/>
  </r>
  <r>
    <x v="24"/>
    <x v="90"/>
    <s v="Janeiro"/>
    <n v="2025"/>
    <n v="86094792.679399997"/>
    <n v="80000000"/>
    <m/>
  </r>
  <r>
    <x v="24"/>
    <x v="91"/>
    <s v="Fevereiro"/>
    <n v="2025"/>
    <n v="86782517.941599995"/>
    <n v="80000000"/>
    <m/>
  </r>
  <r>
    <x v="24"/>
    <x v="92"/>
    <s v="Março"/>
    <n v="2025"/>
    <n v="87802022.878000006"/>
    <n v="80000000"/>
    <m/>
  </r>
  <r>
    <x v="24"/>
    <x v="93"/>
    <s v="Abril"/>
    <n v="2025"/>
    <n v="89705313.283399999"/>
    <n v="80000000"/>
    <m/>
  </r>
  <r>
    <x v="24"/>
    <x v="94"/>
    <s v="Maio"/>
    <n v="2025"/>
    <n v="91745069.647999987"/>
    <n v="80000000"/>
    <m/>
  </r>
  <r>
    <x v="24"/>
    <x v="95"/>
    <s v="Junho"/>
    <n v="2025"/>
    <n v="91132728.928000003"/>
    <n v="80000000"/>
    <m/>
  </r>
  <r>
    <x v="24"/>
    <x v="96"/>
    <s v="Julho"/>
    <n v="2025"/>
    <n v="91093385.304199994"/>
    <n v="80000000"/>
    <m/>
  </r>
  <r>
    <x v="24"/>
    <x v="97"/>
    <s v="Agosto"/>
    <n v="2025"/>
    <n v="92482884.850999996"/>
    <n v="80000000"/>
    <m/>
  </r>
  <r>
    <x v="24"/>
    <x v="98"/>
    <s v="Setembro"/>
    <n v="2025"/>
    <n v="92744039.466399997"/>
    <n v="80000000"/>
    <m/>
  </r>
  <r>
    <x v="24"/>
    <x v="99"/>
    <s v="Outubro"/>
    <n v="2025"/>
    <n v="92095632.37879999"/>
    <n v="80000000"/>
    <m/>
  </r>
  <r>
    <x v="24"/>
    <x v="100"/>
    <s v="Novembro"/>
    <n v="2025"/>
    <n v="92583372.865399987"/>
    <n v="80000000"/>
    <m/>
  </r>
  <r>
    <x v="24"/>
    <x v="101"/>
    <s v="Dezembro"/>
    <n v="2025"/>
    <n v="77521098.519599989"/>
    <n v="80000000"/>
    <m/>
  </r>
  <r>
    <x v="24"/>
    <x v="102"/>
    <s v="Janeiro"/>
    <n v="2026"/>
    <n v="79834914.724799991"/>
    <n v="80000000"/>
    <m/>
  </r>
  <r>
    <x v="0"/>
    <x v="0"/>
    <m/>
    <m/>
    <m/>
    <m/>
    <m/>
  </r>
  <r>
    <x v="25"/>
    <x v="1"/>
    <s v="Dezembro"/>
    <n v="2013"/>
    <n v="2125514.88"/>
    <m/>
    <m/>
  </r>
  <r>
    <x v="25"/>
    <x v="2"/>
    <s v="Dezembro"/>
    <n v="2014"/>
    <n v="3653840.3400000003"/>
    <m/>
    <m/>
  </r>
  <r>
    <x v="25"/>
    <x v="3"/>
    <s v="Dezembro"/>
    <n v="2015"/>
    <n v="5164967.38"/>
    <m/>
    <m/>
  </r>
  <r>
    <x v="25"/>
    <x v="4"/>
    <s v="Dezembro"/>
    <n v="2016"/>
    <n v="5472169.8600000003"/>
    <m/>
    <m/>
  </r>
  <r>
    <x v="25"/>
    <x v="5"/>
    <s v="Dezembro"/>
    <n v="2017"/>
    <n v="5000216.88"/>
    <m/>
    <m/>
  </r>
  <r>
    <x v="25"/>
    <x v="6"/>
    <s v="Janeiro"/>
    <n v="2018"/>
    <n v="5115280.13"/>
    <m/>
    <m/>
  </r>
  <r>
    <x v="25"/>
    <x v="7"/>
    <s v="Fevereiro"/>
    <n v="2018"/>
    <n v="5402705.1799999997"/>
    <m/>
    <m/>
  </r>
  <r>
    <x v="25"/>
    <x v="8"/>
    <s v="Março"/>
    <n v="2018"/>
    <n v="5797133.2300000004"/>
    <m/>
    <m/>
  </r>
  <r>
    <x v="25"/>
    <x v="9"/>
    <s v="Abril"/>
    <n v="2018"/>
    <n v="6028053.4199999999"/>
    <m/>
    <m/>
  </r>
  <r>
    <x v="25"/>
    <x v="10"/>
    <s v="Maio"/>
    <n v="2018"/>
    <n v="5880480.5999999996"/>
    <m/>
    <m/>
  </r>
  <r>
    <x v="25"/>
    <x v="11"/>
    <s v="Junho"/>
    <n v="2018"/>
    <n v="5887242.6200000001"/>
    <m/>
    <m/>
  </r>
  <r>
    <x v="25"/>
    <x v="12"/>
    <s v="Julho"/>
    <n v="2018"/>
    <n v="7290991.6200000001"/>
    <m/>
    <m/>
  </r>
  <r>
    <x v="25"/>
    <x v="13"/>
    <s v="Agosto"/>
    <n v="2018"/>
    <n v="7748973.7800000003"/>
    <m/>
    <m/>
  </r>
  <r>
    <x v="25"/>
    <x v="14"/>
    <s v="Setembro"/>
    <n v="2018"/>
    <n v="9404547.0500000007"/>
    <m/>
    <m/>
  </r>
  <r>
    <x v="25"/>
    <x v="15"/>
    <s v="Outubro"/>
    <n v="2018"/>
    <n v="8747359.3300000001"/>
    <m/>
    <m/>
  </r>
  <r>
    <x v="25"/>
    <x v="16"/>
    <s v="Novembro"/>
    <n v="2018"/>
    <n v="8362919.3499999996"/>
    <m/>
    <m/>
  </r>
  <r>
    <x v="25"/>
    <x v="17"/>
    <s v="Dezembro"/>
    <n v="2018"/>
    <n v="8000617.8300000001"/>
    <m/>
    <m/>
  </r>
  <r>
    <x v="25"/>
    <x v="18"/>
    <s v="Janeiro"/>
    <n v="2019"/>
    <n v="7925688.0199999996"/>
    <m/>
    <m/>
  </r>
  <r>
    <x v="25"/>
    <x v="19"/>
    <s v="Fevereiro"/>
    <n v="2019"/>
    <n v="7837368.2699999996"/>
    <m/>
    <m/>
  </r>
  <r>
    <x v="25"/>
    <x v="20"/>
    <s v="Março"/>
    <n v="2019"/>
    <n v="7918032.7199999997"/>
    <m/>
    <m/>
  </r>
  <r>
    <x v="25"/>
    <x v="21"/>
    <s v="Abril"/>
    <n v="2019"/>
    <n v="8469576.7799999993"/>
    <m/>
    <m/>
  </r>
  <r>
    <x v="25"/>
    <x v="22"/>
    <s v="Maio"/>
    <n v="2019"/>
    <n v="8698423.9700000007"/>
    <m/>
    <m/>
  </r>
  <r>
    <x v="25"/>
    <x v="23"/>
    <s v="Junho"/>
    <n v="2019"/>
    <n v="9063208.4100000001"/>
    <m/>
    <m/>
  </r>
  <r>
    <x v="25"/>
    <x v="24"/>
    <s v="Julho"/>
    <n v="2019"/>
    <n v="9426364.5500000007"/>
    <m/>
    <m/>
  </r>
  <r>
    <x v="25"/>
    <x v="25"/>
    <s v="Agosto"/>
    <n v="2019"/>
    <n v="8996834.0199999996"/>
    <m/>
    <m/>
  </r>
  <r>
    <x v="25"/>
    <x v="26"/>
    <s v="Setembro"/>
    <n v="2019"/>
    <n v="9934162.8499999996"/>
    <m/>
    <m/>
  </r>
  <r>
    <x v="25"/>
    <x v="27"/>
    <s v="Outubro"/>
    <n v="2019"/>
    <n v="11188258.83"/>
    <m/>
    <m/>
  </r>
  <r>
    <x v="25"/>
    <x v="28"/>
    <s v="Novembro"/>
    <n v="2019"/>
    <n v="11403819.619999999"/>
    <m/>
    <m/>
  </r>
  <r>
    <x v="25"/>
    <x v="29"/>
    <s v="Dezembro"/>
    <n v="2019"/>
    <n v="10184387.82"/>
    <m/>
    <m/>
  </r>
  <r>
    <x v="25"/>
    <x v="30"/>
    <s v="Janeiro"/>
    <n v="2020"/>
    <n v="10591964.029999999"/>
    <m/>
    <m/>
  </r>
  <r>
    <x v="25"/>
    <x v="31"/>
    <s v="Fevereiro"/>
    <n v="2020"/>
    <n v="10033952.560000001"/>
    <m/>
    <m/>
  </r>
  <r>
    <x v="25"/>
    <x v="32"/>
    <s v="Março"/>
    <n v="2020"/>
    <n v="9491216.2100000009"/>
    <m/>
    <m/>
  </r>
  <r>
    <x v="25"/>
    <x v="33"/>
    <s v="Abril"/>
    <n v="2020"/>
    <n v="8579551.0700000003"/>
    <m/>
    <m/>
  </r>
  <r>
    <x v="25"/>
    <x v="34"/>
    <s v="Maio"/>
    <n v="2020"/>
    <n v="8632663.7400000002"/>
    <m/>
    <m/>
  </r>
  <r>
    <x v="25"/>
    <x v="35"/>
    <s v="Junho"/>
    <n v="2020"/>
    <n v="9637886.0700000003"/>
    <m/>
    <m/>
  </r>
  <r>
    <x v="25"/>
    <x v="36"/>
    <s v="Julho"/>
    <n v="2020"/>
    <n v="10633389.75"/>
    <m/>
    <m/>
  </r>
  <r>
    <x v="25"/>
    <x v="37"/>
    <s v="Agosto"/>
    <n v="2020"/>
    <n v="12114533.279999999"/>
    <m/>
    <m/>
  </r>
  <r>
    <x v="25"/>
    <x v="38"/>
    <s v="Setembro"/>
    <n v="2020"/>
    <n v="12931647.09"/>
    <m/>
    <m/>
  </r>
  <r>
    <x v="25"/>
    <x v="39"/>
    <s v="Outubro"/>
    <n v="2020"/>
    <n v="14227434.029999999"/>
    <m/>
    <m/>
  </r>
  <r>
    <x v="25"/>
    <x v="40"/>
    <s v="Novembro"/>
    <n v="2020"/>
    <n v="14898400.82"/>
    <m/>
    <m/>
  </r>
  <r>
    <x v="25"/>
    <x v="41"/>
    <s v="Dezembro"/>
    <n v="2020"/>
    <n v="15214152.359999999"/>
    <m/>
    <m/>
  </r>
  <r>
    <x v="25"/>
    <x v="42"/>
    <s v="Janeiro"/>
    <n v="2021"/>
    <n v="15875040.449999999"/>
    <m/>
    <m/>
  </r>
  <r>
    <x v="25"/>
    <x v="43"/>
    <s v="Fevereiro"/>
    <n v="2021"/>
    <n v="17495834.780000001"/>
    <m/>
    <m/>
  </r>
  <r>
    <x v="25"/>
    <x v="44"/>
    <s v="Março"/>
    <n v="2021"/>
    <n v="18173048"/>
    <m/>
    <m/>
  </r>
  <r>
    <x v="25"/>
    <x v="45"/>
    <s v="Abril"/>
    <n v="2021"/>
    <n v="18869956.09"/>
    <m/>
    <m/>
  </r>
  <r>
    <x v="25"/>
    <x v="46"/>
    <s v="Maio"/>
    <n v="2021"/>
    <n v="19423618.510000002"/>
    <m/>
    <m/>
  </r>
  <r>
    <x v="25"/>
    <x v="47"/>
    <s v="Junho"/>
    <n v="2021"/>
    <n v="22124561.16"/>
    <m/>
    <m/>
  </r>
  <r>
    <x v="25"/>
    <x v="48"/>
    <s v="Julho"/>
    <n v="2021"/>
    <n v="25348956.620000001"/>
    <m/>
    <m/>
  </r>
  <r>
    <x v="25"/>
    <x v="49"/>
    <s v="Agosto"/>
    <n v="2021"/>
    <n v="25852456.120000001"/>
    <m/>
    <m/>
  </r>
  <r>
    <x v="25"/>
    <x v="50"/>
    <s v="Setembro"/>
    <n v="2021"/>
    <n v="27426545.579999998"/>
    <m/>
    <m/>
  </r>
  <r>
    <x v="25"/>
    <x v="51"/>
    <s v="Outubro"/>
    <n v="2021"/>
    <n v="27258592.09"/>
    <m/>
    <m/>
  </r>
  <r>
    <x v="25"/>
    <x v="52"/>
    <s v="Novembro"/>
    <n v="2021"/>
    <n v="26529405.120000001"/>
    <m/>
    <m/>
  </r>
  <r>
    <x v="25"/>
    <x v="53"/>
    <s v="Dezembro"/>
    <n v="2021"/>
    <n v="24708720.460000001"/>
    <m/>
    <m/>
  </r>
  <r>
    <x v="25"/>
    <x v="54"/>
    <s v="Janeiro"/>
    <n v="2022"/>
    <n v="24658572.079999998"/>
    <m/>
    <m/>
  </r>
  <r>
    <x v="25"/>
    <x v="55"/>
    <s v="Fevereiro"/>
    <n v="2022"/>
    <n v="26234597.32"/>
    <m/>
    <m/>
  </r>
  <r>
    <x v="25"/>
    <x v="56"/>
    <s v="Março"/>
    <n v="2022"/>
    <n v="28761118.600000001"/>
    <m/>
    <m/>
  </r>
  <r>
    <x v="25"/>
    <x v="57"/>
    <s v="Abril"/>
    <n v="2022"/>
    <n v="29699141.780000001"/>
    <m/>
    <m/>
  </r>
  <r>
    <x v="25"/>
    <x v="58"/>
    <s v="Maio"/>
    <n v="2022"/>
    <n v="27501012.32"/>
    <m/>
    <m/>
  </r>
  <r>
    <x v="25"/>
    <x v="59"/>
    <s v="Junho"/>
    <n v="2022"/>
    <n v="29575085.030000001"/>
    <m/>
    <m/>
  </r>
  <r>
    <x v="25"/>
    <x v="60"/>
    <s v="Julho"/>
    <n v="2022"/>
    <n v="30008788.77"/>
    <m/>
    <m/>
  </r>
  <r>
    <x v="25"/>
    <x v="61"/>
    <s v="Agosto"/>
    <n v="2022"/>
    <n v="29736502.260000002"/>
    <m/>
    <m/>
  </r>
  <r>
    <x v="25"/>
    <x v="62"/>
    <s v="Setembro"/>
    <n v="2022"/>
    <n v="30399001.359999999"/>
    <m/>
    <m/>
  </r>
  <r>
    <x v="25"/>
    <x v="63"/>
    <s v="Outubro"/>
    <n v="2022"/>
    <n v="29660876.190000001"/>
    <m/>
    <m/>
  </r>
  <r>
    <x v="25"/>
    <x v="64"/>
    <s v="Novembro"/>
    <n v="2022"/>
    <n v="28550498.02"/>
    <m/>
    <m/>
  </r>
  <r>
    <x v="25"/>
    <x v="65"/>
    <s v="Dezembro"/>
    <n v="2022"/>
    <n v="26273938.719999999"/>
    <m/>
    <m/>
  </r>
  <r>
    <x v="25"/>
    <x v="66"/>
    <s v="Janeiro"/>
    <n v="2023"/>
    <n v="23736817.829999998"/>
    <m/>
    <m/>
  </r>
  <r>
    <x v="25"/>
    <x v="67"/>
    <s v="Fevereiro"/>
    <n v="2023"/>
    <n v="24110186.710000001"/>
    <m/>
    <m/>
  </r>
  <r>
    <x v="25"/>
    <x v="68"/>
    <s v="Março"/>
    <n v="2023"/>
    <n v="25107899.149999999"/>
    <m/>
    <m/>
  </r>
  <r>
    <x v="25"/>
    <x v="69"/>
    <s v="Abril"/>
    <n v="2023"/>
    <n v="25574862.870000001"/>
    <m/>
    <m/>
  </r>
  <r>
    <x v="25"/>
    <x v="70"/>
    <s v="Maio"/>
    <n v="2023"/>
    <n v="29005282.239999998"/>
    <m/>
    <m/>
  </r>
  <r>
    <x v="25"/>
    <x v="71"/>
    <s v="Junho"/>
    <n v="2023"/>
    <n v="31439670.350000001"/>
    <m/>
    <m/>
  </r>
  <r>
    <x v="25"/>
    <x v="72"/>
    <s v="Julho"/>
    <n v="2023"/>
    <n v="29550215.989999998"/>
    <m/>
    <m/>
  </r>
  <r>
    <x v="25"/>
    <x v="73"/>
    <s v="Agosto"/>
    <n v="2023"/>
    <n v="30722944.309999999"/>
    <m/>
    <m/>
  </r>
  <r>
    <x v="25"/>
    <x v="74"/>
    <s v="Setembro"/>
    <n v="2023"/>
    <n v="32564066.640000001"/>
    <m/>
    <m/>
  </r>
  <r>
    <x v="25"/>
    <x v="75"/>
    <s v="Outubro"/>
    <n v="2023"/>
    <n v="33920943.450000003"/>
    <m/>
    <m/>
  </r>
  <r>
    <x v="25"/>
    <x v="76"/>
    <s v="Novembro"/>
    <n v="2023"/>
    <n v="32750074.960000001"/>
    <m/>
    <m/>
  </r>
  <r>
    <x v="25"/>
    <x v="77"/>
    <s v="Dezembro"/>
    <n v="2023"/>
    <n v="33491854.899999999"/>
    <m/>
    <m/>
  </r>
  <r>
    <x v="25"/>
    <x v="78"/>
    <s v="Janeiro"/>
    <n v="2024"/>
    <n v="33511490.280000001"/>
    <m/>
    <m/>
  </r>
  <r>
    <x v="25"/>
    <x v="79"/>
    <s v="Fevereiro"/>
    <n v="2024"/>
    <n v="35663746.259999998"/>
    <m/>
    <m/>
  </r>
  <r>
    <x v="25"/>
    <x v="80"/>
    <s v="Março"/>
    <n v="2024"/>
    <n v="37732470.219999999"/>
    <m/>
    <m/>
  </r>
  <r>
    <x v="25"/>
    <x v="81"/>
    <s v="Abril"/>
    <n v="2024"/>
    <n v="39583456.600000001"/>
    <m/>
    <m/>
  </r>
  <r>
    <x v="25"/>
    <x v="82"/>
    <s v="Maio"/>
    <n v="2024"/>
    <n v="44141272.380000003"/>
    <m/>
    <m/>
  </r>
  <r>
    <x v="25"/>
    <x v="83"/>
    <s v="Junho"/>
    <n v="2024"/>
    <n v="46854804.450000003"/>
    <m/>
    <m/>
  </r>
  <r>
    <x v="25"/>
    <x v="84"/>
    <s v="Julho"/>
    <n v="2024"/>
    <n v="48355592.200000003"/>
    <m/>
    <m/>
  </r>
  <r>
    <x v="25"/>
    <x v="85"/>
    <s v="Agosto"/>
    <n v="2024"/>
    <n v="49460038.840000004"/>
    <m/>
    <m/>
  </r>
  <r>
    <x v="25"/>
    <x v="86"/>
    <s v="Setembro"/>
    <n v="2024"/>
    <n v="51980062.799999997"/>
    <m/>
    <m/>
  </r>
  <r>
    <x v="25"/>
    <x v="87"/>
    <s v="Outubro"/>
    <n v="2024"/>
    <n v="52450626.770000003"/>
    <m/>
    <m/>
  </r>
  <r>
    <x v="25"/>
    <x v="88"/>
    <s v="Novembro"/>
    <n v="2024"/>
    <n v="53524500.090000004"/>
    <m/>
    <m/>
  </r>
  <r>
    <x v="25"/>
    <x v="89"/>
    <s v="Dezembro"/>
    <n v="2024"/>
    <n v="55243276.909999996"/>
    <m/>
    <m/>
  </r>
  <r>
    <x v="25"/>
    <x v="90"/>
    <s v="Janeiro"/>
    <n v="2025"/>
    <n v="56472324.530000001"/>
    <m/>
    <m/>
  </r>
  <r>
    <x v="25"/>
    <x v="91"/>
    <s v="Fevereiro"/>
    <n v="2025"/>
    <n v="57496059.659999996"/>
    <m/>
    <m/>
  </r>
  <r>
    <x v="25"/>
    <x v="92"/>
    <s v="Março"/>
    <n v="2025"/>
    <n v="57119326.07"/>
    <m/>
    <m/>
  </r>
  <r>
    <x v="25"/>
    <x v="93"/>
    <s v="Abril"/>
    <n v="2025"/>
    <n v="60748588.359999999"/>
    <m/>
    <m/>
  </r>
  <r>
    <x v="25"/>
    <x v="94"/>
    <s v="Maio"/>
    <n v="2025"/>
    <n v="64571138.289999999"/>
    <m/>
    <m/>
  </r>
  <r>
    <x v="25"/>
    <x v="95"/>
    <s v="Junho"/>
    <n v="2025"/>
    <n v="65224180.439999998"/>
    <m/>
    <m/>
  </r>
  <r>
    <x v="25"/>
    <x v="96"/>
    <s v="Julho"/>
    <n v="2025"/>
    <n v="62344574.939999998"/>
    <m/>
    <m/>
  </r>
  <r>
    <x v="25"/>
    <x v="97"/>
    <s v="Agosto"/>
    <n v="2025"/>
    <n v="63454464.259999998"/>
    <m/>
    <m/>
  </r>
  <r>
    <x v="25"/>
    <x v="98"/>
    <s v="Setembro"/>
    <n v="2025"/>
    <n v="63019215.219999999"/>
    <m/>
    <m/>
  </r>
  <r>
    <x v="25"/>
    <x v="99"/>
    <s v="Outubro"/>
    <n v="2025"/>
    <n v="59050397.990000002"/>
    <m/>
    <m/>
  </r>
  <r>
    <x v="25"/>
    <x v="100"/>
    <s v="Novembro"/>
    <n v="2025"/>
    <n v="60181646.270000003"/>
    <m/>
    <m/>
  </r>
  <r>
    <x v="25"/>
    <x v="101"/>
    <s v="Dezembro"/>
    <n v="2025"/>
    <n v="56771817.329999998"/>
    <m/>
    <m/>
  </r>
  <r>
    <x v="25"/>
    <x v="102"/>
    <s v="Janeiro"/>
    <n v="2026"/>
    <n v="57551707.950000003"/>
    <m/>
    <m/>
  </r>
  <r>
    <x v="0"/>
    <x v="0"/>
    <m/>
    <m/>
    <m/>
    <m/>
    <m/>
  </r>
  <r>
    <x v="26"/>
    <x v="1"/>
    <s v="Dezembro"/>
    <n v="2013"/>
    <n v="2924473.2"/>
    <m/>
    <m/>
  </r>
  <r>
    <x v="26"/>
    <x v="2"/>
    <s v="Dezembro"/>
    <n v="2014"/>
    <n v="4664327"/>
    <m/>
    <m/>
  </r>
  <r>
    <x v="26"/>
    <x v="3"/>
    <s v="Dezembro"/>
    <n v="2015"/>
    <n v="5868331.5899999999"/>
    <m/>
    <m/>
  </r>
  <r>
    <x v="26"/>
    <x v="4"/>
    <s v="Dezembro"/>
    <n v="2016"/>
    <n v="6973934.6900000004"/>
    <m/>
    <m/>
  </r>
  <r>
    <x v="26"/>
    <x v="5"/>
    <s v="Dezembro"/>
    <n v="2017"/>
    <n v="8095381.8700000001"/>
    <m/>
    <m/>
  </r>
  <r>
    <x v="26"/>
    <x v="6"/>
    <s v="Janeiro"/>
    <n v="2018"/>
    <n v="7906204.2400000002"/>
    <m/>
    <m/>
  </r>
  <r>
    <x v="26"/>
    <x v="7"/>
    <s v="Fevereiro"/>
    <n v="2018"/>
    <n v="8234359.8499999996"/>
    <m/>
    <m/>
  </r>
  <r>
    <x v="26"/>
    <x v="8"/>
    <s v="Março"/>
    <n v="2018"/>
    <n v="7556123.4299999997"/>
    <m/>
    <m/>
  </r>
  <r>
    <x v="26"/>
    <x v="9"/>
    <s v="Abril"/>
    <n v="2018"/>
    <n v="7068699.6900000004"/>
    <m/>
    <m/>
  </r>
  <r>
    <x v="26"/>
    <x v="10"/>
    <s v="Maio"/>
    <n v="2018"/>
    <n v="7473081.9900000002"/>
    <m/>
    <m/>
  </r>
  <r>
    <x v="26"/>
    <x v="11"/>
    <s v="Junho"/>
    <n v="2018"/>
    <n v="7622284.8799999999"/>
    <m/>
    <m/>
  </r>
  <r>
    <x v="26"/>
    <x v="12"/>
    <s v="Julho"/>
    <n v="2018"/>
    <n v="6904842.9100000001"/>
    <m/>
    <m/>
  </r>
  <r>
    <x v="26"/>
    <x v="13"/>
    <s v="Agosto"/>
    <n v="2018"/>
    <n v="6854628.5999999996"/>
    <m/>
    <m/>
  </r>
  <r>
    <x v="26"/>
    <x v="14"/>
    <s v="Setembro"/>
    <n v="2018"/>
    <n v="7018042.0199999996"/>
    <m/>
    <m/>
  </r>
  <r>
    <x v="26"/>
    <x v="15"/>
    <s v="Outubro"/>
    <n v="2018"/>
    <n v="6959623.9299999997"/>
    <m/>
    <m/>
  </r>
  <r>
    <x v="26"/>
    <x v="16"/>
    <s v="Novembro"/>
    <n v="2018"/>
    <n v="7084404.3099999996"/>
    <m/>
    <m/>
  </r>
  <r>
    <x v="26"/>
    <x v="17"/>
    <s v="Dezembro"/>
    <n v="2018"/>
    <n v="6994030.21"/>
    <m/>
    <m/>
  </r>
  <r>
    <x v="26"/>
    <x v="18"/>
    <s v="Janeiro"/>
    <n v="2019"/>
    <n v="7444779.7199999997"/>
    <m/>
    <m/>
  </r>
  <r>
    <x v="26"/>
    <x v="19"/>
    <s v="Fevereiro"/>
    <n v="2019"/>
    <n v="7144820.0899999999"/>
    <m/>
    <m/>
  </r>
  <r>
    <x v="26"/>
    <x v="20"/>
    <s v="Março"/>
    <n v="2019"/>
    <n v="7325202.21"/>
    <m/>
    <m/>
  </r>
  <r>
    <x v="26"/>
    <x v="21"/>
    <s v="Abril"/>
    <n v="2019"/>
    <n v="7807555.79"/>
    <m/>
    <m/>
  </r>
  <r>
    <x v="26"/>
    <x v="22"/>
    <s v="Maio"/>
    <n v="2019"/>
    <n v="7966035.1500000004"/>
    <m/>
    <m/>
  </r>
  <r>
    <x v="26"/>
    <x v="23"/>
    <s v="Junho"/>
    <n v="2019"/>
    <n v="8898383.9399999995"/>
    <m/>
    <m/>
  </r>
  <r>
    <x v="26"/>
    <x v="24"/>
    <s v="Julho"/>
    <n v="2019"/>
    <n v="8891601.5700000003"/>
    <m/>
    <m/>
  </r>
  <r>
    <x v="26"/>
    <x v="25"/>
    <s v="Agosto"/>
    <n v="2019"/>
    <n v="8432534.9800000004"/>
    <m/>
    <m/>
  </r>
  <r>
    <x v="26"/>
    <x v="26"/>
    <s v="Setembro"/>
    <n v="2019"/>
    <n v="8377763.0499999998"/>
    <m/>
    <m/>
  </r>
  <r>
    <x v="26"/>
    <x v="27"/>
    <s v="Outubro"/>
    <n v="2019"/>
    <n v="8077792.1900000004"/>
    <m/>
    <m/>
  </r>
  <r>
    <x v="26"/>
    <x v="28"/>
    <s v="Novembro"/>
    <n v="2019"/>
    <n v="8307415.8700000001"/>
    <m/>
    <m/>
  </r>
  <r>
    <x v="26"/>
    <x v="29"/>
    <s v="Dezembro"/>
    <n v="2019"/>
    <n v="8356882.7199999997"/>
    <m/>
    <m/>
  </r>
  <r>
    <x v="26"/>
    <x v="30"/>
    <s v="Janeiro"/>
    <n v="2020"/>
    <n v="8439188.6899999995"/>
    <m/>
    <m/>
  </r>
  <r>
    <x v="26"/>
    <x v="31"/>
    <s v="Fevereiro"/>
    <n v="2020"/>
    <n v="9519422.7699999996"/>
    <m/>
    <m/>
  </r>
  <r>
    <x v="26"/>
    <x v="32"/>
    <s v="Março"/>
    <n v="2020"/>
    <n v="10295639.220000001"/>
    <m/>
    <m/>
  </r>
  <r>
    <x v="26"/>
    <x v="33"/>
    <s v="Abril"/>
    <n v="2020"/>
    <n v="10476929.59"/>
    <m/>
    <m/>
  </r>
  <r>
    <x v="26"/>
    <x v="34"/>
    <s v="Maio"/>
    <n v="2020"/>
    <n v="10949630.15"/>
    <m/>
    <m/>
  </r>
  <r>
    <x v="26"/>
    <x v="35"/>
    <s v="Junho"/>
    <n v="2020"/>
    <n v="9742907.4000000004"/>
    <m/>
    <m/>
  </r>
  <r>
    <x v="26"/>
    <x v="36"/>
    <s v="Julho"/>
    <n v="2020"/>
    <n v="9615593.7200000007"/>
    <m/>
    <m/>
  </r>
  <r>
    <x v="26"/>
    <x v="37"/>
    <s v="Agosto"/>
    <n v="2020"/>
    <n v="8887998.7300000004"/>
    <m/>
    <m/>
  </r>
  <r>
    <x v="26"/>
    <x v="38"/>
    <s v="Setembro"/>
    <n v="2020"/>
    <n v="9174807.0899999999"/>
    <m/>
    <m/>
  </r>
  <r>
    <x v="26"/>
    <x v="39"/>
    <s v="Outubro"/>
    <n v="2020"/>
    <n v="9436448.5600000005"/>
    <m/>
    <m/>
  </r>
  <r>
    <x v="26"/>
    <x v="40"/>
    <s v="Novembro"/>
    <n v="2020"/>
    <n v="10280625.1"/>
    <m/>
    <m/>
  </r>
  <r>
    <x v="26"/>
    <x v="41"/>
    <s v="Dezembro"/>
    <n v="2020"/>
    <n v="9911262.5399999991"/>
    <m/>
    <m/>
  </r>
  <r>
    <x v="26"/>
    <x v="42"/>
    <s v="Janeiro"/>
    <n v="2021"/>
    <n v="11621824.4"/>
    <m/>
    <m/>
  </r>
  <r>
    <x v="26"/>
    <x v="43"/>
    <s v="Fevereiro"/>
    <n v="2021"/>
    <n v="13001211.98"/>
    <m/>
    <m/>
  </r>
  <r>
    <x v="26"/>
    <x v="44"/>
    <s v="Março"/>
    <n v="2021"/>
    <n v="13634107.82"/>
    <m/>
    <m/>
  </r>
  <r>
    <x v="26"/>
    <x v="45"/>
    <s v="Abril"/>
    <n v="2021"/>
    <n v="15781065.609999999"/>
    <m/>
    <m/>
  </r>
  <r>
    <x v="26"/>
    <x v="46"/>
    <s v="Maio"/>
    <n v="2021"/>
    <n v="14699793.75"/>
    <m/>
    <m/>
  </r>
  <r>
    <x v="26"/>
    <x v="47"/>
    <s v="Junho"/>
    <n v="2021"/>
    <n v="14721883"/>
    <m/>
    <m/>
  </r>
  <r>
    <x v="26"/>
    <x v="48"/>
    <s v="Julho"/>
    <n v="2021"/>
    <n v="14576105.07"/>
    <m/>
    <m/>
  </r>
  <r>
    <x v="26"/>
    <x v="49"/>
    <s v="Agosto"/>
    <n v="2021"/>
    <n v="15801219.380000001"/>
    <m/>
    <m/>
  </r>
  <r>
    <x v="26"/>
    <x v="50"/>
    <s v="Setembro"/>
    <n v="2021"/>
    <n v="17739128.600000001"/>
    <m/>
    <m/>
  </r>
  <r>
    <x v="26"/>
    <x v="51"/>
    <s v="Outubro"/>
    <n v="2021"/>
    <n v="18554583.440000001"/>
    <m/>
    <m/>
  </r>
  <r>
    <x v="26"/>
    <x v="52"/>
    <s v="Novembro"/>
    <n v="2021"/>
    <n v="18491964.34"/>
    <m/>
    <m/>
  </r>
  <r>
    <x v="26"/>
    <x v="53"/>
    <s v="Dezembro"/>
    <n v="2021"/>
    <n v="18291401.879999999"/>
    <m/>
    <m/>
  </r>
  <r>
    <x v="26"/>
    <x v="54"/>
    <s v="Janeiro"/>
    <n v="2022"/>
    <n v="18409369.079999998"/>
    <m/>
    <m/>
  </r>
  <r>
    <x v="26"/>
    <x v="55"/>
    <s v="Fevereiro"/>
    <n v="2022"/>
    <n v="18994492.07"/>
    <m/>
    <m/>
  </r>
  <r>
    <x v="26"/>
    <x v="56"/>
    <s v="Março"/>
    <n v="2022"/>
    <n v="18332996.879999999"/>
    <m/>
    <m/>
  </r>
  <r>
    <x v="26"/>
    <x v="57"/>
    <s v="Abril"/>
    <n v="2022"/>
    <n v="17905140.609999999"/>
    <m/>
    <m/>
  </r>
  <r>
    <x v="26"/>
    <x v="58"/>
    <s v="Maio"/>
    <n v="2022"/>
    <n v="17285432.850000001"/>
    <m/>
    <m/>
  </r>
  <r>
    <x v="26"/>
    <x v="59"/>
    <s v="Junho"/>
    <n v="2022"/>
    <n v="18254885.530000001"/>
    <m/>
    <m/>
  </r>
  <r>
    <x v="26"/>
    <x v="60"/>
    <s v="Julho"/>
    <n v="2022"/>
    <n v="19533008.609999999"/>
    <m/>
    <m/>
  </r>
  <r>
    <x v="26"/>
    <x v="61"/>
    <s v="Agosto"/>
    <n v="2022"/>
    <n v="20543942.18"/>
    <m/>
    <m/>
  </r>
  <r>
    <x v="26"/>
    <x v="62"/>
    <s v="Setembro"/>
    <n v="2022"/>
    <n v="21894545.670000002"/>
    <m/>
    <m/>
  </r>
  <r>
    <x v="26"/>
    <x v="63"/>
    <s v="Outubro"/>
    <n v="2022"/>
    <n v="22278566.149999999"/>
    <m/>
    <m/>
  </r>
  <r>
    <x v="26"/>
    <x v="64"/>
    <s v="Novembro"/>
    <n v="2022"/>
    <n v="22025418.550000001"/>
    <m/>
    <m/>
  </r>
  <r>
    <x v="26"/>
    <x v="65"/>
    <s v="Dezembro"/>
    <n v="2022"/>
    <n v="22997369.18"/>
    <m/>
    <m/>
  </r>
  <r>
    <x v="26"/>
    <x v="66"/>
    <s v="Janeiro"/>
    <n v="2023"/>
    <n v="22886998.16"/>
    <m/>
    <m/>
  </r>
  <r>
    <x v="26"/>
    <x v="67"/>
    <s v="Fevereiro"/>
    <n v="2023"/>
    <n v="22837277.98"/>
    <m/>
    <m/>
  </r>
  <r>
    <x v="26"/>
    <x v="68"/>
    <s v="Março"/>
    <n v="2023"/>
    <n v="24261870.949999999"/>
    <m/>
    <m/>
  </r>
  <r>
    <x v="26"/>
    <x v="69"/>
    <s v="Abril"/>
    <n v="2023"/>
    <n v="23475597.420000002"/>
    <m/>
    <m/>
  </r>
  <r>
    <x v="26"/>
    <x v="70"/>
    <s v="Maio"/>
    <n v="2023"/>
    <n v="23509849.280000001"/>
    <m/>
    <m/>
  </r>
  <r>
    <x v="26"/>
    <x v="71"/>
    <s v="Junho"/>
    <n v="2023"/>
    <n v="22842595.829999998"/>
    <m/>
    <m/>
  </r>
  <r>
    <x v="26"/>
    <x v="72"/>
    <s v="Julho"/>
    <n v="2023"/>
    <n v="24746789.890000001"/>
    <m/>
    <m/>
  </r>
  <r>
    <x v="26"/>
    <x v="73"/>
    <s v="Agosto"/>
    <n v="2023"/>
    <n v="23579720.16"/>
    <m/>
    <m/>
  </r>
  <r>
    <x v="26"/>
    <x v="74"/>
    <s v="Setembro"/>
    <n v="2023"/>
    <n v="24817492.75"/>
    <m/>
    <m/>
  </r>
  <r>
    <x v="26"/>
    <x v="75"/>
    <s v="Outubro"/>
    <n v="2023"/>
    <n v="24654821.489999998"/>
    <m/>
    <m/>
  </r>
  <r>
    <x v="26"/>
    <x v="76"/>
    <s v="Novembro"/>
    <n v="2023"/>
    <n v="25539862.07"/>
    <m/>
    <m/>
  </r>
  <r>
    <x v="26"/>
    <x v="77"/>
    <s v="Dezembro"/>
    <n v="2023"/>
    <n v="25926588.920000002"/>
    <m/>
    <m/>
  </r>
  <r>
    <x v="26"/>
    <x v="78"/>
    <s v="Janeiro"/>
    <n v="2024"/>
    <n v="26849770.09"/>
    <m/>
    <m/>
  </r>
  <r>
    <x v="26"/>
    <x v="79"/>
    <s v="Fevereiro"/>
    <n v="2024"/>
    <n v="27094835.489999998"/>
    <m/>
    <m/>
  </r>
  <r>
    <x v="26"/>
    <x v="80"/>
    <s v="Março"/>
    <n v="2024"/>
    <n v="27292852"/>
    <m/>
    <m/>
  </r>
  <r>
    <x v="26"/>
    <x v="81"/>
    <s v="Abril"/>
    <n v="2024"/>
    <n v="27463235.559999999"/>
    <m/>
    <m/>
  </r>
  <r>
    <x v="26"/>
    <x v="82"/>
    <s v="Maio"/>
    <n v="2024"/>
    <n v="27271151.850000001"/>
    <m/>
    <m/>
  </r>
  <r>
    <x v="26"/>
    <x v="83"/>
    <s v="Junho"/>
    <n v="2024"/>
    <n v="28533292.890000001"/>
    <m/>
    <m/>
  </r>
  <r>
    <x v="26"/>
    <x v="84"/>
    <s v="Julho"/>
    <n v="2024"/>
    <n v="26991904.280000001"/>
    <m/>
    <m/>
  </r>
  <r>
    <x v="26"/>
    <x v="85"/>
    <s v="Agosto"/>
    <n v="2024"/>
    <n v="27685161.27"/>
    <m/>
    <m/>
  </r>
  <r>
    <x v="26"/>
    <x v="86"/>
    <s v="Setembro"/>
    <n v="2024"/>
    <n v="27895759.57"/>
    <m/>
    <m/>
  </r>
  <r>
    <x v="26"/>
    <x v="87"/>
    <s v="Outubro"/>
    <n v="2024"/>
    <n v="29722285.210000001"/>
    <m/>
    <m/>
  </r>
  <r>
    <x v="26"/>
    <x v="88"/>
    <s v="Novembro"/>
    <n v="2024"/>
    <n v="30488788.850000001"/>
    <m/>
    <m/>
  </r>
  <r>
    <x v="26"/>
    <x v="89"/>
    <s v="Dezembro"/>
    <n v="2024"/>
    <n v="28358377.210000001"/>
    <m/>
    <m/>
  </r>
  <r>
    <x v="26"/>
    <x v="90"/>
    <s v="Janeiro"/>
    <n v="2025"/>
    <n v="30759078.059999999"/>
    <m/>
    <m/>
  </r>
  <r>
    <x v="26"/>
    <x v="91"/>
    <s v="Fevereiro"/>
    <n v="2025"/>
    <n v="30039837.460000001"/>
    <m/>
    <m/>
  </r>
  <r>
    <x v="26"/>
    <x v="92"/>
    <s v="Março"/>
    <n v="2025"/>
    <n v="29892099.329999998"/>
    <m/>
    <m/>
  </r>
  <r>
    <x v="26"/>
    <x v="93"/>
    <s v="Abril"/>
    <n v="2025"/>
    <n v="26769339.100000001"/>
    <m/>
    <m/>
  </r>
  <r>
    <x v="26"/>
    <x v="94"/>
    <s v="Maio"/>
    <n v="2025"/>
    <n v="24196604.489999998"/>
    <m/>
    <m/>
  </r>
  <r>
    <x v="26"/>
    <x v="95"/>
    <s v="Junho"/>
    <n v="2025"/>
    <n v="26459292.190000001"/>
    <m/>
    <m/>
  </r>
  <r>
    <x v="26"/>
    <x v="96"/>
    <s v="Julho"/>
    <n v="2025"/>
    <n v="27046476.670000002"/>
    <m/>
    <m/>
  </r>
  <r>
    <x v="26"/>
    <x v="97"/>
    <s v="Agosto"/>
    <n v="2025"/>
    <n v="25938993.82"/>
    <m/>
    <m/>
  </r>
  <r>
    <x v="26"/>
    <x v="98"/>
    <s v="Setembro"/>
    <n v="2025"/>
    <n v="25996087.539999999"/>
    <m/>
    <m/>
  </r>
  <r>
    <x v="26"/>
    <x v="99"/>
    <s v="Outubro"/>
    <n v="2025"/>
    <n v="26673539.030000001"/>
    <m/>
    <m/>
  </r>
  <r>
    <x v="26"/>
    <x v="100"/>
    <s v="Novembro"/>
    <n v="2025"/>
    <n v="26032272.02"/>
    <m/>
    <m/>
  </r>
  <r>
    <x v="26"/>
    <x v="101"/>
    <s v="Dezembro"/>
    <n v="2025"/>
    <n v="27287289.27"/>
    <m/>
    <m/>
  </r>
  <r>
    <x v="26"/>
    <x v="102"/>
    <s v="Janeiro"/>
    <n v="2026"/>
    <n v="26922318.800000001"/>
    <m/>
    <m/>
  </r>
  <r>
    <x v="0"/>
    <x v="0"/>
    <m/>
    <m/>
    <m/>
    <m/>
    <m/>
  </r>
  <r>
    <x v="27"/>
    <x v="5"/>
    <s v="Dezembro"/>
    <n v="2017"/>
    <e v="#DIV/0!"/>
    <m/>
    <m/>
  </r>
  <r>
    <x v="27"/>
    <x v="1"/>
    <s v="Dezembro"/>
    <n v="2013"/>
    <e v="#DIV/0!"/>
    <m/>
    <m/>
  </r>
  <r>
    <x v="27"/>
    <x v="2"/>
    <s v="Dezembro"/>
    <n v="2014"/>
    <e v="#DIV/0!"/>
    <m/>
    <m/>
  </r>
  <r>
    <x v="27"/>
    <x v="3"/>
    <s v="Dezembro"/>
    <n v="2015"/>
    <e v="#DIV/0!"/>
    <m/>
    <m/>
  </r>
  <r>
    <x v="27"/>
    <x v="4"/>
    <s v="Dezembro"/>
    <n v="2016"/>
    <e v="#DIV/0!"/>
    <m/>
    <m/>
  </r>
  <r>
    <x v="27"/>
    <x v="5"/>
    <s v="Dezembro"/>
    <n v="2017"/>
    <e v="#DIV/0!"/>
    <m/>
    <m/>
  </r>
  <r>
    <x v="27"/>
    <x v="6"/>
    <s v="Janeiro"/>
    <n v="2018"/>
    <n v="0.42279896417242435"/>
    <m/>
    <m/>
  </r>
  <r>
    <x v="27"/>
    <x v="7"/>
    <s v="Fevereiro"/>
    <n v="2018"/>
    <n v="0.50299902615439207"/>
    <m/>
    <m/>
  </r>
  <r>
    <x v="27"/>
    <x v="8"/>
    <s v="Março"/>
    <n v="2018"/>
    <n v="0.39510055828297336"/>
    <m/>
    <m/>
  </r>
  <r>
    <x v="27"/>
    <x v="9"/>
    <s v="Abril"/>
    <n v="2018"/>
    <n v="0.51780261744143119"/>
    <m/>
    <m/>
  </r>
  <r>
    <x v="27"/>
    <x v="10"/>
    <s v="Maio"/>
    <n v="2018"/>
    <n v="0.43047010359740984"/>
    <m/>
    <m/>
  </r>
  <r>
    <x v="27"/>
    <x v="11"/>
    <s v="Junho"/>
    <n v="2018"/>
    <n v="0.53637758765415067"/>
    <m/>
    <m/>
  </r>
  <r>
    <x v="27"/>
    <x v="12"/>
    <s v="Julho"/>
    <n v="2018"/>
    <n v="0.53711246514836919"/>
    <m/>
    <m/>
  </r>
  <r>
    <x v="27"/>
    <x v="13"/>
    <s v="Agosto"/>
    <n v="2018"/>
    <n v="0.50000342445583557"/>
    <m/>
    <m/>
  </r>
  <r>
    <x v="27"/>
    <x v="14"/>
    <s v="Setembro"/>
    <n v="2018"/>
    <n v="0.56419797889154177"/>
    <m/>
    <m/>
  </r>
  <r>
    <x v="27"/>
    <x v="15"/>
    <s v="Outubro"/>
    <n v="2018"/>
    <n v="0.54098500349896916"/>
    <m/>
    <m/>
  </r>
  <r>
    <x v="27"/>
    <x v="16"/>
    <s v="Novembro"/>
    <n v="2018"/>
    <n v="0.49915021521154929"/>
    <m/>
    <m/>
  </r>
  <r>
    <x v="27"/>
    <x v="17"/>
    <s v="Dezembro"/>
    <n v="2018"/>
    <n v="0.46665679878862176"/>
    <m/>
    <m/>
  </r>
  <r>
    <x v="27"/>
    <x v="18"/>
    <s v="Janeiro"/>
    <n v="2019"/>
    <n v="0.58617172761666014"/>
    <m/>
    <m/>
  </r>
  <r>
    <x v="27"/>
    <x v="19"/>
    <s v="Fevereiro"/>
    <n v="2019"/>
    <n v="0.51053316372895696"/>
    <m/>
    <m/>
  </r>
  <r>
    <x v="27"/>
    <x v="20"/>
    <s v="Março"/>
    <n v="2019"/>
    <n v="0.58750687529730716"/>
    <m/>
    <m/>
  </r>
  <r>
    <x v="27"/>
    <x v="21"/>
    <s v="Abril"/>
    <n v="2019"/>
    <n v="0.46793611486225695"/>
    <m/>
    <m/>
  </r>
  <r>
    <x v="27"/>
    <x v="22"/>
    <s v="Maio"/>
    <n v="2019"/>
    <n v="0.50648514684988222"/>
    <m/>
    <m/>
  </r>
  <r>
    <x v="27"/>
    <x v="23"/>
    <s v="Junho"/>
    <n v="2019"/>
    <n v="0.51842976839483712"/>
    <m/>
    <m/>
  </r>
  <r>
    <x v="27"/>
    <x v="24"/>
    <s v="Julho"/>
    <n v="2019"/>
    <n v="0.48125721535381938"/>
    <m/>
    <m/>
  </r>
  <r>
    <x v="27"/>
    <x v="25"/>
    <s v="Agosto"/>
    <n v="2019"/>
    <n v="0.51665022725685228"/>
    <m/>
    <m/>
  </r>
  <r>
    <x v="27"/>
    <x v="26"/>
    <s v="Setembro"/>
    <n v="2019"/>
    <n v="0.47568846191961844"/>
    <m/>
    <m/>
  </r>
  <r>
    <x v="27"/>
    <x v="27"/>
    <s v="Outubro"/>
    <n v="2019"/>
    <n v="0.54374507354464674"/>
    <m/>
    <m/>
  </r>
  <r>
    <x v="27"/>
    <x v="28"/>
    <s v="Novembro"/>
    <n v="2019"/>
    <n v="0.49990212841964166"/>
    <m/>
    <m/>
  </r>
  <r>
    <x v="27"/>
    <x v="29"/>
    <s v="Dezembro"/>
    <n v="2019"/>
    <n v="0.51695671981691593"/>
    <m/>
    <m/>
  </r>
  <r>
    <x v="27"/>
    <x v="30"/>
    <s v="Janeiro"/>
    <n v="2020"/>
    <n v="0.46235107890784727"/>
    <m/>
    <m/>
  </r>
  <r>
    <x v="27"/>
    <x v="31"/>
    <s v="Fevereiro"/>
    <n v="2020"/>
    <n v="0.48796156093625026"/>
    <m/>
    <m/>
  </r>
  <r>
    <x v="27"/>
    <x v="32"/>
    <s v="Março"/>
    <n v="2020"/>
    <n v="0.54636332567991763"/>
    <m/>
    <m/>
  </r>
  <r>
    <x v="27"/>
    <x v="33"/>
    <s v="Abril"/>
    <n v="2020"/>
    <n v="0.49364491404276195"/>
    <m/>
    <m/>
  </r>
  <r>
    <x v="27"/>
    <x v="34"/>
    <s v="Maio"/>
    <n v="2020"/>
    <n v="0.51057727284704435"/>
    <m/>
    <m/>
  </r>
  <r>
    <x v="27"/>
    <x v="35"/>
    <s v="Junho"/>
    <n v="2020"/>
    <n v="0.4553911711428823"/>
    <m/>
    <m/>
  </r>
  <r>
    <x v="27"/>
    <x v="36"/>
    <s v="Julho"/>
    <n v="2020"/>
    <n v="0.54485206853415047"/>
    <m/>
    <m/>
  </r>
  <r>
    <x v="27"/>
    <x v="37"/>
    <s v="Agosto"/>
    <n v="2020"/>
    <n v="0.49827124984919358"/>
    <m/>
    <m/>
  </r>
  <r>
    <x v="27"/>
    <x v="38"/>
    <s v="Setembro"/>
    <n v="2020"/>
    <n v="0.45968664980130941"/>
    <m/>
    <m/>
  </r>
  <r>
    <x v="27"/>
    <x v="39"/>
    <s v="Outubro"/>
    <n v="2020"/>
    <n v="0.44657681679551281"/>
    <m/>
    <m/>
  </r>
  <r>
    <x v="27"/>
    <x v="40"/>
    <s v="Novembro"/>
    <n v="2020"/>
    <n v="0.47734788041337134"/>
    <m/>
    <m/>
  </r>
  <r>
    <x v="27"/>
    <x v="41"/>
    <s v="Dezembro"/>
    <n v="2020"/>
    <n v="0.50144899584186442"/>
    <m/>
    <m/>
  </r>
  <r>
    <x v="27"/>
    <x v="42"/>
    <s v="Janeiro"/>
    <n v="2021"/>
    <n v="0.47188910107754739"/>
    <m/>
    <m/>
  </r>
  <r>
    <x v="27"/>
    <x v="43"/>
    <s v="Fevereiro"/>
    <n v="2021"/>
    <n v="0.47641557598210532"/>
    <m/>
    <m/>
  </r>
  <r>
    <x v="27"/>
    <x v="44"/>
    <s v="Março"/>
    <n v="2021"/>
    <n v="0.47301970139789229"/>
    <m/>
    <m/>
  </r>
  <r>
    <x v="27"/>
    <x v="45"/>
    <s v="Abril"/>
    <n v="2021"/>
    <n v="0.45459253179780501"/>
    <m/>
    <m/>
  </r>
  <r>
    <x v="27"/>
    <x v="46"/>
    <s v="Maio"/>
    <n v="2021"/>
    <n v="0.47767216371937193"/>
    <m/>
    <m/>
  </r>
  <r>
    <x v="27"/>
    <x v="47"/>
    <s v="Junho"/>
    <n v="2021"/>
    <n v="0.48748500239949222"/>
    <m/>
    <m/>
  </r>
  <r>
    <x v="27"/>
    <x v="48"/>
    <s v="Julho"/>
    <n v="2021"/>
    <n v="0.48777117962968036"/>
    <m/>
    <m/>
  </r>
  <r>
    <x v="27"/>
    <x v="49"/>
    <s v="Agosto"/>
    <n v="2021"/>
    <n v="0.4860991800675194"/>
    <m/>
    <m/>
  </r>
  <r>
    <x v="27"/>
    <x v="50"/>
    <s v="Setembro"/>
    <n v="2021"/>
    <n v="0.44647378035815205"/>
    <m/>
    <m/>
  </r>
  <r>
    <x v="27"/>
    <x v="51"/>
    <s v="Outubro"/>
    <n v="2021"/>
    <n v="0.4922589012094436"/>
    <m/>
    <m/>
  </r>
  <r>
    <x v="27"/>
    <x v="52"/>
    <s v="Novembro"/>
    <n v="2021"/>
    <n v="0.48632588697037771"/>
    <m/>
    <m/>
  </r>
  <r>
    <x v="27"/>
    <x v="53"/>
    <s v="Dezembro"/>
    <n v="2021"/>
    <n v="0.49973905710261224"/>
    <m/>
    <m/>
  </r>
  <r>
    <x v="27"/>
    <x v="54"/>
    <s v="Janeiro"/>
    <n v="2022"/>
    <n v="0.48517444455198377"/>
    <m/>
    <m/>
  </r>
  <r>
    <x v="27"/>
    <x v="55"/>
    <s v="Fevereiro"/>
    <n v="2022"/>
    <n v="0.4826960411940846"/>
    <m/>
    <m/>
  </r>
  <r>
    <x v="27"/>
    <x v="56"/>
    <s v="Março"/>
    <n v="2022"/>
    <n v="0.52025118894235733"/>
    <m/>
    <m/>
  </r>
  <r>
    <x v="27"/>
    <x v="57"/>
    <s v="Abril"/>
    <n v="2022"/>
    <n v="0.48957633329217648"/>
    <m/>
    <m/>
  </r>
  <r>
    <x v="27"/>
    <x v="58"/>
    <s v="Maio"/>
    <n v="2022"/>
    <n v="0.4821387009562253"/>
    <m/>
    <m/>
  </r>
  <r>
    <x v="27"/>
    <x v="59"/>
    <s v="Junho"/>
    <n v="2022"/>
    <n v="0.47519106062876076"/>
    <m/>
    <m/>
  </r>
  <r>
    <x v="27"/>
    <x v="60"/>
    <s v="Julho"/>
    <n v="2022"/>
    <n v="0.4618136673350397"/>
    <m/>
    <m/>
  </r>
  <r>
    <x v="27"/>
    <x v="61"/>
    <s v="Agosto"/>
    <n v="2022"/>
    <n v="0.4774802653569874"/>
    <m/>
    <m/>
  </r>
  <r>
    <x v="27"/>
    <x v="62"/>
    <s v="Setembro"/>
    <n v="2022"/>
    <n v="0.49477906589852166"/>
    <m/>
    <m/>
  </r>
  <r>
    <x v="27"/>
    <x v="63"/>
    <s v="Outubro"/>
    <n v="2022"/>
    <n v="0.47760586172356151"/>
    <m/>
    <m/>
  </r>
  <r>
    <x v="27"/>
    <x v="64"/>
    <s v="Novembro"/>
    <n v="2022"/>
    <n v="0.51648658212347576"/>
    <m/>
    <m/>
  </r>
  <r>
    <x v="27"/>
    <x v="65"/>
    <s v="Dezembro"/>
    <n v="2022"/>
    <n v="0.4865604221086377"/>
    <m/>
    <m/>
  </r>
  <r>
    <x v="27"/>
    <x v="66"/>
    <s v="Janeiro"/>
    <n v="2023"/>
    <n v="0.52668497319332153"/>
    <m/>
    <m/>
  </r>
  <r>
    <x v="27"/>
    <x v="67"/>
    <s v="Fevereiro"/>
    <n v="2023"/>
    <n v="0.48181282391886454"/>
    <m/>
    <m/>
  </r>
  <r>
    <x v="27"/>
    <x v="68"/>
    <s v="Março"/>
    <n v="2023"/>
    <n v="0.51305691370451634"/>
    <m/>
    <m/>
  </r>
  <r>
    <x v="27"/>
    <x v="69"/>
    <s v="Abril"/>
    <n v="2023"/>
    <n v="0.50473440270935388"/>
    <m/>
    <m/>
  </r>
  <r>
    <x v="27"/>
    <x v="70"/>
    <s v="Maio"/>
    <n v="2023"/>
    <n v="0.46999875830873827"/>
    <m/>
    <m/>
  </r>
  <r>
    <x v="27"/>
    <x v="71"/>
    <s v="Junho"/>
    <n v="2023"/>
    <n v="0.47614481048103657"/>
    <m/>
    <m/>
  </r>
  <r>
    <x v="27"/>
    <x v="72"/>
    <s v="Julho"/>
    <n v="2023"/>
    <n v="0.50071339530582437"/>
    <m/>
    <m/>
  </r>
  <r>
    <x v="27"/>
    <x v="73"/>
    <s v="Agosto"/>
    <n v="2023"/>
    <n v="0.51598852161490016"/>
    <m/>
    <m/>
  </r>
  <r>
    <x v="27"/>
    <x v="74"/>
    <s v="Setembro"/>
    <n v="2023"/>
    <e v="#DIV/0!"/>
    <m/>
    <m/>
  </r>
  <r>
    <x v="27"/>
    <x v="75"/>
    <s v="Outubro"/>
    <n v="2023"/>
    <e v="#DIV/0!"/>
    <m/>
    <m/>
  </r>
  <r>
    <x v="27"/>
    <x v="76"/>
    <s v="Novembro"/>
    <n v="2023"/>
    <e v="#DIV/0!"/>
    <m/>
    <m/>
  </r>
  <r>
    <x v="27"/>
    <x v="77"/>
    <s v="Dezembro"/>
    <n v="2023"/>
    <e v="#DIV/0!"/>
    <m/>
    <m/>
  </r>
  <r>
    <x v="27"/>
    <x v="78"/>
    <s v="Janeiro"/>
    <n v="2024"/>
    <e v="#DIV/0!"/>
    <m/>
    <m/>
  </r>
  <r>
    <x v="27"/>
    <x v="79"/>
    <s v="Fevereiro"/>
    <n v="2024"/>
    <e v="#DIV/0!"/>
    <m/>
    <m/>
  </r>
  <r>
    <x v="27"/>
    <x v="80"/>
    <s v="Março"/>
    <n v="2024"/>
    <e v="#DIV/0!"/>
    <m/>
    <m/>
  </r>
  <r>
    <x v="27"/>
    <x v="81"/>
    <s v="Abril"/>
    <n v="2024"/>
    <e v="#DIV/0!"/>
    <m/>
    <m/>
  </r>
  <r>
    <x v="27"/>
    <x v="82"/>
    <s v="Maio"/>
    <n v="2024"/>
    <n v="0.46335944396943857"/>
    <m/>
    <m/>
  </r>
  <r>
    <x v="27"/>
    <x v="83"/>
    <s v="Junho"/>
    <n v="2024"/>
    <n v="0.49967966310576484"/>
    <m/>
    <m/>
  </r>
  <r>
    <x v="27"/>
    <x v="84"/>
    <s v="Julho"/>
    <n v="2024"/>
    <n v="0.58833303176321095"/>
    <m/>
    <m/>
  </r>
  <r>
    <x v="27"/>
    <x v="85"/>
    <s v="Agosto"/>
    <n v="2024"/>
    <n v="0.50061386109911421"/>
    <m/>
    <m/>
  </r>
  <r>
    <x v="27"/>
    <x v="86"/>
    <s v="Setembro"/>
    <n v="2024"/>
    <n v="0.49054339551893633"/>
    <m/>
    <m/>
  </r>
  <r>
    <x v="27"/>
    <x v="87"/>
    <s v="Outubro"/>
    <n v="2024"/>
    <n v="0.49185628598403119"/>
    <m/>
    <m/>
  </r>
  <r>
    <x v="27"/>
    <x v="88"/>
    <s v="Novembro"/>
    <n v="2024"/>
    <n v="0.71522967152305073"/>
    <m/>
    <m/>
  </r>
  <r>
    <x v="27"/>
    <x v="89"/>
    <s v="Dezembro"/>
    <n v="2024"/>
    <n v="0.4880773880428867"/>
    <m/>
    <m/>
  </r>
  <r>
    <x v="27"/>
    <x v="90"/>
    <s v="Janeiro"/>
    <n v="2025"/>
    <n v="0.55003362902824449"/>
    <m/>
    <m/>
  </r>
  <r>
    <x v="27"/>
    <x v="91"/>
    <s v="Fevereiro"/>
    <n v="2025"/>
    <n v="0.46569609008854068"/>
    <m/>
    <m/>
  </r>
  <r>
    <x v="27"/>
    <x v="92"/>
    <s v="Março"/>
    <n v="2025"/>
    <n v="0.51642757991912303"/>
    <m/>
    <m/>
  </r>
  <r>
    <x v="27"/>
    <x v="93"/>
    <s v="Abril"/>
    <n v="2025"/>
    <n v="0.58551042082355897"/>
    <m/>
    <m/>
  </r>
  <r>
    <x v="27"/>
    <x v="94"/>
    <s v="Maio"/>
    <n v="2025"/>
    <n v="0.49639565495434229"/>
    <m/>
    <m/>
  </r>
  <r>
    <x v="27"/>
    <x v="95"/>
    <s v="Junho"/>
    <n v="2025"/>
    <n v="0.96982349808202806"/>
    <m/>
    <m/>
  </r>
  <r>
    <x v="27"/>
    <x v="96"/>
    <s v="Julho"/>
    <n v="2025"/>
    <n v="0.52381784436194101"/>
    <m/>
    <m/>
  </r>
  <r>
    <x v="27"/>
    <x v="97"/>
    <s v="Agosto"/>
    <n v="2025"/>
    <n v="0.52381784436194101"/>
    <m/>
    <m/>
  </r>
  <r>
    <x v="27"/>
    <x v="98"/>
    <s v="Setembro"/>
    <n v="2025"/>
    <n v="0.73110074307014628"/>
    <m/>
    <m/>
  </r>
  <r>
    <x v="27"/>
    <x v="99"/>
    <s v="Outubro"/>
    <n v="2025"/>
    <n v="0.5392769978662052"/>
    <m/>
    <m/>
  </r>
  <r>
    <x v="27"/>
    <x v="100"/>
    <s v="Novembro"/>
    <n v="2025"/>
    <n v="0.57511674030150994"/>
    <m/>
    <m/>
  </r>
  <r>
    <x v="27"/>
    <x v="101"/>
    <s v="Dezembro"/>
    <n v="2025"/>
    <n v="0.51132738887469009"/>
    <m/>
    <m/>
  </r>
  <r>
    <x v="27"/>
    <x v="102"/>
    <s v="Janeiro"/>
    <n v="2026"/>
    <e v="#DIV/0!"/>
    <m/>
    <m/>
  </r>
  <r>
    <x v="0"/>
    <x v="0"/>
    <m/>
    <m/>
    <m/>
    <m/>
    <m/>
  </r>
  <r>
    <x v="28"/>
    <x v="1"/>
    <s v="Dezembro"/>
    <n v="2013"/>
    <e v="#DIV/0!"/>
    <m/>
    <m/>
  </r>
  <r>
    <x v="28"/>
    <x v="2"/>
    <s v="Dezembro"/>
    <n v="2014"/>
    <e v="#DIV/0!"/>
    <m/>
    <m/>
  </r>
  <r>
    <x v="28"/>
    <x v="3"/>
    <s v="Dezembro"/>
    <n v="2015"/>
    <e v="#DIV/0!"/>
    <m/>
    <m/>
  </r>
  <r>
    <x v="28"/>
    <x v="4"/>
    <s v="Dezembro"/>
    <n v="2016"/>
    <e v="#DIV/0!"/>
    <m/>
    <m/>
  </r>
  <r>
    <x v="28"/>
    <x v="5"/>
    <s v="Dezembro"/>
    <n v="2017"/>
    <e v="#DIV/0!"/>
    <m/>
    <m/>
  </r>
  <r>
    <x v="28"/>
    <x v="6"/>
    <s v="Janeiro"/>
    <n v="2018"/>
    <n v="0.38401672208162935"/>
    <m/>
    <m/>
  </r>
  <r>
    <x v="28"/>
    <x v="7"/>
    <s v="Fevereiro"/>
    <n v="2018"/>
    <n v="0.34787643468320423"/>
    <m/>
    <m/>
  </r>
  <r>
    <x v="28"/>
    <x v="8"/>
    <s v="Março"/>
    <n v="2018"/>
    <n v="0.51579709014957509"/>
    <m/>
    <m/>
  </r>
  <r>
    <x v="28"/>
    <x v="9"/>
    <s v="Abril"/>
    <n v="2018"/>
    <n v="0.25520886695013062"/>
    <m/>
    <m/>
  </r>
  <r>
    <x v="28"/>
    <x v="10"/>
    <s v="Maio"/>
    <n v="2018"/>
    <n v="0.31485814164279236"/>
    <m/>
    <m/>
  </r>
  <r>
    <x v="28"/>
    <x v="11"/>
    <s v="Junho"/>
    <n v="2018"/>
    <n v="0.43084953269922727"/>
    <m/>
    <m/>
  </r>
  <r>
    <x v="28"/>
    <x v="12"/>
    <s v="Julho"/>
    <n v="2018"/>
    <n v="0.49358342832712265"/>
    <m/>
    <m/>
  </r>
  <r>
    <x v="28"/>
    <x v="13"/>
    <s v="Agosto"/>
    <n v="2018"/>
    <n v="0.36084833793991816"/>
    <m/>
    <m/>
  </r>
  <r>
    <x v="28"/>
    <x v="14"/>
    <s v="Setembro"/>
    <n v="2018"/>
    <n v="0.48464764557730167"/>
    <m/>
    <m/>
  </r>
  <r>
    <x v="28"/>
    <x v="15"/>
    <s v="Outubro"/>
    <n v="2018"/>
    <n v="0.37666551396000864"/>
    <m/>
    <m/>
  </r>
  <r>
    <x v="28"/>
    <x v="16"/>
    <s v="Novembro"/>
    <n v="2018"/>
    <n v="0.37901671639923573"/>
    <m/>
    <m/>
  </r>
  <r>
    <x v="28"/>
    <x v="17"/>
    <s v="Dezembro"/>
    <n v="2018"/>
    <n v="0.39232875044589705"/>
    <m/>
    <m/>
  </r>
  <r>
    <x v="28"/>
    <x v="18"/>
    <s v="Janeiro"/>
    <n v="2019"/>
    <n v="0.52599765458567038"/>
    <m/>
    <m/>
  </r>
  <r>
    <x v="28"/>
    <x v="19"/>
    <s v="Fevereiro"/>
    <n v="2019"/>
    <n v="0.40074579015343148"/>
    <m/>
    <m/>
  </r>
  <r>
    <x v="28"/>
    <x v="20"/>
    <s v="Março"/>
    <n v="2019"/>
    <n v="0.3793392317766302"/>
    <m/>
    <m/>
  </r>
  <r>
    <x v="28"/>
    <x v="21"/>
    <s v="Abril"/>
    <n v="2019"/>
    <n v="0.46993038816981014"/>
    <m/>
    <m/>
  </r>
  <r>
    <x v="28"/>
    <x v="22"/>
    <s v="Maio"/>
    <n v="2019"/>
    <n v="0.42202122645310031"/>
    <m/>
    <m/>
  </r>
  <r>
    <x v="28"/>
    <x v="23"/>
    <s v="Junho"/>
    <n v="2019"/>
    <n v="0.3885229230087936"/>
    <m/>
    <m/>
  </r>
  <r>
    <x v="28"/>
    <x v="24"/>
    <s v="Julho"/>
    <n v="2019"/>
    <n v="0.40035756287425917"/>
    <m/>
    <m/>
  </r>
  <r>
    <x v="28"/>
    <x v="25"/>
    <s v="Agosto"/>
    <n v="2019"/>
    <n v="0.48614476742864648"/>
    <m/>
    <m/>
  </r>
  <r>
    <x v="28"/>
    <x v="26"/>
    <s v="Setembro"/>
    <n v="2019"/>
    <n v="0.5285664227963448"/>
    <m/>
    <m/>
  </r>
  <r>
    <x v="28"/>
    <x v="27"/>
    <s v="Outubro"/>
    <n v="2019"/>
    <n v="0.44925622805842247"/>
    <m/>
    <m/>
  </r>
  <r>
    <x v="28"/>
    <x v="28"/>
    <s v="Novembro"/>
    <n v="2019"/>
    <n v="0.54280197830824406"/>
    <m/>
    <m/>
  </r>
  <r>
    <x v="28"/>
    <x v="29"/>
    <s v="Dezembro"/>
    <n v="2019"/>
    <n v="0.4694737075852759"/>
    <m/>
    <m/>
  </r>
  <r>
    <x v="28"/>
    <x v="30"/>
    <s v="Janeiro"/>
    <n v="2020"/>
    <n v="0.46047711473501324"/>
    <m/>
    <m/>
  </r>
  <r>
    <x v="28"/>
    <x v="31"/>
    <s v="Fevereiro"/>
    <n v="2020"/>
    <n v="0.30595138216711104"/>
    <m/>
    <m/>
  </r>
  <r>
    <x v="28"/>
    <x v="32"/>
    <s v="Março"/>
    <n v="2020"/>
    <n v="0.36514685114164641"/>
    <m/>
    <m/>
  </r>
  <r>
    <x v="28"/>
    <x v="33"/>
    <s v="Abril"/>
    <n v="2020"/>
    <n v="0.49113386016149047"/>
    <m/>
    <m/>
  </r>
  <r>
    <x v="28"/>
    <x v="34"/>
    <s v="Maio"/>
    <n v="2020"/>
    <n v="0.38338050681365055"/>
    <m/>
    <m/>
  </r>
  <r>
    <x v="28"/>
    <x v="35"/>
    <s v="Junho"/>
    <n v="2020"/>
    <n v="0.35636935056578717"/>
    <m/>
    <m/>
  </r>
  <r>
    <x v="28"/>
    <x v="36"/>
    <s v="Julho"/>
    <n v="2020"/>
    <n v="0.50348783139420905"/>
    <m/>
    <m/>
  </r>
  <r>
    <x v="28"/>
    <x v="37"/>
    <s v="Agosto"/>
    <n v="2020"/>
    <n v="0.4659455252129332"/>
    <m/>
    <m/>
  </r>
  <r>
    <x v="28"/>
    <x v="38"/>
    <s v="Setembro"/>
    <n v="2020"/>
    <n v="0.44375291211143481"/>
    <m/>
    <m/>
  </r>
  <r>
    <x v="28"/>
    <x v="39"/>
    <s v="Outubro"/>
    <n v="2020"/>
    <n v="0.43876426389017137"/>
    <m/>
    <m/>
  </r>
  <r>
    <x v="28"/>
    <x v="40"/>
    <s v="Novembro"/>
    <n v="2020"/>
    <n v="0.47539288906686888"/>
    <m/>
    <m/>
  </r>
  <r>
    <x v="28"/>
    <x v="41"/>
    <s v="Dezembro"/>
    <n v="2020"/>
    <n v="0.38590643943829872"/>
    <m/>
    <m/>
  </r>
  <r>
    <x v="28"/>
    <x v="42"/>
    <s v="Janeiro"/>
    <n v="2021"/>
    <n v="0.44514428182113203"/>
    <m/>
    <m/>
  </r>
  <r>
    <x v="28"/>
    <x v="43"/>
    <s v="Fevereiro"/>
    <n v="2021"/>
    <n v="0.33074302650874043"/>
    <m/>
    <m/>
  </r>
  <r>
    <x v="28"/>
    <x v="44"/>
    <s v="Março"/>
    <n v="2021"/>
    <n v="0.3873915282969122"/>
    <m/>
    <m/>
  </r>
  <r>
    <x v="28"/>
    <x v="45"/>
    <s v="Abril"/>
    <n v="2021"/>
    <n v="0.50408514926694115"/>
    <m/>
    <m/>
  </r>
  <r>
    <x v="28"/>
    <x v="46"/>
    <s v="Maio"/>
    <n v="2021"/>
    <n v="0.37972489127455045"/>
    <m/>
    <m/>
  </r>
  <r>
    <x v="28"/>
    <x v="47"/>
    <s v="Junho"/>
    <n v="2021"/>
    <n v="0.41500033988551099"/>
    <m/>
    <m/>
  </r>
  <r>
    <x v="28"/>
    <x v="48"/>
    <s v="Julho"/>
    <n v="2021"/>
    <n v="0.42624741337402666"/>
    <m/>
    <m/>
  </r>
  <r>
    <x v="28"/>
    <x v="49"/>
    <s v="Agosto"/>
    <n v="2021"/>
    <n v="0.40156702747655321"/>
    <m/>
    <m/>
  </r>
  <r>
    <x v="28"/>
    <x v="50"/>
    <s v="Setembro"/>
    <n v="2021"/>
    <n v="0.38942284265355254"/>
    <m/>
    <m/>
  </r>
  <r>
    <x v="28"/>
    <x v="51"/>
    <s v="Outubro"/>
    <n v="2021"/>
    <n v="0.44190028312261626"/>
    <m/>
    <m/>
  </r>
  <r>
    <x v="28"/>
    <x v="52"/>
    <s v="Novembro"/>
    <n v="2021"/>
    <n v="0.41596932290526878"/>
    <m/>
    <m/>
  </r>
  <r>
    <x v="28"/>
    <x v="53"/>
    <s v="Dezembro"/>
    <n v="2021"/>
    <n v="0.43707201507633936"/>
    <m/>
    <m/>
  </r>
  <r>
    <x v="28"/>
    <x v="54"/>
    <s v="Janeiro"/>
    <n v="2022"/>
    <n v="0.40172071033248513"/>
    <m/>
    <m/>
  </r>
  <r>
    <x v="28"/>
    <x v="55"/>
    <s v="Fevereiro"/>
    <n v="2022"/>
    <n v="0.39446426840274651"/>
    <m/>
    <m/>
  </r>
  <r>
    <x v="28"/>
    <x v="56"/>
    <s v="Março"/>
    <n v="2022"/>
    <n v="0.43424941071491446"/>
    <m/>
    <m/>
  </r>
  <r>
    <x v="28"/>
    <x v="57"/>
    <s v="Abril"/>
    <n v="2022"/>
    <n v="0.35449800345126686"/>
    <m/>
    <m/>
  </r>
  <r>
    <x v="28"/>
    <x v="58"/>
    <s v="Maio"/>
    <n v="2022"/>
    <n v="0.36646177015080494"/>
    <m/>
    <m/>
  </r>
  <r>
    <x v="28"/>
    <x v="59"/>
    <s v="Junho"/>
    <n v="2022"/>
    <n v="0.28433230389171227"/>
    <m/>
    <m/>
  </r>
  <r>
    <x v="28"/>
    <x v="60"/>
    <s v="Julho"/>
    <n v="2022"/>
    <n v="0.37422779639147846"/>
    <m/>
    <m/>
  </r>
  <r>
    <x v="28"/>
    <x v="61"/>
    <s v="Agosto"/>
    <n v="2022"/>
    <n v="0.41794030418870476"/>
    <m/>
    <m/>
  </r>
  <r>
    <x v="28"/>
    <x v="62"/>
    <s v="Setembro"/>
    <n v="2022"/>
    <n v="0.38357642563394467"/>
    <m/>
    <m/>
  </r>
  <r>
    <x v="28"/>
    <x v="63"/>
    <s v="Outubro"/>
    <n v="2022"/>
    <n v="0.41925318920734594"/>
    <m/>
    <m/>
  </r>
  <r>
    <x v="28"/>
    <x v="64"/>
    <s v="Novembro"/>
    <n v="2022"/>
    <n v="0.41754687387149869"/>
    <m/>
    <m/>
  </r>
  <r>
    <x v="28"/>
    <x v="65"/>
    <s v="Dezembro"/>
    <n v="2022"/>
    <n v="0.40485111215154512"/>
    <m/>
    <m/>
  </r>
  <r>
    <x v="28"/>
    <x v="66"/>
    <s v="Janeiro"/>
    <n v="2023"/>
    <n v="0.37327591728785375"/>
    <m/>
    <m/>
  </r>
  <r>
    <x v="28"/>
    <x v="67"/>
    <s v="Fevereiro"/>
    <n v="2023"/>
    <n v="0.4081759843798779"/>
    <m/>
    <m/>
  </r>
  <r>
    <x v="28"/>
    <x v="68"/>
    <s v="Março"/>
    <n v="2023"/>
    <n v="0.43657025642905573"/>
    <m/>
    <m/>
  </r>
  <r>
    <x v="28"/>
    <x v="69"/>
    <s v="Abril"/>
    <n v="2023"/>
    <n v="0.38495698886313312"/>
    <m/>
    <m/>
  </r>
  <r>
    <x v="28"/>
    <x v="70"/>
    <s v="Maio"/>
    <n v="2023"/>
    <n v="0.47602564429637861"/>
    <m/>
    <m/>
  </r>
  <r>
    <x v="28"/>
    <x v="71"/>
    <s v="Junho"/>
    <n v="2023"/>
    <n v="0.36274064780162218"/>
    <m/>
    <m/>
  </r>
  <r>
    <x v="28"/>
    <x v="72"/>
    <s v="Julho"/>
    <n v="2023"/>
    <n v="0.49502079058714893"/>
    <m/>
    <m/>
  </r>
  <r>
    <x v="28"/>
    <x v="73"/>
    <s v="Agosto"/>
    <n v="2023"/>
    <n v="0.36947403566963383"/>
    <m/>
    <m/>
  </r>
  <r>
    <x v="28"/>
    <x v="74"/>
    <s v="Setembro"/>
    <n v="2023"/>
    <e v="#DIV/0!"/>
    <m/>
    <m/>
  </r>
  <r>
    <x v="28"/>
    <x v="75"/>
    <s v="Outubro"/>
    <n v="2023"/>
    <e v="#DIV/0!"/>
    <m/>
    <m/>
  </r>
  <r>
    <x v="28"/>
    <x v="76"/>
    <s v="Novembro"/>
    <n v="2023"/>
    <e v="#DIV/0!"/>
    <m/>
    <m/>
  </r>
  <r>
    <x v="28"/>
    <x v="77"/>
    <s v="Dezembro"/>
    <n v="2023"/>
    <e v="#DIV/0!"/>
    <m/>
    <m/>
  </r>
  <r>
    <x v="28"/>
    <x v="78"/>
    <s v="Janeiro"/>
    <n v="2024"/>
    <e v="#DIV/0!"/>
    <m/>
    <m/>
  </r>
  <r>
    <x v="28"/>
    <x v="79"/>
    <s v="Fevereiro"/>
    <n v="2024"/>
    <e v="#DIV/0!"/>
    <m/>
    <m/>
  </r>
  <r>
    <x v="28"/>
    <x v="80"/>
    <s v="Março"/>
    <n v="2024"/>
    <e v="#DIV/0!"/>
    <m/>
    <m/>
  </r>
  <r>
    <x v="28"/>
    <x v="81"/>
    <s v="Abril"/>
    <n v="2024"/>
    <e v="#DIV/0!"/>
    <m/>
    <m/>
  </r>
  <r>
    <x v="28"/>
    <x v="82"/>
    <s v="Maio"/>
    <n v="2024"/>
    <n v="0.34056269862957417"/>
    <m/>
    <m/>
  </r>
  <r>
    <x v="28"/>
    <x v="83"/>
    <s v="Junho"/>
    <n v="2024"/>
    <n v="0.40613767632461556"/>
    <m/>
    <m/>
  </r>
  <r>
    <x v="28"/>
    <x v="84"/>
    <s v="Julho"/>
    <n v="2024"/>
    <n v="0.37169951670591206"/>
    <m/>
    <m/>
  </r>
  <r>
    <x v="28"/>
    <x v="85"/>
    <s v="Agosto"/>
    <n v="2024"/>
    <n v="0.40084855768084016"/>
    <m/>
    <m/>
  </r>
  <r>
    <x v="28"/>
    <x v="86"/>
    <s v="Setembro"/>
    <n v="2024"/>
    <n v="0.39718793624090648"/>
    <m/>
    <m/>
  </r>
  <r>
    <x v="28"/>
    <x v="87"/>
    <s v="Outubro"/>
    <n v="2024"/>
    <n v="0.45162414653276495"/>
    <m/>
    <m/>
  </r>
  <r>
    <x v="28"/>
    <x v="88"/>
    <s v="Novembro"/>
    <n v="2024"/>
    <n v="0.43611480378856887"/>
    <m/>
    <m/>
  </r>
  <r>
    <x v="28"/>
    <x v="89"/>
    <s v="Dezembro"/>
    <n v="2024"/>
    <n v="0.37223795647550306"/>
    <m/>
    <m/>
  </r>
  <r>
    <x v="28"/>
    <x v="90"/>
    <s v="Janeiro"/>
    <n v="2025"/>
    <n v="0.3829866071223077"/>
    <m/>
    <m/>
  </r>
  <r>
    <x v="28"/>
    <x v="91"/>
    <s v="Fevereiro"/>
    <n v="2025"/>
    <n v="0.3636816756777857"/>
    <m/>
    <m/>
  </r>
  <r>
    <x v="28"/>
    <x v="92"/>
    <s v="Março"/>
    <n v="2025"/>
    <n v="0.46733699459768868"/>
    <m/>
    <m/>
  </r>
  <r>
    <x v="28"/>
    <x v="93"/>
    <s v="Abril"/>
    <n v="2025"/>
    <n v="0.43250572097886714"/>
    <m/>
    <m/>
  </r>
  <r>
    <x v="28"/>
    <x v="94"/>
    <s v="Maio"/>
    <n v="2025"/>
    <n v="0.73070245078769047"/>
    <m/>
    <m/>
  </r>
  <r>
    <x v="28"/>
    <x v="95"/>
    <s v="Junho"/>
    <n v="2025"/>
    <n v="0.48583204248414935"/>
    <m/>
    <m/>
  </r>
  <r>
    <x v="28"/>
    <x v="96"/>
    <s v="Julho"/>
    <n v="2025"/>
    <n v="0.44848669639513006"/>
    <m/>
    <m/>
  </r>
  <r>
    <x v="28"/>
    <x v="97"/>
    <s v="Agosto"/>
    <n v="2025"/>
    <n v="0.44848669639513006"/>
    <m/>
    <m/>
  </r>
  <r>
    <x v="28"/>
    <x v="98"/>
    <s v="Setembro"/>
    <n v="2025"/>
    <n v="0.43082280457013838"/>
    <m/>
    <m/>
  </r>
  <r>
    <x v="28"/>
    <x v="99"/>
    <s v="Outubro"/>
    <n v="2025"/>
    <n v="0.39376000447342879"/>
    <m/>
    <m/>
  </r>
  <r>
    <x v="28"/>
    <x v="100"/>
    <s v="Novembro"/>
    <n v="2025"/>
    <n v="0.49184213107868013"/>
    <m/>
    <m/>
  </r>
  <r>
    <x v="28"/>
    <x v="101"/>
    <s v="Dezembro"/>
    <n v="2025"/>
    <n v="0.55196589259347306"/>
    <m/>
    <m/>
  </r>
  <r>
    <x v="28"/>
    <x v="102"/>
    <s v="Janeiro"/>
    <n v="2026"/>
    <e v="#DIV/0!"/>
    <m/>
    <m/>
  </r>
  <r>
    <x v="0"/>
    <x v="0"/>
    <m/>
    <m/>
    <m/>
    <m/>
    <m/>
  </r>
  <r>
    <x v="29"/>
    <x v="1"/>
    <s v="Dezembro"/>
    <n v="2013"/>
    <e v="#DIV/0!"/>
    <m/>
    <m/>
  </r>
  <r>
    <x v="29"/>
    <x v="2"/>
    <s v="Dezembro"/>
    <n v="2014"/>
    <e v="#DIV/0!"/>
    <m/>
    <m/>
  </r>
  <r>
    <x v="29"/>
    <x v="3"/>
    <s v="Dezembro"/>
    <n v="2015"/>
    <e v="#DIV/0!"/>
    <m/>
    <m/>
  </r>
  <r>
    <x v="29"/>
    <x v="4"/>
    <s v="Dezembro"/>
    <n v="2016"/>
    <e v="#DIV/0!"/>
    <m/>
    <m/>
  </r>
  <r>
    <x v="29"/>
    <x v="5"/>
    <s v="Dezembro"/>
    <n v="2017"/>
    <e v="#DIV/0!"/>
    <m/>
    <m/>
  </r>
  <r>
    <x v="29"/>
    <x v="6"/>
    <s v="Janeiro"/>
    <n v="2018"/>
    <n v="0.40728891161081771"/>
    <m/>
    <m/>
  </r>
  <r>
    <x v="29"/>
    <x v="7"/>
    <s v="Fevereiro"/>
    <n v="2018"/>
    <n v="0.42699498136977654"/>
    <m/>
    <m/>
  </r>
  <r>
    <x v="29"/>
    <x v="8"/>
    <s v="Março"/>
    <n v="2018"/>
    <n v="0.47556752312394091"/>
    <m/>
    <m/>
  </r>
  <r>
    <x v="29"/>
    <x v="9"/>
    <s v="Abril"/>
    <n v="2018"/>
    <n v="0.22094219419568423"/>
    <m/>
    <m/>
  </r>
  <r>
    <x v="29"/>
    <x v="10"/>
    <s v="Maio"/>
    <n v="2018"/>
    <n v="0.34737403945438783"/>
    <m/>
    <m/>
  </r>
  <r>
    <x v="29"/>
    <x v="11"/>
    <s v="Junho"/>
    <n v="2018"/>
    <n v="0.39387893236391169"/>
    <m/>
    <m/>
  </r>
  <r>
    <x v="29"/>
    <x v="12"/>
    <s v="Julho"/>
    <n v="2018"/>
    <n v="0.37143563273738012"/>
    <m/>
    <m/>
  </r>
  <r>
    <x v="29"/>
    <x v="13"/>
    <s v="Agosto"/>
    <n v="2018"/>
    <n v="0.59099405141429662"/>
    <m/>
    <m/>
  </r>
  <r>
    <x v="29"/>
    <x v="14"/>
    <s v="Setembro"/>
    <n v="2018"/>
    <n v="0.25435355024219825"/>
    <m/>
    <m/>
  </r>
  <r>
    <x v="29"/>
    <x v="15"/>
    <s v="Outubro"/>
    <n v="2018"/>
    <n v="0.97975850745212911"/>
    <m/>
    <m/>
  </r>
  <r>
    <x v="29"/>
    <x v="16"/>
    <s v="Novembro"/>
    <n v="2018"/>
    <n v="2.677915769441725"/>
    <m/>
    <m/>
  </r>
  <r>
    <x v="29"/>
    <x v="17"/>
    <s v="Dezembro"/>
    <n v="2018"/>
    <n v="0.11841021142678024"/>
    <m/>
    <m/>
  </r>
  <r>
    <x v="29"/>
    <x v="18"/>
    <s v="Janeiro"/>
    <n v="2019"/>
    <n v="0.65612476677399878"/>
    <m/>
    <m/>
  </r>
  <r>
    <x v="29"/>
    <x v="19"/>
    <s v="Fevereiro"/>
    <n v="2019"/>
    <n v="0.39830556216441898"/>
    <m/>
    <m/>
  </r>
  <r>
    <x v="29"/>
    <x v="20"/>
    <s v="Março"/>
    <n v="2019"/>
    <n v="0.40951266192240399"/>
    <m/>
    <m/>
  </r>
  <r>
    <x v="29"/>
    <x v="21"/>
    <s v="Abril"/>
    <n v="2019"/>
    <n v="0.41451867343659704"/>
    <m/>
    <m/>
  </r>
  <r>
    <x v="29"/>
    <x v="22"/>
    <s v="Maio"/>
    <n v="2019"/>
    <n v="0.41210453477762932"/>
    <m/>
    <m/>
  </r>
  <r>
    <x v="29"/>
    <x v="23"/>
    <s v="Junho"/>
    <n v="2019"/>
    <n v="2.2660139259251744"/>
    <m/>
    <m/>
  </r>
  <r>
    <x v="29"/>
    <x v="24"/>
    <s v="Julho"/>
    <n v="2019"/>
    <n v="0.25045409031662907"/>
    <m/>
    <m/>
  </r>
  <r>
    <x v="29"/>
    <x v="25"/>
    <s v="Agosto"/>
    <n v="2019"/>
    <n v="0.2683331400062442"/>
    <m/>
    <m/>
  </r>
  <r>
    <x v="29"/>
    <x v="26"/>
    <s v="Setembro"/>
    <n v="2019"/>
    <n v="0.58031872881500646"/>
    <m/>
    <m/>
  </r>
  <r>
    <x v="29"/>
    <x v="27"/>
    <s v="Outubro"/>
    <n v="2019"/>
    <n v="0.39125061921970106"/>
    <m/>
    <m/>
  </r>
  <r>
    <x v="29"/>
    <x v="28"/>
    <s v="Novembro"/>
    <n v="2019"/>
    <n v="0.43745520343763611"/>
    <m/>
    <m/>
  </r>
  <r>
    <x v="29"/>
    <x v="29"/>
    <s v="Dezembro"/>
    <n v="2019"/>
    <n v="0.37798400627910134"/>
    <m/>
    <m/>
  </r>
  <r>
    <x v="29"/>
    <x v="30"/>
    <s v="Janeiro"/>
    <n v="2020"/>
    <n v="0.6609632414222455"/>
    <m/>
    <m/>
  </r>
  <r>
    <x v="29"/>
    <x v="31"/>
    <s v="Fevereiro"/>
    <n v="2020"/>
    <n v="0.39620653064910077"/>
    <m/>
    <m/>
  </r>
  <r>
    <x v="29"/>
    <x v="32"/>
    <s v="Março"/>
    <n v="2020"/>
    <n v="0.54446305804742945"/>
    <m/>
    <m/>
  </r>
  <r>
    <x v="29"/>
    <x v="33"/>
    <s v="Abril"/>
    <n v="2020"/>
    <n v="0.43132820255837817"/>
    <m/>
    <m/>
  </r>
  <r>
    <x v="29"/>
    <x v="34"/>
    <s v="Maio"/>
    <n v="2020"/>
    <n v="0.43084298270380256"/>
    <m/>
    <m/>
  </r>
  <r>
    <x v="29"/>
    <x v="35"/>
    <s v="Junho"/>
    <n v="2020"/>
    <n v="0.47395052309153596"/>
    <m/>
    <m/>
  </r>
  <r>
    <x v="29"/>
    <x v="36"/>
    <s v="Julho"/>
    <n v="2020"/>
    <n v="0.36425044150901542"/>
    <m/>
    <m/>
  </r>
  <r>
    <x v="29"/>
    <x v="37"/>
    <s v="Agosto"/>
    <n v="2020"/>
    <n v="0.26963643956355177"/>
    <m/>
    <m/>
  </r>
  <r>
    <x v="29"/>
    <x v="38"/>
    <s v="Setembro"/>
    <n v="2020"/>
    <n v="0.77923539776362249"/>
    <m/>
    <m/>
  </r>
  <r>
    <x v="29"/>
    <x v="39"/>
    <s v="Outubro"/>
    <n v="2020"/>
    <n v="0.38815051829869623"/>
    <m/>
    <m/>
  </r>
  <r>
    <x v="29"/>
    <x v="40"/>
    <s v="Novembro"/>
    <n v="2020"/>
    <n v="0.47449187767502415"/>
    <m/>
    <m/>
  </r>
  <r>
    <x v="29"/>
    <x v="41"/>
    <s v="Dezembro"/>
    <n v="2020"/>
    <n v="0.72691908751678491"/>
    <m/>
    <m/>
  </r>
  <r>
    <x v="29"/>
    <x v="42"/>
    <s v="Janeiro"/>
    <n v="2021"/>
    <n v="0.79947752859072085"/>
    <m/>
    <m/>
  </r>
  <r>
    <x v="29"/>
    <x v="43"/>
    <s v="Fevereiro"/>
    <n v="2021"/>
    <n v="0.47395569803900517"/>
    <m/>
    <m/>
  </r>
  <r>
    <x v="29"/>
    <x v="44"/>
    <s v="Março"/>
    <n v="2021"/>
    <n v="0.75265550734003339"/>
    <m/>
    <m/>
  </r>
  <r>
    <x v="29"/>
    <x v="45"/>
    <s v="Abril"/>
    <n v="2021"/>
    <n v="0.46047334083711638"/>
    <m/>
    <m/>
  </r>
  <r>
    <x v="29"/>
    <x v="46"/>
    <s v="Maio"/>
    <n v="2021"/>
    <n v="0.45498174426042431"/>
    <m/>
    <m/>
  </r>
  <r>
    <x v="29"/>
    <x v="47"/>
    <s v="Junho"/>
    <n v="2021"/>
    <n v="1.4900825713692383"/>
    <m/>
    <m/>
  </r>
  <r>
    <x v="29"/>
    <x v="48"/>
    <s v="Julho"/>
    <n v="2021"/>
    <n v="0.8728776826338347"/>
    <m/>
    <m/>
  </r>
  <r>
    <x v="29"/>
    <x v="49"/>
    <s v="Agosto"/>
    <n v="2021"/>
    <n v="0.65373192512386002"/>
    <m/>
    <m/>
  </r>
  <r>
    <x v="29"/>
    <x v="50"/>
    <s v="Setembro"/>
    <n v="2021"/>
    <n v="0.96857396018292563"/>
    <m/>
    <m/>
  </r>
  <r>
    <x v="29"/>
    <x v="51"/>
    <s v="Outubro"/>
    <n v="2021"/>
    <n v="1.1569375421152293"/>
    <m/>
    <m/>
  </r>
  <r>
    <x v="29"/>
    <x v="52"/>
    <s v="Novembro"/>
    <n v="2021"/>
    <n v="0.97310429179931524"/>
    <m/>
    <m/>
  </r>
  <r>
    <x v="29"/>
    <x v="53"/>
    <s v="Dezembro"/>
    <n v="2021"/>
    <n v="8.7914468846903873"/>
    <m/>
    <m/>
  </r>
  <r>
    <x v="29"/>
    <x v="54"/>
    <s v="Janeiro"/>
    <n v="2022"/>
    <n v="0.87376664504995383"/>
    <m/>
    <m/>
  </r>
  <r>
    <x v="29"/>
    <x v="55"/>
    <s v="Fevereiro"/>
    <n v="2022"/>
    <n v="3.7274437342678053"/>
    <m/>
    <m/>
  </r>
  <r>
    <x v="29"/>
    <x v="56"/>
    <s v="Março"/>
    <n v="2022"/>
    <n v="0.13318471707123317"/>
    <m/>
    <m/>
  </r>
  <r>
    <x v="29"/>
    <x v="57"/>
    <s v="Abril"/>
    <n v="2022"/>
    <n v="9.1988277267774834E-3"/>
    <m/>
    <m/>
  </r>
  <r>
    <x v="29"/>
    <x v="58"/>
    <s v="Maio"/>
    <n v="2022"/>
    <n v="6.6791428922584536E-3"/>
    <m/>
    <m/>
  </r>
  <r>
    <x v="29"/>
    <x v="59"/>
    <s v="Junho"/>
    <n v="2022"/>
    <n v="0.19714244207409373"/>
    <m/>
    <m/>
  </r>
  <r>
    <x v="29"/>
    <x v="60"/>
    <s v="Julho"/>
    <n v="2022"/>
    <n v="8.0627471118714697E-2"/>
    <m/>
    <m/>
  </r>
  <r>
    <x v="29"/>
    <x v="61"/>
    <s v="Agosto"/>
    <n v="2022"/>
    <n v="1.9002800692805855E-3"/>
    <m/>
    <m/>
  </r>
  <r>
    <x v="29"/>
    <x v="62"/>
    <s v="Setembro"/>
    <n v="2022"/>
    <n v="4.3912050137290669E-3"/>
    <m/>
    <m/>
  </r>
  <r>
    <x v="29"/>
    <x v="63"/>
    <s v="Outubro"/>
    <n v="2022"/>
    <n v="1.3622749570662042E-2"/>
    <m/>
    <m/>
  </r>
  <r>
    <x v="29"/>
    <x v="64"/>
    <s v="Novembro"/>
    <n v="2022"/>
    <n v="4.0426654886057567E-2"/>
    <m/>
    <m/>
  </r>
  <r>
    <x v="29"/>
    <x v="65"/>
    <s v="Dezembro"/>
    <n v="2022"/>
    <n v="8.4616651139719627E-4"/>
    <m/>
    <m/>
  </r>
  <r>
    <x v="29"/>
    <x v="66"/>
    <s v="Janeiro"/>
    <n v="2023"/>
    <n v="8.2567417010344854E-2"/>
    <m/>
    <m/>
  </r>
  <r>
    <x v="29"/>
    <x v="67"/>
    <s v="Fevereiro"/>
    <n v="2023"/>
    <n v="0"/>
    <m/>
    <m/>
  </r>
  <r>
    <x v="29"/>
    <x v="68"/>
    <s v="Março"/>
    <n v="2023"/>
    <n v="3.0369272219903046E-3"/>
    <m/>
    <m/>
  </r>
  <r>
    <x v="29"/>
    <x v="69"/>
    <s v="Abril"/>
    <n v="2023"/>
    <n v="0"/>
    <m/>
    <m/>
  </r>
  <r>
    <x v="29"/>
    <x v="70"/>
    <s v="Maio"/>
    <n v="2023"/>
    <n v="7.2997063454498029E-3"/>
    <m/>
    <m/>
  </r>
  <r>
    <x v="29"/>
    <x v="71"/>
    <s v="Junho"/>
    <n v="2023"/>
    <n v="0"/>
    <m/>
    <m/>
  </r>
  <r>
    <x v="29"/>
    <x v="72"/>
    <s v="Julho"/>
    <n v="2023"/>
    <n v="0"/>
    <m/>
    <m/>
  </r>
  <r>
    <x v="29"/>
    <x v="73"/>
    <s v="Agosto"/>
    <n v="2023"/>
    <n v="0"/>
    <m/>
    <m/>
  </r>
  <r>
    <x v="29"/>
    <x v="74"/>
    <s v="Setembro"/>
    <n v="2023"/>
    <e v="#DIV/0!"/>
    <m/>
    <m/>
  </r>
  <r>
    <x v="29"/>
    <x v="75"/>
    <s v="Outubro"/>
    <n v="2023"/>
    <e v="#DIV/0!"/>
    <m/>
    <m/>
  </r>
  <r>
    <x v="29"/>
    <x v="76"/>
    <s v="Novembro"/>
    <n v="2023"/>
    <e v="#DIV/0!"/>
    <m/>
    <m/>
  </r>
  <r>
    <x v="29"/>
    <x v="77"/>
    <s v="Dezembro"/>
    <n v="2023"/>
    <e v="#DIV/0!"/>
    <m/>
    <m/>
  </r>
  <r>
    <x v="29"/>
    <x v="78"/>
    <s v="Janeiro"/>
    <n v="2024"/>
    <e v="#DIV/0!"/>
    <m/>
    <m/>
  </r>
  <r>
    <x v="29"/>
    <x v="79"/>
    <s v="Fevereiro"/>
    <n v="2024"/>
    <e v="#DIV/0!"/>
    <m/>
    <m/>
  </r>
  <r>
    <x v="29"/>
    <x v="80"/>
    <s v="Março"/>
    <n v="2024"/>
    <e v="#DIV/0!"/>
    <m/>
    <m/>
  </r>
  <r>
    <x v="29"/>
    <x v="81"/>
    <s v="Abril"/>
    <n v="2024"/>
    <e v="#DIV/0!"/>
    <m/>
    <m/>
  </r>
  <r>
    <x v="29"/>
    <x v="82"/>
    <s v="Maio"/>
    <n v="2024"/>
    <n v="0.38873458320933768"/>
    <m/>
    <m/>
  </r>
  <r>
    <x v="29"/>
    <x v="83"/>
    <s v="Junho"/>
    <n v="2024"/>
    <n v="5.4652801674756647E-3"/>
    <m/>
    <m/>
  </r>
  <r>
    <x v="29"/>
    <x v="84"/>
    <s v="Julho"/>
    <n v="2024"/>
    <n v="0"/>
    <m/>
    <m/>
  </r>
  <r>
    <x v="29"/>
    <x v="85"/>
    <s v="Agosto"/>
    <n v="2024"/>
    <n v="9.442909112177765E-2"/>
    <m/>
    <m/>
  </r>
  <r>
    <x v="29"/>
    <x v="86"/>
    <s v="Setembro"/>
    <n v="2024"/>
    <n v="0.23263031095779274"/>
    <m/>
    <m/>
  </r>
  <r>
    <x v="29"/>
    <x v="87"/>
    <s v="Outubro"/>
    <n v="2024"/>
    <n v="0.12644712521469775"/>
    <m/>
    <m/>
  </r>
  <r>
    <x v="29"/>
    <x v="88"/>
    <s v="Novembro"/>
    <n v="2024"/>
    <n v="0.40368852671011018"/>
    <m/>
    <m/>
  </r>
  <r>
    <x v="29"/>
    <x v="89"/>
    <s v="Dezembro"/>
    <n v="2024"/>
    <n v="5.0507423449403137E-3"/>
    <m/>
    <m/>
  </r>
  <r>
    <x v="29"/>
    <x v="90"/>
    <s v="Janeiro"/>
    <n v="2025"/>
    <n v="4.1629358219038563E-2"/>
    <m/>
    <m/>
  </r>
  <r>
    <x v="29"/>
    <x v="91"/>
    <s v="Fevereiro"/>
    <n v="2025"/>
    <n v="1.4979398300692826E-2"/>
    <m/>
    <m/>
  </r>
  <r>
    <x v="29"/>
    <x v="92"/>
    <s v="Março"/>
    <n v="2025"/>
    <n v="0"/>
    <m/>
    <m/>
  </r>
  <r>
    <x v="29"/>
    <x v="93"/>
    <s v="Abril"/>
    <n v="2025"/>
    <n v="0"/>
    <m/>
    <m/>
  </r>
  <r>
    <x v="29"/>
    <x v="94"/>
    <s v="Maio"/>
    <n v="2025"/>
    <n v="9.1310845794135828E-2"/>
    <m/>
    <m/>
  </r>
  <r>
    <x v="29"/>
    <x v="95"/>
    <s v="Junho"/>
    <n v="2025"/>
    <n v="-5.1592292956560539E-3"/>
    <m/>
    <m/>
  </r>
  <r>
    <x v="29"/>
    <x v="96"/>
    <s v="Julho"/>
    <n v="2025"/>
    <n v="5.5967817322241355E-2"/>
    <m/>
    <m/>
  </r>
  <r>
    <x v="29"/>
    <x v="97"/>
    <s v="Agosto"/>
    <n v="2025"/>
    <n v="0"/>
    <m/>
    <m/>
  </r>
  <r>
    <x v="29"/>
    <x v="98"/>
    <s v="Setembro"/>
    <n v="2025"/>
    <n v="-2.3725226981514383E-3"/>
    <m/>
    <m/>
  </r>
  <r>
    <x v="29"/>
    <x v="99"/>
    <s v="Outubro"/>
    <n v="2025"/>
    <n v="0"/>
    <m/>
    <m/>
  </r>
  <r>
    <x v="29"/>
    <x v="100"/>
    <s v="Novembro"/>
    <n v="2025"/>
    <n v="0"/>
    <m/>
    <m/>
  </r>
  <r>
    <x v="29"/>
    <x v="101"/>
    <s v="Dezembro"/>
    <n v="2025"/>
    <n v="-1.026816648821955E-2"/>
    <m/>
    <m/>
  </r>
  <r>
    <x v="29"/>
    <x v="102"/>
    <s v="Janeiro"/>
    <n v="2026"/>
    <e v="#DIV/0!"/>
    <m/>
    <m/>
  </r>
  <r>
    <x v="0"/>
    <x v="0"/>
    <m/>
    <m/>
    <m/>
    <m/>
    <m/>
  </r>
  <r>
    <x v="30"/>
    <x v="1"/>
    <s v="Dezembro"/>
    <n v="2013"/>
    <n v="149369.21"/>
    <m/>
    <m/>
  </r>
  <r>
    <x v="30"/>
    <x v="2"/>
    <s v="Dezembro"/>
    <n v="2014"/>
    <n v="520678.65"/>
    <m/>
    <m/>
  </r>
  <r>
    <x v="30"/>
    <x v="3"/>
    <s v="Dezembro"/>
    <n v="2015"/>
    <n v="530028.29"/>
    <m/>
    <m/>
  </r>
  <r>
    <x v="30"/>
    <x v="4"/>
    <s v="Dezembro"/>
    <n v="2016"/>
    <n v="529280.31999999995"/>
    <m/>
    <m/>
  </r>
  <r>
    <x v="30"/>
    <x v="5"/>
    <s v="Dezembro"/>
    <n v="2017"/>
    <n v="548164.75"/>
    <m/>
    <m/>
  </r>
  <r>
    <x v="30"/>
    <x v="6"/>
    <s v="Janeiro"/>
    <n v="2018"/>
    <n v="614165.23"/>
    <m/>
    <m/>
  </r>
  <r>
    <x v="30"/>
    <x v="7"/>
    <s v="Fevereiro"/>
    <n v="2018"/>
    <n v="786376.51"/>
    <m/>
    <m/>
  </r>
  <r>
    <x v="30"/>
    <x v="8"/>
    <s v="Março"/>
    <n v="2018"/>
    <n v="879835.53"/>
    <m/>
    <m/>
  </r>
  <r>
    <x v="30"/>
    <x v="9"/>
    <s v="Abril"/>
    <n v="2018"/>
    <n v="909666.89"/>
    <m/>
    <m/>
  </r>
  <r>
    <x v="30"/>
    <x v="10"/>
    <s v="Maio"/>
    <n v="2018"/>
    <n v="1341763.04"/>
    <m/>
    <m/>
  </r>
  <r>
    <x v="30"/>
    <x v="11"/>
    <s v="Junho"/>
    <n v="2018"/>
    <n v="1438326.07"/>
    <m/>
    <m/>
  </r>
  <r>
    <x v="30"/>
    <x v="12"/>
    <s v="Julho"/>
    <n v="2018"/>
    <n v="1414367.04"/>
    <m/>
    <m/>
  </r>
  <r>
    <x v="30"/>
    <x v="13"/>
    <s v="Agosto"/>
    <n v="2018"/>
    <n v="1613373.63"/>
    <m/>
    <m/>
  </r>
  <r>
    <x v="30"/>
    <x v="14"/>
    <s v="Setembro"/>
    <n v="2018"/>
    <n v="1984753.24"/>
    <m/>
    <m/>
  </r>
  <r>
    <x v="30"/>
    <x v="15"/>
    <s v="Outubro"/>
    <n v="2018"/>
    <n v="1621115.08"/>
    <m/>
    <m/>
  </r>
  <r>
    <x v="30"/>
    <x v="16"/>
    <s v="Novembro"/>
    <n v="2018"/>
    <n v="1059846.1499999999"/>
    <m/>
    <m/>
  </r>
  <r>
    <x v="30"/>
    <x v="17"/>
    <s v="Dezembro"/>
    <n v="2018"/>
    <n v="591950.37"/>
    <m/>
    <m/>
  </r>
  <r>
    <x v="30"/>
    <x v="18"/>
    <s v="Janeiro"/>
    <n v="2019"/>
    <n v="1070339.33"/>
    <m/>
    <m/>
  </r>
  <r>
    <x v="30"/>
    <x v="19"/>
    <s v="Fevereiro"/>
    <n v="2019"/>
    <n v="1407681.15"/>
    <m/>
    <m/>
  </r>
  <r>
    <x v="30"/>
    <x v="20"/>
    <s v="Março"/>
    <n v="2019"/>
    <n v="1886208.73"/>
    <m/>
    <m/>
  </r>
  <r>
    <x v="30"/>
    <x v="21"/>
    <s v="Abril"/>
    <n v="2019"/>
    <n v="2017047.45"/>
    <m/>
    <m/>
  </r>
  <r>
    <x v="30"/>
    <x v="22"/>
    <s v="Maio"/>
    <n v="2019"/>
    <n v="2194824.5299999998"/>
    <m/>
    <m/>
  </r>
  <r>
    <x v="30"/>
    <x v="23"/>
    <s v="Junho"/>
    <n v="2019"/>
    <n v="1894584.34"/>
    <m/>
    <m/>
  </r>
  <r>
    <x v="30"/>
    <x v="24"/>
    <s v="Julho"/>
    <n v="2019"/>
    <n v="1213339.2"/>
    <m/>
    <m/>
  </r>
  <r>
    <x v="30"/>
    <x v="25"/>
    <s v="Agosto"/>
    <n v="2019"/>
    <n v="1071145.77"/>
    <m/>
    <m/>
  </r>
  <r>
    <x v="30"/>
    <x v="26"/>
    <s v="Setembro"/>
    <n v="2019"/>
    <n v="1489306.41"/>
    <m/>
    <m/>
  </r>
  <r>
    <x v="30"/>
    <x v="27"/>
    <s v="Outubro"/>
    <n v="2019"/>
    <n v="2187203.92"/>
    <m/>
    <m/>
  </r>
  <r>
    <x v="30"/>
    <x v="28"/>
    <s v="Novembro"/>
    <n v="2019"/>
    <n v="2177038.09"/>
    <m/>
    <m/>
  </r>
  <r>
    <x v="30"/>
    <x v="29"/>
    <s v="Dezembro"/>
    <n v="2019"/>
    <n v="1462923.24"/>
    <m/>
    <m/>
  </r>
  <r>
    <x v="30"/>
    <x v="30"/>
    <s v="Janeiro"/>
    <n v="2020"/>
    <n v="1838067.33"/>
    <m/>
    <m/>
  </r>
  <r>
    <x v="30"/>
    <x v="31"/>
    <s v="Fevereiro"/>
    <n v="2020"/>
    <n v="2355052.0099999998"/>
    <m/>
    <m/>
  </r>
  <r>
    <x v="30"/>
    <x v="32"/>
    <s v="Março"/>
    <n v="2020"/>
    <n v="1812435.14"/>
    <m/>
    <m/>
  </r>
  <r>
    <x v="30"/>
    <x v="33"/>
    <s v="Abril"/>
    <n v="2020"/>
    <n v="894549.5"/>
    <m/>
    <m/>
  </r>
  <r>
    <x v="30"/>
    <x v="34"/>
    <s v="Maio"/>
    <n v="2020"/>
    <n v="862513.16"/>
    <m/>
    <m/>
  </r>
  <r>
    <x v="30"/>
    <x v="35"/>
    <s v="Junho"/>
    <n v="2020"/>
    <n v="1086925.6200000001"/>
    <m/>
    <m/>
  </r>
  <r>
    <x v="30"/>
    <x v="36"/>
    <s v="Julho"/>
    <n v="2020"/>
    <n v="2241912.41"/>
    <m/>
    <m/>
  </r>
  <r>
    <x v="30"/>
    <x v="37"/>
    <s v="Agosto"/>
    <n v="2020"/>
    <n v="2565038.0099999998"/>
    <m/>
    <m/>
  </r>
  <r>
    <x v="30"/>
    <x v="38"/>
    <s v="Setembro"/>
    <n v="2020"/>
    <n v="2556746.54"/>
    <m/>
    <m/>
  </r>
  <r>
    <x v="30"/>
    <x v="39"/>
    <s v="Outubro"/>
    <n v="2020"/>
    <n v="2208341.5099999998"/>
    <m/>
    <m/>
  </r>
  <r>
    <x v="30"/>
    <x v="40"/>
    <s v="Novembro"/>
    <n v="2020"/>
    <n v="2914759.25"/>
    <m/>
    <m/>
  </r>
  <r>
    <x v="30"/>
    <x v="41"/>
    <s v="Dezembro"/>
    <n v="2020"/>
    <n v="2763954.82"/>
    <m/>
    <m/>
  </r>
  <r>
    <x v="30"/>
    <x v="42"/>
    <s v="Janeiro"/>
    <n v="2021"/>
    <n v="2473880.4300000002"/>
    <m/>
    <m/>
  </r>
  <r>
    <x v="30"/>
    <x v="43"/>
    <s v="Fevereiro"/>
    <n v="2021"/>
    <n v="3340220.21"/>
    <m/>
    <m/>
  </r>
  <r>
    <x v="30"/>
    <x v="44"/>
    <s v="Março"/>
    <n v="2021"/>
    <n v="3920176.37"/>
    <m/>
    <m/>
  </r>
  <r>
    <x v="30"/>
    <x v="45"/>
    <s v="Abril"/>
    <n v="2021"/>
    <n v="4364837.42"/>
    <m/>
    <m/>
  </r>
  <r>
    <x v="30"/>
    <x v="46"/>
    <s v="Maio"/>
    <n v="2021"/>
    <n v="4691801.7699999996"/>
    <m/>
    <m/>
  </r>
  <r>
    <x v="30"/>
    <x v="47"/>
    <s v="Junho"/>
    <n v="2021"/>
    <n v="4905657.2300000004"/>
    <m/>
    <m/>
  </r>
  <r>
    <x v="30"/>
    <x v="48"/>
    <s v="Julho"/>
    <n v="2021"/>
    <n v="5024769.0599999996"/>
    <m/>
    <m/>
  </r>
  <r>
    <x v="30"/>
    <x v="49"/>
    <s v="Agosto"/>
    <n v="2021"/>
    <n v="4122144.79"/>
    <m/>
    <m/>
  </r>
  <r>
    <x v="30"/>
    <x v="50"/>
    <s v="Setembro"/>
    <n v="2021"/>
    <n v="3611594.01"/>
    <m/>
    <m/>
  </r>
  <r>
    <x v="30"/>
    <x v="51"/>
    <s v="Outubro"/>
    <n v="2021"/>
    <n v="4143806.15"/>
    <m/>
    <m/>
  </r>
  <r>
    <x v="30"/>
    <x v="52"/>
    <s v="Novembro"/>
    <n v="2021"/>
    <n v="3327623.87"/>
    <m/>
    <m/>
  </r>
  <r>
    <x v="30"/>
    <x v="53"/>
    <s v="Dezembro"/>
    <n v="2021"/>
    <n v="2539758.56"/>
    <m/>
    <m/>
  </r>
  <r>
    <x v="30"/>
    <x v="54"/>
    <s v="Janeiro"/>
    <n v="2022"/>
    <n v="2739477.82"/>
    <m/>
    <m/>
  </r>
  <r>
    <x v="30"/>
    <x v="55"/>
    <s v="Fevereiro"/>
    <n v="2022"/>
    <n v="3792926.25"/>
    <m/>
    <m/>
  </r>
  <r>
    <x v="30"/>
    <x v="56"/>
    <s v="Março"/>
    <n v="2022"/>
    <n v="4249314.96"/>
    <m/>
    <m/>
  </r>
  <r>
    <x v="30"/>
    <x v="57"/>
    <s v="Abril"/>
    <n v="2022"/>
    <n v="3873619.07"/>
    <m/>
    <m/>
  </r>
  <r>
    <x v="30"/>
    <x v="58"/>
    <s v="Maio"/>
    <n v="2022"/>
    <n v="4274894.83"/>
    <m/>
    <m/>
  </r>
  <r>
    <x v="30"/>
    <x v="59"/>
    <s v="Junho"/>
    <n v="2022"/>
    <n v="4176042.67"/>
    <m/>
    <m/>
  </r>
  <r>
    <x v="30"/>
    <x v="60"/>
    <s v="Julho"/>
    <n v="2022"/>
    <n v="4351851.4800000004"/>
    <m/>
    <m/>
  </r>
  <r>
    <x v="30"/>
    <x v="61"/>
    <s v="Agosto"/>
    <n v="2022"/>
    <n v="3693984.13"/>
    <m/>
    <m/>
  </r>
  <r>
    <x v="30"/>
    <x v="62"/>
    <s v="Setembro"/>
    <n v="2022"/>
    <n v="2951514.68"/>
    <m/>
    <m/>
  </r>
  <r>
    <x v="30"/>
    <x v="63"/>
    <s v="Outubro"/>
    <n v="2022"/>
    <n v="3029685.42"/>
    <m/>
    <m/>
  </r>
  <r>
    <x v="30"/>
    <x v="64"/>
    <s v="Novembro"/>
    <n v="2022"/>
    <n v="2521647.63"/>
    <m/>
    <m/>
  </r>
  <r>
    <x v="30"/>
    <x v="65"/>
    <s v="Dezembro"/>
    <n v="2022"/>
    <n v="2073299.29"/>
    <m/>
    <m/>
  </r>
  <r>
    <x v="30"/>
    <x v="66"/>
    <s v="Janeiro"/>
    <n v="2023"/>
    <n v="1751789.64"/>
    <m/>
    <m/>
  </r>
  <r>
    <x v="30"/>
    <x v="67"/>
    <s v="Fevereiro"/>
    <n v="2023"/>
    <n v="1597963.54"/>
    <m/>
    <m/>
  </r>
  <r>
    <x v="30"/>
    <x v="68"/>
    <s v="Março"/>
    <n v="2023"/>
    <n v="1805403.34"/>
    <m/>
    <m/>
  </r>
  <r>
    <x v="30"/>
    <x v="69"/>
    <s v="Abril"/>
    <n v="2023"/>
    <n v="1834018.38"/>
    <m/>
    <m/>
  </r>
  <r>
    <x v="30"/>
    <x v="70"/>
    <s v="Maio"/>
    <n v="2023"/>
    <n v="3055320.44"/>
    <m/>
    <m/>
  </r>
  <r>
    <x v="30"/>
    <x v="71"/>
    <s v="Junho"/>
    <n v="2023"/>
    <n v="3514459.23"/>
    <m/>
    <m/>
  </r>
  <r>
    <x v="30"/>
    <x v="72"/>
    <s v="Julho"/>
    <n v="2023"/>
    <n v="4016295.36"/>
    <m/>
    <m/>
  </r>
  <r>
    <x v="30"/>
    <x v="73"/>
    <s v="Agosto"/>
    <n v="2023"/>
    <n v="3804581.5"/>
    <m/>
    <m/>
  </r>
  <r>
    <x v="30"/>
    <x v="74"/>
    <s v="Setembro"/>
    <n v="2023"/>
    <n v="4981106.2"/>
    <m/>
    <m/>
  </r>
  <r>
    <x v="30"/>
    <x v="75"/>
    <s v="Outubro"/>
    <n v="2023"/>
    <n v="4614995.62"/>
    <m/>
    <m/>
  </r>
  <r>
    <x v="30"/>
    <x v="76"/>
    <s v="Novembro"/>
    <n v="2023"/>
    <n v="4297565.1399999997"/>
    <m/>
    <m/>
  </r>
  <r>
    <x v="30"/>
    <x v="77"/>
    <s v="Dezembro"/>
    <n v="2023"/>
    <n v="3618912.24"/>
    <m/>
    <m/>
  </r>
  <r>
    <x v="30"/>
    <x v="78"/>
    <s v="Janeiro"/>
    <n v="2024"/>
    <n v="4036174.71"/>
    <m/>
    <m/>
  </r>
  <r>
    <x v="30"/>
    <x v="79"/>
    <s v="Fevereiro"/>
    <n v="2024"/>
    <n v="4948315.95"/>
    <m/>
    <m/>
  </r>
  <r>
    <x v="30"/>
    <x v="80"/>
    <s v="Março"/>
    <n v="2024"/>
    <n v="6815448.0700000003"/>
    <m/>
    <m/>
  </r>
  <r>
    <x v="30"/>
    <x v="81"/>
    <s v="Abril"/>
    <n v="2024"/>
    <n v="6896823.0499999998"/>
    <m/>
    <m/>
  </r>
  <r>
    <x v="30"/>
    <x v="82"/>
    <s v="Maio"/>
    <n v="2024"/>
    <n v="11751964.25"/>
    <m/>
    <m/>
  </r>
  <r>
    <x v="30"/>
    <x v="83"/>
    <s v="Junho"/>
    <n v="2024"/>
    <n v="9187624.2100000009"/>
    <m/>
    <m/>
  </r>
  <r>
    <x v="30"/>
    <x v="84"/>
    <s v="Julho"/>
    <n v="2024"/>
    <n v="8448433.2899999991"/>
    <m/>
    <m/>
  </r>
  <r>
    <x v="30"/>
    <x v="85"/>
    <s v="Agosto"/>
    <n v="2024"/>
    <n v="8353577.9000000004"/>
    <m/>
    <m/>
  </r>
  <r>
    <x v="30"/>
    <x v="86"/>
    <s v="Setembro"/>
    <n v="2024"/>
    <n v="7300031.8600000003"/>
    <m/>
    <m/>
  </r>
  <r>
    <x v="30"/>
    <x v="87"/>
    <s v="Outubro"/>
    <n v="2024"/>
    <n v="6844843.8499999996"/>
    <m/>
    <m/>
  </r>
  <r>
    <x v="30"/>
    <x v="88"/>
    <s v="Novembro"/>
    <n v="2024"/>
    <n v="7411482.8399999999"/>
    <m/>
    <m/>
  </r>
  <r>
    <x v="30"/>
    <x v="89"/>
    <s v="Dezembro"/>
    <n v="2024"/>
    <n v="5277068.1900000004"/>
    <m/>
    <m/>
  </r>
  <r>
    <x v="30"/>
    <x v="90"/>
    <s v="Janeiro"/>
    <n v="2025"/>
    <n v="7123752.6100000003"/>
    <m/>
    <m/>
  </r>
  <r>
    <x v="30"/>
    <x v="91"/>
    <s v="Fevereiro"/>
    <n v="2025"/>
    <n v="7323281.0999999996"/>
    <m/>
    <m/>
  </r>
  <r>
    <x v="30"/>
    <x v="92"/>
    <s v="Março"/>
    <n v="2025"/>
    <n v="5448274.1900000004"/>
    <m/>
    <m/>
  </r>
  <r>
    <x v="30"/>
    <x v="93"/>
    <s v="Abril"/>
    <n v="2025"/>
    <n v="4727651.09"/>
    <m/>
    <m/>
  </r>
  <r>
    <x v="30"/>
    <x v="94"/>
    <s v="Maio"/>
    <n v="2025"/>
    <n v="4912673.3600000003"/>
    <m/>
    <m/>
  </r>
  <r>
    <x v="30"/>
    <x v="95"/>
    <s v="Junho"/>
    <n v="2025"/>
    <n v="6116291.8200000003"/>
    <m/>
    <m/>
  </r>
  <r>
    <x v="30"/>
    <x v="96"/>
    <s v="Julho"/>
    <n v="2025"/>
    <n v="6038372.8300000001"/>
    <m/>
    <m/>
  </r>
  <r>
    <x v="30"/>
    <x v="97"/>
    <s v="Agosto"/>
    <n v="2025"/>
    <n v="4610653.37"/>
    <m/>
    <m/>
  </r>
  <r>
    <x v="30"/>
    <x v="98"/>
    <s v="Setembro"/>
    <n v="2025"/>
    <n v="3866048.08"/>
    <m/>
    <m/>
  </r>
  <r>
    <x v="30"/>
    <x v="99"/>
    <s v="Outubro"/>
    <n v="2025"/>
    <n v="3665479.09"/>
    <m/>
    <m/>
  </r>
  <r>
    <x v="30"/>
    <x v="100"/>
    <s v="Novembro"/>
    <n v="2025"/>
    <n v="4601275.7"/>
    <m/>
    <m/>
  </r>
  <r>
    <x v="30"/>
    <x v="101"/>
    <s v="Dezembro"/>
    <n v="2025"/>
    <n v="4474235.8499999996"/>
    <m/>
    <m/>
  </r>
  <r>
    <x v="30"/>
    <x v="102"/>
    <s v="Janeiro"/>
    <n v="2026"/>
    <n v="4678773.76"/>
    <m/>
    <m/>
  </r>
  <r>
    <x v="0"/>
    <x v="0"/>
    <m/>
    <m/>
    <m/>
    <m/>
    <m/>
  </r>
  <r>
    <x v="31"/>
    <x v="1"/>
    <s v="Dezembro"/>
    <n v="2013"/>
    <n v="0"/>
    <m/>
    <m/>
  </r>
  <r>
    <x v="31"/>
    <x v="2"/>
    <s v="Dezembro"/>
    <n v="2014"/>
    <n v="777851.74"/>
    <m/>
    <m/>
  </r>
  <r>
    <x v="31"/>
    <x v="3"/>
    <s v="Dezembro"/>
    <n v="2015"/>
    <n v="343274.65"/>
    <m/>
    <m/>
  </r>
  <r>
    <x v="31"/>
    <x v="4"/>
    <s v="Dezembro"/>
    <n v="2016"/>
    <n v="0"/>
    <m/>
    <m/>
  </r>
  <r>
    <x v="31"/>
    <x v="5"/>
    <s v="Dezembro"/>
    <n v="2017"/>
    <n v="384067.26"/>
    <m/>
    <m/>
  </r>
  <r>
    <x v="31"/>
    <x v="6"/>
    <s v="Janeiro"/>
    <n v="2018"/>
    <n v="0"/>
    <m/>
    <m/>
  </r>
  <r>
    <x v="31"/>
    <x v="7"/>
    <s v="Fevereiro"/>
    <n v="2018"/>
    <n v="6457.3"/>
    <m/>
    <m/>
  </r>
  <r>
    <x v="31"/>
    <x v="8"/>
    <s v="Março"/>
    <n v="2018"/>
    <n v="6663.65"/>
    <m/>
    <m/>
  </r>
  <r>
    <x v="31"/>
    <x v="9"/>
    <s v="Abril"/>
    <n v="2018"/>
    <n v="5517.2"/>
    <m/>
    <m/>
  </r>
  <r>
    <x v="31"/>
    <x v="10"/>
    <s v="Maio"/>
    <n v="2018"/>
    <n v="11336.03"/>
    <m/>
    <m/>
  </r>
  <r>
    <x v="31"/>
    <x v="11"/>
    <s v="Junho"/>
    <n v="2018"/>
    <n v="317918.59999999998"/>
    <m/>
    <m/>
  </r>
  <r>
    <x v="31"/>
    <x v="12"/>
    <s v="Julho"/>
    <n v="2018"/>
    <n v="4639.2"/>
    <m/>
    <m/>
  </r>
  <r>
    <x v="31"/>
    <x v="13"/>
    <s v="Agosto"/>
    <n v="2018"/>
    <n v="6703.33"/>
    <m/>
    <m/>
  </r>
  <r>
    <x v="31"/>
    <x v="14"/>
    <s v="Setembro"/>
    <n v="2018"/>
    <n v="6577.66"/>
    <m/>
    <m/>
  </r>
  <r>
    <x v="31"/>
    <x v="15"/>
    <s v="Outubro"/>
    <n v="2018"/>
    <n v="442818.17"/>
    <m/>
    <m/>
  </r>
  <r>
    <x v="31"/>
    <x v="16"/>
    <s v="Novembro"/>
    <n v="2018"/>
    <n v="394639.77"/>
    <m/>
    <m/>
  </r>
  <r>
    <x v="31"/>
    <x v="17"/>
    <s v="Dezembro"/>
    <n v="2018"/>
    <n v="608579.86"/>
    <m/>
    <m/>
  </r>
  <r>
    <x v="31"/>
    <x v="18"/>
    <s v="Janeiro"/>
    <n v="2019"/>
    <n v="899432.09"/>
    <m/>
    <m/>
  </r>
  <r>
    <x v="31"/>
    <x v="19"/>
    <s v="Fevereiro"/>
    <n v="2019"/>
    <n v="170697.45"/>
    <m/>
    <m/>
  </r>
  <r>
    <x v="31"/>
    <x v="20"/>
    <s v="Março"/>
    <n v="2019"/>
    <n v="175438.6"/>
    <m/>
    <m/>
  </r>
  <r>
    <x v="31"/>
    <x v="21"/>
    <s v="Abril"/>
    <n v="2019"/>
    <n v="542278.56000000006"/>
    <m/>
    <m/>
  </r>
  <r>
    <x v="31"/>
    <x v="22"/>
    <s v="Maio"/>
    <n v="2019"/>
    <n v="541118.47"/>
    <m/>
    <m/>
  </r>
  <r>
    <x v="31"/>
    <x v="23"/>
    <s v="Junho"/>
    <n v="2019"/>
    <n v="1240675.74"/>
    <m/>
    <m/>
  </r>
  <r>
    <x v="31"/>
    <x v="24"/>
    <s v="Julho"/>
    <n v="2019"/>
    <n v="969920.28"/>
    <m/>
    <m/>
  </r>
  <r>
    <x v="31"/>
    <x v="25"/>
    <s v="Agosto"/>
    <n v="2019"/>
    <n v="653434.28"/>
    <m/>
    <m/>
  </r>
  <r>
    <x v="31"/>
    <x v="26"/>
    <s v="Setembro"/>
    <n v="2019"/>
    <n v="899208.53"/>
    <m/>
    <m/>
  </r>
  <r>
    <x v="31"/>
    <x v="27"/>
    <s v="Outubro"/>
    <n v="2019"/>
    <n v="470223.31"/>
    <m/>
    <m/>
  </r>
  <r>
    <x v="31"/>
    <x v="28"/>
    <s v="Novembro"/>
    <n v="2019"/>
    <n v="1002399.8"/>
    <m/>
    <m/>
  </r>
  <r>
    <x v="31"/>
    <x v="29"/>
    <s v="Dezembro"/>
    <n v="2019"/>
    <n v="1260466.68"/>
    <m/>
    <m/>
  </r>
  <r>
    <x v="31"/>
    <x v="30"/>
    <s v="Janeiro"/>
    <n v="2020"/>
    <n v="1205959.49"/>
    <m/>
    <m/>
  </r>
  <r>
    <x v="31"/>
    <x v="31"/>
    <s v="Fevereiro"/>
    <n v="2020"/>
    <n v="1439809.54"/>
    <m/>
    <m/>
  </r>
  <r>
    <x v="31"/>
    <x v="32"/>
    <s v="Março"/>
    <n v="2020"/>
    <n v="1414834.14"/>
    <m/>
    <m/>
  </r>
  <r>
    <x v="31"/>
    <x v="33"/>
    <s v="Abril"/>
    <n v="2020"/>
    <n v="1330325.03"/>
    <m/>
    <m/>
  </r>
  <r>
    <x v="31"/>
    <x v="34"/>
    <s v="Maio"/>
    <n v="2020"/>
    <n v="1895365.35"/>
    <m/>
    <m/>
  </r>
  <r>
    <x v="31"/>
    <x v="35"/>
    <s v="Junho"/>
    <n v="2020"/>
    <n v="1301608.67"/>
    <m/>
    <m/>
  </r>
  <r>
    <x v="31"/>
    <x v="36"/>
    <s v="Julho"/>
    <n v="2020"/>
    <n v="265284.15999999997"/>
    <m/>
    <m/>
  </r>
  <r>
    <x v="31"/>
    <x v="37"/>
    <s v="Agosto"/>
    <n v="2020"/>
    <n v="281993.01"/>
    <m/>
    <m/>
  </r>
  <r>
    <x v="31"/>
    <x v="38"/>
    <s v="Setembro"/>
    <n v="2020"/>
    <n v="147786.54999999999"/>
    <m/>
    <m/>
  </r>
  <r>
    <x v="31"/>
    <x v="39"/>
    <s v="Outubro"/>
    <n v="2020"/>
    <n v="150265.98000000001"/>
    <m/>
    <m/>
  </r>
  <r>
    <x v="31"/>
    <x v="40"/>
    <s v="Novembro"/>
    <n v="2020"/>
    <n v="505894.95"/>
    <m/>
    <m/>
  </r>
  <r>
    <x v="31"/>
    <x v="41"/>
    <s v="Dezembro"/>
    <n v="2020"/>
    <n v="122838.68"/>
    <m/>
    <m/>
  </r>
  <r>
    <x v="31"/>
    <x v="42"/>
    <s v="Janeiro"/>
    <n v="2021"/>
    <n v="384366.05"/>
    <m/>
    <m/>
  </r>
  <r>
    <x v="31"/>
    <x v="43"/>
    <s v="Fevereiro"/>
    <n v="2021"/>
    <n v="884735.97"/>
    <m/>
    <m/>
  </r>
  <r>
    <x v="31"/>
    <x v="44"/>
    <s v="Março"/>
    <n v="2021"/>
    <n v="996386.94"/>
    <m/>
    <m/>
  </r>
  <r>
    <x v="31"/>
    <x v="45"/>
    <s v="Abril"/>
    <n v="2021"/>
    <n v="703492.9"/>
    <m/>
    <m/>
  </r>
  <r>
    <x v="31"/>
    <x v="46"/>
    <s v="Maio"/>
    <n v="2021"/>
    <n v="226627.14"/>
    <m/>
    <m/>
  </r>
  <r>
    <x v="31"/>
    <x v="47"/>
    <s v="Junho"/>
    <n v="2021"/>
    <n v="201446.53"/>
    <m/>
    <m/>
  </r>
  <r>
    <x v="31"/>
    <x v="48"/>
    <s v="Julho"/>
    <n v="2021"/>
    <n v="103285.13"/>
    <m/>
    <m/>
  </r>
  <r>
    <x v="31"/>
    <x v="49"/>
    <s v="Agosto"/>
    <n v="2021"/>
    <n v="103145.73"/>
    <m/>
    <m/>
  </r>
  <r>
    <x v="31"/>
    <x v="50"/>
    <s v="Setembro"/>
    <n v="2021"/>
    <n v="1719438.51"/>
    <m/>
    <m/>
  </r>
  <r>
    <x v="31"/>
    <x v="51"/>
    <s v="Outubro"/>
    <n v="2021"/>
    <n v="1127630.26"/>
    <m/>
    <m/>
  </r>
  <r>
    <x v="31"/>
    <x v="52"/>
    <s v="Novembro"/>
    <n v="2021"/>
    <n v="963267.72"/>
    <m/>
    <m/>
  </r>
  <r>
    <x v="31"/>
    <x v="53"/>
    <s v="Dezembro"/>
    <n v="2021"/>
    <n v="296204.23"/>
    <m/>
    <m/>
  </r>
  <r>
    <x v="31"/>
    <x v="54"/>
    <s v="Janeiro"/>
    <n v="2022"/>
    <n v="902001.12"/>
    <m/>
    <m/>
  </r>
  <r>
    <x v="31"/>
    <x v="55"/>
    <s v="Fevereiro"/>
    <n v="2022"/>
    <n v="874054.93"/>
    <m/>
    <m/>
  </r>
  <r>
    <x v="31"/>
    <x v="56"/>
    <s v="Março"/>
    <n v="2022"/>
    <n v="754773.37"/>
    <m/>
    <m/>
  </r>
  <r>
    <x v="31"/>
    <x v="57"/>
    <s v="Abril"/>
    <n v="2022"/>
    <n v="659374.68000000005"/>
    <m/>
    <m/>
  </r>
  <r>
    <x v="31"/>
    <x v="58"/>
    <s v="Maio"/>
    <n v="2022"/>
    <n v="562010.13"/>
    <m/>
    <m/>
  </r>
  <r>
    <x v="31"/>
    <x v="59"/>
    <s v="Junho"/>
    <n v="2022"/>
    <n v="1659397.02"/>
    <m/>
    <m/>
  </r>
  <r>
    <x v="31"/>
    <x v="60"/>
    <s v="Julho"/>
    <n v="2022"/>
    <n v="351893.41"/>
    <m/>
    <m/>
  </r>
  <r>
    <x v="31"/>
    <x v="61"/>
    <s v="Agosto"/>
    <n v="2022"/>
    <n v="1542184.34"/>
    <m/>
    <m/>
  </r>
  <r>
    <x v="31"/>
    <x v="62"/>
    <s v="Setembro"/>
    <n v="2022"/>
    <n v="2196001.86"/>
    <m/>
    <m/>
  </r>
  <r>
    <x v="31"/>
    <x v="63"/>
    <s v="Outubro"/>
    <n v="2022"/>
    <n v="2378742.69"/>
    <m/>
    <m/>
  </r>
  <r>
    <x v="31"/>
    <x v="64"/>
    <s v="Novembro"/>
    <n v="2022"/>
    <n v="613862.43999999994"/>
    <m/>
    <m/>
  </r>
  <r>
    <x v="31"/>
    <x v="65"/>
    <s v="Dezembro"/>
    <n v="2022"/>
    <n v="1669095.21"/>
    <m/>
    <m/>
  </r>
  <r>
    <x v="31"/>
    <x v="66"/>
    <s v="Janeiro"/>
    <n v="2023"/>
    <n v="458360.69"/>
    <m/>
    <m/>
  </r>
  <r>
    <x v="31"/>
    <x v="67"/>
    <s v="Fevereiro"/>
    <n v="2023"/>
    <n v="1780305.33"/>
    <m/>
    <m/>
  </r>
  <r>
    <x v="31"/>
    <x v="68"/>
    <s v="Março"/>
    <n v="2023"/>
    <n v="2008219.17"/>
    <m/>
    <m/>
  </r>
  <r>
    <x v="31"/>
    <x v="69"/>
    <s v="Abril"/>
    <n v="2023"/>
    <n v="1227030.6200000001"/>
    <m/>
    <m/>
  </r>
  <r>
    <x v="31"/>
    <x v="70"/>
    <s v="Maio"/>
    <n v="2023"/>
    <n v="2814343.87"/>
    <m/>
    <m/>
  </r>
  <r>
    <x v="31"/>
    <x v="71"/>
    <s v="Junho"/>
    <n v="2023"/>
    <n v="2263210.14"/>
    <m/>
    <m/>
  </r>
  <r>
    <x v="31"/>
    <x v="72"/>
    <s v="Julho"/>
    <n v="2023"/>
    <n v="1622676.79"/>
    <m/>
    <m/>
  </r>
  <r>
    <x v="31"/>
    <x v="73"/>
    <s v="Agosto"/>
    <n v="2023"/>
    <n v="1190927.83"/>
    <m/>
    <m/>
  </r>
  <r>
    <x v="31"/>
    <x v="74"/>
    <s v="Setembro"/>
    <n v="2023"/>
    <n v="2096509.36"/>
    <m/>
    <m/>
  </r>
  <r>
    <x v="31"/>
    <x v="75"/>
    <s v="Outubro"/>
    <n v="2023"/>
    <n v="2009789.4399999999"/>
    <m/>
    <m/>
  </r>
  <r>
    <x v="31"/>
    <x v="76"/>
    <s v="Novembro"/>
    <n v="2023"/>
    <n v="207660.16"/>
    <m/>
    <m/>
  </r>
  <r>
    <x v="31"/>
    <x v="77"/>
    <s v="Dezembro"/>
    <n v="2023"/>
    <n v="631018.89"/>
    <m/>
    <m/>
  </r>
  <r>
    <x v="31"/>
    <x v="78"/>
    <s v="Janeiro"/>
    <n v="2024"/>
    <n v="2025280.49"/>
    <m/>
    <m/>
  </r>
  <r>
    <x v="31"/>
    <x v="79"/>
    <s v="Fevereiro"/>
    <n v="2024"/>
    <n v="1732320.29"/>
    <m/>
    <m/>
  </r>
  <r>
    <x v="31"/>
    <x v="80"/>
    <s v="Março"/>
    <n v="2024"/>
    <n v="795192.03"/>
    <m/>
    <m/>
  </r>
  <r>
    <x v="31"/>
    <x v="81"/>
    <s v="Abril"/>
    <n v="2024"/>
    <n v="1856681.76"/>
    <m/>
    <m/>
  </r>
  <r>
    <x v="31"/>
    <x v="82"/>
    <s v="Maio"/>
    <n v="2024"/>
    <n v="2119039.31"/>
    <m/>
    <m/>
  </r>
  <r>
    <x v="31"/>
    <x v="83"/>
    <s v="Junho"/>
    <n v="2024"/>
    <n v="1645703.27"/>
    <m/>
    <m/>
  </r>
  <r>
    <x v="31"/>
    <x v="84"/>
    <s v="Julho"/>
    <n v="2024"/>
    <n v="1171687.24"/>
    <m/>
    <m/>
  </r>
  <r>
    <x v="31"/>
    <x v="85"/>
    <s v="Agosto"/>
    <n v="2024"/>
    <n v="1848265.12"/>
    <m/>
    <m/>
  </r>
  <r>
    <x v="31"/>
    <x v="86"/>
    <s v="Setembro"/>
    <n v="2024"/>
    <n v="957129.5"/>
    <m/>
    <m/>
  </r>
  <r>
    <x v="31"/>
    <x v="87"/>
    <s v="Outubro"/>
    <n v="2024"/>
    <n v="1953543.58"/>
    <m/>
    <m/>
  </r>
  <r>
    <x v="31"/>
    <x v="88"/>
    <s v="Novembro"/>
    <n v="2024"/>
    <n v="2685597.76"/>
    <m/>
    <m/>
  </r>
  <r>
    <x v="31"/>
    <x v="89"/>
    <s v="Dezembro"/>
    <n v="2024"/>
    <n v="2620762.5299999998"/>
    <m/>
    <m/>
  </r>
  <r>
    <x v="31"/>
    <x v="90"/>
    <s v="Janeiro"/>
    <n v="2025"/>
    <n v="2262168.83"/>
    <m/>
    <m/>
  </r>
  <r>
    <x v="31"/>
    <x v="91"/>
    <s v="Fevereiro"/>
    <n v="2025"/>
    <n v="1580189.19"/>
    <m/>
    <m/>
  </r>
  <r>
    <x v="31"/>
    <x v="92"/>
    <s v="Março"/>
    <n v="2025"/>
    <n v="1713345.09"/>
    <m/>
    <m/>
  </r>
  <r>
    <x v="31"/>
    <x v="93"/>
    <s v="Abril"/>
    <n v="2025"/>
    <n v="1240506.5900000001"/>
    <m/>
    <m/>
  </r>
  <r>
    <x v="31"/>
    <x v="94"/>
    <s v="Maio"/>
    <n v="2025"/>
    <n v="1029939.46"/>
    <m/>
    <m/>
  </r>
  <r>
    <x v="31"/>
    <x v="95"/>
    <s v="Junho"/>
    <n v="2025"/>
    <n v="2382663.56"/>
    <m/>
    <m/>
  </r>
  <r>
    <x v="31"/>
    <x v="96"/>
    <s v="Julho"/>
    <n v="2025"/>
    <n v="1358704.55"/>
    <m/>
    <m/>
  </r>
  <r>
    <x v="31"/>
    <x v="97"/>
    <s v="Agosto"/>
    <n v="2025"/>
    <n v="674567.75"/>
    <m/>
    <m/>
  </r>
  <r>
    <x v="31"/>
    <x v="98"/>
    <s v="Setembro"/>
    <n v="2025"/>
    <n v="675762.37"/>
    <m/>
    <m/>
  </r>
  <r>
    <x v="31"/>
    <x v="99"/>
    <s v="Outubro"/>
    <n v="2025"/>
    <n v="1996940.91"/>
    <m/>
    <m/>
  </r>
  <r>
    <x v="31"/>
    <x v="100"/>
    <s v="Novembro"/>
    <n v="2025"/>
    <n v="745798.67"/>
    <m/>
    <m/>
  </r>
  <r>
    <x v="31"/>
    <x v="101"/>
    <s v="Dezembro"/>
    <n v="2025"/>
    <n v="58389.69"/>
    <m/>
    <m/>
  </r>
  <r>
    <x v="31"/>
    <x v="102"/>
    <s v="Janeiro"/>
    <n v="2026"/>
    <n v="281606.68999999994"/>
    <m/>
    <m/>
  </r>
  <r>
    <x v="0"/>
    <x v="0"/>
    <m/>
    <m/>
    <m/>
    <m/>
    <m/>
  </r>
  <r>
    <x v="32"/>
    <x v="1"/>
    <s v="Dezembro"/>
    <n v="2013"/>
    <n v="238187.36"/>
    <m/>
    <m/>
  </r>
  <r>
    <x v="32"/>
    <x v="2"/>
    <s v="Dezembro"/>
    <n v="2014"/>
    <n v="153589.75000000003"/>
    <m/>
    <m/>
  </r>
  <r>
    <x v="32"/>
    <x v="3"/>
    <s v="Dezembro"/>
    <n v="2015"/>
    <n v="174440"/>
    <m/>
    <m/>
  </r>
  <r>
    <x v="32"/>
    <x v="4"/>
    <s v="Dezembro"/>
    <n v="2016"/>
    <n v="509441.11"/>
    <m/>
    <m/>
  </r>
  <r>
    <x v="32"/>
    <x v="5"/>
    <s v="Dezembro"/>
    <n v="2017"/>
    <n v="246874.33"/>
    <m/>
    <m/>
  </r>
  <r>
    <x v="32"/>
    <x v="6"/>
    <s v="Janeiro"/>
    <n v="2018"/>
    <n v="293840.37"/>
    <m/>
    <m/>
  </r>
  <r>
    <x v="32"/>
    <x v="7"/>
    <s v="Fevereiro"/>
    <n v="2018"/>
    <n v="276661.64"/>
    <m/>
    <m/>
  </r>
  <r>
    <x v="32"/>
    <x v="8"/>
    <s v="Março"/>
    <n v="2018"/>
    <n v="433881.92"/>
    <m/>
    <m/>
  </r>
  <r>
    <x v="32"/>
    <x v="9"/>
    <s v="Abril"/>
    <n v="2018"/>
    <n v="215361.45"/>
    <m/>
    <m/>
  </r>
  <r>
    <x v="32"/>
    <x v="10"/>
    <s v="Maio"/>
    <n v="2018"/>
    <n v="181523.81"/>
    <m/>
    <m/>
  </r>
  <r>
    <x v="32"/>
    <x v="11"/>
    <s v="Junho"/>
    <n v="2018"/>
    <n v="207928.17"/>
    <m/>
    <m/>
  </r>
  <r>
    <x v="32"/>
    <x v="12"/>
    <s v="Julho"/>
    <n v="2018"/>
    <n v="183771.51999999999"/>
    <m/>
    <m/>
  </r>
  <r>
    <x v="32"/>
    <x v="13"/>
    <s v="Agosto"/>
    <n v="2018"/>
    <n v="294456.2"/>
    <m/>
    <m/>
  </r>
  <r>
    <x v="32"/>
    <x v="14"/>
    <s v="Setembro"/>
    <n v="2018"/>
    <n v="590966.21"/>
    <m/>
    <m/>
  </r>
  <r>
    <x v="32"/>
    <x v="15"/>
    <s v="Outubro"/>
    <n v="2018"/>
    <n v="177852.7"/>
    <m/>
    <m/>
  </r>
  <r>
    <x v="32"/>
    <x v="16"/>
    <s v="Novembro"/>
    <n v="2018"/>
    <n v="87761.600000000006"/>
    <m/>
    <m/>
  </r>
  <r>
    <x v="32"/>
    <x v="17"/>
    <s v="Dezembro"/>
    <n v="2018"/>
    <n v="283835.37"/>
    <m/>
    <m/>
  </r>
  <r>
    <x v="32"/>
    <x v="18"/>
    <s v="Janeiro"/>
    <n v="2019"/>
    <n v="264454.90000000002"/>
    <m/>
    <m/>
  </r>
  <r>
    <x v="32"/>
    <x v="19"/>
    <s v="Fevereiro"/>
    <n v="2019"/>
    <n v="266359.40000000002"/>
    <m/>
    <m/>
  </r>
  <r>
    <x v="32"/>
    <x v="20"/>
    <s v="Março"/>
    <n v="2019"/>
    <n v="275321.65999999997"/>
    <m/>
    <m/>
  </r>
  <r>
    <x v="32"/>
    <x v="21"/>
    <s v="Abril"/>
    <n v="2019"/>
    <n v="262890.40000000002"/>
    <m/>
    <m/>
  </r>
  <r>
    <x v="32"/>
    <x v="22"/>
    <s v="Maio"/>
    <n v="2019"/>
    <n v="395688.49"/>
    <m/>
    <m/>
  </r>
  <r>
    <x v="32"/>
    <x v="23"/>
    <s v="Junho"/>
    <n v="2019"/>
    <n v="433589.23"/>
    <m/>
    <m/>
  </r>
  <r>
    <x v="32"/>
    <x v="24"/>
    <s v="Julho"/>
    <n v="2019"/>
    <n v="628941.88"/>
    <m/>
    <m/>
  </r>
  <r>
    <x v="32"/>
    <x v="25"/>
    <s v="Agosto"/>
    <n v="2019"/>
    <n v="415791.21"/>
    <m/>
    <m/>
  </r>
  <r>
    <x v="32"/>
    <x v="26"/>
    <s v="Setembro"/>
    <n v="2019"/>
    <n v="231568.23"/>
    <m/>
    <m/>
  </r>
  <r>
    <x v="32"/>
    <x v="27"/>
    <s v="Outubro"/>
    <n v="2019"/>
    <n v="355342.45"/>
    <m/>
    <m/>
  </r>
  <r>
    <x v="32"/>
    <x v="28"/>
    <s v="Novembro"/>
    <n v="2019"/>
    <n v="280205.67"/>
    <m/>
    <m/>
  </r>
  <r>
    <x v="32"/>
    <x v="29"/>
    <s v="Dezembro"/>
    <n v="2019"/>
    <n v="171215.29"/>
    <m/>
    <m/>
  </r>
  <r>
    <x v="32"/>
    <x v="30"/>
    <s v="Janeiro"/>
    <n v="2020"/>
    <n v="150294.60999999999"/>
    <m/>
    <m/>
  </r>
  <r>
    <x v="32"/>
    <x v="31"/>
    <s v="Fevereiro"/>
    <n v="2020"/>
    <n v="156955.69"/>
    <m/>
    <m/>
  </r>
  <r>
    <x v="32"/>
    <x v="32"/>
    <s v="Março"/>
    <n v="2020"/>
    <n v="141914.67000000001"/>
    <m/>
    <m/>
  </r>
  <r>
    <x v="32"/>
    <x v="33"/>
    <s v="Abril"/>
    <n v="2020"/>
    <n v="369312.42"/>
    <m/>
    <m/>
  </r>
  <r>
    <x v="32"/>
    <x v="34"/>
    <s v="Maio"/>
    <n v="2020"/>
    <n v="409065.41"/>
    <m/>
    <m/>
  </r>
  <r>
    <x v="32"/>
    <x v="35"/>
    <s v="Junho"/>
    <n v="2020"/>
    <n v="778555.69"/>
    <m/>
    <m/>
  </r>
  <r>
    <x v="32"/>
    <x v="36"/>
    <s v="Julho"/>
    <n v="2020"/>
    <n v="899522.98"/>
    <m/>
    <m/>
  </r>
  <r>
    <x v="32"/>
    <x v="37"/>
    <s v="Agosto"/>
    <n v="2020"/>
    <n v="1034470.21"/>
    <m/>
    <m/>
  </r>
  <r>
    <x v="32"/>
    <x v="38"/>
    <s v="Setembro"/>
    <n v="2020"/>
    <n v="1545563.32"/>
    <m/>
    <m/>
  </r>
  <r>
    <x v="32"/>
    <x v="39"/>
    <s v="Outubro"/>
    <n v="2020"/>
    <n v="1168375.1200000001"/>
    <m/>
    <m/>
  </r>
  <r>
    <x v="32"/>
    <x v="40"/>
    <s v="Novembro"/>
    <n v="2020"/>
    <n v="1080779.26"/>
    <m/>
    <m/>
  </r>
  <r>
    <x v="32"/>
    <x v="41"/>
    <s v="Dezembro"/>
    <n v="2020"/>
    <n v="1529731.5"/>
    <m/>
    <m/>
  </r>
  <r>
    <x v="32"/>
    <x v="42"/>
    <s v="Janeiro"/>
    <n v="2021"/>
    <n v="1553049.42"/>
    <m/>
    <m/>
  </r>
  <r>
    <x v="32"/>
    <x v="43"/>
    <s v="Fevereiro"/>
    <n v="2021"/>
    <n v="2676649.36"/>
    <m/>
    <m/>
  </r>
  <r>
    <x v="32"/>
    <x v="44"/>
    <s v="Março"/>
    <n v="2021"/>
    <n v="2919611.77"/>
    <m/>
    <m/>
  </r>
  <r>
    <x v="32"/>
    <x v="45"/>
    <s v="Abril"/>
    <n v="2021"/>
    <n v="3186324.23"/>
    <m/>
    <m/>
  </r>
  <r>
    <x v="32"/>
    <x v="46"/>
    <s v="Maio"/>
    <n v="2021"/>
    <n v="3531543.61"/>
    <m/>
    <m/>
  </r>
  <r>
    <x v="32"/>
    <x v="47"/>
    <s v="Junho"/>
    <n v="2021"/>
    <n v="3621847.98"/>
    <m/>
    <m/>
  </r>
  <r>
    <x v="32"/>
    <x v="48"/>
    <s v="Julho"/>
    <n v="2021"/>
    <n v="3700884.54"/>
    <m/>
    <m/>
  </r>
  <r>
    <x v="32"/>
    <x v="49"/>
    <s v="Agosto"/>
    <n v="2021"/>
    <n v="3561269.27"/>
    <m/>
    <m/>
  </r>
  <r>
    <x v="32"/>
    <x v="50"/>
    <s v="Setembro"/>
    <n v="2021"/>
    <n v="3076719.86"/>
    <m/>
    <m/>
  </r>
  <r>
    <x v="32"/>
    <x v="51"/>
    <s v="Outubro"/>
    <n v="2021"/>
    <n v="2894623.63"/>
    <m/>
    <m/>
  </r>
  <r>
    <x v="32"/>
    <x v="52"/>
    <s v="Novembro"/>
    <n v="2021"/>
    <n v="2854578.31"/>
    <m/>
    <m/>
  </r>
  <r>
    <x v="32"/>
    <x v="53"/>
    <s v="Dezembro"/>
    <n v="2021"/>
    <n v="4432658.42"/>
    <m/>
    <m/>
  </r>
  <r>
    <x v="32"/>
    <x v="54"/>
    <s v="Janeiro"/>
    <n v="2022"/>
    <n v="3674849.41"/>
    <m/>
    <m/>
  </r>
  <r>
    <x v="32"/>
    <x v="55"/>
    <s v="Fevereiro"/>
    <n v="2022"/>
    <n v="3504583.9"/>
    <m/>
    <m/>
  </r>
  <r>
    <x v="32"/>
    <x v="56"/>
    <s v="Março"/>
    <n v="2022"/>
    <n v="3268473.48"/>
    <m/>
    <m/>
  </r>
  <r>
    <x v="32"/>
    <x v="57"/>
    <s v="Abril"/>
    <n v="2022"/>
    <n v="3666401.26"/>
    <m/>
    <m/>
  </r>
  <r>
    <x v="32"/>
    <x v="58"/>
    <s v="Maio"/>
    <n v="2022"/>
    <n v="2016838.97"/>
    <m/>
    <m/>
  </r>
  <r>
    <x v="32"/>
    <x v="59"/>
    <s v="Junho"/>
    <n v="2022"/>
    <n v="1577587.87"/>
    <m/>
    <m/>
  </r>
  <r>
    <x v="32"/>
    <x v="60"/>
    <s v="Julho"/>
    <n v="2022"/>
    <n v="2054612.38"/>
    <m/>
    <m/>
  </r>
  <r>
    <x v="32"/>
    <x v="61"/>
    <s v="Agosto"/>
    <n v="2022"/>
    <n v="2190550"/>
    <m/>
    <m/>
  </r>
  <r>
    <x v="32"/>
    <x v="62"/>
    <s v="Setembro"/>
    <n v="2022"/>
    <n v="2665629.25"/>
    <m/>
    <m/>
  </r>
  <r>
    <x v="32"/>
    <x v="63"/>
    <s v="Outubro"/>
    <n v="2022"/>
    <n v="2967505.37"/>
    <m/>
    <m/>
  </r>
  <r>
    <x v="32"/>
    <x v="64"/>
    <s v="Novembro"/>
    <n v="2022"/>
    <n v="2446890.85"/>
    <m/>
    <m/>
  </r>
  <r>
    <x v="32"/>
    <x v="65"/>
    <s v="Dezembro"/>
    <n v="2022"/>
    <n v="2074277.93"/>
    <m/>
    <m/>
  </r>
  <r>
    <x v="32"/>
    <x v="66"/>
    <s v="Janeiro"/>
    <n v="2023"/>
    <n v="1880445.97"/>
    <m/>
    <m/>
  </r>
  <r>
    <x v="32"/>
    <x v="67"/>
    <s v="Fevereiro"/>
    <n v="2023"/>
    <n v="1947054.61"/>
    <m/>
    <m/>
  </r>
  <r>
    <x v="32"/>
    <x v="68"/>
    <s v="Março"/>
    <n v="2023"/>
    <n v="2556042.48"/>
    <m/>
    <m/>
  </r>
  <r>
    <x v="32"/>
    <x v="69"/>
    <s v="Abril"/>
    <n v="2023"/>
    <n v="2389476.84"/>
    <m/>
    <m/>
  </r>
  <r>
    <x v="32"/>
    <x v="70"/>
    <s v="Maio"/>
    <n v="2023"/>
    <n v="2396076.21"/>
    <m/>
    <m/>
  </r>
  <r>
    <x v="32"/>
    <x v="71"/>
    <s v="Junho"/>
    <n v="2023"/>
    <n v="2391241.69"/>
    <m/>
    <m/>
  </r>
  <r>
    <x v="32"/>
    <x v="72"/>
    <s v="Julho"/>
    <n v="2023"/>
    <n v="2525376.65"/>
    <m/>
    <m/>
  </r>
  <r>
    <x v="32"/>
    <x v="73"/>
    <s v="Agosto"/>
    <n v="2023"/>
    <n v="2336615.2799999998"/>
    <m/>
    <m/>
  </r>
  <r>
    <x v="32"/>
    <x v="74"/>
    <s v="Setembro"/>
    <n v="2023"/>
    <n v="3530867.79"/>
    <m/>
    <m/>
  </r>
  <r>
    <x v="32"/>
    <x v="75"/>
    <s v="Outubro"/>
    <n v="2023"/>
    <n v="3644362.18"/>
    <m/>
    <m/>
  </r>
  <r>
    <x v="32"/>
    <x v="76"/>
    <s v="Novembro"/>
    <n v="2023"/>
    <n v="3457135.47"/>
    <m/>
    <m/>
  </r>
  <r>
    <x v="32"/>
    <x v="77"/>
    <s v="Dezembro"/>
    <n v="2023"/>
    <n v="3268301.18"/>
    <m/>
    <m/>
  </r>
  <r>
    <x v="32"/>
    <x v="78"/>
    <s v="Janeiro"/>
    <n v="2024"/>
    <n v="2450352.88"/>
    <m/>
    <m/>
  </r>
  <r>
    <x v="32"/>
    <x v="79"/>
    <s v="Fevereiro"/>
    <n v="2024"/>
    <n v="3116511.15"/>
    <m/>
    <m/>
  </r>
  <r>
    <x v="32"/>
    <x v="80"/>
    <s v="Março"/>
    <n v="2024"/>
    <n v="4422337.7699999996"/>
    <m/>
    <m/>
  </r>
  <r>
    <x v="32"/>
    <x v="81"/>
    <s v="Abril"/>
    <n v="2024"/>
    <n v="5241177.29"/>
    <m/>
    <m/>
  </r>
  <r>
    <x v="32"/>
    <x v="82"/>
    <s v="Maio"/>
    <n v="2024"/>
    <n v="5493049.2000000002"/>
    <m/>
    <m/>
  </r>
  <r>
    <x v="32"/>
    <x v="83"/>
    <s v="Junho"/>
    <n v="2024"/>
    <n v="5020370.43"/>
    <m/>
    <m/>
  </r>
  <r>
    <x v="32"/>
    <x v="84"/>
    <s v="Julho"/>
    <n v="2024"/>
    <n v="5623688.1900000004"/>
    <m/>
    <m/>
  </r>
  <r>
    <x v="32"/>
    <x v="85"/>
    <s v="Agosto"/>
    <n v="2024"/>
    <n v="4750512.1500000004"/>
    <m/>
    <m/>
  </r>
  <r>
    <x v="32"/>
    <x v="86"/>
    <s v="Setembro"/>
    <n v="2024"/>
    <n v="5268430.18"/>
    <m/>
    <m/>
  </r>
  <r>
    <x v="32"/>
    <x v="87"/>
    <s v="Outubro"/>
    <n v="2024"/>
    <n v="5340472.95"/>
    <m/>
    <m/>
  </r>
  <r>
    <x v="32"/>
    <x v="88"/>
    <s v="Novembro"/>
    <n v="2024"/>
    <n v="6143627.6100000003"/>
    <m/>
    <m/>
  </r>
  <r>
    <x v="32"/>
    <x v="89"/>
    <s v="Dezembro"/>
    <n v="2024"/>
    <n v="8077947.7800000003"/>
    <m/>
    <m/>
  </r>
  <r>
    <x v="32"/>
    <x v="90"/>
    <s v="Janeiro"/>
    <n v="2025"/>
    <n v="7903877.0899999999"/>
    <m/>
    <m/>
  </r>
  <r>
    <x v="32"/>
    <x v="91"/>
    <s v="Fevereiro"/>
    <n v="2025"/>
    <n v="7329370.6299999999"/>
    <m/>
    <m/>
  </r>
  <r>
    <x v="32"/>
    <x v="92"/>
    <s v="Março"/>
    <n v="2025"/>
    <n v="5331748.3"/>
    <m/>
    <m/>
  </r>
  <r>
    <x v="32"/>
    <x v="93"/>
    <s v="Abril"/>
    <n v="2025"/>
    <n v="4254781.76"/>
    <m/>
    <m/>
  </r>
  <r>
    <x v="32"/>
    <x v="94"/>
    <s v="Maio"/>
    <n v="2025"/>
    <n v="4200488.91"/>
    <m/>
    <m/>
  </r>
  <r>
    <x v="32"/>
    <x v="95"/>
    <s v="Junho"/>
    <n v="2025"/>
    <n v="5521891.8099999996"/>
    <m/>
    <m/>
  </r>
  <r>
    <x v="32"/>
    <x v="96"/>
    <s v="Julho"/>
    <n v="2025"/>
    <n v="5271565.54"/>
    <m/>
    <m/>
  </r>
  <r>
    <x v="32"/>
    <x v="97"/>
    <s v="Agosto"/>
    <n v="2025"/>
    <n v="5670414.3899999997"/>
    <m/>
    <m/>
  </r>
  <r>
    <x v="32"/>
    <x v="98"/>
    <s v="Setembro"/>
    <n v="2025"/>
    <n v="6283620.2599999998"/>
    <m/>
    <m/>
  </r>
  <r>
    <x v="32"/>
    <x v="99"/>
    <s v="Outubro"/>
    <n v="2025"/>
    <n v="7032493.4800000004"/>
    <m/>
    <m/>
  </r>
  <r>
    <x v="32"/>
    <x v="100"/>
    <s v="Novembro"/>
    <n v="2025"/>
    <n v="7411714.0499999998"/>
    <m/>
    <m/>
  </r>
  <r>
    <x v="32"/>
    <x v="101"/>
    <s v="Dezembro"/>
    <n v="2025"/>
    <n v="7125334.3600000003"/>
    <m/>
    <m/>
  </r>
  <r>
    <x v="32"/>
    <x v="102"/>
    <s v="Janeiro"/>
    <n v="2026"/>
    <n v="6862092.2400000002"/>
    <m/>
    <m/>
  </r>
  <r>
    <x v="0"/>
    <x v="0"/>
    <m/>
    <m/>
    <m/>
    <m/>
    <m/>
  </r>
  <r>
    <x v="33"/>
    <x v="42"/>
    <s v="Janeiro"/>
    <n v="2021"/>
    <n v="0.22235454318022355"/>
    <m/>
    <m/>
  </r>
  <r>
    <x v="33"/>
    <x v="43"/>
    <s v="Fevereiro"/>
    <n v="2021"/>
    <n v="0.23349752827562539"/>
    <m/>
    <m/>
  </r>
  <r>
    <x v="33"/>
    <x v="44"/>
    <s v="Março"/>
    <n v="2021"/>
    <n v="0.22484717397466988"/>
    <m/>
    <m/>
  </r>
  <r>
    <x v="33"/>
    <x v="45"/>
    <s v="Abril"/>
    <n v="2021"/>
    <n v="0.23621172551169303"/>
    <m/>
    <m/>
  </r>
  <r>
    <x v="33"/>
    <x v="46"/>
    <s v="Maio"/>
    <n v="2021"/>
    <n v="0.20163448451903124"/>
    <m/>
    <m/>
  </r>
  <r>
    <x v="33"/>
    <x v="47"/>
    <s v="Junho"/>
    <n v="2021"/>
    <n v="0.18702150586826041"/>
    <m/>
    <m/>
  </r>
  <r>
    <x v="33"/>
    <x v="48"/>
    <s v="Julho"/>
    <n v="2021"/>
    <n v="0.17228393794359323"/>
    <m/>
    <m/>
  </r>
  <r>
    <x v="33"/>
    <x v="49"/>
    <s v="Agosto"/>
    <n v="2021"/>
    <n v="0.17687076110406094"/>
    <m/>
    <m/>
  </r>
  <r>
    <x v="33"/>
    <x v="50"/>
    <s v="Setembro"/>
    <n v="2021"/>
    <n v="0.18892155147617376"/>
    <m/>
    <m/>
  </r>
  <r>
    <x v="33"/>
    <x v="51"/>
    <s v="Outubro"/>
    <n v="2021"/>
    <n v="0.19352472004370233"/>
    <m/>
    <m/>
  </r>
  <r>
    <x v="33"/>
    <x v="52"/>
    <s v="Novembro"/>
    <n v="2021"/>
    <n v="0.18932642018883303"/>
    <m/>
    <m/>
  </r>
  <r>
    <x v="33"/>
    <x v="53"/>
    <s v="Dezembro"/>
    <n v="2021"/>
    <n v="0.18481624501028865"/>
    <m/>
    <m/>
  </r>
  <r>
    <x v="33"/>
    <x v="54"/>
    <s v="Janeiro"/>
    <n v="2022"/>
    <n v="0.18460133712997417"/>
    <m/>
    <m/>
  </r>
  <r>
    <x v="33"/>
    <x v="55"/>
    <s v="Fevereiro"/>
    <n v="2022"/>
    <n v="0.18690300068666171"/>
    <m/>
    <m/>
  </r>
  <r>
    <x v="33"/>
    <x v="56"/>
    <s v="Março"/>
    <n v="2022"/>
    <n v="0.17124899740224331"/>
    <m/>
    <m/>
  </r>
  <r>
    <x v="33"/>
    <x v="57"/>
    <s v="Abril"/>
    <n v="2022"/>
    <n v="0.16650530114163961"/>
    <m/>
    <m/>
  </r>
  <r>
    <x v="33"/>
    <x v="58"/>
    <s v="Maio"/>
    <n v="2022"/>
    <n v="0.16016684611679213"/>
    <m/>
    <m/>
  </r>
  <r>
    <x v="33"/>
    <x v="59"/>
    <s v="Junho"/>
    <n v="2022"/>
    <n v="0.17027042994207195"/>
    <m/>
    <m/>
  </r>
  <r>
    <x v="33"/>
    <x v="60"/>
    <s v="Julho"/>
    <n v="2022"/>
    <n v="0.18569066082631516"/>
    <m/>
    <m/>
  </r>
  <r>
    <x v="33"/>
    <x v="61"/>
    <s v="Agosto"/>
    <n v="2022"/>
    <n v="0.19599692722815484"/>
    <m/>
    <m/>
  </r>
  <r>
    <x v="33"/>
    <x v="62"/>
    <s v="Setembro"/>
    <n v="2022"/>
    <n v="0.20941625935688513"/>
    <m/>
    <m/>
  </r>
  <r>
    <x v="33"/>
    <x v="63"/>
    <s v="Outubro"/>
    <n v="2022"/>
    <n v="0.21771818590016831"/>
    <m/>
    <m/>
  </r>
  <r>
    <x v="33"/>
    <x v="64"/>
    <s v="Novembro"/>
    <n v="2022"/>
    <n v="0.21349682685313418"/>
    <m/>
    <m/>
  </r>
  <r>
    <x v="33"/>
    <x v="65"/>
    <s v="Dezembro"/>
    <n v="2022"/>
    <n v="0.22224005311037812"/>
    <m/>
    <m/>
  </r>
  <r>
    <x v="33"/>
    <x v="66"/>
    <s v="Janeiro"/>
    <n v="2023"/>
    <n v="0.22317584018353298"/>
    <m/>
    <m/>
  </r>
  <r>
    <x v="33"/>
    <x v="67"/>
    <s v="Fevereiro"/>
    <n v="2023"/>
    <n v="0.22703757224628721"/>
    <m/>
    <m/>
  </r>
  <r>
    <x v="33"/>
    <x v="68"/>
    <s v="Março"/>
    <n v="2023"/>
    <n v="0.25371928197401772"/>
    <m/>
    <m/>
  </r>
  <r>
    <x v="33"/>
    <x v="69"/>
    <s v="Abril"/>
    <n v="2023"/>
    <n v="0.25060132231893056"/>
    <m/>
    <m/>
  </r>
  <r>
    <x v="33"/>
    <x v="70"/>
    <s v="Maio"/>
    <n v="2023"/>
    <n v="0.24694822937879876"/>
    <m/>
    <m/>
  </r>
  <r>
    <x v="33"/>
    <x v="71"/>
    <s v="Junho"/>
    <n v="2023"/>
    <n v="0.23917526867814246"/>
    <m/>
    <m/>
  </r>
  <r>
    <x v="33"/>
    <x v="72"/>
    <s v="Julho"/>
    <n v="2023"/>
    <n v="0.26538620911323024"/>
    <m/>
    <m/>
  </r>
  <r>
    <x v="33"/>
    <x v="73"/>
    <s v="Agosto"/>
    <n v="2023"/>
    <n v="0.25209370459863983"/>
    <m/>
    <m/>
  </r>
  <r>
    <x v="33"/>
    <x v="74"/>
    <s v="Setembro"/>
    <n v="2023"/>
    <n v="0.26771521778597962"/>
    <m/>
    <m/>
  </r>
  <r>
    <x v="33"/>
    <x v="75"/>
    <s v="Outubro"/>
    <n v="2023"/>
    <n v="0.25459013712072104"/>
    <m/>
    <m/>
  </r>
  <r>
    <x v="33"/>
    <x v="76"/>
    <s v="Novembro"/>
    <n v="2023"/>
    <n v="0.26551606724282362"/>
    <m/>
    <m/>
  </r>
  <r>
    <x v="33"/>
    <x v="77"/>
    <s v="Dezembro"/>
    <n v="2023"/>
    <n v="0.26074563163693071"/>
    <m/>
    <m/>
  </r>
  <r>
    <x v="33"/>
    <x v="78"/>
    <s v="Janeiro"/>
    <n v="2024"/>
    <n v="0.26064536290101009"/>
    <m/>
    <m/>
  </r>
  <r>
    <x v="33"/>
    <x v="79"/>
    <s v="Fevereiro"/>
    <n v="2024"/>
    <n v="0.25283726649234733"/>
    <m/>
    <m/>
  </r>
  <r>
    <x v="33"/>
    <x v="80"/>
    <s v="Março"/>
    <n v="2024"/>
    <n v="0.25035230565892419"/>
    <m/>
    <m/>
  </r>
  <r>
    <x v="33"/>
    <x v="81"/>
    <s v="Abril"/>
    <n v="2024"/>
    <n v="0.23875227315308348"/>
    <m/>
    <m/>
  </r>
  <r>
    <x v="33"/>
    <x v="82"/>
    <s v="Maio"/>
    <n v="2024"/>
    <n v="0.23038618905490518"/>
    <m/>
    <m/>
  </r>
  <r>
    <x v="33"/>
    <x v="83"/>
    <s v="Junho"/>
    <n v="2024"/>
    <n v="0.23525374971961369"/>
    <m/>
    <m/>
  </r>
  <r>
    <x v="33"/>
    <x v="84"/>
    <s v="Julho"/>
    <n v="2024"/>
    <n v="0.20936837872723621"/>
    <m/>
    <m/>
  </r>
  <r>
    <x v="33"/>
    <x v="85"/>
    <s v="Agosto"/>
    <n v="2024"/>
    <n v="0.21198891930411512"/>
    <m/>
    <m/>
  </r>
  <r>
    <x v="33"/>
    <x v="86"/>
    <s v="Setembro"/>
    <n v="2024"/>
    <n v="0.2079389316396445"/>
    <m/>
    <m/>
  </r>
  <r>
    <x v="33"/>
    <x v="87"/>
    <s v="Outubro"/>
    <n v="2024"/>
    <n v="0.21710231588503046"/>
    <m/>
    <m/>
  </r>
  <r>
    <x v="33"/>
    <x v="88"/>
    <s v="Novembro"/>
    <n v="2024"/>
    <n v="0.21805026714715511"/>
    <m/>
    <m/>
  </r>
  <r>
    <x v="33"/>
    <x v="89"/>
    <s v="Dezembro"/>
    <n v="2024"/>
    <n v="0.19547793302679595"/>
    <m/>
    <m/>
  </r>
  <r>
    <x v="33"/>
    <x v="90"/>
    <s v="Janeiro"/>
    <n v="2025"/>
    <n v="0.21073574878307361"/>
    <m/>
    <m/>
  </r>
  <r>
    <x v="33"/>
    <x v="91"/>
    <s v="Fevereiro"/>
    <n v="2025"/>
    <n v="0.20444549361817574"/>
    <m/>
    <m/>
  </r>
  <r>
    <x v="33"/>
    <x v="92"/>
    <s v="Março"/>
    <n v="2025"/>
    <n v="0.200853045313342"/>
    <m/>
    <m/>
  </r>
  <r>
    <x v="33"/>
    <x v="93"/>
    <s v="Abril"/>
    <n v="2025"/>
    <n v="0.17624864736794033"/>
    <m/>
    <m/>
  </r>
  <r>
    <x v="33"/>
    <x v="94"/>
    <s v="Maio"/>
    <n v="2025"/>
    <n v="0.15717907688542729"/>
    <m/>
    <m/>
  </r>
  <r>
    <x v="33"/>
    <x v="95"/>
    <s v="Junho"/>
    <n v="2025"/>
    <n v="0.1756976440546196"/>
    <m/>
    <m/>
  </r>
  <r>
    <x v="33"/>
    <x v="96"/>
    <s v="Julho"/>
    <n v="2025"/>
    <n v="0.18420761272308805"/>
    <m/>
    <m/>
  </r>
  <r>
    <x v="33"/>
    <x v="97"/>
    <s v="Agosto"/>
    <n v="2025"/>
    <n v="0.17782205365843795"/>
    <m/>
    <m/>
  </r>
  <r>
    <x v="33"/>
    <x v="98"/>
    <s v="Setembro"/>
    <n v="2025"/>
    <n v="0.18119205106956568"/>
    <m/>
    <m/>
  </r>
  <r>
    <x v="33"/>
    <x v="99"/>
    <s v="Outubro"/>
    <n v="2025"/>
    <n v="0.1903736377931739"/>
    <m/>
    <m/>
  </r>
  <r>
    <x v="33"/>
    <x v="100"/>
    <s v="Novembro"/>
    <n v="2025"/>
    <n v="0.18515236670054269"/>
    <m/>
    <m/>
  </r>
  <r>
    <x v="33"/>
    <x v="101"/>
    <s v="Dezembro"/>
    <n v="2025"/>
    <n v="0.20351098424998504"/>
    <m/>
    <m/>
  </r>
  <r>
    <x v="33"/>
    <x v="102"/>
    <s v="Janeiro"/>
    <n v="2026"/>
    <e v="#N/A"/>
    <m/>
    <m/>
  </r>
  <r>
    <x v="0"/>
    <x v="0"/>
    <m/>
    <m/>
    <m/>
    <m/>
    <m/>
  </r>
  <r>
    <x v="34"/>
    <x v="1"/>
    <s v="Dezembro"/>
    <n v="2013"/>
    <n v="5350959.6900000004"/>
    <m/>
    <n v="0.39009028107230537"/>
  </r>
  <r>
    <x v="34"/>
    <x v="2"/>
    <s v="Dezembro"/>
    <n v="2014"/>
    <n v="5828201.7899999944"/>
    <m/>
    <n v="0.32707179320348573"/>
  </r>
  <r>
    <x v="34"/>
    <x v="3"/>
    <s v="Dezembro"/>
    <n v="2015"/>
    <n v="7377310.2499999963"/>
    <m/>
    <n v="0.2975135483613397"/>
  </r>
  <r>
    <x v="34"/>
    <x v="4"/>
    <s v="Dezembro"/>
    <n v="2016"/>
    <n v="4895566.6700000037"/>
    <m/>
    <n v="0.22708613187782928"/>
  </r>
  <r>
    <x v="34"/>
    <x v="5"/>
    <s v="Dezembro"/>
    <n v="2017"/>
    <n v="4112129.2599999974"/>
    <m/>
    <n v="0.19180692088600215"/>
  </r>
  <r>
    <x v="34"/>
    <x v="17"/>
    <s v="Dezembro"/>
    <n v="2018"/>
    <n v="6298506.8000000007"/>
    <m/>
    <n v="0.23640079624191143"/>
  </r>
  <r>
    <x v="34"/>
    <x v="29"/>
    <s v="Dezembro"/>
    <n v="2019"/>
    <n v="7265246.4799999995"/>
    <m/>
    <n v="0.22628218581330165"/>
  </r>
  <r>
    <x v="34"/>
    <x v="41"/>
    <s v="Dezembro"/>
    <n v="2020"/>
    <n v="13098541.830000004"/>
    <m/>
    <n v="0.30119061956019594"/>
  </r>
  <r>
    <x v="34"/>
    <x v="53"/>
    <s v="Dezembro"/>
    <n v="2021"/>
    <n v="27058280.669999983"/>
    <m/>
    <n v="0.31477831872097317"/>
  </r>
  <r>
    <x v="34"/>
    <x v="65"/>
    <s v="Dezembro"/>
    <n v="2022"/>
    <n v="21049602.920000009"/>
    <m/>
    <n v="0.2461457237620214"/>
  </r>
  <r>
    <x v="34"/>
    <x v="77"/>
    <s v="Dezembro"/>
    <n v="2023"/>
    <n v="16417300.729999991"/>
    <m/>
    <n v="0.20008507273276885"/>
  </r>
  <r>
    <x v="34"/>
    <x v="89"/>
    <s v="Dezembro"/>
    <n v="2024"/>
    <n v="21564784.65000001"/>
    <m/>
    <n v="0.17895754390880447"/>
  </r>
  <r>
    <x v="34"/>
    <x v="101"/>
    <s v="Dezembro"/>
    <n v="2025"/>
    <n v="12091613.76999997"/>
    <m/>
    <n v="0.10846854370751065"/>
  </r>
  <r>
    <x v="34"/>
    <x v="101"/>
    <s v="Dezembro"/>
    <n v="2025"/>
    <n v="12091613.76999997"/>
    <m/>
    <n v="0.10846854370751065"/>
  </r>
  <r>
    <x v="0"/>
    <x v="0"/>
    <m/>
    <m/>
    <m/>
    <m/>
    <m/>
  </r>
  <r>
    <x v="35"/>
    <x v="78"/>
    <s v="Janeiro"/>
    <n v="2024"/>
    <n v="337940.54000000004"/>
    <m/>
    <m/>
  </r>
  <r>
    <x v="35"/>
    <x v="79"/>
    <s v="Fevereiro"/>
    <n v="2024"/>
    <n v="695435.89"/>
    <m/>
    <m/>
  </r>
  <r>
    <x v="35"/>
    <x v="80"/>
    <s v="Março"/>
    <n v="2024"/>
    <n v="1036445.41"/>
    <m/>
    <m/>
  </r>
  <r>
    <x v="35"/>
    <x v="81"/>
    <s v="Abril"/>
    <n v="2024"/>
    <n v="1482323.15"/>
    <m/>
    <m/>
  </r>
  <r>
    <x v="35"/>
    <x v="82"/>
    <s v="Maio"/>
    <n v="2024"/>
    <n v="1975157.94"/>
    <m/>
    <m/>
  </r>
  <r>
    <x v="35"/>
    <x v="83"/>
    <s v="Junho"/>
    <n v="2024"/>
    <n v="2422162.2000000002"/>
    <m/>
    <m/>
  </r>
  <r>
    <x v="35"/>
    <x v="84"/>
    <s v="Julho"/>
    <n v="2024"/>
    <n v="2908793.64"/>
    <m/>
    <m/>
  </r>
  <r>
    <x v="35"/>
    <x v="85"/>
    <s v="Agosto"/>
    <n v="2024"/>
    <n v="3313171.5300000003"/>
    <m/>
    <m/>
  </r>
  <r>
    <x v="35"/>
    <x v="86"/>
    <s v="Setembro"/>
    <n v="2024"/>
    <n v="3723149.24"/>
    <m/>
    <m/>
  </r>
  <r>
    <x v="35"/>
    <x v="87"/>
    <s v="Outubro"/>
    <n v="2024"/>
    <n v="4216078.0199999996"/>
    <m/>
    <m/>
  </r>
  <r>
    <x v="35"/>
    <x v="88"/>
    <s v="Novembro"/>
    <n v="2024"/>
    <n v="4546496.33"/>
    <m/>
    <m/>
  </r>
  <r>
    <x v="35"/>
    <x v="89"/>
    <s v="Dezembro"/>
    <n v="2024"/>
    <n v="4546496.33"/>
    <m/>
    <m/>
  </r>
  <r>
    <x v="35"/>
    <x v="90"/>
    <s v="Janeiro"/>
    <n v="2025"/>
    <n v="350750.4"/>
    <m/>
    <m/>
  </r>
  <r>
    <x v="35"/>
    <x v="91"/>
    <s v="Fevereiro"/>
    <n v="2025"/>
    <n v="758508.92"/>
    <m/>
    <m/>
  </r>
  <r>
    <x v="35"/>
    <x v="92"/>
    <s v="Março"/>
    <n v="2025"/>
    <n v="1150784.6599999999"/>
    <m/>
    <m/>
  </r>
  <r>
    <x v="35"/>
    <x v="93"/>
    <s v="Abril"/>
    <n v="2025"/>
    <n v="1706646.4699999997"/>
    <m/>
    <m/>
  </r>
  <r>
    <x v="35"/>
    <x v="94"/>
    <s v="Maio"/>
    <n v="2025"/>
    <n v="2239853.9500000002"/>
    <m/>
    <m/>
  </r>
  <r>
    <x v="35"/>
    <x v="95"/>
    <s v="Junho"/>
    <n v="2025"/>
    <n v="2577269.44"/>
    <m/>
    <m/>
  </r>
  <r>
    <x v="35"/>
    <x v="96"/>
    <s v="Julho"/>
    <n v="2025"/>
    <n v="2969971.75"/>
    <m/>
    <m/>
  </r>
  <r>
    <x v="35"/>
    <x v="97"/>
    <s v="Agosto"/>
    <n v="2025"/>
    <n v="3361460.3500000006"/>
    <m/>
    <m/>
  </r>
  <r>
    <x v="35"/>
    <x v="98"/>
    <s v="Setembro"/>
    <n v="2025"/>
    <n v="3740372.0999999996"/>
    <m/>
    <m/>
  </r>
  <r>
    <x v="35"/>
    <x v="99"/>
    <s v="Outubro"/>
    <n v="2025"/>
    <n v="3740372.0999999996"/>
    <m/>
    <m/>
  </r>
  <r>
    <x v="35"/>
    <x v="100"/>
    <s v="Novembro"/>
    <n v="2025"/>
    <n v="3740372.0999999996"/>
    <m/>
    <m/>
  </r>
  <r>
    <x v="35"/>
    <x v="101"/>
    <s v="Dezembro"/>
    <n v="2025"/>
    <n v="3740372.0999999996"/>
    <m/>
    <m/>
  </r>
  <r>
    <x v="35"/>
    <x v="101"/>
    <s v="Dezembro"/>
    <n v="2025"/>
    <n v="3740372.0999999996"/>
    <m/>
    <m/>
  </r>
  <r>
    <x v="0"/>
    <x v="0"/>
    <m/>
    <m/>
    <m/>
    <m/>
    <m/>
  </r>
  <r>
    <x v="36"/>
    <x v="78"/>
    <s v="Janeiro"/>
    <n v="2024"/>
    <n v="350821.66580000002"/>
    <m/>
    <m/>
  </r>
  <r>
    <x v="36"/>
    <x v="79"/>
    <s v="Fevereiro"/>
    <n v="2024"/>
    <n v="973241.51900000009"/>
    <m/>
    <m/>
  </r>
  <r>
    <x v="36"/>
    <x v="80"/>
    <s v="Março"/>
    <n v="2024"/>
    <n v="1293777.1776000001"/>
    <m/>
    <m/>
  </r>
  <r>
    <x v="36"/>
    <x v="81"/>
    <s v="Abril"/>
    <n v="2024"/>
    <n v="2310013.4649999999"/>
    <m/>
    <m/>
  </r>
  <r>
    <x v="36"/>
    <x v="82"/>
    <s v="Maio"/>
    <n v="2024"/>
    <n v="3364668.1033999999"/>
    <m/>
    <m/>
  </r>
  <r>
    <x v="36"/>
    <x v="83"/>
    <s v="Junho"/>
    <n v="2024"/>
    <n v="4114817.4558999995"/>
    <m/>
    <m/>
  </r>
  <r>
    <x v="36"/>
    <x v="84"/>
    <s v="Julho"/>
    <n v="2024"/>
    <n v="4792620.7358999988"/>
    <m/>
    <m/>
  </r>
  <r>
    <x v="36"/>
    <x v="85"/>
    <s v="Agosto"/>
    <n v="2024"/>
    <n v="5006230.935899999"/>
    <m/>
    <m/>
  </r>
  <r>
    <x v="36"/>
    <x v="86"/>
    <s v="Setembro"/>
    <n v="2024"/>
    <n v="5589513.3158999998"/>
    <m/>
    <m/>
  </r>
  <r>
    <x v="36"/>
    <x v="87"/>
    <s v="Outubro"/>
    <n v="2024"/>
    <n v="6112219.7458999995"/>
    <m/>
    <m/>
  </r>
  <r>
    <x v="36"/>
    <x v="88"/>
    <s v="Novembro"/>
    <n v="2024"/>
    <n v="6170084.7558999993"/>
    <m/>
    <m/>
  </r>
  <r>
    <x v="36"/>
    <x v="89"/>
    <s v="Dezembro"/>
    <n v="2024"/>
    <n v="6782269.3359000003"/>
    <m/>
    <m/>
  </r>
  <r>
    <x v="36"/>
    <x v="90"/>
    <s v="Janeiro"/>
    <n v="2025"/>
    <n v="135163.36059999955"/>
    <m/>
    <m/>
  </r>
  <r>
    <x v="36"/>
    <x v="91"/>
    <s v="Fevereiro"/>
    <n v="2025"/>
    <n v="576091.27839999914"/>
    <m/>
    <m/>
  </r>
  <r>
    <x v="36"/>
    <x v="92"/>
    <s v="Março"/>
    <n v="2025"/>
    <n v="1035157.3019999985"/>
    <m/>
    <m/>
  </r>
  <r>
    <x v="36"/>
    <x v="93"/>
    <s v="Abril"/>
    <n v="2025"/>
    <n v="1936510.506599999"/>
    <m/>
    <m/>
  </r>
  <r>
    <x v="36"/>
    <x v="94"/>
    <s v="Maio"/>
    <n v="2025"/>
    <n v="2691732.9419999993"/>
    <m/>
    <m/>
  </r>
  <r>
    <x v="36"/>
    <x v="95"/>
    <s v="Junho"/>
    <n v="2025"/>
    <n v="2349172.5219999994"/>
    <m/>
    <m/>
  </r>
  <r>
    <x v="36"/>
    <x v="96"/>
    <s v="Julho"/>
    <n v="2025"/>
    <n v="2552199.005799999"/>
    <m/>
    <m/>
  </r>
  <r>
    <x v="36"/>
    <x v="97"/>
    <s v="Agosto"/>
    <n v="2025"/>
    <n v="2973061.3989999993"/>
    <m/>
    <m/>
  </r>
  <r>
    <x v="36"/>
    <x v="98"/>
    <s v="Setembro"/>
    <n v="2025"/>
    <n v="3009040.1435999991"/>
    <m/>
    <m/>
  </r>
  <r>
    <x v="36"/>
    <x v="99"/>
    <s v="Outubro"/>
    <n v="2025"/>
    <n v="3320638.6811999995"/>
    <m/>
    <m/>
  </r>
  <r>
    <x v="36"/>
    <x v="100"/>
    <s v="Novembro"/>
    <n v="2025"/>
    <n v="3558937.2545999987"/>
    <m/>
    <m/>
  </r>
  <r>
    <x v="36"/>
    <x v="101"/>
    <s v="Dezembro"/>
    <n v="2025"/>
    <n v="3631532.3603999983"/>
    <m/>
    <m/>
  </r>
  <r>
    <x v="36"/>
    <x v="101"/>
    <s v="Dezembro"/>
    <n v="2025"/>
    <n v="3631532.3603999983"/>
    <m/>
    <m/>
  </r>
  <r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49D4B-4893-4959-B46A-CFE4D895D5AA}" name="Tabela dinâmica9" cacheId="15" applyNumberFormats="0" applyBorderFormats="0" applyFontFormats="0" applyPatternFormats="0" applyAlignmentFormats="0" applyWidthHeightFormats="1" dataCaption="Valores" grandTotalCaption="Média Geral" updatedVersion="8" minRefreshableVersion="5" useAutoFormatting="1" itemPrintTitles="1" createdVersion="6" indent="0" outline="1" outlineData="1" multipleFieldFilters="0" chartFormat="71">
  <location ref="A3:C18" firstHeaderRow="0" firstDataRow="1" firstDataCol="1"/>
  <pivotFields count="7">
    <pivotField axis="axisRow" showAll="0">
      <items count="40">
        <item h="1" x="1"/>
        <item h="1" x="0"/>
        <item h="1" m="1" x="38"/>
        <item h="1" x="2"/>
        <item h="1" x="3"/>
        <item h="1" x="4"/>
        <item h="1" x="5"/>
        <item h="1" x="6"/>
        <item h="1" x="7"/>
        <item h="1" x="8"/>
        <item h="1" x="10"/>
        <item h="1" x="11"/>
        <item h="1" x="12"/>
        <item h="1" x="13"/>
        <item h="1" x="14"/>
        <item h="1" x="16"/>
        <item h="1" x="18"/>
        <item h="1" x="19"/>
        <item h="1" x="20"/>
        <item h="1" x="21"/>
        <item h="1" x="22"/>
        <item h="1" x="24"/>
        <item h="1" x="25"/>
        <item x="26"/>
        <item h="1" m="1" x="37"/>
        <item h="1" x="27"/>
        <item h="1" x="28"/>
        <item h="1" x="29"/>
        <item h="1" x="17"/>
        <item h="1" x="15"/>
        <item h="1" x="32"/>
        <item h="1" x="34"/>
        <item h="1" x="35"/>
        <item h="1" x="36"/>
        <item h="1" x="30"/>
        <item h="1" x="31"/>
        <item h="1" x="33"/>
        <item h="1" x="9"/>
        <item h="1" x="23"/>
        <item t="default"/>
      </items>
    </pivotField>
    <pivotField axis="axisRow" numFmtId="166" showAll="0" defaultSubtotal="0">
      <items count="10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</items>
    </pivotField>
    <pivotField showAll="0"/>
    <pivotField showAll="0"/>
    <pivotField dataField="1" showAll="0"/>
    <pivotField dataField="1" showAll="0"/>
    <pivotField showAll="0"/>
  </pivotFields>
  <rowFields count="2">
    <field x="0"/>
    <field x="1"/>
  </rowFields>
  <rowItems count="15">
    <i>
      <x v="23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Valor" fld="4" subtotal="average" baseField="0" baseItem="0" numFmtId="165"/>
    <dataField name="Média de Meta" fld="5" subtotal="average" baseField="0" baseItem="17"/>
  </dataFields>
  <formats count="2">
    <format dxfId="111">
      <pivotArea dataOnly="0" labelOnly="1" outline="0" axis="axisValues" fieldPosition="0"/>
    </format>
    <format dxfId="110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2" format="8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8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8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8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8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73" name="Periodo">
      <autoFilter ref="A1">
        <filterColumn colId="0">
          <customFilters and="1">
            <customFilter operator="greaterThanOrEqual" val="45658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C49A71-1F6F-4193-BDA2-DB1192D5544C}" name="Tabela dinâmica13" cacheId="15" applyNumberFormats="0" applyBorderFormats="0" applyFontFormats="0" applyPatternFormats="0" applyAlignmentFormats="0" applyWidthHeightFormats="1" dataCaption="Valores" updatedVersion="8" minRefreshableVersion="5" useAutoFormatting="1" colGrandTotals="0" itemPrintTitles="1" createdVersion="6" indent="0" outline="1" outlineData="1" multipleFieldFilters="0" chartFormat="8">
  <location ref="Q3:S42" firstHeaderRow="0" firstDataRow="1" firstDataCol="1"/>
  <pivotFields count="7">
    <pivotField axis="axisRow" subtotalTop="0" showAll="0">
      <items count="40">
        <item h="1" x="1"/>
        <item h="1" x="0"/>
        <item h="1" m="1" x="38"/>
        <item h="1" x="2"/>
        <item h="1" x="3"/>
        <item h="1" x="4"/>
        <item h="1" x="5"/>
        <item h="1" x="6"/>
        <item h="1" x="7"/>
        <item h="1" x="8"/>
        <item h="1" x="10"/>
        <item h="1" x="11"/>
        <item h="1" x="12"/>
        <item h="1" x="13"/>
        <item h="1" x="14"/>
        <item h="1" x="16"/>
        <item h="1" x="18"/>
        <item h="1" x="19"/>
        <item h="1" x="20"/>
        <item h="1" x="21"/>
        <item h="1" x="22"/>
        <item h="1" x="24"/>
        <item h="1" x="25"/>
        <item x="26"/>
        <item h="1" m="1" x="37"/>
        <item h="1" x="27"/>
        <item h="1" x="28"/>
        <item h="1" x="29"/>
        <item h="1" x="17"/>
        <item h="1" x="15"/>
        <item h="1" x="32"/>
        <item h="1" x="34"/>
        <item h="1" x="35"/>
        <item h="1" x="36"/>
        <item h="1" x="30"/>
        <item h="1" x="31"/>
        <item h="1" x="33"/>
        <item h="1" x="9"/>
        <item h="1" x="23"/>
        <item t="default"/>
      </items>
    </pivotField>
    <pivotField axis="axisRow" numFmtId="166" subtotalTop="0" showAll="0">
      <items count="10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subtotalTop="0" showAll="0"/>
    <pivotField subtotalTop="0" showAll="0"/>
    <pivotField dataField="1" numFmtId="164" subtotalTop="0" showAll="0"/>
    <pivotField dataField="1" subtotalTop="0" showAll="0"/>
    <pivotField subtotalTop="0" showAll="0"/>
  </pivotFields>
  <rowFields count="2">
    <field x="0"/>
    <field x="1"/>
  </rowFields>
  <rowItems count="39">
    <i>
      <x v="23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t="default"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" fld="4" baseField="1" baseItem="0" numFmtId="165"/>
    <dataField name="Soma de Meta" fld="5" baseField="1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73" name="Periodo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0C43F7-5201-4FC5-BB17-4E3DD68909F8}" name="Tabela dinâmica1" cacheId="14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7">
  <location ref="A1:C23" firstHeaderRow="0" firstDataRow="1" firstDataCol="1"/>
  <pivotFields count="10">
    <pivotField axis="axisRow" showAll="0">
      <items count="6">
        <item h="1" x="4"/>
        <item x="3"/>
        <item h="1" x="2"/>
        <item h="1" x="0"/>
        <item h="1" x="1"/>
        <item t="default"/>
      </items>
    </pivotField>
    <pivotField axis="axisRow" showAll="0">
      <items count="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8"/>
        <item x="67"/>
        <item t="default"/>
      </items>
    </pivotField>
    <pivotField showAll="0"/>
    <pivotField showAll="0"/>
    <pivotField dataField="1"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x="3"/>
        <item sd="0" x="4"/>
        <item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x="6"/>
        <item x="7"/>
        <item t="default"/>
      </items>
    </pivotField>
  </pivotFields>
  <rowFields count="2">
    <field x="0"/>
    <field x="1"/>
  </rowFields>
  <rowItems count="22">
    <i>
      <x v="1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8"/>
    </i>
    <i t="grand">
      <x/>
    </i>
  </rowItems>
  <colFields count="1">
    <field x="-2"/>
  </colFields>
  <colItems count="2">
    <i>
      <x/>
    </i>
    <i i="1">
      <x v="1"/>
    </i>
  </colItems>
  <dataFields count="2">
    <dataField name="Valor R$" fld="4" baseField="0" baseItem="0"/>
    <dataField name="Faturamento R$" fld="5" baseField="0" baseItem="0"/>
  </dataFields>
  <formats count="2">
    <format dxfId="103">
      <pivotArea collapsedLevelsAreSubtotals="1" fieldPosition="0">
        <references count="1">
          <reference field="0" count="0"/>
        </references>
      </pivotArea>
    </format>
    <format dxfId="102">
      <pivotArea collapsedLevelsAreSubtotals="1" fieldPosition="0">
        <references count="2">
          <reference field="0" count="0" selected="0"/>
          <reference field="1" count="8">
            <x v="60"/>
            <x v="61"/>
            <x v="62"/>
            <x v="63"/>
            <x v="64"/>
            <x v="65"/>
            <x v="66"/>
            <x v="68"/>
          </reference>
        </references>
      </pivotArea>
    </format>
  </formats>
  <chartFormats count="6">
    <chartFormat chart="2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27" name="Periodo">
      <autoFilter ref="A1">
        <filterColumn colId="0">
          <customFilters and="1">
            <customFilter operator="greaterThanOrEqual" val="45292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dicador" xr10:uid="{72BB11BD-67EE-4458-B615-ADE406799E80}" sourceName="Indicador">
  <pivotTables>
    <pivotTable tabId="20" name="Tabela dinâmica9"/>
  </pivotTables>
  <data>
    <tabular pivotCacheId="608942736">
      <items count="39">
        <i x="34"/>
        <i x="15"/>
        <i x="17"/>
        <i x="32"/>
        <i x="6"/>
        <i x="22"/>
        <i x="1"/>
        <i x="28"/>
        <i x="29"/>
        <i x="27"/>
        <i x="2"/>
        <i x="25"/>
        <i x="26" s="1"/>
        <i x="3"/>
        <i x="31"/>
        <i x="30"/>
        <i x="13"/>
        <i x="7"/>
        <i x="4"/>
        <i x="10"/>
        <i x="12"/>
        <i x="11"/>
        <i x="18"/>
        <i x="23"/>
        <i x="24"/>
        <i x="9"/>
        <i x="21"/>
        <i x="20"/>
        <i x="19"/>
        <i x="8"/>
        <i x="33"/>
        <i x="14"/>
        <i x="16"/>
        <i x="5"/>
        <i x="35"/>
        <i x="36"/>
        <i x="37" nd="1"/>
        <i x="38" nd="1"/>
        <i x="0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dicador1" xr10:uid="{A2A76951-E9C9-4F79-AD3A-6AF7C7DD4223}" sourceName="Indicador">
  <pivotTables>
    <pivotTable tabId="20" name="Tabela dinâmica13"/>
  </pivotTables>
  <data>
    <tabular pivotCacheId="608942736">
      <items count="39">
        <i x="34"/>
        <i x="15"/>
        <i x="17"/>
        <i x="32"/>
        <i x="6"/>
        <i x="22"/>
        <i x="1"/>
        <i x="28"/>
        <i x="29"/>
        <i x="27"/>
        <i x="2"/>
        <i x="25"/>
        <i x="26" s="1"/>
        <i x="3"/>
        <i x="31"/>
        <i x="30"/>
        <i x="13"/>
        <i x="7"/>
        <i x="4"/>
        <i x="10"/>
        <i x="12"/>
        <i x="11"/>
        <i x="18"/>
        <i x="23"/>
        <i x="24"/>
        <i x="9"/>
        <i x="21"/>
        <i x="20"/>
        <i x="19"/>
        <i x="8"/>
        <i x="33"/>
        <i x="14"/>
        <i x="16"/>
        <i x="5"/>
        <i x="35"/>
        <i x="36"/>
        <i x="37" nd="1"/>
        <i x="38" nd="1"/>
        <i x="0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dicador2" xr10:uid="{4DFD7EC4-96B1-4184-BE93-8E9CAF5DEBA4}" sourceName="Indicador">
  <pivotTables>
    <pivotTable tabId="40" name="Tabela dinâmica1"/>
  </pivotTables>
  <data>
    <tabular pivotCacheId="817808576">
      <items count="5">
        <i x="4"/>
        <i x="3" s="1"/>
        <i x="2"/>
        <i x="0"/>
        <i x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MESTRE1" xr10:uid="{BFD693FD-CB5F-4A4A-82F6-473F4D9C7E74}" sourceName="TRIMESTRE">
  <extLst>
    <x:ext xmlns:x15="http://schemas.microsoft.com/office/spreadsheetml/2010/11/main" uri="{2F2917AC-EB37-4324-AD4E-5DD8C200BD13}">
      <x15:tableSlicerCache tableId="10" column="1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MESTRE2" xr10:uid="{A1F374CC-28B1-41CA-826D-64901BCEED6A}" sourceName="TRIMESTRE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MESTRE3" xr10:uid="{3AFA5F9B-8EAD-4CE5-905F-AA366CE5A659}" sourceName="TRIMESTRE">
  <extLst>
    <x:ext xmlns:x15="http://schemas.microsoft.com/office/spreadsheetml/2010/11/main" uri="{2F2917AC-EB37-4324-AD4E-5DD8C200BD13}">
      <x15:tableSlicerCache tableId="12" column="1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MESTRE" xr10:uid="{F125B0FD-CA4F-4D44-AB5A-5E946FC7599D}" sourceName="TRIMESTRE">
  <extLst>
    <x:ext xmlns:x15="http://schemas.microsoft.com/office/spreadsheetml/2010/11/main" uri="{2F2917AC-EB37-4324-AD4E-5DD8C200BD13}">
      <x15:tableSlicerCache tableId="9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MESTRE4" xr10:uid="{47EC4FB5-9717-49ED-91D9-44DE4B8E1E15}" sourceName="TRIMESTRE">
  <extLst>
    <x:ext xmlns:x15="http://schemas.microsoft.com/office/spreadsheetml/2010/11/main" uri="{2F2917AC-EB37-4324-AD4E-5DD8C200BD13}">
      <x15:tableSlicerCache tableId="4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dicador 2" xr10:uid="{8A56CE35-A10D-44C0-A010-738748B9ED26}" cache="SegmentaçãodeDados_Indicador" caption="Indicador" columnCount="4" style="SlicerStyleLight4" lockedPosition="1" rowHeight="241300"/>
  <slicer name="Indicador (Comparação)" xr10:uid="{CD32C68D-AAD0-42F3-8676-6BA40546B79A}" cache="SegmentaçãodeDados_Indicador1" caption="Indicador (Comparação)" startItem="8" columnCount="4" style="SlicerStyleLight4" lockedPosition="1" rowHeight="241300"/>
  <slicer name="Indicador 4" xr10:uid="{2EB2E217-CBF5-4645-8AF8-51DB77276120}" cache="SegmentaçãodeDados_Indicador2" caption="Indicador" style="SlicerStyleLight4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RIMESTRE 1" xr10:uid="{C0950E3D-8CB2-462E-A82B-CEC7F752DC28}" cache="SegmentaçãodeDados_TRIMESTRE1" caption="WEG CONSOLIDADA" columnCount="2" style="SlicerStyleLight4" rowHeight="241300"/>
  <slicer name="TRIMESTRE 2" xr10:uid="{4B77FBF3-EFD1-4A9F-B7EA-81889D24DC31}" cache="SegmentaçãodeDados_TRIMESTRE2" caption="SCHULZ CONSOLIDADA" columnCount="2" style="SlicerStyleLight4" rowHeight="241300"/>
  <slicer name="TRIMESTRE 3" xr10:uid="{FEAB55DE-F2CD-430D-820F-D8D3E75AF7C8}" cache="SegmentaçãodeDados_TRIMESTRE3" caption="KEPLER CONSOLIDADA" columnCount="2" style="SlicerStyleLight4" rowHeight="241300"/>
  <slicer name="SegAGF" xr10:uid="{123792B4-37FB-403D-96E6-E6E08F7FBC5C}" cache="SegmentaçãodeDados_TRIMESTRE" caption="AGF CONSOLIDADA" columnCount="2" style="SlicerStyleLight4" lockedPosition="1" rowHeight="241300"/>
  <slicer name="TRIMESTRE 4" xr10:uid="{2C2A0652-A253-4A1D-BE02-E594A1DDF4EB}" cache="SegmentaçãodeDados_TRIMESTRE4" caption="ARMAC CONSOLIDADA" columnCount="2" style="SlicerStyleLight4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dicador 1" xr10:uid="{37CC10FD-F8F3-4C36-9BD7-17C73EB85772}" cache="SegmentaçãodeDados_Indicador" caption="Indicador" rowHeight="241300"/>
  <slicer name="Indicador 3" xr10:uid="{57B5BFF4-2828-43B1-873C-2B3510230DF3}" cache="SegmentaçãodeDados_Indicador" caption="Indicador" rowHeight="241300"/>
  <slicer name="Indicador" xr10:uid="{9F201449-BFA5-44C9-BF6D-3B45C6661233}" cache="SegmentaçãodeDados_Indicador1" caption="Indicador" startItem="8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B31990-C2B2-47B5-AF47-718645DD914E}" name="TBBP" displayName="TBBP" ref="A3:DM314" totalsRowShown="0" headerRowDxfId="233" dataDxfId="232">
  <autoFilter ref="A3:DM314" xr:uid="{ADB31990-C2B2-47B5-AF47-718645DD914E}"/>
  <tableColumns count="117">
    <tableColumn id="1" xr3:uid="{D8EB840D-EFE5-4BC4-8C66-1E78B580F749}" name="Coluna1" dataDxfId="231"/>
    <tableColumn id="2" xr3:uid="{3B32EBFF-5ACB-47F4-B0D0-4FFE96D855A9}" name="Coluna2"/>
    <tableColumn id="28" xr3:uid="{16EB6F8A-5AF2-49FF-B388-BD5581C1A81F}" name="Coluna3"/>
    <tableColumn id="27" xr3:uid="{02BF27F3-B8C8-49B0-94CE-462E4F8E0F1C}" name="Coluna4" dataDxfId="230"/>
    <tableColumn id="29" xr3:uid="{7F15B0C8-4DCC-440E-AC99-8DB3E61E58EF}" name="Coluna5" dataDxfId="229"/>
    <tableColumn id="30" xr3:uid="{29A9F9ED-AA1A-4E73-B0BA-A65E1C64DD99}" name="Coluna6" dataDxfId="228"/>
    <tableColumn id="26" xr3:uid="{879DC952-38C4-401A-91EB-F1CB0BCA0EA6}" name="Coluna7"/>
    <tableColumn id="3" xr3:uid="{47601175-40D5-475D-9976-6058ED464889}" name="Coluna8" dataDxfId="227"/>
    <tableColumn id="4" xr3:uid="{9778AD0E-248F-491A-B66D-DC200C771DD3}" name="Coluna9" dataDxfId="226"/>
    <tableColumn id="5" xr3:uid="{25DD5328-02F8-4733-A649-09435BFA3B8A}" name="Coluna10" dataDxfId="225"/>
    <tableColumn id="6" xr3:uid="{7C8EC408-AD80-4014-8A87-020588376891}" name="Coluna11" dataDxfId="224"/>
    <tableColumn id="7" xr3:uid="{EA38D42C-46CA-475B-B642-D12ECCC3D605}" name="Coluna12" dataDxfId="223"/>
    <tableColumn id="8" xr3:uid="{45D9BCB9-C99F-42FF-8289-ABB9B498A893}" name="Coluna13" dataDxfId="222"/>
    <tableColumn id="9" xr3:uid="{77D0BD71-9E6F-4DAC-B6C2-CA06AEE15CA7}" name="Coluna14" dataDxfId="221"/>
    <tableColumn id="10" xr3:uid="{3FAEBD7F-19DD-4970-B4D2-174AA9025F70}" name="Coluna15" dataDxfId="220"/>
    <tableColumn id="11" xr3:uid="{3D9A826B-DCA4-41EC-8C17-60EFB7D585E6}" name="Coluna16" dataDxfId="219"/>
    <tableColumn id="12" xr3:uid="{03BECDB5-4E76-410B-9FBA-F0C8EFECFC41}" name="Coluna17" dataDxfId="218"/>
    <tableColumn id="13" xr3:uid="{D093910B-A888-4849-90A3-FADAFD6567A1}" name="Coluna18" dataDxfId="217"/>
    <tableColumn id="14" xr3:uid="{7550B65E-9446-4501-9D0F-EC1BEB6B357B}" name="Coluna19" dataDxfId="216"/>
    <tableColumn id="33" xr3:uid="{E49A8A67-C9E6-4C18-A2C6-4B7690A017BE}" name="Coluna20" dataDxfId="215">
      <calculatedColumnFormula>SUM(TBBP[[#This Row],[Coluna8]:[Coluna19]])</calculatedColumnFormula>
    </tableColumn>
    <tableColumn id="15" xr3:uid="{D5E99EA7-DADF-435B-BA1E-5EB86428C824}" name="Coluna21" dataDxfId="214"/>
    <tableColumn id="16" xr3:uid="{01080CFE-7747-4291-8980-DA3DC0CDABA0}" name="Coluna22" dataDxfId="213"/>
    <tableColumn id="17" xr3:uid="{9BDF60D2-D725-455C-8AB3-325DBA0181AB}" name="Coluna23" dataDxfId="212"/>
    <tableColumn id="18" xr3:uid="{3FF61CB2-D8CF-4479-AF3A-43D59CE93372}" name="Coluna24" dataDxfId="211"/>
    <tableColumn id="19" xr3:uid="{84644D79-E5A3-41B3-AC9F-DF24E1948480}" name="Coluna25" dataDxfId="210"/>
    <tableColumn id="20" xr3:uid="{61B34B97-F017-40F4-86F0-5DCF2D534D22}" name="Coluna26" dataDxfId="209"/>
    <tableColumn id="21" xr3:uid="{12CFEAE0-85A7-429E-B569-C339DF199A9A}" name="Coluna27" dataDxfId="208"/>
    <tableColumn id="22" xr3:uid="{68FA93EB-7B5F-4119-9279-404681B6381B}" name="Coluna28" dataDxfId="207"/>
    <tableColumn id="23" xr3:uid="{9EDE5F7F-638D-4848-BD23-341CDE1616CB}" name="Coluna29" dataDxfId="206"/>
    <tableColumn id="24" xr3:uid="{C209C322-AFE7-4576-B8B3-B081DD97F9E8}" name="Coluna30" dataDxfId="205"/>
    <tableColumn id="25" xr3:uid="{4FFE4B70-6F06-40F5-8609-F709446D700A}" name="Coluna31" dataDxfId="204">
      <calculatedColumnFormula>IFERROR(IF(MID(DB!$A4,1,1)="1",VLOOKUP(DB!$A4,[2]!TABELABP,9,FALSE),(IF(MID(DB!$A4,1,1)="2",VLOOKUP(DB!$A4,[2]!TABELABP,9,FALSE),(IF(MID(DB!$A4,1,1)="3",VLOOKUP(DB!$A4,[2]!TABELABP,10,FALSE),IF(MID(DB!$A4,1,1)&gt;="4",VLOOKUP(DB!$A4,[2]!TABELABP,10,FALSE))))))),"Verificar")</calculatedColumnFormula>
    </tableColumn>
    <tableColumn id="31" xr3:uid="{61B52F1F-0705-4B0E-84B9-BC24A1218335}" name="Coluna32" dataDxfId="203"/>
    <tableColumn id="55" xr3:uid="{6C1C7804-769C-4530-89CC-E5175039A648}" name="Coluna33" dataDxfId="202">
      <calculatedColumnFormula>IF(OR(MID(TBBP[[#This Row],[Coluna1]],1,1)="1",MID(TBBP[[#This Row],[Coluna1]],1,1)="2"),TBBP[[#This Row],[Coluna19]],SUM(U4:AF4))</calculatedColumnFormula>
    </tableColumn>
    <tableColumn id="32" xr3:uid="{66EC0CFB-09F5-4E2C-9A81-6D1E3C110FC0}" name="Coluna34" dataDxfId="201"/>
    <tableColumn id="34" xr3:uid="{D0528513-5B0D-4881-AC66-DA336A600932}" name="Coluna35" dataDxfId="200"/>
    <tableColumn id="35" xr3:uid="{763B552B-175A-428C-9BA2-F64AACFAB251}" name="Coluna36" dataDxfId="199"/>
    <tableColumn id="37" xr3:uid="{E9A69027-67F3-4DA0-9609-BCAE6E93D99B}" name="Coluna37" dataDxfId="198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38" xr3:uid="{A75755FE-B98D-4C12-A613-338993FCA257}" name="Coluna38" dataDxfId="197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36" xr3:uid="{563B2A50-10C1-46EB-BAE8-A8B5092BE112}" name="Coluna39" dataDxfId="196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39" xr3:uid="{BE7EEE4B-F829-453D-B630-194415F8BB2E}" name="Coluna40" dataDxfId="195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0" xr3:uid="{522A29B9-EE00-43C7-AB33-D0C162A7251A}" name="Coluna41" dataDxfId="194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1" xr3:uid="{026ED49A-2701-4D0B-97C1-52BC8E051499}" name="Coluna42" dataDxfId="193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2" xr3:uid="{025F1037-E73E-4C3B-89EC-6E0407DE6C98}" name="Coluna43" dataDxfId="192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3" xr3:uid="{CD5E1EE3-4781-40C3-8BAB-EAC4187736D5}" name="Coluna44" dataDxfId="191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4" xr3:uid="{F813275E-C7BD-4557-BD77-27E049689601}" name="Coluna45" dataDxfId="190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5" xr3:uid="{940DACF2-6F98-4624-85D1-13FB62A7E1A5}" name="Coluna46" dataDxfId="189"/>
    <tableColumn id="65" xr3:uid="{C9CDF432-419D-4FDA-8FE0-FD86C5BBD969}" name="Coluna47" dataDxfId="188"/>
    <tableColumn id="66" xr3:uid="{A8CD02C9-C80F-484F-A782-14EF248E2FB0}" name="Coluna48" dataDxfId="187"/>
    <tableColumn id="67" xr3:uid="{740391A9-DBAA-4382-B873-85985F8BB13F}" name="Coluna49" dataDxfId="186"/>
    <tableColumn id="69" xr3:uid="{983265AF-D837-4A27-9E4D-56B44C6E774C}" name="Coluna50" dataDxfId="185"/>
    <tableColumn id="71" xr3:uid="{314A8DCD-AC17-4AFC-A84D-170ABD493322}" name="Coluna51" dataDxfId="184"/>
    <tableColumn id="73" xr3:uid="{F0584EFA-C8DE-4F3A-97F4-7DAD9D6D98F3}" name="Coluna52" dataDxfId="183"/>
    <tableColumn id="74" xr3:uid="{D40A64FC-CF69-4B7A-963D-547B80641B02}" name="Coluna53" dataDxfId="182"/>
    <tableColumn id="75" xr3:uid="{F5174009-00C8-42ED-9476-3E0832ACF6E4}" name="Coluna54" dataDxfId="181"/>
    <tableColumn id="76" xr3:uid="{1AC16AC3-39B5-44B6-963B-9FDFBD6B2F57}" name="Coluna55" dataDxfId="180"/>
    <tableColumn id="77" xr3:uid="{DB9139B1-2988-452D-B8E8-2F65734F42E1}" name="Coluna56" dataDxfId="179"/>
    <tableColumn id="78" xr3:uid="{8A9C384E-F7B7-4203-B862-395A374FFB79}" name="Coluna57" dataDxfId="178"/>
    <tableColumn id="79" xr3:uid="{A2F8F79E-8AA7-4922-932A-CDD1C17D1931}" name="Coluna58" dataDxfId="177"/>
    <tableColumn id="72" xr3:uid="{35C83E9C-55C4-470F-A85A-746B04117CD1}" name="Coluna59" dataDxfId="176"/>
    <tableColumn id="94" xr3:uid="{C3F0206B-85C3-4E9D-8C6C-C8ADFDED2E69}" name="Coluna116" dataDxfId="175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5" xr3:uid="{A1F856A6-3B25-4D79-BDAF-CA963A923ED2}" name="Coluna117" dataDxfId="174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6" xr3:uid="{3ADE1B29-FBF3-4F63-B862-8FF9A6CB8E72}" name="Coluna118" dataDxfId="173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7" xr3:uid="{83514F0F-9868-4223-803E-02015314E88D}" name="Coluna119" dataDxfId="172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8" xr3:uid="{93A15BC2-98AA-470B-A037-09C31AF634BC}" name="Coluna120" dataDxfId="171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9" xr3:uid="{C4D23DCC-9295-465C-981E-2E082288489B}" name="Coluna121" dataDxfId="170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00" xr3:uid="{65EC3DC3-CD1B-4432-B7BF-D8BB125A0149}" name="Coluna122" dataDxfId="169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01" xr3:uid="{DC71997E-7BB6-4F9E-B388-1F5C75336EC3}" name="Coluna123" dataDxfId="168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02" xr3:uid="{CF9869C9-252D-479D-B96F-4D19A5A0CF1D}" name="Coluna124" dataDxfId="167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03" xr3:uid="{CA7B4442-2AAC-4827-B774-A220EA2389DF}" name="Coluna125" dataDxfId="166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04" xr3:uid="{521F7218-9089-482F-94EB-464A5F7CE292}" name="Coluna126" dataDxfId="165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05" xr3:uid="{F5708682-0E2B-47D3-A564-A0441DB72FA7}" name="Coluna127" dataDxfId="164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06" xr3:uid="{B8F5F7EE-484D-452A-B5C5-B5DED5E547D3}" name="Coluna128" dataDxfId="163"/>
    <tableColumn id="46" xr3:uid="{6A122D6E-64CC-410C-92D2-75E2C10C6757}" name="Coluna170" dataDxfId="162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7" xr3:uid="{DADC1CE4-06C0-46EE-8E1E-6B22A9321A36}" name="Coluna171" dataDxfId="161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8" xr3:uid="{3276BFC1-C530-439F-9524-71FE6296057B}" name="Coluna172" dataDxfId="160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49" xr3:uid="{0171E640-9AFB-457A-9705-834BE2805A12}" name="Coluna173" dataDxfId="159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0" xr3:uid="{0C961A77-271A-49E1-8A7C-53DFD28576F8}" name="Coluna174" dataDxfId="158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1" xr3:uid="{CBEB2CB9-795C-403F-A066-D47B8427EB3A}" name="Coluna175" dataDxfId="157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2" xr3:uid="{1B5DC1F0-18B7-4A03-BEAE-4CFF58252E6F}" name="Coluna176" dataDxfId="156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3" xr3:uid="{F328C1BB-3F3D-4BEA-8A31-6A942EDAF0B8}" name="Coluna177" dataDxfId="155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4" xr3:uid="{2B5EC3DE-5EE8-4234-8437-BD98B9D576B4}" name="Coluna178" dataDxfId="154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6" xr3:uid="{E1183BCA-B4FF-4101-8B3A-0C2F7CF731C6}" name="Coluna179" dataDxfId="153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7" xr3:uid="{E8AA14AC-96E9-45C8-8973-C11F170A97A0}" name="Coluna180" dataDxfId="152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9" xr3:uid="{42F8FA97-51AB-42BA-A47D-E0A72FC1AD8C}" name="Coluna181" dataDxfId="151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60" xr3:uid="{6B89342B-7E17-42A6-85E5-7ACD560BCBAD}" name="Coluna182" dataDxfId="150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83" xr3:uid="{6B6FBAE9-9D94-4D84-A1EB-2BC31B54914E}" name="Coluna237" dataDxfId="149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84" xr3:uid="{A09872C7-A9FC-4396-85FE-5F00197A7DFA}" name="Coluna238" dataDxfId="148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85" xr3:uid="{B8E1F73A-A71D-46CD-A71A-2FB67C315639}" name="Coluna239" dataDxfId="147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86" xr3:uid="{38339940-EA32-4725-8B61-10FB157D91DC}" name="Coluna240" dataDxfId="146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87" xr3:uid="{0AF97D31-5296-4C37-91BA-13C35F69B21B}" name="Coluna241" dataDxfId="145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89" xr3:uid="{6086BFD3-D359-4CD3-87D7-3DC595B1539F}" name="Coluna242" dataDxfId="144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0" xr3:uid="{DDB96DF4-2BA7-4D93-8DD6-2DBCCEE0D37C}" name="Coluna243" dataDxfId="143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1" xr3:uid="{5C404798-A96D-4654-909B-0A2E6BEF01F1}" name="Coluna244" dataDxfId="142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2" xr3:uid="{5E1D204B-A279-4CF3-B610-6280F379E8DE}" name="Coluna245" dataDxfId="141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93" xr3:uid="{0B24B21F-2D97-475C-863F-4954B92A0910}" name="Coluna246" dataDxfId="140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13" xr3:uid="{BBFEC3C8-4CDD-468F-BC6D-C0795108F01E}" name="Coluna247" dataDxfId="139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16" xr3:uid="{A461F47D-91AC-4B5D-8BE1-23A11D5D03C6}" name="Coluna248" dataDxfId="138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17" xr3:uid="{07494E0B-F687-466F-8960-DA64956CAAD5}" name="Coluna249" dataDxfId="137"/>
    <tableColumn id="114" xr3:uid="{443D2A8C-591F-4E45-B420-B0A1F08B8354}" name="Coluna287" dataDxfId="136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15" xr3:uid="{23F40EB1-FD60-4FBC-A6D2-7CB1F4B03415}" name="Coluna288" dataDxfId="135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18" xr3:uid="{B21BCCAF-5925-4114-A00D-9A1DF7239CE0}" name="Coluna289" dataDxfId="134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19" xr3:uid="{EC0B9718-3911-452C-8F98-6ACD26FCF172}" name="Coluna290" dataDxfId="133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20" xr3:uid="{E5E41437-6333-41FE-BCB2-03AC2B726069}" name="Coluna291" dataDxfId="132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21" xr3:uid="{5578D671-033E-403B-8A58-425534CABBD7}" name="Coluna292" dataDxfId="131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24" xr3:uid="{6B1ABE2A-8505-4C91-9207-D771A5DDCBD4}" name="Coluna293" dataDxfId="130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25" xr3:uid="{CCC92B6C-005D-42FC-A47D-7DFBFBD2FCCC}" name="Coluna294" dataDxfId="129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26" xr3:uid="{F3E308EF-B16F-4C05-93ED-C74D822FE925}" name="Coluna295" dataDxfId="128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28" xr3:uid="{981BB97E-5427-4F83-B1C4-5CAFF22F69E8}" name="Coluna296" dataDxfId="127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31" xr3:uid="{C96931F1-4AB0-46DA-BD50-C79A02DDD4E1}" name="Coluna297" dataDxfId="126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29" xr3:uid="{AE2509BD-9D7F-42D2-86B7-B75EED597646}" name="Coluna298" dataDxfId="125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130" xr3:uid="{B33D7505-3E3C-4510-8461-D2CBE0053C25}" name="Coluna299" dataDxfId="124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58" xr3:uid="{D3972AC1-3608-45A4-A4A5-4BF425B09E2B}" name="Coluna300" dataDxfId="123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61" xr3:uid="{43E84DC8-3200-45ED-BC3E-3ADA9F7B1E5B}" name="Coluna301" dataDxfId="122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62" xr3:uid="{2ECEC8C7-232B-47DD-9ADD-88F80E74FDA1}" name="Coluna302" dataDxfId="121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63" xr3:uid="{C2E4CF13-13F7-489E-BE9C-726808378284}" name="Coluna303" dataDxfId="120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64" xr3:uid="{93E14213-3CF0-4C29-80DD-2F22C555BBA2}" name="Coluna60" dataDxfId="119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  <tableColumn id="68" xr3:uid="{DA3FF497-5255-4451-8698-9C624FB6978C}" name="Coluna61" dataDxfId="118">
      <calculatedColumnFormula>IFERROR(IF(MID(DB!$A4,1,1)="1",VLOOKUP(DB!$A4,[2]!TABELABP,9,FALSE),(IF(MID(DB!$A4,1,1)="2",VLOOKUP(DB!$A4,[2]!TABELABP,9,FALSE),(IF(MID(DB!$A4,1,1)="3",VLOOKUP(DB!$A4,[2]!TABELABP,10,FALSE),IF(MID(DB!$A4,1,1)&gt;="4",-VLOOKUP(DB!$A4,[2]!TABELABP,10,FALSE))))))),"Verificar")</calculatedColumnFormula>
    </tableColumn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F14BFB-0968-4049-B8DB-FB3C9AC4F552}" name="Tabela1" displayName="Tabela1" ref="A2:G3184" totalsRowShown="0">
  <autoFilter ref="A2:G3184" xr:uid="{78167143-580F-4323-A536-05F8830D92C7}"/>
  <tableColumns count="7">
    <tableColumn id="1" xr3:uid="{5EB4312B-1627-4156-96A5-23BCCC62E085}" name="Indicador"/>
    <tableColumn id="2" xr3:uid="{ADDC8834-45EE-4968-8D50-A496DE1BF0CB}" name="Periodo" dataDxfId="117"/>
    <tableColumn id="5" xr3:uid="{106CA386-8E1D-4214-A4B8-DD7A10D0C92B}" name="MÊS" dataDxfId="116">
      <calculatedColumnFormula>VLOOKUP(MONTH(Tabela1[[#This Row],[Periodo]]),NUMMESES,2,FALSE)</calculatedColumnFormula>
    </tableColumn>
    <tableColumn id="4" xr3:uid="{61DC7E17-A838-42B6-BDE5-96D8E9550001}" name="ANO" dataDxfId="115">
      <calculatedColumnFormula>YEAR(Tabela1[[#This Row],[Periodo]])</calculatedColumnFormula>
    </tableColumn>
    <tableColumn id="3" xr3:uid="{87521A75-A5F8-4D20-AE97-93F424CEA619}" name="Valor" dataDxfId="114"/>
    <tableColumn id="6" xr3:uid="{758F0F9B-D070-4A9C-AFC1-4D067B41CE16}" name="Meta" dataDxfId="113"/>
    <tableColumn id="7" xr3:uid="{0CE01759-8416-4AF7-8997-736566CE28C3}" name="%" dataDxfId="112">
      <calculatedColumnFormula>(INDEX(TBBP[],MATCH(9,planoContas,0)+1,MATCH(Tabela1[[#This Row],[Periodo]],listaPeriodos,0)))/(INDEX(TBBP[],MATCH(8,planoContas,0)+1,MATCH(Tabela1[[#This Row],[Periodo]],listaPeriodos,0)))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BD02FE-8A09-4D8B-B4E0-C8FF095DBADF}" name="Tabela8" displayName="Tabela8" ref="B1:H276" totalsRowShown="0" headerRowDxfId="109" headerRowBorderDxfId="108" tableBorderDxfId="107">
  <autoFilter ref="B1:H276" xr:uid="{9EBD02FE-8A09-4D8B-B4E0-C8FF095DBADF}"/>
  <tableColumns count="7">
    <tableColumn id="1" xr3:uid="{96FB582A-EBF2-4209-87C3-2DA593E5A43B}" name="Indicador"/>
    <tableColumn id="2" xr3:uid="{B112A207-D8EC-4CC4-9B6F-1F375488F658}" name="Periodo" dataDxfId="106"/>
    <tableColumn id="3" xr3:uid="{02880DFB-C153-4FC0-AB55-4E3A3DE3EF71}" name="MÊS">
      <calculatedColumnFormula>MONTH(Tabela8[[#This Row],[Periodo]])</calculatedColumnFormula>
    </tableColumn>
    <tableColumn id="4" xr3:uid="{92B2DDC1-8730-4166-BFED-C73E7F239AA2}" name="ANO">
      <calculatedColumnFormula>YEAR(Tabela8[[#This Row],[Periodo]])</calculatedColumnFormula>
    </tableColumn>
    <tableColumn id="5" xr3:uid="{6A00EFD5-A8A1-4CCF-BE07-CEF0DB5DE291}" name="Valor" dataDxfId="105" dataCellStyle="Moeda">
      <calculatedColumnFormula>INDEX(TBBP[],MATCH(A2,planoContas,)+1,MATCH(Tabela8[[#This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</calculatedColumnFormula>
    </tableColumn>
    <tableColumn id="6" xr3:uid="{B1679257-3696-4A21-91F5-2D1774B6A151}" name="Faturamento" dataCellStyle="Moeda">
      <calculatedColumnFormula>(INDEX(TBBP[],MATCH("3.1",planoContas,)+1,MATCH(Tabela8[[#This Row],[Periodo]],listaPeriodos,)))</calculatedColumnFormula>
    </tableColumn>
    <tableColumn id="7" xr3:uid="{F2CCCE2A-3DF1-43EC-BBFF-BF99A4B97E50}" name="%" dataDxfId="104" dataCellStyle="Porcentagem">
      <calculatedColumnFormula>Tabela8[[#This Row],[Valor]]/Tabela8[[#This Row],[Faturamento]]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6FB079-4D4F-453A-870D-5ECD2CA18147}" name="Tabela5" displayName="Tabela5" ref="P2:S9" totalsRowShown="0" headerRowDxfId="99" dataDxfId="97" headerRowBorderDxfId="98" tableBorderDxfId="96" totalsRowBorderDxfId="95">
  <tableColumns count="4">
    <tableColumn id="1" xr3:uid="{897DB282-7087-4E20-8A14-90EFD315C343}" name="MÊS/ANO" dataDxfId="94">
      <calculatedColumnFormula>IFERROR(UPPER(TEXT(F4,"mmmm aaaa")),"SEM DADOS")</calculatedColumnFormula>
    </tableColumn>
    <tableColumn id="2" xr3:uid="{D93FF165-C0D6-4312-8970-59A397A26DC2}" name="R$ " dataDxfId="93">
      <calculatedColumnFormula>IFERROR(L4,"PERÍODO NÃO APURADO")</calculatedColumnFormula>
    </tableColumn>
    <tableColumn id="3" xr3:uid="{82A29FB4-2F3D-4AE5-BAF1-717ADA7D9034}" name="MÊS/ANO " dataDxfId="92">
      <calculatedColumnFormula>F10</calculatedColumnFormula>
    </tableColumn>
    <tableColumn id="4" xr3:uid="{C2260DA1-6AEE-4EBF-ABD0-36C6B93D91C1}" name="R$" dataDxfId="91">
      <calculatedColumnFormula>L10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9A72F2-0786-4632-B2A0-7CD778CC8C86}" name="tbFatMensal" displayName="tbFatMensal" ref="A1:E85" totalsRowShown="0">
  <autoFilter ref="A1:E85" xr:uid="{619A72F2-0786-4632-B2A0-7CD778CC8C86}"/>
  <tableColumns count="5">
    <tableColumn id="1" xr3:uid="{CBD9B114-B0FD-4FBD-94D9-99EACD15900D}" name="DATA" dataDxfId="90"/>
    <tableColumn id="2" xr3:uid="{6E474F86-924B-4007-B935-50999A48DE9F}" name="3.1.1.1.01" dataDxfId="89">
      <calculatedColumnFormula array="1">INDEX(TBBP[],$F$1+1,MATCH(A2,listaPeriodos,0))</calculatedColumnFormula>
    </tableColumn>
    <tableColumn id="3" xr3:uid="{B1BEEBB3-9033-445C-9776-84C3B832E2FD}" name="3.1.1.2.02.00001" dataDxfId="88">
      <calculatedColumnFormula array="1">INDEX(TBBP[],$G$1+1,MATCH(A2,listaPeriodos,0))</calculatedColumnFormula>
    </tableColumn>
    <tableColumn id="4" xr3:uid="{5E4A153E-C854-448D-98C0-DD4951B43CB5}" name="FATURAMENTO" dataDxfId="87">
      <calculatedColumnFormula>B2+C2</calculatedColumnFormula>
    </tableColumn>
    <tableColumn id="5" xr3:uid="{E6A01341-9EC4-46BE-B59E-D1E6EC93C94F}" name="12 MESE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D8766CD-CE84-4791-B156-8C72E02D021D}" name="Tabela4" displayName="Tabela4" ref="A2:N23" totalsRowShown="0">
  <autoFilter ref="A2:N23" xr:uid="{AD8766CD-CE84-4791-B156-8C72E02D021D}">
    <filterColumn colId="0">
      <filters>
        <filter val="% Ebitda"/>
      </filters>
    </filterColumn>
  </autoFilter>
  <tableColumns count="14">
    <tableColumn id="1" xr3:uid="{4C042E55-EC31-4041-8929-0E463CD37E2C}" name="TRIMESTRE"/>
    <tableColumn id="8" xr3:uid="{A32A7D55-0EA6-462A-8801-2FA13CE6D1B0}" name="1T 2021" dataDxfId="86">
      <calculatedColumnFormula>DATE($B$1,VLOOKUP(B2,$Q$4:$R$7,2,1),1)</calculatedColumnFormula>
    </tableColumn>
    <tableColumn id="7" xr3:uid="{B5899CE4-670E-4960-9F7C-E8DD3BDA29F4}" name="2T 2021" dataDxfId="85"/>
    <tableColumn id="6" xr3:uid="{8A8A1476-35E9-4112-B1B1-7B11C96833B7}" name="3T 2021" dataDxfId="84"/>
    <tableColumn id="5" xr3:uid="{88DCAD1B-80EA-4EE2-B581-DBCB549B9FF8}" name="4T 2021" dataDxfId="83"/>
    <tableColumn id="2" xr3:uid="{7FA6E0D3-66C8-4B20-B80F-C2E96E039D6E}" name="1T 2022" dataDxfId="82"/>
    <tableColumn id="3" xr3:uid="{12E345D3-FEED-4DB3-AEAB-6C8985319943}" name="2T 2022" dataDxfId="81"/>
    <tableColumn id="4" xr3:uid="{3241C8B5-91CF-4573-8315-F8AECF38742A}" name="3T 2022" dataDxfId="80"/>
    <tableColumn id="9" xr3:uid="{8BB21FF3-D2DF-4C84-93C7-3A2B45F349BB}" name="4T 2022" dataDxfId="79">
      <calculatedColumnFormula>DATE(I$1,VLOOKUP(I2,$Q$4:$R$7,2,1),1)</calculatedColumnFormula>
    </tableColumn>
    <tableColumn id="10" xr3:uid="{9979377A-2E8A-4B1A-97E0-BD0245E85381}" name="1T 2023" dataDxfId="78">
      <calculatedColumnFormula>DATE(J$1,VLOOKUP(J2,$Q$4:$R$7,2,1),1)</calculatedColumnFormula>
    </tableColumn>
    <tableColumn id="11" xr3:uid="{08715B7A-431A-46AC-8758-4B6BAB7F51C8}" name="2T 2023" dataDxfId="77">
      <calculatedColumnFormula>DATE(K$1,VLOOKUP(K2,$Q$4:$R$7,2,1),1)</calculatedColumnFormula>
    </tableColumn>
    <tableColumn id="12" xr3:uid="{3DFDBD4B-91C3-4CD3-967E-50F0787EFD74}" name="3T 2023" dataDxfId="76">
      <calculatedColumnFormula>DATE(L$1,VLOOKUP(L2,$Q$4:$R$7,2,1),1)</calculatedColumnFormula>
    </tableColumn>
    <tableColumn id="13" xr3:uid="{EC8D12A7-0A87-49EC-B7A6-1A7A62128A93}" name="4T 2023" dataDxfId="75">
      <calculatedColumnFormula>DATE(M$1,VLOOKUP(M2,$Q$4:$R$7,2,1),1)</calculatedColumnFormula>
    </tableColumn>
    <tableColumn id="14" xr3:uid="{672E711D-5391-47BE-8964-9E02ABFA7CEF}" name="1T 2024" dataDxfId="74">
      <calculatedColumnFormula>DATE(N$1,VLOOKUP(N2,$Q$4:$R$7,2,1),1)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14C61D-D1A7-4516-82BC-1CF3B4543180}" name="Tabela6" displayName="Tabela6" ref="A26:N47" totalsRowShown="0">
  <autoFilter ref="A26:N47" xr:uid="{C514C61D-D1A7-4516-82BC-1CF3B4543180}">
    <filterColumn colId="0">
      <filters>
        <filter val="% Ebitda"/>
      </filters>
    </filterColumn>
  </autoFilter>
  <tableColumns count="14">
    <tableColumn id="1" xr3:uid="{AAB71F76-6488-4930-98CF-12B3AE2B7765}" name="TRIMESTRE"/>
    <tableColumn id="7" xr3:uid="{735E1F1D-0FE3-48CA-9A44-9BC2EC266016}" name="1T 2021" dataDxfId="73">
      <calculatedColumnFormula>DATE($B$25,VLOOKUP(B26,$Q$4:$R$7,2,1),1)</calculatedColumnFormula>
    </tableColumn>
    <tableColumn id="6" xr3:uid="{CF9D218F-43EB-4996-BB90-A5D5D49D2030}" name="2T 2021" dataDxfId="72">
      <calculatedColumnFormula>DATE($B$25,VLOOKUP(C26,$Q$4:$R$7,2,1),1)</calculatedColumnFormula>
    </tableColumn>
    <tableColumn id="5" xr3:uid="{1BB1BA35-17FE-47AB-9B0C-65E430333BA6}" name="3T 2021" dataDxfId="71">
      <calculatedColumnFormula>DATE($B$25,VLOOKUP(D26,$Q$4:$R$7,2,1),1)</calculatedColumnFormula>
    </tableColumn>
    <tableColumn id="4" xr3:uid="{FB124FFE-BD03-4228-BE2B-7541AA238FAD}" name="4T 2021" dataDxfId="70">
      <calculatedColumnFormula>DATE($B$25,VLOOKUP(E26,$Q$4:$R$7,2,1),1)</calculatedColumnFormula>
    </tableColumn>
    <tableColumn id="2" xr3:uid="{C69B88AD-8ED1-4FCE-AE5C-2FDF1795EED1}" name="1T 2022" dataDxfId="69">
      <calculatedColumnFormula>DATE($B$25,VLOOKUP(F26,$Q$4:$R$7,2,1),1)</calculatedColumnFormula>
    </tableColumn>
    <tableColumn id="3" xr3:uid="{BA986EBF-8148-417D-AAA4-A9E8D405E85A}" name="2T 2022" dataDxfId="68"/>
    <tableColumn id="8" xr3:uid="{102731BE-DAAA-4682-9570-46DE977B720F}" name="3T 2022" dataDxfId="67"/>
    <tableColumn id="9" xr3:uid="{204DE1B3-DA0D-4154-97FD-A9FABCC4BFBA}" name="4T 2022" dataDxfId="66">
      <calculatedColumnFormula>DATE(I$25,VLOOKUP(I26,$Q$4:$R$7,2,1),1)</calculatedColumnFormula>
    </tableColumn>
    <tableColumn id="10" xr3:uid="{98C03D92-9079-4C5B-9987-7CA79020004B}" name="1T 2023" dataDxfId="65">
      <calculatedColumnFormula>DATE(J$25,VLOOKUP(J26,$Q$4:$R$7,2,1),1)</calculatedColumnFormula>
    </tableColumn>
    <tableColumn id="11" xr3:uid="{B4BED8C8-539B-4C37-9C46-1CFF02135F00}" name="2T 2023" dataDxfId="64">
      <calculatedColumnFormula>DATE(K$25,VLOOKUP(K26,$Q$4:$R$7,2,1),1)</calculatedColumnFormula>
    </tableColumn>
    <tableColumn id="12" xr3:uid="{258C67B9-FEE2-4662-AA57-D1CDFCB00EBD}" name="3T 2023" dataDxfId="63">
      <calculatedColumnFormula>DATE(L$25,VLOOKUP(L26,$Q$4:$R$7,2,1),1)</calculatedColumnFormula>
    </tableColumn>
    <tableColumn id="13" xr3:uid="{36630553-F384-4963-B2B8-5665B0010B10}" name="4T 2023" dataDxfId="62">
      <calculatedColumnFormula>DATE(M$25,VLOOKUP(M26,$Q$4:$R$7,2,1),1)</calculatedColumnFormula>
    </tableColumn>
    <tableColumn id="14" xr3:uid="{564BD4FF-2D3B-450C-B689-FD6A8A8CC0AD}" name="1T 2024" dataDxfId="61">
      <calculatedColumnFormula>DATE(N$25,VLOOKUP(N26,$Q$4:$R$7,2,1),1)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531A371-62A2-476D-A2F5-5F749FC2CDC4}" name="Tabela68" displayName="Tabela68" ref="A50:N71" totalsRowShown="0">
  <autoFilter ref="A50:N71" xr:uid="{C531A371-62A2-476D-A2F5-5F749FC2CDC4}">
    <filterColumn colId="0">
      <filters>
        <filter val="% Ebitda"/>
      </filters>
    </filterColumn>
  </autoFilter>
  <tableColumns count="14">
    <tableColumn id="1" xr3:uid="{A152EF4E-1830-41E4-92CB-D71E35CD6D15}" name="TRIMESTRE"/>
    <tableColumn id="7" xr3:uid="{C562BD1C-A026-4256-B295-694EF1E601CE}" name="1T 2021" dataDxfId="60">
      <calculatedColumnFormula>DATE(B$49,VLOOKUP(B50,$Q$4:$R$7,2,1),1)</calculatedColumnFormula>
    </tableColumn>
    <tableColumn id="6" xr3:uid="{2790AE97-4960-43D4-B380-E8770F91B0F6}" name="2T 2021" dataDxfId="59">
      <calculatedColumnFormula>DATE(C$49,VLOOKUP(C50,$Q$4:$R$7,2,1),1)</calculatedColumnFormula>
    </tableColumn>
    <tableColumn id="5" xr3:uid="{610ECF6E-3B93-4F55-93E6-97EF86B1D8B6}" name="3T 2021" dataDxfId="58">
      <calculatedColumnFormula>DATE(D$49,VLOOKUP(D50,$Q$4:$R$7,2,1),1)</calculatedColumnFormula>
    </tableColumn>
    <tableColumn id="4" xr3:uid="{FE7DEB04-E2C5-4665-BFE3-472FEB8C7FD6}" name="4T 2021" dataDxfId="57">
      <calculatedColumnFormula>DATE(E$49,VLOOKUP(E50,$Q$4:$R$7,2,1),1)</calculatedColumnFormula>
    </tableColumn>
    <tableColumn id="2" xr3:uid="{E82212EE-9D84-48B0-A357-9EF06074C5B3}" name="1T 2022" dataDxfId="56">
      <calculatedColumnFormula>DATE(F$49,VLOOKUP(F50,$Q$4:$R$7,2,1),1)</calculatedColumnFormula>
    </tableColumn>
    <tableColumn id="3" xr3:uid="{DA12D1D2-6213-49E3-959F-D465247B5E3E}" name="2T 2022" dataDxfId="55">
      <calculatedColumnFormula>DATE(G$49,VLOOKUP(G50,$Q$4:$R$7,2,1),1)</calculatedColumnFormula>
    </tableColumn>
    <tableColumn id="8" xr3:uid="{763ECD77-B04E-4DD2-8BFD-E90ED09A330F}" name="3T 2022" dataDxfId="54"/>
    <tableColumn id="9" xr3:uid="{A68539E1-8F3E-482F-91EE-A460C7EEE05C}" name="4T 2022" dataDxfId="53">
      <calculatedColumnFormula>DATE(I$49,VLOOKUP(I50,$Q$4:$R$7,2,1),1)</calculatedColumnFormula>
    </tableColumn>
    <tableColumn id="10" xr3:uid="{2924EF0C-C0CF-4E86-A5BB-E568CC512C95}" name="1T 2023" dataDxfId="52">
      <calculatedColumnFormula>DATE(J$49,VLOOKUP(J50,$Q$4:$R$7,2,1),1)</calculatedColumnFormula>
    </tableColumn>
    <tableColumn id="11" xr3:uid="{6905AC3D-9630-4AFB-B196-BE1B90907AF7}" name="2T 2023" dataDxfId="51">
      <calculatedColumnFormula>DATE(K$49,VLOOKUP(K50,$Q$4:$R$7,2,1),1)</calculatedColumnFormula>
    </tableColumn>
    <tableColumn id="12" xr3:uid="{15162E5C-D382-4EA3-8A24-6E4F82D052EE}" name="3T 2023" dataDxfId="50">
      <calculatedColumnFormula>DATE(L$49,VLOOKUP(L50,$Q$4:$R$7,2,1),1)</calculatedColumnFormula>
    </tableColumn>
    <tableColumn id="13" xr3:uid="{DA25FE6A-DBB1-4126-B245-7AF893FC15CD}" name="4T 2023" dataDxfId="49">
      <calculatedColumnFormula>DATE(M$49,VLOOKUP(M50,$Q$4:$R$7,2,1),1)</calculatedColumnFormula>
    </tableColumn>
    <tableColumn id="14" xr3:uid="{05E62838-E308-40B8-BB4B-80ECE255CC27}" name="1T 2024" dataDxfId="48">
      <calculatedColumnFormula>DATE(N$49,VLOOKUP(N50,$Q$4:$R$7,2,1),1)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AC95B72-3E69-4012-8FB3-E681A35548B4}" name="Tabela69" displayName="Tabela69" ref="A74:N95" totalsRowShown="0" dataDxfId="47">
  <autoFilter ref="A74:N95" xr:uid="{CAC95B72-3E69-4012-8FB3-E681A35548B4}">
    <filterColumn colId="0">
      <filters>
        <filter val="% Ebitda"/>
      </filters>
    </filterColumn>
  </autoFilter>
  <tableColumns count="14">
    <tableColumn id="1" xr3:uid="{FA8E6D94-95DC-449F-B003-FDDEFD7718F3}" name="TRIMESTRE"/>
    <tableColumn id="7" xr3:uid="{D9A7F0F4-E4B8-4F53-829B-2B1C7CADA6BC}" name="1T 2021" dataDxfId="46"/>
    <tableColumn id="6" xr3:uid="{98A83222-34EF-4475-870E-5FECB2EBDEC3}" name="2T 2021" dataDxfId="45"/>
    <tableColumn id="5" xr3:uid="{C1450BB7-0931-422F-8595-7876919B6A98}" name="3T 2021" dataDxfId="44"/>
    <tableColumn id="4" xr3:uid="{0F118A24-43A4-47C8-8CF6-19E52C6838CD}" name="4T 2021" dataDxfId="43"/>
    <tableColumn id="2" xr3:uid="{E02AE9B0-7247-4DA6-8349-CC5C56C1C3F2}" name="1T 2022" dataDxfId="42"/>
    <tableColumn id="3" xr3:uid="{DBCBCD34-A629-46CC-A0C0-8F257AB46BDD}" name="2T 2022" dataDxfId="41"/>
    <tableColumn id="8" xr3:uid="{07869C77-383F-49EA-89E1-2972CD3E4BC1}" name="3T 2022" dataDxfId="40"/>
    <tableColumn id="9" xr3:uid="{2179A26A-26F3-4E56-B3E3-72A6902B7EA3}" name="4T 2022" dataDxfId="39">
      <calculatedColumnFormula>DATE(I$73,VLOOKUP(I74,$Q$4:$R$7,2,1),1)</calculatedColumnFormula>
    </tableColumn>
    <tableColumn id="10" xr3:uid="{F98C271A-EF9E-413C-8B3E-26537699FC59}" name="1T 2023" dataDxfId="38">
      <calculatedColumnFormula>DATE(J$73,VLOOKUP(J74,$Q$4:$R$7,2,1),1)</calculatedColumnFormula>
    </tableColumn>
    <tableColumn id="11" xr3:uid="{95451845-DA13-4D01-BB2A-40AB80BBF78E}" name="2T 2023" dataDxfId="37">
      <calculatedColumnFormula>DATE(K$73,VLOOKUP(K74,$Q$4:$R$7,2,1),1)</calculatedColumnFormula>
    </tableColumn>
    <tableColumn id="12" xr3:uid="{08D1F64C-CBB6-403B-8A89-2CAB6F076F48}" name="3T 2023" dataDxfId="36">
      <calculatedColumnFormula>DATE(L$73,VLOOKUP(L74,$Q$4:$R$7,2,1),1)</calculatedColumnFormula>
    </tableColumn>
    <tableColumn id="13" xr3:uid="{A9F9A958-4CC2-4862-B11B-388C77CBA9D3}" name="4T 2023" dataDxfId="35">
      <calculatedColumnFormula>DATE(M$73,VLOOKUP(M74,$Q$4:$R$7,2,1),1)</calculatedColumnFormula>
    </tableColumn>
    <tableColumn id="14" xr3:uid="{7A00B19E-730F-459E-97C8-5289808D9601}" name="1T 2024" dataDxfId="34">
      <calculatedColumnFormula>DATE(N$73,VLOOKUP(N74,$Q$4:$R$7,2,1),1)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DCBFC1-C0F1-454C-95D1-A54FA1A7D1DD}" name="Tabela685" displayName="Tabela685" ref="A98:N119" totalsRowShown="0">
  <autoFilter ref="A98:N119" xr:uid="{D9DCBFC1-C0F1-454C-95D1-A54FA1A7D1DD}">
    <filterColumn colId="0">
      <filters>
        <filter val="% Ebitda"/>
      </filters>
    </filterColumn>
  </autoFilter>
  <tableColumns count="14">
    <tableColumn id="1" xr3:uid="{5AD45D57-E6F5-4353-ABCB-92EDAA26ECE7}" name="TRIMESTRE"/>
    <tableColumn id="7" xr3:uid="{7FCE9EA0-44CC-477B-AF0C-5F58191BDCDB}" name="1T 2021" dataDxfId="33">
      <calculatedColumnFormula>DATE(B$49,VLOOKUP(B98,$Q$4:$R$7,2,1),1)</calculatedColumnFormula>
    </tableColumn>
    <tableColumn id="6" xr3:uid="{4D788F7B-16FA-41C2-BED2-5B0F5792E037}" name="2T 2021" dataDxfId="32">
      <calculatedColumnFormula>DATE(C$49,VLOOKUP(C98,$Q$4:$R$7,2,1),1)</calculatedColumnFormula>
    </tableColumn>
    <tableColumn id="5" xr3:uid="{3C4CE25C-3D32-46CB-8339-CF3158B15AA6}" name="3T 2021" dataDxfId="31">
      <calculatedColumnFormula>DATE(D$49,VLOOKUP(D98,$Q$4:$R$7,2,1),1)</calculatedColumnFormula>
    </tableColumn>
    <tableColumn id="4" xr3:uid="{B8859350-C151-4243-9978-ACAED19C0639}" name="4T 2021" dataDxfId="30">
      <calculatedColumnFormula>DATE(E$49,VLOOKUP(E98,$Q$4:$R$7,2,1),1)</calculatedColumnFormula>
    </tableColumn>
    <tableColumn id="2" xr3:uid="{9777D888-A124-41B6-A491-CF1B17CD0DC1}" name="1T 2022" dataDxfId="29">
      <calculatedColumnFormula>DATE(F$49,VLOOKUP(F98,$Q$4:$R$7,2,1),1)</calculatedColumnFormula>
    </tableColumn>
    <tableColumn id="3" xr3:uid="{2385C6DF-DE27-4EBA-A95B-AF900018E259}" name="2T 2022" dataDxfId="28">
      <calculatedColumnFormula>DATE(G$49,VLOOKUP(G98,$Q$4:$R$7,2,1),1)</calculatedColumnFormula>
    </tableColumn>
    <tableColumn id="8" xr3:uid="{0DE16F34-B893-4BDA-A99E-B2C6D2C29B7E}" name="3T 2022" dataDxfId="27"/>
    <tableColumn id="9" xr3:uid="{8E6C1396-486F-407E-8886-3DE7BA47032D}" name="4T 2022" dataDxfId="26">
      <calculatedColumnFormula>DATE(I$49,VLOOKUP(I98,$Q$4:$R$7,2,1),1)</calculatedColumnFormula>
    </tableColumn>
    <tableColumn id="10" xr3:uid="{038D936C-AAF3-46A6-A810-66D722A92AA1}" name="1T 2023" dataDxfId="25">
      <calculatedColumnFormula>DATE(J$49,VLOOKUP(J98,$Q$4:$R$7,2,1),1)</calculatedColumnFormula>
    </tableColumn>
    <tableColumn id="11" xr3:uid="{94317A74-BABB-4CDE-8DF0-AB505CF0C7D4}" name="2T 2023" dataDxfId="24">
      <calculatedColumnFormula>DATE(K$49,VLOOKUP(K98,$Q$4:$R$7,2,1),1)</calculatedColumnFormula>
    </tableColumn>
    <tableColumn id="12" xr3:uid="{0E69F943-9D68-465A-AA96-A08AA88A0A65}" name="3T 2023" dataDxfId="23">
      <calculatedColumnFormula>DATE(L$49,VLOOKUP(L98,$Q$4:$R$7,2,1),1)</calculatedColumnFormula>
    </tableColumn>
    <tableColumn id="13" xr3:uid="{29F6EAC4-9CDB-4A20-8F95-037BA5F1DDB3}" name="4T 2023" dataDxfId="22">
      <calculatedColumnFormula>DATE(M$49,VLOOKUP(M98,$Q$4:$R$7,2,1),1)</calculatedColumnFormula>
    </tableColumn>
    <tableColumn id="14" xr3:uid="{63FB3523-39F2-4B2E-B879-301418D9F00F}" name="1T 2024" dataDxfId="21">
      <calculatedColumnFormula>DATE(N$49,VLOOKUP(N98,$Q$4:$R$7,2,1),1)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E313DE-598E-4100-9BA4-4EE74D4E55A7}" name="Tabela7" displayName="Tabela7" ref="A2:G69" totalsRowShown="0">
  <autoFilter ref="A2:G69" xr:uid="{9BE313DE-598E-4100-9BA4-4EE74D4E55A7}"/>
  <tableColumns count="7">
    <tableColumn id="1" xr3:uid="{26776C83-1BA7-4BAD-BE1C-7EBCDE98F7B6}" name="PERIODO" dataDxfId="6"/>
    <tableColumn id="6" xr3:uid="{C649E8DA-0BE5-4445-862D-B6CD46513C5F}" name="RECEITA LIQUIDA" dataDxfId="5">
      <calculatedColumnFormula array="1">(INDEX(TBBP[],MATCH($B$1,planoContas,0)+1,MATCH(Tabela7[[#This Row],[PERIODO]],listaPeriodos,0)))</calculatedColumnFormula>
    </tableColumn>
    <tableColumn id="2" xr3:uid="{A3C0CAFF-CF5E-4AED-B5FD-F1844B3540B4}" name="PRODUCAO" dataDxfId="4">
      <calculatedColumnFormula array="1">((INDEX(TBBP[],MATCH($C$1,planoContas,0)+1,MATCH(A3,listaPeriodos,0)))*-1)/Tabela7[[#This Row],[RECEITA LIQUIDA]]</calculatedColumnFormula>
    </tableColumn>
    <tableColumn id="3" xr3:uid="{C3D4A99A-0027-42FE-A480-3862CCCBCC77}" name="PRESTAÇAO SERVIÇO" dataDxfId="3" dataCellStyle="Porcentagem">
      <calculatedColumnFormula array="1">IFERROR(((INDEX(TBBP[],MATCH($D$1,planoContas,0)+1,MATCH(A3,listaPeriodos,0))*-1)/Tabela7[[#This Row],[RECEITA LIQUIDA]]),0)</calculatedColumnFormula>
    </tableColumn>
    <tableColumn id="4" xr3:uid="{F0C1244A-3AE9-437A-B98E-BA59A4D3E0F9}" name="COMERCIAL" dataDxfId="2">
      <calculatedColumnFormula array="1">(INDEX(TBBP[],MATCH($E$1,planoContas,0)+1,MATCH(A3,listaPeriodos,0))*-1)/Tabela7[[#This Row],[RECEITA LIQUIDA]]</calculatedColumnFormula>
    </tableColumn>
    <tableColumn id="5" xr3:uid="{9D6FAE92-74FF-44E8-965A-06541CE41035}" name="ADMINISTRATIVO" dataDxfId="1">
      <calculatedColumnFormula array="1">(INDEX(TBBP[],MATCH($F$1,planoContas,0)+1,MATCH(A3,listaPeriodos,0))*-1)/Tabela7[[#This Row],[RECEITA LIQUIDA]]</calculatedColumnFormula>
    </tableColumn>
    <tableColumn id="7" xr3:uid="{A5D47796-8579-4101-9DB2-78BB9F96BA90}" name="TOTAL MO" dataDxfId="0">
      <calculatedColumnFormula>SUM(Tabela7[[#This Row],[PRODUCAO]:[ADMINISTRATIVO]])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Periodo" xr10:uid="{BF9CD717-365B-44C9-BAE5-16494C0BD6DC}" sourceName="Periodo">
  <pivotTables>
    <pivotTable tabId="20" name="Tabela dinâmica9"/>
  </pivotTables>
  <state minimalRefreshVersion="6" lastRefreshVersion="6" pivotCacheId="608942736" filterType="dateBetween">
    <selection startDate="2025-01-01T00:00:00" endDate="2026-12-31T00:00:00"/>
    <bounds startDate="2013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Periodo1" xr10:uid="{DEE3DB61-E1AA-4986-A2BC-D75C663D75F8}" sourceName="Periodo">
  <pivotTables>
    <pivotTable tabId="20" name="Tabela dinâmica13"/>
  </pivotTables>
  <state minimalRefreshVersion="6" lastRefreshVersion="6" pivotCacheId="608942736" filterType="dateBetween">
    <selection startDate="2023-01-01T00:00:00" endDate="2025-12-31T00:00:00"/>
    <bounds startDate="2013-01-01T00:00:00" endDate="2027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Periodo2" xr10:uid="{091A48C5-AC0C-468E-8DE5-E27DDD98AF81}" sourceName="Periodo">
  <pivotTables>
    <pivotTable tabId="40" name="Tabela dinâmica1"/>
  </pivotTables>
  <state minimalRefreshVersion="6" lastRefreshVersion="6" pivotCacheId="817808576" filterType="dateBetween">
    <selection startDate="2024-01-01T00:00:00" endDate="2025-12-31T00:00:00"/>
    <bounds startDate="2020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Periodo 2" xr10:uid="{0994F659-7FFB-4351-B808-E6E2C2AA0174}" cache="NativeTimeline_Periodo" caption="Periodo" level="0" selectionLevel="0" scrollPosition="2022-09-26T00:00:00" style="TimeSlicerStyleLight4"/>
  <timeline name="Periodo 3" xr10:uid="{64384B10-1C0F-4904-9FFA-C11B4FA4633F}" cache="NativeTimeline_Periodo1" caption="Periodo" level="0" selectionLevel="0" scrollPosition="2021-09-21T00:00:00" style="TimeSlicerStyleLight4"/>
  <timeline name="Periodo 5" xr10:uid="{B2874975-71B0-4425-973F-16F2F0A002E8}" cache="NativeTimeline_Periodo2" caption="Periodo" level="0" selectionLevel="0" scrollPosition="2020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Periodo 1" xr10:uid="{2463608C-E014-4D90-B9AF-5EF6EB32A48D}" cache="NativeTimeline_Periodo" caption="Periodo" level="0" selectionLevel="0" scrollPosition="2019-10-25T00:00:00"/>
  <timeline name="Periodo 4" xr10:uid="{8CA3F02C-466A-4A93-AA93-C188EF600B60}" cache="NativeTimeline_Periodo" caption="Periodo" level="0" selectionLevel="0" scrollPosition="2019-10-25T00:00:00"/>
  <timeline name="Periodo" xr10:uid="{7BEE3D14-8CB5-41F4-A741-48E90D9076D5}" cache="NativeTimeline_Periodo1" caption="Periodo" level="0" selectionLevel="0" scrollPosition="2019-10-25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07/relationships/slicer" Target="../slicers/slicer2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55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5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5" Type="http://schemas.openxmlformats.org/officeDocument/2006/relationships/image" Target="../media/image5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5" Type="http://schemas.openxmlformats.org/officeDocument/2006/relationships/image" Target="../media/image58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5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8.xml"/><Relationship Id="rId5" Type="http://schemas.openxmlformats.org/officeDocument/2006/relationships/image" Target="../media/image58.emf"/><Relationship Id="rId4" Type="http://schemas.openxmlformats.org/officeDocument/2006/relationships/control" Target="../activeX/activeX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image" Target="../media/image60.emf"/><Relationship Id="rId10" Type="http://schemas.openxmlformats.org/officeDocument/2006/relationships/ctrlProp" Target="../ctrlProps/ctrlProp12.xml"/><Relationship Id="rId4" Type="http://schemas.openxmlformats.org/officeDocument/2006/relationships/control" Target="../activeX/activeX9.xml"/><Relationship Id="rId9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www.mobills.com.br/tabelas/igp-m/" TargetMode="External"/><Relationship Id="rId7" Type="http://schemas.openxmlformats.org/officeDocument/2006/relationships/ctrlProp" Target="../ctrlProps/ctrlProp14.xml"/><Relationship Id="rId2" Type="http://schemas.openxmlformats.org/officeDocument/2006/relationships/hyperlink" Target="https://www.bcb.gov.br/estabilidadefinanceira/historicocotacoes" TargetMode="External"/><Relationship Id="rId1" Type="http://schemas.openxmlformats.org/officeDocument/2006/relationships/hyperlink" Target="https://sicalc.receita.economia.gov.br/sicalc/selic/consulta" TargetMode="External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3.xml"/><Relationship Id="rId4" Type="http://schemas.openxmlformats.org/officeDocument/2006/relationships/printerSettings" Target="../printerSettings/printerSettings13.bin"/><Relationship Id="rId9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3.xml"/><Relationship Id="rId4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A553-8ED3-4054-B182-AE15E7F6B477}">
  <sheetPr codeName="Planilha2">
    <pageSetUpPr autoPageBreaks="0"/>
  </sheetPr>
  <dimension ref="K1:AE21"/>
  <sheetViews>
    <sheetView showGridLines="0" topLeftCell="B1" zoomScale="85" zoomScaleNormal="85" workbookViewId="0"/>
  </sheetViews>
  <sheetFormatPr defaultRowHeight="14.4" x14ac:dyDescent="0.3"/>
  <cols>
    <col min="1" max="1" width="0" hidden="1" customWidth="1"/>
    <col min="11" max="11" width="15.88671875" bestFit="1" customWidth="1"/>
    <col min="12" max="12" width="15.44140625" bestFit="1" customWidth="1"/>
    <col min="19" max="19" width="16" bestFit="1" customWidth="1"/>
    <col min="26" max="26" width="15.6640625" bestFit="1" customWidth="1"/>
    <col min="27" max="27" width="9.109375" hidden="1" customWidth="1"/>
    <col min="28" max="29" width="10.6640625" hidden="1" customWidth="1"/>
    <col min="30" max="31" width="9.109375" hidden="1" customWidth="1"/>
  </cols>
  <sheetData>
    <row r="1" spans="11:30" ht="7.5" customHeight="1" x14ac:dyDescent="0.3"/>
    <row r="2" spans="11:30" s="48" customFormat="1" ht="37.5" customHeight="1" x14ac:dyDescent="0.3"/>
    <row r="3" spans="11:30" x14ac:dyDescent="0.3">
      <c r="K3" s="137" t="s">
        <v>745</v>
      </c>
      <c r="L3" s="138">
        <f>FORMULAS!A25</f>
        <v>46174</v>
      </c>
      <c r="S3" s="139">
        <f ca="1">NOW()</f>
        <v>46240.707701736108</v>
      </c>
    </row>
    <row r="5" spans="11:30" x14ac:dyDescent="0.3">
      <c r="Z5" s="74"/>
      <c r="AA5">
        <f>FORMULAS!R23</f>
        <v>6</v>
      </c>
      <c r="AB5" t="str">
        <f t="shared" ref="AB5:AB16" si="0">VLOOKUP(AA5,NUMMESES,2,0)</f>
        <v>Junho</v>
      </c>
      <c r="AC5">
        <f>YEAR(FORMULAS!A25)</f>
        <v>2026</v>
      </c>
      <c r="AD5">
        <f>AA5</f>
        <v>6</v>
      </c>
    </row>
    <row r="6" spans="11:30" x14ac:dyDescent="0.3">
      <c r="AA6">
        <f>IF(AA5+1&gt;12,1,AA5+1)</f>
        <v>7</v>
      </c>
      <c r="AB6" t="str">
        <f t="shared" si="0"/>
        <v>Julho</v>
      </c>
      <c r="AC6">
        <f t="shared" ref="AC6:AC11" si="1">AC5+1</f>
        <v>2027</v>
      </c>
      <c r="AD6">
        <f t="shared" ref="AD6:AD16" si="2">AA6</f>
        <v>7</v>
      </c>
    </row>
    <row r="7" spans="11:30" x14ac:dyDescent="0.3">
      <c r="AA7">
        <f t="shared" ref="AA7:AA16" si="3">IF(AA6+1&gt;12,1,AA6+1)</f>
        <v>8</v>
      </c>
      <c r="AB7" t="str">
        <f t="shared" si="0"/>
        <v>Agosto</v>
      </c>
      <c r="AC7">
        <f t="shared" si="1"/>
        <v>2028</v>
      </c>
      <c r="AD7">
        <f t="shared" si="2"/>
        <v>8</v>
      </c>
    </row>
    <row r="8" spans="11:30" x14ac:dyDescent="0.3">
      <c r="AA8">
        <f t="shared" si="3"/>
        <v>9</v>
      </c>
      <c r="AB8" t="str">
        <f t="shared" si="0"/>
        <v>Setembro</v>
      </c>
      <c r="AC8">
        <f t="shared" si="1"/>
        <v>2029</v>
      </c>
      <c r="AD8">
        <f t="shared" si="2"/>
        <v>9</v>
      </c>
    </row>
    <row r="9" spans="11:30" x14ac:dyDescent="0.3">
      <c r="AA9">
        <f t="shared" si="3"/>
        <v>10</v>
      </c>
      <c r="AB9" t="str">
        <f t="shared" si="0"/>
        <v>Outubro</v>
      </c>
      <c r="AC9">
        <f t="shared" si="1"/>
        <v>2030</v>
      </c>
      <c r="AD9">
        <f t="shared" si="2"/>
        <v>10</v>
      </c>
    </row>
    <row r="10" spans="11:30" x14ac:dyDescent="0.3">
      <c r="AA10">
        <f t="shared" si="3"/>
        <v>11</v>
      </c>
      <c r="AB10" t="str">
        <f t="shared" si="0"/>
        <v>Novembro</v>
      </c>
      <c r="AC10">
        <f t="shared" si="1"/>
        <v>2031</v>
      </c>
      <c r="AD10">
        <f t="shared" si="2"/>
        <v>11</v>
      </c>
    </row>
    <row r="11" spans="11:30" x14ac:dyDescent="0.3">
      <c r="AA11">
        <f t="shared" si="3"/>
        <v>12</v>
      </c>
      <c r="AB11" t="str">
        <f t="shared" si="0"/>
        <v>Dezembro</v>
      </c>
      <c r="AC11">
        <f t="shared" si="1"/>
        <v>2032</v>
      </c>
      <c r="AD11">
        <f t="shared" si="2"/>
        <v>12</v>
      </c>
    </row>
    <row r="12" spans="11:30" x14ac:dyDescent="0.3">
      <c r="AA12">
        <f t="shared" si="3"/>
        <v>1</v>
      </c>
      <c r="AB12" t="str">
        <f t="shared" si="0"/>
        <v>Janeiro</v>
      </c>
      <c r="AD12">
        <f t="shared" si="2"/>
        <v>1</v>
      </c>
    </row>
    <row r="13" spans="11:30" x14ac:dyDescent="0.3">
      <c r="AA13">
        <f t="shared" si="3"/>
        <v>2</v>
      </c>
      <c r="AB13" t="str">
        <f t="shared" si="0"/>
        <v>Fevereiro</v>
      </c>
      <c r="AD13">
        <f t="shared" si="2"/>
        <v>2</v>
      </c>
    </row>
    <row r="14" spans="11:30" x14ac:dyDescent="0.3">
      <c r="AA14">
        <f t="shared" si="3"/>
        <v>3</v>
      </c>
      <c r="AB14" t="str">
        <f t="shared" si="0"/>
        <v>Março</v>
      </c>
      <c r="AD14">
        <f t="shared" si="2"/>
        <v>3</v>
      </c>
    </row>
    <row r="15" spans="11:30" x14ac:dyDescent="0.3">
      <c r="AA15">
        <f t="shared" si="3"/>
        <v>4</v>
      </c>
      <c r="AB15" t="str">
        <f t="shared" si="0"/>
        <v>Abril</v>
      </c>
      <c r="AD15">
        <f t="shared" si="2"/>
        <v>4</v>
      </c>
    </row>
    <row r="16" spans="11:30" x14ac:dyDescent="0.3">
      <c r="AA16">
        <f t="shared" si="3"/>
        <v>5</v>
      </c>
      <c r="AB16" t="str">
        <f t="shared" si="0"/>
        <v>Maio</v>
      </c>
      <c r="AD16">
        <f t="shared" si="2"/>
        <v>5</v>
      </c>
    </row>
    <row r="18" spans="28:29" x14ac:dyDescent="0.3">
      <c r="AB18" s="2">
        <v>1</v>
      </c>
      <c r="AC18">
        <v>1</v>
      </c>
    </row>
    <row r="19" spans="28:29" x14ac:dyDescent="0.3">
      <c r="AB19" t="str" cm="1">
        <f t="array" ref="AB19">INDEX(AB5:AB16,AB18,1)</f>
        <v>Junho</v>
      </c>
      <c r="AC19" cm="1">
        <f t="array" ref="AC19">INDEX(AC5:AC16,AC18,1)</f>
        <v>2026</v>
      </c>
    </row>
    <row r="20" spans="28:29" x14ac:dyDescent="0.3">
      <c r="AB20">
        <f>VLOOKUP(AB19,AB5:AD16,3,0)</f>
        <v>6</v>
      </c>
    </row>
    <row r="21" spans="28:29" x14ac:dyDescent="0.3">
      <c r="AB21" s="29">
        <f>DATE(AC19,AB20,1)</f>
        <v>46174</v>
      </c>
      <c r="AC21" s="29">
        <f>DATE(AC19-1,AB20,1)</f>
        <v>45809</v>
      </c>
    </row>
  </sheetData>
  <sheetProtection selectLockedCells="1" sort="0" autoFilter="0" pivotTables="0" selectUnlockedCells="1"/>
  <phoneticPr fontId="6" type="noConversion"/>
  <pageMargins left="0.511811024" right="0.511811024" top="0.78740157499999996" bottom="0.78740157499999996" header="0.31496062000000002" footer="0.31496062000000002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99" r:id="rId4" name="Drop Down 2487">
              <controlPr defaultSize="0" autoLine="0" autoPict="0" macro="[0]!Dropdown2487_Alteração">
                <anchor>
                  <from>
                    <xdr:col>21</xdr:col>
                    <xdr:colOff>541020</xdr:colOff>
                    <xdr:row>3</xdr:row>
                    <xdr:rowOff>121920</xdr:rowOff>
                  </from>
                  <to>
                    <xdr:col>23</xdr:col>
                    <xdr:colOff>571500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0" r:id="rId5" name="Drop Down 2488">
              <controlPr defaultSize="0" autoLine="0" autoPict="0">
                <anchor>
                  <from>
                    <xdr:col>24</xdr:col>
                    <xdr:colOff>38100</xdr:colOff>
                    <xdr:row>3</xdr:row>
                    <xdr:rowOff>121920</xdr:rowOff>
                  </from>
                  <to>
                    <xdr:col>25</xdr:col>
                    <xdr:colOff>121920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35" r:id="rId6" name="Button 5631">
              <controlPr defaultSize="0" print="0" autoFill="0" autoPict="0" macro="[0]!OCULTARPAINELMENU">
                <anchor moveWithCells="1" sizeWithCells="1">
                  <from>
                    <xdr:col>19</xdr:col>
                    <xdr:colOff>365760</xdr:colOff>
                    <xdr:row>1</xdr:row>
                    <xdr:rowOff>60960</xdr:rowOff>
                  </from>
                  <to>
                    <xdr:col>21</xdr:col>
                    <xdr:colOff>175260</xdr:colOff>
                    <xdr:row>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55" r:id="rId7" name="Button 5651">
              <controlPr defaultSize="0" print="0" autoFill="0" autoPict="0" macro="[0]!MOSTRARPAINELMENU">
                <anchor moveWithCells="1" sizeWithCells="1">
                  <from>
                    <xdr:col>21</xdr:col>
                    <xdr:colOff>312420</xdr:colOff>
                    <xdr:row>1</xdr:row>
                    <xdr:rowOff>60960</xdr:rowOff>
                  </from>
                  <to>
                    <xdr:col>23</xdr:col>
                    <xdr:colOff>137160</xdr:colOff>
                    <xdr:row>1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6867E-61FA-4B31-BDEF-B1E360DB723C}">
  <sheetPr codeName="Planilha11">
    <tabColor theme="1"/>
  </sheetPr>
  <dimension ref="A1"/>
  <sheetViews>
    <sheetView showGridLines="0" showRowColHeaders="0" tabSelected="1" workbookViewId="0">
      <selection activeCell="O14" sqref="O14"/>
    </sheetView>
  </sheetViews>
  <sheetFormatPr defaultRowHeight="14.4" x14ac:dyDescent="0.3"/>
  <sheetData/>
  <sheetProtection algorithmName="SHA-512" hashValue="vSnn6OTVrztAMf1pjsoujKnVVrgdMjVs23IC3HFLZ6HSiYZrmki8+kctH9/pBfLe7tiwj1/ASXWkIPp8KSZFPQ==" saltValue="WStTl7u+O17GsdIiPU4IO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4737-836E-44D7-85C6-DAD183EB6702}">
  <sheetPr codeName="Planilha3">
    <pageSetUpPr autoPageBreaks="0" fitToPage="1"/>
  </sheetPr>
  <dimension ref="S1:S3"/>
  <sheetViews>
    <sheetView showGridLines="0" showRowColHeaders="0" zoomScale="98" zoomScaleNormal="98" workbookViewId="0"/>
  </sheetViews>
  <sheetFormatPr defaultRowHeight="14.4" x14ac:dyDescent="0.3"/>
  <cols>
    <col min="11" max="11" width="15.88671875" bestFit="1" customWidth="1"/>
    <col min="19" max="19" width="16.5546875" bestFit="1" customWidth="1"/>
  </cols>
  <sheetData>
    <row r="1" spans="19:19" ht="7.5" customHeight="1" x14ac:dyDescent="0.3"/>
    <row r="2" spans="19:19" s="48" customFormat="1" ht="37.5" customHeight="1" x14ac:dyDescent="0.3"/>
    <row r="3" spans="19:19" x14ac:dyDescent="0.3">
      <c r="S3" s="139">
        <f ca="1">NOW()</f>
        <v>46240.707701736108</v>
      </c>
    </row>
  </sheetData>
  <sheetProtection selectLockedCells="1" sort="0" autoFilter="0" pivotTables="0"/>
  <pageMargins left="0.511811024" right="0.511811024" top="0.78740157499999996" bottom="0.78740157499999996" header="0.31496062000000002" footer="0.31496062000000002"/>
  <pageSetup paperSize="9" scale="53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6EC20-5C29-4363-86AA-A75750BAAA9D}">
  <sheetPr codeName="Planilha15">
    <pageSetUpPr autoPageBreaks="0" fitToPage="1"/>
  </sheetPr>
  <dimension ref="R1:AO42"/>
  <sheetViews>
    <sheetView showGridLines="0" showRowColHeaders="0" zoomScale="71" zoomScaleNormal="71" workbookViewId="0">
      <pane xSplit="8" ySplit="33" topLeftCell="I34" activePane="bottomRight" state="frozen"/>
      <selection pane="topRight" activeCell="I1" sqref="I1"/>
      <selection pane="bottomLeft" activeCell="A34" sqref="A34"/>
      <selection pane="bottomRight"/>
    </sheetView>
  </sheetViews>
  <sheetFormatPr defaultRowHeight="14.4" x14ac:dyDescent="0.3"/>
  <cols>
    <col min="11" max="11" width="15.88671875" bestFit="1" customWidth="1"/>
    <col min="19" max="19" width="16.5546875" bestFit="1" customWidth="1"/>
  </cols>
  <sheetData>
    <row r="1" spans="19:41" ht="7.5" customHeight="1" x14ac:dyDescent="0.3"/>
    <row r="2" spans="19:41" s="48" customFormat="1" ht="37.5" customHeight="1" x14ac:dyDescent="0.3"/>
    <row r="3" spans="19:41" x14ac:dyDescent="0.3">
      <c r="S3" s="139">
        <f ca="1">NOW()</f>
        <v>46240.707701736108</v>
      </c>
    </row>
    <row r="5" spans="19:41" x14ac:dyDescent="0.3">
      <c r="AO5" s="136"/>
    </row>
    <row r="33" spans="18:18" s="140" customFormat="1" x14ac:dyDescent="0.3"/>
    <row r="42" spans="18:18" x14ac:dyDescent="0.3">
      <c r="R42" s="35"/>
    </row>
  </sheetData>
  <sheetProtection selectLockedCells="1" sort="0" autoFilter="0" pivotTables="0" selectUnlockedCells="1"/>
  <pageMargins left="0.25" right="0.25" top="0.75" bottom="0.75" header="0.3" footer="0.3"/>
  <pageSetup paperSize="9" scale="3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ttSegDadosEmpresas">
                <anchor>
                  <from>
                    <xdr:col>2</xdr:col>
                    <xdr:colOff>365760</xdr:colOff>
                    <xdr:row>3</xdr:row>
                    <xdr:rowOff>114300</xdr:rowOff>
                  </from>
                  <to>
                    <xdr:col>5</xdr:col>
                    <xdr:colOff>114300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B6D2F-E788-45E3-86FE-689337778C4C}">
  <sheetPr codeName="Planilha8">
    <pageSetUpPr autoPageBreaks="0" fitToPage="1"/>
  </sheetPr>
  <dimension ref="A1:M83"/>
  <sheetViews>
    <sheetView showGridLines="0" showRowColHeaders="0" zoomScale="117" zoomScaleNormal="117" workbookViewId="0">
      <pane xSplit="3" ySplit="9" topLeftCell="E30" activePane="bottomRight" state="frozen"/>
      <selection activeCell="B29" sqref="B29"/>
      <selection pane="topRight" activeCell="B29" sqref="B29"/>
      <selection pane="bottomLeft" activeCell="B29" sqref="B29"/>
      <selection pane="bottomRight" activeCell="O9" sqref="O9"/>
    </sheetView>
  </sheetViews>
  <sheetFormatPr defaultRowHeight="14.4" x14ac:dyDescent="0.3"/>
  <cols>
    <col min="1" max="1" width="15.88671875" hidden="1" customWidth="1"/>
    <col min="2" max="3" width="9.109375" hidden="1" customWidth="1"/>
    <col min="4" max="4" width="16.6640625" customWidth="1"/>
    <col min="5" max="5" width="54.109375" bestFit="1" customWidth="1"/>
    <col min="6" max="6" width="25.6640625" style="7" customWidth="1"/>
    <col min="7" max="7" width="11.5546875" style="7" bestFit="1" customWidth="1"/>
    <col min="8" max="8" width="25.6640625" style="7" customWidth="1"/>
    <col min="9" max="9" width="11.5546875" style="7" bestFit="1" customWidth="1"/>
    <col min="10" max="10" width="25.6640625" style="7" customWidth="1"/>
    <col min="11" max="11" width="11.5546875" style="7" bestFit="1" customWidth="1"/>
    <col min="12" max="12" width="25.6640625" style="7" customWidth="1"/>
    <col min="13" max="13" width="11.5546875" style="7" bestFit="1" customWidth="1"/>
    <col min="14" max="14" width="9.33203125" bestFit="1" customWidth="1"/>
    <col min="15" max="15" width="12.33203125" bestFit="1" customWidth="1"/>
    <col min="16" max="20" width="9.33203125" bestFit="1" customWidth="1"/>
    <col min="21" max="21" width="16.88671875" bestFit="1" customWidth="1"/>
  </cols>
  <sheetData>
    <row r="1" spans="1:13" ht="7.5" customHeight="1" x14ac:dyDescent="0.3"/>
    <row r="2" spans="1:13" s="48" customFormat="1" ht="37.5" customHeight="1" x14ac:dyDescent="0.3">
      <c r="A2" s="49">
        <f ca="1">NOW()</f>
        <v>46240.707701736108</v>
      </c>
      <c r="F2" s="51"/>
      <c r="G2" s="51"/>
      <c r="H2" s="51"/>
      <c r="I2" s="51"/>
      <c r="J2" s="51"/>
      <c r="K2" s="51"/>
      <c r="L2" s="51"/>
      <c r="M2" s="51"/>
    </row>
    <row r="5" spans="1:13" ht="15" customHeight="1" x14ac:dyDescent="0.3">
      <c r="A5" s="140"/>
      <c r="B5" s="140"/>
      <c r="C5" s="140"/>
      <c r="D5" s="140"/>
      <c r="E5" s="261" t="s">
        <v>956</v>
      </c>
      <c r="F5" s="261"/>
      <c r="G5" s="261"/>
      <c r="H5" s="261"/>
      <c r="I5" s="261"/>
      <c r="J5" s="261"/>
      <c r="K5" s="261"/>
      <c r="L5" s="261"/>
      <c r="M5" s="261"/>
    </row>
    <row r="6" spans="1:13" ht="15" customHeight="1" x14ac:dyDescent="0.3">
      <c r="A6" s="140"/>
      <c r="B6" s="140"/>
      <c r="C6" s="140"/>
      <c r="D6" s="140"/>
      <c r="E6" s="261"/>
      <c r="F6" s="261"/>
      <c r="G6" s="261"/>
      <c r="H6" s="261"/>
      <c r="I6" s="261"/>
      <c r="J6" s="261"/>
      <c r="K6" s="261"/>
      <c r="L6" s="261"/>
      <c r="M6" s="261"/>
    </row>
    <row r="7" spans="1:13" ht="15" customHeight="1" x14ac:dyDescent="0.3">
      <c r="F7"/>
      <c r="G7"/>
      <c r="H7"/>
      <c r="I7"/>
      <c r="J7"/>
      <c r="K7"/>
      <c r="L7"/>
      <c r="M7"/>
    </row>
    <row r="8" spans="1:13" s="6" customFormat="1" ht="15" customHeight="1" x14ac:dyDescent="0.3">
      <c r="F8" s="44">
        <v>109</v>
      </c>
      <c r="H8" s="6">
        <f>F8+1</f>
        <v>110</v>
      </c>
      <c r="J8" s="6">
        <f>H8+1</f>
        <v>111</v>
      </c>
      <c r="L8" s="6">
        <f>J8+1</f>
        <v>112</v>
      </c>
    </row>
    <row r="9" spans="1:13" ht="15" thickBot="1" x14ac:dyDescent="0.35">
      <c r="C9">
        <v>1</v>
      </c>
      <c r="D9" s="166" t="str">
        <f>IFERROR(INDEX(TBBP[],$C9,1),"SEM DADOS")</f>
        <v>CONTA CONTABIL</v>
      </c>
      <c r="E9" s="20" t="str">
        <f>IFERROR(INDEX(TBBP[],$C9,2),"SEM DADOS")</f>
        <v>DESCRIÇÃO</v>
      </c>
      <c r="F9" s="21">
        <f>IFERROR(IF(INDEX(TBBP[],$C9,F$8)&gt;3000,INDEX(TBBP[],$C9,F$8),IFERROR("EXERCICIO "&amp;YEAR(D9),"EXERCICIO "&amp;YEAR(H9)-1)),"SEM DADOS")</f>
        <v>45962</v>
      </c>
      <c r="G9" s="21" t="s">
        <v>248</v>
      </c>
      <c r="H9" s="21">
        <f>IFERROR(IF(INDEX(TBBP[],$C9,H$8)&gt;3000,INDEX(TBBP[],$C9,H$8),IFERROR("EXERCICIO "&amp;YEAR(F9),"EXERCICIO "&amp;YEAR(J9)-1)),"SEM DADOS")</f>
        <v>45992</v>
      </c>
      <c r="I9" s="21" t="s">
        <v>248</v>
      </c>
      <c r="J9" s="21" t="str">
        <f>IFERROR(IF(INDEX(TBBP[],$C9,J$8)&gt;3000,INDEX(TBBP[],$C9,J$8),IFERROR("EXERCICIO "&amp;YEAR(H9),"EXERCICIO "&amp;YEAR(L9)-1)),"SEM DADOS")</f>
        <v>EXERCICIO 2025</v>
      </c>
      <c r="K9" s="21" t="s">
        <v>248</v>
      </c>
      <c r="L9" s="21">
        <f>IFERROR(IF(INDEX(TBBP[],$C9,L$8)&gt;3000,INDEX(TBBP[],$C9,L$8),IFERROR("EXERCICIO "&amp;YEAR(J9),"EXERCICIO "&amp;YEAR(#REF!)-1)),"SEM DADOS")</f>
        <v>46023</v>
      </c>
      <c r="M9" s="21" t="s">
        <v>248</v>
      </c>
    </row>
    <row r="10" spans="1:13" ht="15" thickTop="1" x14ac:dyDescent="0.3">
      <c r="C10">
        <v>2</v>
      </c>
      <c r="D10" t="str">
        <f>IFERROR(INDEX(TBBP[],$C10,1),"SEM DADOS")</f>
        <v>1</v>
      </c>
      <c r="E10" s="159" t="str">
        <f>IFERROR(INDEX(TBBP[],$C10,2),"SEM DADOS")</f>
        <v>ATIVO</v>
      </c>
      <c r="F10" s="160">
        <f>IFERROR(INDEX(TBBP[],$C10,F$8),"SEM DADOS")</f>
        <v>141876186.97</v>
      </c>
      <c r="G10" s="161">
        <f>IF(MID($D10,1,1)="1",F10/$F$10,IF(MID($D10,1,1)="2",F10/$F$58,"NÃO É ATIVO E PASSIVO"))</f>
        <v>1</v>
      </c>
      <c r="H10" s="160">
        <f>IFERROR(INDEX(TBBP[],$C10,H$8),"SEM DADOS")</f>
        <v>133431095.73999998</v>
      </c>
      <c r="I10" s="161">
        <f>IF(MID($D10,1,1)="1",H10/$H$10,IF(MID($D10,1,1)="2",H10/$H$58,"NÃO É ATIVO E PASSIVO"))</f>
        <v>1</v>
      </c>
      <c r="J10" s="160">
        <f>IFERROR(INDEX(TBBP[],$C10,J$8),"SEM DADOS")</f>
        <v>133431095.73999998</v>
      </c>
      <c r="K10" s="161">
        <f>IF(MID($D10,1,1)="1",J10/$J$10,IF(MID($D10,1,1)="2",J10/$J$58,"NÃO É ATIVO E PASSIVO"))</f>
        <v>1</v>
      </c>
      <c r="L10" s="160">
        <f>IFERROR(INDEX(TBBP[],$C10,L$8),"SEM DADOS")</f>
        <v>136263808.43000001</v>
      </c>
      <c r="M10" s="161">
        <f>IF(MID($D10,1,1)="1",L10/$L$10,IF(MID($D10,1,1)="2",L10/$L$58,"NÃO É ATIVO E PASSIVO"))</f>
        <v>1</v>
      </c>
    </row>
    <row r="11" spans="1:13" ht="15" thickBot="1" x14ac:dyDescent="0.35">
      <c r="C11">
        <f t="shared" ref="C11:C46" si="0">C10+1</f>
        <v>3</v>
      </c>
      <c r="D11" t="str">
        <f>IFERROR(INDEX(TBBP[],$C11,1),"SEM DADOS")</f>
        <v>1.1</v>
      </c>
      <c r="E11" s="165" t="str">
        <f>IFERROR(INDEX(TBBP[],$C11,2),"SEM DADOS")</f>
        <v>ATIVO CIRCULANTE</v>
      </c>
      <c r="F11" s="163">
        <f>IFERROR(INDEX(TBBP[],$C11,F$8),"SEM DADOS")</f>
        <v>125543894.02999999</v>
      </c>
      <c r="G11" s="164">
        <f t="shared" ref="G11:G58" si="1">IF(MID($D11,1,1)="1",F11/$F$10,IF(MID($D11,1,1)="2",F11/$F$58,"NÃO É ATIVO E PASSIVO"))</f>
        <v>0.88488347982277316</v>
      </c>
      <c r="H11" s="163">
        <f>IFERROR(INDEX(TBBP[],$C11,H$8),"SEM DADOS")</f>
        <v>117163636.10999998</v>
      </c>
      <c r="I11" s="164">
        <f t="shared" ref="I11:I58" si="2">IF(MID($D11,1,1)="1",H11/$H$10,IF(MID($D11,1,1)="2",H11/$H$58,"NÃO É ATIVO E PASSIVO"))</f>
        <v>0.87808344419431061</v>
      </c>
      <c r="J11" s="163">
        <f>IFERROR(INDEX(TBBP[],$C11,J$8),"SEM DADOS")</f>
        <v>117163636.10999998</v>
      </c>
      <c r="K11" s="164">
        <f t="shared" ref="K11:K58" si="3">IF(MID($D11,1,1)="1",J11/$J$10,IF(MID($D11,1,1)="2",J11/$J$58,"NÃO É ATIVO E PASSIVO"))</f>
        <v>0.87808344419431061</v>
      </c>
      <c r="L11" s="163">
        <f>IFERROR(INDEX(TBBP[],$C11,L$8),"SEM DADOS")</f>
        <v>120143597.24000001</v>
      </c>
      <c r="M11" s="164">
        <f t="shared" ref="M11:M58" si="4">IF(MID($D11,1,1)="1",L11/$L$10,IF(MID($D11,1,1)="2",L11/$L$58,"NÃO É ATIVO E PASSIVO"))</f>
        <v>0.88169851279122946</v>
      </c>
    </row>
    <row r="12" spans="1:13" ht="15" thickTop="1" x14ac:dyDescent="0.3">
      <c r="C12">
        <f t="shared" si="0"/>
        <v>4</v>
      </c>
      <c r="D12" t="str">
        <f>IFERROR(INDEX(TBBP[],$C12,1),"SEM DADOS")</f>
        <v>1.1.1.1</v>
      </c>
      <c r="E12" s="17" t="str">
        <f>IFERROR(INDEX(TBBP[],$C12,2),"SEM DADOS")</f>
        <v>Caixa e Bancos</v>
      </c>
      <c r="F12" s="24">
        <f>IFERROR(INDEX(TBBP[],$C12,F$8),"SEM DADOS")</f>
        <v>1822375.42</v>
      </c>
      <c r="G12" s="25">
        <f t="shared" si="1"/>
        <v>1.2844829417253402E-2</v>
      </c>
      <c r="H12" s="24">
        <f>IFERROR(INDEX(TBBP[],$C12,H$8),"SEM DADOS")</f>
        <v>2585574.63</v>
      </c>
      <c r="I12" s="25">
        <f t="shared" si="2"/>
        <v>1.9377601717654905E-2</v>
      </c>
      <c r="J12" s="24">
        <f>IFERROR(INDEX(TBBP[],$C12,J$8),"SEM DADOS")</f>
        <v>2585574.63</v>
      </c>
      <c r="K12" s="25">
        <f t="shared" si="3"/>
        <v>1.9377601717654905E-2</v>
      </c>
      <c r="L12" s="24">
        <f>IFERROR(INDEX(TBBP[],$C12,L$8),"SEM DADOS")</f>
        <v>3650462.48</v>
      </c>
      <c r="M12" s="25">
        <f t="shared" si="4"/>
        <v>2.678967014102851E-2</v>
      </c>
    </row>
    <row r="13" spans="1:13" x14ac:dyDescent="0.3">
      <c r="C13">
        <f t="shared" si="0"/>
        <v>5</v>
      </c>
      <c r="D13" t="str">
        <f>IFERROR(INDEX(TBBP[],$C13,1),"SEM DADOS")</f>
        <v>1.1.1.2</v>
      </c>
      <c r="E13" s="17" t="str">
        <f>IFERROR(INDEX(TBBP[],$C13,2),"SEM DADOS")</f>
        <v>Aplicacoes Financeiras</v>
      </c>
      <c r="F13" s="24">
        <f>IFERROR(INDEX(TBBP[],$C13,F$8),"SEM DADOS")</f>
        <v>18821229.23</v>
      </c>
      <c r="G13" s="25">
        <f t="shared" si="1"/>
        <v>0.13265953668447394</v>
      </c>
      <c r="H13" s="24">
        <f>IFERROR(INDEX(TBBP[],$C13,H$8),"SEM DADOS")</f>
        <v>15184695.77</v>
      </c>
      <c r="I13" s="25">
        <f t="shared" si="2"/>
        <v>0.11380177675815886</v>
      </c>
      <c r="J13" s="24">
        <f>IFERROR(INDEX(TBBP[],$C13,J$8),"SEM DADOS")</f>
        <v>15184695.77</v>
      </c>
      <c r="K13" s="25">
        <f t="shared" si="3"/>
        <v>0.11380177675815886</v>
      </c>
      <c r="L13" s="24">
        <f>IFERROR(INDEX(TBBP[],$C13,L$8),"SEM DADOS")</f>
        <v>15221510.140000001</v>
      </c>
      <c r="M13" s="25">
        <f t="shared" si="4"/>
        <v>0.1117061846089487</v>
      </c>
    </row>
    <row r="14" spans="1:13" x14ac:dyDescent="0.3">
      <c r="C14">
        <f t="shared" si="0"/>
        <v>6</v>
      </c>
      <c r="D14" t="str">
        <f>IFERROR(INDEX(TBBP[],$C14,1),"SEM DADOS")</f>
        <v>1.1.1.3.01</v>
      </c>
      <c r="E14" s="17" t="str">
        <f>IFERROR(INDEX(TBBP[],$C14,2),"SEM DADOS")</f>
        <v>Duplicatas a Receber</v>
      </c>
      <c r="F14" s="24">
        <f>IFERROR(INDEX(TBBP[],$C14,F$8),"SEM DADOS")</f>
        <v>60181646.270000003</v>
      </c>
      <c r="G14" s="25">
        <f t="shared" si="1"/>
        <v>0.4241842662625655</v>
      </c>
      <c r="H14" s="24">
        <f>IFERROR(INDEX(TBBP[],$C14,H$8),"SEM DADOS")</f>
        <v>56771817.329999998</v>
      </c>
      <c r="I14" s="25">
        <f t="shared" si="2"/>
        <v>0.42547666280597696</v>
      </c>
      <c r="J14" s="24">
        <f>IFERROR(INDEX(TBBP[],$C14,J$8),"SEM DADOS")</f>
        <v>56771817.329999998</v>
      </c>
      <c r="K14" s="25">
        <f t="shared" si="3"/>
        <v>0.42547666280597696</v>
      </c>
      <c r="L14" s="24">
        <f>IFERROR(INDEX(TBBP[],$C14,L$8),"SEM DADOS")</f>
        <v>57547496.810000002</v>
      </c>
      <c r="M14" s="25">
        <f t="shared" si="4"/>
        <v>0.42232414808487234</v>
      </c>
    </row>
    <row r="15" spans="1:13" x14ac:dyDescent="0.3">
      <c r="C15">
        <f>C14+1</f>
        <v>7</v>
      </c>
      <c r="D15" t="str">
        <f>IFERROR(INDEX(TBBP[],$C15,1),"SEM DADOS")</f>
        <v>1.1.1.3.03</v>
      </c>
      <c r="E15" s="17" t="str">
        <f>IFERROR(INDEX(TBBP[],$C15,2),"SEM DADOS")</f>
        <v>Clientes Exterior</v>
      </c>
      <c r="F15" s="24">
        <f>IFERROR(INDEX(TBBP[],$C15,F$8),"SEM DADOS")</f>
        <v>7384637.4400000004</v>
      </c>
      <c r="G15" s="25">
        <f t="shared" si="1"/>
        <v>5.2049872481852763E-2</v>
      </c>
      <c r="H15" s="24">
        <f>IFERROR(INDEX(TBBP[],$C15,H$8),"SEM DADOS")</f>
        <v>7329165.9900000002</v>
      </c>
      <c r="I15" s="25">
        <f t="shared" si="2"/>
        <v>5.4928470379059194E-2</v>
      </c>
      <c r="J15" s="24">
        <f>IFERROR(INDEX(TBBP[],$C15,J$8),"SEM DADOS")</f>
        <v>7329165.9900000002</v>
      </c>
      <c r="K15" s="25">
        <f t="shared" si="3"/>
        <v>5.4928470379059194E-2</v>
      </c>
      <c r="L15" s="24">
        <f>IFERROR(INDEX(TBBP[],$C15,L$8),"SEM DADOS")</f>
        <v>6999457.5800000001</v>
      </c>
      <c r="M15" s="25">
        <f t="shared" si="4"/>
        <v>5.1366959874717483E-2</v>
      </c>
    </row>
    <row r="16" spans="1:13" x14ac:dyDescent="0.3">
      <c r="C16">
        <f t="shared" si="0"/>
        <v>8</v>
      </c>
      <c r="D16" t="str">
        <f>IFERROR(INDEX(TBBP[],$C16,1),"SEM DADOS")</f>
        <v>1.1.1.3.90</v>
      </c>
      <c r="E16" s="17" t="str">
        <f>IFERROR(INDEX(TBBP[],$C16,2),"SEM DADOS")</f>
        <v>(-)Prov P/Credito de Liquidacao Duvidosa</v>
      </c>
      <c r="F16" s="24">
        <f>IFERROR(INDEX(TBBP[],$C16,F$8),"SEM DADOS")</f>
        <v>-394341.76</v>
      </c>
      <c r="G16" s="25">
        <f t="shared" si="1"/>
        <v>-2.7794781380992735E-3</v>
      </c>
      <c r="H16" s="24">
        <f>IFERROR(INDEX(TBBP[],$C16,H$8),"SEM DADOS")</f>
        <v>-394342.76</v>
      </c>
      <c r="I16" s="25">
        <f t="shared" si="2"/>
        <v>-2.9554037446294008E-3</v>
      </c>
      <c r="J16" s="24">
        <f>IFERROR(INDEX(TBBP[],$C16,J$8),"SEM DADOS")</f>
        <v>-394342.76</v>
      </c>
      <c r="K16" s="25">
        <f t="shared" si="3"/>
        <v>-2.9554037446294008E-3</v>
      </c>
      <c r="L16" s="24">
        <f>IFERROR(INDEX(TBBP[],$C16,L$8),"SEM DADOS")</f>
        <v>-394343.76</v>
      </c>
      <c r="M16" s="25">
        <f t="shared" si="4"/>
        <v>-2.8939728350729174E-3</v>
      </c>
    </row>
    <row r="17" spans="3:13" x14ac:dyDescent="0.3">
      <c r="C17">
        <f t="shared" si="0"/>
        <v>9</v>
      </c>
      <c r="D17" t="str">
        <f>IFERROR(INDEX(TBBP[],$C17,1),"SEM DADOS")</f>
        <v>1.1.1.5</v>
      </c>
      <c r="E17" s="17" t="str">
        <f>IFERROR(INDEX(TBBP[],$C17,2),"SEM DADOS")</f>
        <v>Impostos e Contribuicoes a Recuperar</v>
      </c>
      <c r="F17" s="24">
        <f>IFERROR(INDEX(TBBP[],$C17,F$8),"SEM DADOS")</f>
        <v>5275300.0999999996</v>
      </c>
      <c r="G17" s="25">
        <f t="shared" si="1"/>
        <v>3.7182420902779637E-2</v>
      </c>
      <c r="H17" s="24">
        <f>IFERROR(INDEX(TBBP[],$C17,H$8),"SEM DADOS")</f>
        <v>2427460.98</v>
      </c>
      <c r="I17" s="25">
        <f t="shared" si="2"/>
        <v>1.8192618193963429E-2</v>
      </c>
      <c r="J17" s="24">
        <f>IFERROR(INDEX(TBBP[],$C17,J$8),"SEM DADOS")</f>
        <v>2427460.98</v>
      </c>
      <c r="K17" s="25">
        <f t="shared" si="3"/>
        <v>1.8192618193963429E-2</v>
      </c>
      <c r="L17" s="24">
        <f>IFERROR(INDEX(TBBP[],$C17,L$8),"SEM DADOS")</f>
        <v>2397985.56</v>
      </c>
      <c r="M17" s="25">
        <f t="shared" si="4"/>
        <v>1.7598110515396812E-2</v>
      </c>
    </row>
    <row r="18" spans="3:13" x14ac:dyDescent="0.3">
      <c r="C18">
        <v>19</v>
      </c>
      <c r="D18" t="str">
        <f>IFERROR(INDEX(TBBP[],$C18,1),"SEM DADOS")</f>
        <v>1.1.1.6</v>
      </c>
      <c r="E18" s="17" t="str">
        <f>IFERROR(INDEX(TBBP[],$C18,2),"SEM DADOS")</f>
        <v>Estoques</v>
      </c>
      <c r="F18" s="24">
        <f>IFERROR(INDEX(TBBP[],$C18,F$8),"SEM DADOS")</f>
        <v>26031675.789999999</v>
      </c>
      <c r="G18" s="25">
        <f t="shared" si="1"/>
        <v>0.18348164231044953</v>
      </c>
      <c r="H18" s="24">
        <f>IFERROR(INDEX(TBBP[],$C18,H$8),"SEM DADOS")</f>
        <v>27286693.039999999</v>
      </c>
      <c r="I18" s="25">
        <f t="shared" si="2"/>
        <v>0.20450025452215478</v>
      </c>
      <c r="J18" s="24">
        <f>IFERROR(INDEX(TBBP[],$C18,J$8),"SEM DADOS")</f>
        <v>27286693.039999999</v>
      </c>
      <c r="K18" s="25">
        <f t="shared" si="3"/>
        <v>0.20450025452215478</v>
      </c>
      <c r="L18" s="24">
        <f>IFERROR(INDEX(TBBP[],$C18,L$8),"SEM DADOS")</f>
        <v>26862697.190000001</v>
      </c>
      <c r="M18" s="25">
        <f t="shared" si="4"/>
        <v>0.19713743142442419</v>
      </c>
    </row>
    <row r="19" spans="3:13" x14ac:dyDescent="0.3">
      <c r="C19">
        <f t="shared" si="0"/>
        <v>20</v>
      </c>
      <c r="D19" t="str">
        <f>IFERROR(INDEX(TBBP[],$C19,1),"SEM DADOS")</f>
        <v>1.1.1.7.01</v>
      </c>
      <c r="E19" s="17" t="str">
        <f>IFERROR(INDEX(TBBP[],$C19,2),"SEM DADOS")</f>
        <v>Adiantamentos a Fornecedores</v>
      </c>
      <c r="F19" s="24">
        <f>IFERROR(INDEX(TBBP[],$C19,F$8),"SEM DADOS")</f>
        <v>672431.16</v>
      </c>
      <c r="G19" s="25">
        <f t="shared" si="1"/>
        <v>4.7395632372202595E-3</v>
      </c>
      <c r="H19" s="24">
        <f>IFERROR(INDEX(TBBP[],$C19,H$8),"SEM DADOS")</f>
        <v>734154.29</v>
      </c>
      <c r="I19" s="25">
        <f t="shared" si="2"/>
        <v>5.5021229191623529E-3</v>
      </c>
      <c r="J19" s="24">
        <f>IFERROR(INDEX(TBBP[],$C19,J$8),"SEM DADOS")</f>
        <v>734154.29</v>
      </c>
      <c r="K19" s="25">
        <f t="shared" si="3"/>
        <v>5.5021229191623529E-3</v>
      </c>
      <c r="L19" s="24">
        <f>IFERROR(INDEX(TBBP[],$C19,L$8),"SEM DADOS")</f>
        <v>856293.73</v>
      </c>
      <c r="M19" s="25">
        <f t="shared" si="4"/>
        <v>6.2840877549660305E-3</v>
      </c>
    </row>
    <row r="20" spans="3:13" x14ac:dyDescent="0.3">
      <c r="C20">
        <f t="shared" si="0"/>
        <v>21</v>
      </c>
      <c r="D20" t="str">
        <f>IFERROR(INDEX(TBBP[],$C20,1),"SEM DADOS")</f>
        <v>1.1.1.7.02</v>
      </c>
      <c r="E20" s="17" t="str">
        <f>IFERROR(INDEX(TBBP[],$C20,2),"SEM DADOS")</f>
        <v>Adiantamentos - Despachante Aduaneiro</v>
      </c>
      <c r="F20" s="24">
        <f>IFERROR(INDEX(TBBP[],$C20,F$8),"SEM DADOS")</f>
        <v>71521.27</v>
      </c>
      <c r="G20" s="25">
        <f t="shared" si="1"/>
        <v>5.0411046087052869E-4</v>
      </c>
      <c r="H20" s="24">
        <f>IFERROR(INDEX(TBBP[],$C20,H$8),"SEM DADOS")</f>
        <v>71521.27</v>
      </c>
      <c r="I20" s="25">
        <f t="shared" si="2"/>
        <v>5.3601650802122096E-4</v>
      </c>
      <c r="J20" s="24">
        <f>IFERROR(INDEX(TBBP[],$C20,J$8),"SEM DADOS")</f>
        <v>71521.27</v>
      </c>
      <c r="K20" s="25">
        <f t="shared" si="3"/>
        <v>5.3601650802122096E-4</v>
      </c>
      <c r="L20" s="24">
        <f>IFERROR(INDEX(TBBP[],$C20,L$8),"SEM DADOS")</f>
        <v>71521.27</v>
      </c>
      <c r="M20" s="25">
        <f t="shared" si="4"/>
        <v>5.2487355831347653E-4</v>
      </c>
    </row>
    <row r="21" spans="3:13" x14ac:dyDescent="0.3">
      <c r="C21">
        <f t="shared" si="0"/>
        <v>22</v>
      </c>
      <c r="D21" t="str">
        <f>IFERROR(INDEX(TBBP[],$C21,1),"SEM DADOS")</f>
        <v>1.1.1.7.03</v>
      </c>
      <c r="E21" s="17" t="str">
        <f>IFERROR(INDEX(TBBP[],$C21,2),"SEM DADOS")</f>
        <v>Adiantamento - Funcionários</v>
      </c>
      <c r="F21" s="24">
        <f>IFERROR(INDEX(TBBP[],$C21,F$8),"SEM DADOS")</f>
        <v>4255.1400000000003</v>
      </c>
      <c r="G21" s="25">
        <f t="shared" si="1"/>
        <v>2.9991925289758162E-5</v>
      </c>
      <c r="H21" s="24">
        <f>IFERROR(INDEX(TBBP[],$C21,H$8),"SEM DADOS")</f>
        <v>4255.1400000000003</v>
      </c>
      <c r="I21" s="25">
        <f t="shared" si="2"/>
        <v>3.1890167553532234E-5</v>
      </c>
      <c r="J21" s="24">
        <f>IFERROR(INDEX(TBBP[],$C21,J$8),"SEM DADOS")</f>
        <v>4255.1400000000003</v>
      </c>
      <c r="K21" s="25">
        <f t="shared" si="3"/>
        <v>3.1890167553532234E-5</v>
      </c>
      <c r="L21" s="24">
        <f>IFERROR(INDEX(TBBP[],$C21,L$8),"SEM DADOS")</f>
        <v>2861.12</v>
      </c>
      <c r="M21" s="25">
        <f t="shared" si="4"/>
        <v>2.0996917912137938E-5</v>
      </c>
    </row>
    <row r="22" spans="3:13" x14ac:dyDescent="0.3">
      <c r="C22">
        <f t="shared" si="0"/>
        <v>23</v>
      </c>
      <c r="D22" t="str">
        <f>IFERROR(INDEX(TBBP[],$C22,1),"SEM DADOS")</f>
        <v>1.1.1.7.04</v>
      </c>
      <c r="E22" s="17" t="str">
        <f>IFERROR(INDEX(TBBP[],$C22,2),"SEM DADOS")</f>
        <v>Adiantamento de Viagem</v>
      </c>
      <c r="F22" s="24">
        <f>IFERROR(INDEX(TBBP[],$C22,F$8),"SEM DADOS")</f>
        <v>84408.75</v>
      </c>
      <c r="G22" s="25">
        <f t="shared" si="1"/>
        <v>5.9494656434379929E-4</v>
      </c>
      <c r="H22" s="24">
        <f>IFERROR(INDEX(TBBP[],$C22,H$8),"SEM DADOS")</f>
        <v>95932.09</v>
      </c>
      <c r="I22" s="25">
        <f t="shared" si="2"/>
        <v>7.1896351797133204E-4</v>
      </c>
      <c r="J22" s="24">
        <f>IFERROR(INDEX(TBBP[],$C22,J$8),"SEM DADOS")</f>
        <v>95932.09</v>
      </c>
      <c r="K22" s="25">
        <f t="shared" si="3"/>
        <v>7.1896351797133204E-4</v>
      </c>
      <c r="L22" s="24">
        <f>IFERROR(INDEX(TBBP[],$C22,L$8),"SEM DADOS")</f>
        <v>103796.09</v>
      </c>
      <c r="M22" s="25">
        <f t="shared" si="4"/>
        <v>7.6172896674410082E-4</v>
      </c>
    </row>
    <row r="23" spans="3:13" x14ac:dyDescent="0.3">
      <c r="C23">
        <f t="shared" si="0"/>
        <v>24</v>
      </c>
      <c r="D23" t="str">
        <f>IFERROR(INDEX(TBBP[],$C23,1),"SEM DADOS")</f>
        <v>1.1.1.7.05</v>
      </c>
      <c r="E23" s="17" t="str">
        <f>IFERROR(INDEX(TBBP[],$C23,2),"SEM DADOS")</f>
        <v>Adto a Fornecedores Exterior</v>
      </c>
      <c r="F23" s="24">
        <f>IFERROR(INDEX(TBBP[],$C23,F$8),"SEM DADOS")</f>
        <v>2808900.49</v>
      </c>
      <c r="G23" s="25">
        <f t="shared" si="1"/>
        <v>1.9798251912380108E-2</v>
      </c>
      <c r="H23" s="24">
        <f>IFERROR(INDEX(TBBP[],$C23,H$8),"SEM DADOS")</f>
        <v>2315227.86</v>
      </c>
      <c r="I23" s="25">
        <f t="shared" si="2"/>
        <v>1.7351486526884157E-2</v>
      </c>
      <c r="J23" s="24">
        <f>IFERROR(INDEX(TBBP[],$C23,J$8),"SEM DADOS")</f>
        <v>2315227.86</v>
      </c>
      <c r="K23" s="25">
        <f t="shared" si="3"/>
        <v>1.7351486526884157E-2</v>
      </c>
      <c r="L23" s="24">
        <f>IFERROR(INDEX(TBBP[],$C23,L$8),"SEM DADOS")</f>
        <v>4273682.66</v>
      </c>
      <c r="M23" s="25">
        <f t="shared" si="4"/>
        <v>3.1363299684930138E-2</v>
      </c>
    </row>
    <row r="24" spans="3:13" x14ac:dyDescent="0.3">
      <c r="C24">
        <f t="shared" si="0"/>
        <v>25</v>
      </c>
      <c r="D24" t="str">
        <f>IFERROR(INDEX(TBBP[],$C24,1),"SEM DADOS")</f>
        <v>1.1.1.7.06</v>
      </c>
      <c r="E24" s="17" t="str">
        <f>IFERROR(INDEX(TBBP[],$C24,2),"SEM DADOS")</f>
        <v>Adiantamentos - Partes Relacionadas</v>
      </c>
      <c r="F24" s="24">
        <f>IFERROR(INDEX(TBBP[],$C24,F$8),"SEM DADOS")</f>
        <v>0</v>
      </c>
      <c r="G24" s="25">
        <f t="shared" si="1"/>
        <v>0</v>
      </c>
      <c r="H24" s="24">
        <f>IFERROR(INDEX(TBBP[],$C24,H$8),"SEM DADOS")</f>
        <v>0</v>
      </c>
      <c r="I24" s="25">
        <f t="shared" si="2"/>
        <v>0</v>
      </c>
      <c r="J24" s="24">
        <f>IFERROR(INDEX(TBBP[],$C24,J$8),"SEM DADOS")</f>
        <v>0</v>
      </c>
      <c r="K24" s="25">
        <f t="shared" si="3"/>
        <v>0</v>
      </c>
      <c r="L24" s="24">
        <f>IFERROR(INDEX(TBBP[],$C24,L$8),"SEM DADOS")</f>
        <v>0</v>
      </c>
      <c r="M24" s="25">
        <f t="shared" si="4"/>
        <v>0</v>
      </c>
    </row>
    <row r="25" spans="3:13" x14ac:dyDescent="0.3">
      <c r="C25">
        <f t="shared" si="0"/>
        <v>26</v>
      </c>
      <c r="D25" t="str">
        <f>IFERROR(INDEX(TBBP[],$C25,1),"SEM DADOS")</f>
        <v>1.1.1.7.07</v>
      </c>
      <c r="E25" s="17" t="str">
        <f>IFERROR(INDEX(TBBP[],$C25,2),"SEM DADOS")</f>
        <v>Compra - Entrega Futura</v>
      </c>
      <c r="F25" s="24">
        <f>IFERROR(INDEX(TBBP[],$C25,F$8),"SEM DADOS")</f>
        <v>30652.81</v>
      </c>
      <c r="G25" s="25">
        <f t="shared" si="1"/>
        <v>2.1605324089011215E-4</v>
      </c>
      <c r="H25" s="24">
        <f>IFERROR(INDEX(TBBP[],$C25,H$8),"SEM DADOS")</f>
        <v>30652.81</v>
      </c>
      <c r="I25" s="25">
        <f t="shared" si="2"/>
        <v>2.2972763455176288E-4</v>
      </c>
      <c r="J25" s="24">
        <f>IFERROR(INDEX(TBBP[],$C25,J$8),"SEM DADOS")</f>
        <v>30652.81</v>
      </c>
      <c r="K25" s="25">
        <f t="shared" si="3"/>
        <v>2.2972763455176288E-4</v>
      </c>
      <c r="L25" s="24">
        <f>IFERROR(INDEX(TBBP[],$C25,L$8),"SEM DADOS")</f>
        <v>30652.81</v>
      </c>
      <c r="M25" s="25">
        <f t="shared" si="4"/>
        <v>2.2495195425090909E-4</v>
      </c>
    </row>
    <row r="26" spans="3:13" x14ac:dyDescent="0.3">
      <c r="C26">
        <f t="shared" si="0"/>
        <v>27</v>
      </c>
      <c r="D26" t="str">
        <f>IFERROR(INDEX(TBBP[],$C26,1),"SEM DADOS")</f>
        <v>1.1.1.7.90</v>
      </c>
      <c r="E26" s="17" t="str">
        <f>IFERROR(INDEX(TBBP[],$C26,2),"SEM DADOS")</f>
        <v>Outros Adiantamentos</v>
      </c>
      <c r="F26" s="24">
        <f>IFERROR(INDEX(TBBP[],$C26,F$8),"SEM DADOS")</f>
        <v>0</v>
      </c>
      <c r="G26" s="25">
        <f t="shared" si="1"/>
        <v>0</v>
      </c>
      <c r="H26" s="24">
        <f>IFERROR(INDEX(TBBP[],$C26,H$8),"SEM DADOS")</f>
        <v>0</v>
      </c>
      <c r="I26" s="25">
        <f t="shared" si="2"/>
        <v>0</v>
      </c>
      <c r="J26" s="24">
        <f>IFERROR(INDEX(TBBP[],$C26,J$8),"SEM DADOS")</f>
        <v>0</v>
      </c>
      <c r="K26" s="25">
        <f t="shared" si="3"/>
        <v>0</v>
      </c>
      <c r="L26" s="24">
        <f>IFERROR(INDEX(TBBP[],$C26,L$8),"SEM DADOS")</f>
        <v>0</v>
      </c>
      <c r="M26" s="25">
        <f t="shared" si="4"/>
        <v>0</v>
      </c>
    </row>
    <row r="27" spans="3:13" x14ac:dyDescent="0.3">
      <c r="C27">
        <f t="shared" si="0"/>
        <v>28</v>
      </c>
      <c r="D27" t="str">
        <f>IFERROR(INDEX(TBBP[],$C27,1),"SEM DADOS")</f>
        <v>1.1.1.7.08</v>
      </c>
      <c r="E27" s="17" t="str">
        <f>IFERROR(INDEX(TBBP[],$C27,2),"SEM DADOS")</f>
        <v>Programa Apoio Empreendedor</v>
      </c>
      <c r="F27" s="24">
        <f>IFERROR(INDEX(TBBP[],$C27,F$8),"SEM DADOS")</f>
        <v>2125.6799999999998</v>
      </c>
      <c r="G27" s="25">
        <f t="shared" si="1"/>
        <v>1.4982641170427557E-5</v>
      </c>
      <c r="H27" s="24">
        <f>IFERROR(INDEX(TBBP[],$C27,H$8),"SEM DADOS")</f>
        <v>2125.6799999999998</v>
      </c>
      <c r="I27" s="25">
        <f t="shared" si="2"/>
        <v>1.5930919162516954E-5</v>
      </c>
      <c r="J27" s="24">
        <f>IFERROR(INDEX(TBBP[],$C27,J$8),"SEM DADOS")</f>
        <v>2125.6799999999998</v>
      </c>
      <c r="K27" s="25">
        <f t="shared" si="3"/>
        <v>1.5930919162516954E-5</v>
      </c>
      <c r="L27" s="24">
        <f>IFERROR(INDEX(TBBP[],$C27,L$8),"SEM DADOS")</f>
        <v>2125.6799999999998</v>
      </c>
      <c r="M27" s="25">
        <f t="shared" si="4"/>
        <v>1.5599740125361176E-5</v>
      </c>
    </row>
    <row r="28" spans="3:13" x14ac:dyDescent="0.3">
      <c r="C28">
        <f t="shared" si="0"/>
        <v>29</v>
      </c>
      <c r="D28" t="str">
        <f>IFERROR(INDEX(TBBP[],$C28,1),"SEM DADOS")</f>
        <v>1.1.1.8</v>
      </c>
      <c r="E28" s="17" t="str">
        <f>IFERROR(INDEX(TBBP[],$C28,2),"SEM DADOS")</f>
        <v>Outros Recebíveis</v>
      </c>
      <c r="F28" s="24">
        <f>IFERROR(INDEX(TBBP[],$C28,F$8),"SEM DADOS")</f>
        <v>1756</v>
      </c>
      <c r="G28" s="25">
        <f t="shared" si="1"/>
        <v>1.2376988961306873E-5</v>
      </c>
      <c r="H28" s="24">
        <f>IFERROR(INDEX(TBBP[],$C28,H$8),"SEM DADOS")</f>
        <v>1756</v>
      </c>
      <c r="I28" s="25">
        <f t="shared" si="2"/>
        <v>1.3160350593400593E-5</v>
      </c>
      <c r="J28" s="24">
        <f>IFERROR(INDEX(TBBP[],$C28,J$8),"SEM DADOS")</f>
        <v>1756</v>
      </c>
      <c r="K28" s="25">
        <f t="shared" si="3"/>
        <v>1.3160350593400593E-5</v>
      </c>
      <c r="L28" s="24">
        <f>IFERROR(INDEX(TBBP[],$C28,L$8),"SEM DADOS")</f>
        <v>3566.93</v>
      </c>
      <c r="M28" s="25">
        <f t="shared" si="4"/>
        <v>2.6176649846333667E-5</v>
      </c>
    </row>
    <row r="29" spans="3:13" x14ac:dyDescent="0.3">
      <c r="C29">
        <f t="shared" si="0"/>
        <v>30</v>
      </c>
      <c r="D29" t="str">
        <f>IFERROR(INDEX(TBBP[],$C29,1),"SEM DADOS")</f>
        <v>1.1.1.9</v>
      </c>
      <c r="E29" s="17" t="str">
        <f>IFERROR(INDEX(TBBP[],$C29,2),"SEM DADOS")</f>
        <v>Despesas Exercicio Seguinte</v>
      </c>
      <c r="F29" s="24">
        <f>IFERROR(INDEX(TBBP[],$C29,F$8),"SEM DADOS")</f>
        <v>2745320.24</v>
      </c>
      <c r="G29" s="25">
        <f t="shared" si="1"/>
        <v>1.9350112930371491E-2</v>
      </c>
      <c r="H29" s="24">
        <f>IFERROR(INDEX(TBBP[],$C29,H$8),"SEM DADOS")</f>
        <v>2716945.99</v>
      </c>
      <c r="I29" s="25">
        <f t="shared" si="2"/>
        <v>2.0362165018071678E-2</v>
      </c>
      <c r="J29" s="24">
        <f>IFERROR(INDEX(TBBP[],$C29,J$8),"SEM DADOS")</f>
        <v>2716945.99</v>
      </c>
      <c r="K29" s="25">
        <f t="shared" si="3"/>
        <v>2.0362165018071678E-2</v>
      </c>
      <c r="L29" s="24">
        <f>IFERROR(INDEX(TBBP[],$C29,L$8),"SEM DADOS")</f>
        <v>2513830.9500000002</v>
      </c>
      <c r="M29" s="25">
        <f t="shared" si="4"/>
        <v>1.8448265749825853E-2</v>
      </c>
    </row>
    <row r="30" spans="3:13" ht="15" thickBot="1" x14ac:dyDescent="0.35">
      <c r="C30">
        <f t="shared" si="0"/>
        <v>31</v>
      </c>
      <c r="D30" t="str">
        <f>IFERROR(INDEX(TBBP[],$C30,1),"SEM DADOS")</f>
        <v>1.3</v>
      </c>
      <c r="E30" s="162" t="str">
        <f>IFERROR(INDEX(TBBP[],$C30,2),"SEM DADOS")</f>
        <v>ATIVO NAO CIRCULANTE</v>
      </c>
      <c r="F30" s="163">
        <f>IFERROR(INDEX(TBBP[],$C30,F$8),"SEM DADOS")</f>
        <v>16332292.940000003</v>
      </c>
      <c r="G30" s="164">
        <f t="shared" si="1"/>
        <v>0.11511652017722677</v>
      </c>
      <c r="H30" s="163">
        <f>IFERROR(INDEX(TBBP[],$C30,H$8),"SEM DADOS")</f>
        <v>16267459.630000003</v>
      </c>
      <c r="I30" s="164">
        <f t="shared" si="2"/>
        <v>0.12191655580568947</v>
      </c>
      <c r="J30" s="163">
        <f>IFERROR(INDEX(TBBP[],$C30,J$8),"SEM DADOS")</f>
        <v>16267459.630000003</v>
      </c>
      <c r="K30" s="164">
        <f t="shared" si="3"/>
        <v>0.12191655580568947</v>
      </c>
      <c r="L30" s="163">
        <f>IFERROR(INDEX(TBBP[],$C30,L$8),"SEM DADOS")</f>
        <v>16120211.190000001</v>
      </c>
      <c r="M30" s="164">
        <f t="shared" si="4"/>
        <v>0.11830148720877051</v>
      </c>
    </row>
    <row r="31" spans="3:13" ht="15" thickTop="1" x14ac:dyDescent="0.3">
      <c r="C31">
        <f t="shared" si="0"/>
        <v>32</v>
      </c>
      <c r="D31" t="str">
        <f>IFERROR(INDEX(TBBP[],$C31,1),"SEM DADOS")</f>
        <v>1.3.1</v>
      </c>
      <c r="E31" s="167" t="str">
        <f>IFERROR(INDEX(TBBP[],$C31,2),"SEM DADOS")</f>
        <v>REALIZAVEL A LONGO PRAZO</v>
      </c>
      <c r="F31" s="168">
        <f>IFERROR(INDEX(TBBP[],$C31,F$8),"SEM DADOS")</f>
        <v>3202798.51</v>
      </c>
      <c r="G31" s="169">
        <f t="shared" si="1"/>
        <v>2.2574602393826936E-2</v>
      </c>
      <c r="H31" s="168">
        <f>IFERROR(INDEX(TBBP[],$C31,H$8),"SEM DADOS")</f>
        <v>3202798.51</v>
      </c>
      <c r="I31" s="169">
        <f t="shared" si="2"/>
        <v>2.4003389106845689E-2</v>
      </c>
      <c r="J31" s="168">
        <f>IFERROR(INDEX(TBBP[],$C31,J$8),"SEM DADOS")</f>
        <v>3202798.51</v>
      </c>
      <c r="K31" s="169">
        <f t="shared" si="3"/>
        <v>2.4003389106845689E-2</v>
      </c>
      <c r="L31" s="168">
        <f>IFERROR(INDEX(TBBP[],$C31,L$8),"SEM DADOS")</f>
        <v>3203302.51</v>
      </c>
      <c r="M31" s="169">
        <f t="shared" si="4"/>
        <v>2.3508094679781141E-2</v>
      </c>
    </row>
    <row r="32" spans="3:13" x14ac:dyDescent="0.3">
      <c r="C32">
        <f t="shared" si="0"/>
        <v>33</v>
      </c>
      <c r="D32" t="str">
        <f>IFERROR(INDEX(TBBP[],$C32,1),"SEM DADOS")</f>
        <v>1.3.1.1</v>
      </c>
      <c r="E32" s="17" t="str">
        <f>IFERROR(INDEX(TBBP[],$C32,2),"SEM DADOS")</f>
        <v>Depositos e Caucoes</v>
      </c>
      <c r="F32" s="24">
        <f>IFERROR(INDEX(TBBP[],$C32,F$8),"SEM DADOS")</f>
        <v>63237.69</v>
      </c>
      <c r="G32" s="25">
        <f t="shared" si="1"/>
        <v>4.4572448238527679E-4</v>
      </c>
      <c r="H32" s="24">
        <f>IFERROR(INDEX(TBBP[],$C32,H$8),"SEM DADOS")</f>
        <v>63237.69</v>
      </c>
      <c r="I32" s="25">
        <f t="shared" si="2"/>
        <v>4.7393517717356649E-4</v>
      </c>
      <c r="J32" s="24">
        <f>IFERROR(INDEX(TBBP[],$C32,J$8),"SEM DADOS")</f>
        <v>63237.69</v>
      </c>
      <c r="K32" s="25">
        <f t="shared" si="3"/>
        <v>4.7393517717356649E-4</v>
      </c>
      <c r="L32" s="24">
        <f>IFERROR(INDEX(TBBP[],$C32,L$8),"SEM DADOS")</f>
        <v>63741.69</v>
      </c>
      <c r="M32" s="25">
        <f t="shared" si="4"/>
        <v>4.6778150951758189E-4</v>
      </c>
    </row>
    <row r="33" spans="3:13" x14ac:dyDescent="0.3">
      <c r="C33">
        <f t="shared" si="0"/>
        <v>34</v>
      </c>
      <c r="D33" t="str">
        <f>IFERROR(INDEX(TBBP[],$C33,1),"SEM DADOS")</f>
        <v>1.SEM CONTA</v>
      </c>
      <c r="E33" s="17" t="str">
        <f>IFERROR(INDEX(TBBP[],$C33,2),"SEM DADOS")</f>
        <v>Títulos de Capitalização</v>
      </c>
      <c r="F33" s="24">
        <f>IFERROR(INDEX(TBBP[],$C33,F$8),"SEM DADOS")</f>
        <v>0</v>
      </c>
      <c r="G33" s="25">
        <f t="shared" si="1"/>
        <v>0</v>
      </c>
      <c r="H33" s="24">
        <f>IFERROR(INDEX(TBBP[],$C33,H$8),"SEM DADOS")</f>
        <v>0</v>
      </c>
      <c r="I33" s="25">
        <f t="shared" si="2"/>
        <v>0</v>
      </c>
      <c r="J33" s="24">
        <f>IFERROR(INDEX(TBBP[],$C33,J$8),"SEM DADOS")</f>
        <v>0</v>
      </c>
      <c r="K33" s="25">
        <f t="shared" si="3"/>
        <v>0</v>
      </c>
      <c r="L33" s="24">
        <f>IFERROR(INDEX(TBBP[],$C33,L$8),"SEM DADOS")</f>
        <v>0</v>
      </c>
      <c r="M33" s="25">
        <f t="shared" si="4"/>
        <v>0</v>
      </c>
    </row>
    <row r="34" spans="3:13" x14ac:dyDescent="0.3">
      <c r="C34">
        <f t="shared" si="0"/>
        <v>35</v>
      </c>
      <c r="D34" t="str">
        <f>IFERROR(INDEX(TBBP[],$C34,1),"SEM DADOS")</f>
        <v>1.3.1.3</v>
      </c>
      <c r="E34" s="167" t="str">
        <f>IFERROR(INDEX(TBBP[],$C34,2),"SEM DADOS")</f>
        <v>Clientes Longo Prazo</v>
      </c>
      <c r="F34" s="168">
        <f>IFERROR(INDEX(TBBP[],$C34,F$8),"SEM DADOS")</f>
        <v>3139560.82</v>
      </c>
      <c r="G34" s="169">
        <f t="shared" si="1"/>
        <v>2.212887791144166E-2</v>
      </c>
      <c r="H34" s="168">
        <f>IFERROR(INDEX(TBBP[],$C34,H$8),"SEM DADOS")</f>
        <v>3139560.82</v>
      </c>
      <c r="I34" s="169">
        <f t="shared" si="2"/>
        <v>2.3529453929672123E-2</v>
      </c>
      <c r="J34" s="168">
        <f>IFERROR(INDEX(TBBP[],$C34,J$8),"SEM DADOS")</f>
        <v>3139560.82</v>
      </c>
      <c r="K34" s="169">
        <f t="shared" si="3"/>
        <v>2.3529453929672123E-2</v>
      </c>
      <c r="L34" s="168">
        <f>IFERROR(INDEX(TBBP[],$C34,L$8),"SEM DADOS")</f>
        <v>3139560.82</v>
      </c>
      <c r="M34" s="169">
        <f t="shared" si="4"/>
        <v>2.304031317026356E-2</v>
      </c>
    </row>
    <row r="35" spans="3:13" x14ac:dyDescent="0.3">
      <c r="C35">
        <f t="shared" si="0"/>
        <v>36</v>
      </c>
      <c r="D35" t="str">
        <f>IFERROR(INDEX(TBBP[],$C35,1),"SEM DADOS")</f>
        <v>1.3.2</v>
      </c>
      <c r="E35" s="17" t="str">
        <f>IFERROR(INDEX(TBBP[],$C35,2),"SEM DADOS")</f>
        <v>INVESTIMENTOS</v>
      </c>
      <c r="F35" s="24">
        <f>IFERROR(INDEX(TBBP[],$C35,F$8),"SEM DADOS")</f>
        <v>0</v>
      </c>
      <c r="G35" s="25">
        <f t="shared" si="1"/>
        <v>0</v>
      </c>
      <c r="H35" s="24">
        <f>IFERROR(INDEX(TBBP[],$C35,H$8),"SEM DADOS")</f>
        <v>0</v>
      </c>
      <c r="I35" s="25">
        <f t="shared" si="2"/>
        <v>0</v>
      </c>
      <c r="J35" s="24">
        <f>IFERROR(INDEX(TBBP[],$C35,J$8),"SEM DADOS")</f>
        <v>0</v>
      </c>
      <c r="K35" s="25">
        <f t="shared" si="3"/>
        <v>0</v>
      </c>
      <c r="L35" s="24">
        <f>IFERROR(INDEX(TBBP[],$C35,L$8),"SEM DADOS")</f>
        <v>0</v>
      </c>
      <c r="M35" s="25">
        <f t="shared" si="4"/>
        <v>0</v>
      </c>
    </row>
    <row r="36" spans="3:13" x14ac:dyDescent="0.3">
      <c r="C36">
        <f t="shared" si="0"/>
        <v>37</v>
      </c>
      <c r="D36" t="str">
        <f>IFERROR(INDEX(TBBP[],$C36,1),"SEM DADOS")</f>
        <v>1.3.2.2</v>
      </c>
      <c r="E36" s="17" t="str">
        <f>IFERROR(INDEX(TBBP[],$C36,2),"SEM DADOS")</f>
        <v>Participações Societaria</v>
      </c>
      <c r="F36" s="24">
        <f>IFERROR(INDEX(TBBP[],$C36,F$8),"SEM DADOS")</f>
        <v>0</v>
      </c>
      <c r="G36" s="25">
        <f t="shared" si="1"/>
        <v>0</v>
      </c>
      <c r="H36" s="24">
        <f>IFERROR(INDEX(TBBP[],$C36,H$8),"SEM DADOS")</f>
        <v>0</v>
      </c>
      <c r="I36" s="25">
        <f t="shared" si="2"/>
        <v>0</v>
      </c>
      <c r="J36" s="24">
        <f>IFERROR(INDEX(TBBP[],$C36,J$8),"SEM DADOS")</f>
        <v>0</v>
      </c>
      <c r="K36" s="25">
        <f t="shared" si="3"/>
        <v>0</v>
      </c>
      <c r="L36" s="24">
        <f>IFERROR(INDEX(TBBP[],$C36,L$8),"SEM DADOS")</f>
        <v>0</v>
      </c>
      <c r="M36" s="25">
        <f t="shared" si="4"/>
        <v>0</v>
      </c>
    </row>
    <row r="37" spans="3:13" x14ac:dyDescent="0.3">
      <c r="C37">
        <f t="shared" si="0"/>
        <v>38</v>
      </c>
      <c r="D37" t="str">
        <f>IFERROR(INDEX(TBBP[],$C37,1),"SEM DADOS")</f>
        <v>1.3.2.3</v>
      </c>
      <c r="E37" s="167" t="str">
        <f>IFERROR(INDEX(TBBP[],$C37,2),"SEM DADOS")</f>
        <v>Aplicações Financeiras LP</v>
      </c>
      <c r="F37" s="168">
        <f>IFERROR(INDEX(TBBP[],$C37,F$8),"SEM DADOS")</f>
        <v>0</v>
      </c>
      <c r="G37" s="169">
        <f t="shared" si="1"/>
        <v>0</v>
      </c>
      <c r="H37" s="168">
        <f>IFERROR(INDEX(TBBP[],$C37,H$8),"SEM DADOS")</f>
        <v>0</v>
      </c>
      <c r="I37" s="169">
        <f t="shared" si="2"/>
        <v>0</v>
      </c>
      <c r="J37" s="168">
        <f>IFERROR(INDEX(TBBP[],$C37,J$8),"SEM DADOS")</f>
        <v>0</v>
      </c>
      <c r="K37" s="169">
        <f t="shared" si="3"/>
        <v>0</v>
      </c>
      <c r="L37" s="168">
        <f>IFERROR(INDEX(TBBP[],$C37,L$8),"SEM DADOS")</f>
        <v>0</v>
      </c>
      <c r="M37" s="169">
        <f t="shared" si="4"/>
        <v>0</v>
      </c>
    </row>
    <row r="38" spans="3:13" x14ac:dyDescent="0.3">
      <c r="C38">
        <f t="shared" si="0"/>
        <v>39</v>
      </c>
      <c r="D38" t="str">
        <f>IFERROR(INDEX(TBBP[],$C38,1),"SEM DADOS")</f>
        <v>1.3.3</v>
      </c>
      <c r="E38" s="17" t="str">
        <f>IFERROR(INDEX(TBBP[],$C38,2),"SEM DADOS")</f>
        <v>IMOBILIZADO TECNICO</v>
      </c>
      <c r="F38" s="24">
        <f>IFERROR(INDEX(TBBP[],$C38,F$8),"SEM DADOS")</f>
        <v>12167204.700000003</v>
      </c>
      <c r="G38" s="25">
        <f t="shared" si="1"/>
        <v>8.5759315638873082E-2</v>
      </c>
      <c r="H38" s="24">
        <f>IFERROR(INDEX(TBBP[],$C38,H$8),"SEM DADOS")</f>
        <v>12128013.750000004</v>
      </c>
      <c r="I38" s="25">
        <f t="shared" si="2"/>
        <v>9.0893458400673741E-2</v>
      </c>
      <c r="J38" s="24">
        <f>IFERROR(INDEX(TBBP[],$C38,J$8),"SEM DADOS")</f>
        <v>12128013.750000004</v>
      </c>
      <c r="K38" s="25">
        <f t="shared" si="3"/>
        <v>9.0893458400673741E-2</v>
      </c>
      <c r="L38" s="24">
        <f>IFERROR(INDEX(TBBP[],$C38,L$8),"SEM DADOS")</f>
        <v>12006708.810000002</v>
      </c>
      <c r="M38" s="25">
        <f t="shared" si="4"/>
        <v>8.8113703472246341E-2</v>
      </c>
    </row>
    <row r="39" spans="3:13" x14ac:dyDescent="0.3">
      <c r="C39">
        <f t="shared" si="0"/>
        <v>40</v>
      </c>
      <c r="D39" t="str">
        <f>IFERROR(INDEX(TBBP[],$C39,1),"SEM DADOS")</f>
        <v>1.3.3.1.01.00003</v>
      </c>
      <c r="E39" s="17" t="str">
        <f>IFERROR(INDEX(TBBP[],$C39,2),"SEM DADOS")</f>
        <v>Moveis e Utensilios</v>
      </c>
      <c r="F39" s="24">
        <f>IFERROR(INDEX(TBBP[],$C39,F$8),"SEM DADOS")</f>
        <v>307922.24</v>
      </c>
      <c r="G39" s="25">
        <f t="shared" si="1"/>
        <v>2.1703588641349006E-3</v>
      </c>
      <c r="H39" s="24">
        <f>IFERROR(INDEX(TBBP[],$C39,H$8),"SEM DADOS")</f>
        <v>308158.23</v>
      </c>
      <c r="I39" s="25">
        <f t="shared" si="2"/>
        <v>2.3094933627800548E-3</v>
      </c>
      <c r="J39" s="24">
        <f>IFERROR(INDEX(TBBP[],$C39,J$8),"SEM DADOS")</f>
        <v>308158.23</v>
      </c>
      <c r="K39" s="25">
        <f t="shared" si="3"/>
        <v>2.3094933627800548E-3</v>
      </c>
      <c r="L39" s="24">
        <f>IFERROR(INDEX(TBBP[],$C39,L$8),"SEM DADOS")</f>
        <v>308952.31</v>
      </c>
      <c r="M39" s="25">
        <f t="shared" si="4"/>
        <v>2.2673101064741756E-3</v>
      </c>
    </row>
    <row r="40" spans="3:13" x14ac:dyDescent="0.3">
      <c r="C40">
        <f t="shared" si="0"/>
        <v>41</v>
      </c>
      <c r="D40" t="str">
        <f>IFERROR(INDEX(TBBP[],$C40,1),"SEM DADOS")</f>
        <v>1.3.3.1.01.00009</v>
      </c>
      <c r="E40" s="17" t="str">
        <f>IFERROR(INDEX(TBBP[],$C40,2),"SEM DADOS")</f>
        <v>Veiculos</v>
      </c>
      <c r="F40" s="24">
        <f>IFERROR(INDEX(TBBP[],$C40,F$8),"SEM DADOS")</f>
        <v>6896706.6200000001</v>
      </c>
      <c r="G40" s="25">
        <f t="shared" si="1"/>
        <v>4.861074128992713E-2</v>
      </c>
      <c r="H40" s="24">
        <f>IFERROR(INDEX(TBBP[],$C40,H$8),"SEM DADOS")</f>
        <v>6896706.6200000001</v>
      </c>
      <c r="I40" s="25">
        <f t="shared" si="2"/>
        <v>5.1687401514252163E-2</v>
      </c>
      <c r="J40" s="24">
        <f>IFERROR(INDEX(TBBP[],$C40,J$8),"SEM DADOS")</f>
        <v>6896706.6200000001</v>
      </c>
      <c r="K40" s="25">
        <f t="shared" si="3"/>
        <v>5.1687401514252163E-2</v>
      </c>
      <c r="L40" s="24">
        <f>IFERROR(INDEX(TBBP[],$C40,L$8),"SEM DADOS")</f>
        <v>6966706.6200000001</v>
      </c>
      <c r="M40" s="25">
        <f t="shared" si="4"/>
        <v>5.1126610214911633E-2</v>
      </c>
    </row>
    <row r="41" spans="3:13" x14ac:dyDescent="0.3">
      <c r="C41">
        <f t="shared" si="0"/>
        <v>42</v>
      </c>
      <c r="D41" t="str">
        <f>IFERROR(INDEX(TBBP[],$C41,1),"SEM DADOS")</f>
        <v>1.3.3.1.01.00002</v>
      </c>
      <c r="E41" s="17" t="str">
        <f>IFERROR(INDEX(TBBP[],$C41,2),"SEM DADOS")</f>
        <v>Edificios</v>
      </c>
      <c r="F41" s="24">
        <f>IFERROR(INDEX(TBBP[],$C41,F$8),"SEM DADOS")</f>
        <v>342545.37</v>
      </c>
      <c r="G41" s="25">
        <f t="shared" si="1"/>
        <v>2.4143965052601246E-3</v>
      </c>
      <c r="H41" s="24">
        <f>IFERROR(INDEX(TBBP[],$C41,H$8),"SEM DADOS")</f>
        <v>342545.37</v>
      </c>
      <c r="I41" s="25">
        <f t="shared" si="2"/>
        <v>2.5672079517916431E-3</v>
      </c>
      <c r="J41" s="24">
        <f>IFERROR(INDEX(TBBP[],$C41,J$8),"SEM DADOS")</f>
        <v>342545.37</v>
      </c>
      <c r="K41" s="25">
        <f t="shared" si="3"/>
        <v>2.5672079517916431E-3</v>
      </c>
      <c r="L41" s="24">
        <f>IFERROR(INDEX(TBBP[],$C41,L$8),"SEM DADOS")</f>
        <v>342545.37</v>
      </c>
      <c r="M41" s="25">
        <f t="shared" si="4"/>
        <v>2.5138396904264477E-3</v>
      </c>
    </row>
    <row r="42" spans="3:13" x14ac:dyDescent="0.3">
      <c r="C42">
        <f t="shared" si="0"/>
        <v>43</v>
      </c>
      <c r="D42" t="str">
        <f>IFERROR(INDEX(TBBP[],$C42,1),"SEM DADOS")</f>
        <v>1.3.3.5.01.00002</v>
      </c>
      <c r="E42" s="17" t="str">
        <f>IFERROR(INDEX(TBBP[],$C42,2),"SEM DADOS")</f>
        <v>Veiculos - Leasing Financeiro</v>
      </c>
      <c r="F42" s="24">
        <f>IFERROR(INDEX(TBBP[],$C42,F$8),"SEM DADOS")</f>
        <v>0</v>
      </c>
      <c r="G42" s="25">
        <f t="shared" si="1"/>
        <v>0</v>
      </c>
      <c r="H42" s="24">
        <f>IFERROR(INDEX(TBBP[],$C42,H$8),"SEM DADOS")</f>
        <v>0</v>
      </c>
      <c r="I42" s="25">
        <f t="shared" si="2"/>
        <v>0</v>
      </c>
      <c r="J42" s="24">
        <f>IFERROR(INDEX(TBBP[],$C42,J$8),"SEM DADOS")</f>
        <v>0</v>
      </c>
      <c r="K42" s="25">
        <f t="shared" si="3"/>
        <v>0</v>
      </c>
      <c r="L42" s="24">
        <f>IFERROR(INDEX(TBBP[],$C42,L$8),"SEM DADOS")</f>
        <v>0</v>
      </c>
      <c r="M42" s="25">
        <f t="shared" si="4"/>
        <v>0</v>
      </c>
    </row>
    <row r="43" spans="3:13" x14ac:dyDescent="0.3">
      <c r="C43">
        <f t="shared" si="0"/>
        <v>44</v>
      </c>
      <c r="D43" t="str">
        <f>IFERROR(INDEX(TBBP[],$C43,1),"SEM DADOS")</f>
        <v>1.3.3.1.01.00005</v>
      </c>
      <c r="E43" s="17" t="str">
        <f>IFERROR(INDEX(TBBP[],$C43,2),"SEM DADOS")</f>
        <v>Equipamentos de Informatica</v>
      </c>
      <c r="F43" s="24">
        <f>IFERROR(INDEX(TBBP[],$C43,F$8),"SEM DADOS")</f>
        <v>625493.68999999994</v>
      </c>
      <c r="G43" s="25">
        <f t="shared" si="1"/>
        <v>4.4087292121281901E-3</v>
      </c>
      <c r="H43" s="24">
        <f>IFERROR(INDEX(TBBP[],$C43,H$8),"SEM DADOS")</f>
        <v>626410.91</v>
      </c>
      <c r="I43" s="25">
        <f t="shared" si="2"/>
        <v>4.694639630484684E-3</v>
      </c>
      <c r="J43" s="24">
        <f>IFERROR(INDEX(TBBP[],$C43,J$8),"SEM DADOS")</f>
        <v>626410.91</v>
      </c>
      <c r="K43" s="25">
        <f t="shared" si="3"/>
        <v>4.694639630484684E-3</v>
      </c>
      <c r="L43" s="24">
        <f>IFERROR(INDEX(TBBP[],$C43,L$8),"SEM DADOS")</f>
        <v>631497.80000000005</v>
      </c>
      <c r="M43" s="25">
        <f t="shared" si="4"/>
        <v>4.6343765617295691E-3</v>
      </c>
    </row>
    <row r="44" spans="3:13" x14ac:dyDescent="0.3">
      <c r="C44">
        <f t="shared" si="0"/>
        <v>45</v>
      </c>
      <c r="D44" t="str">
        <f>IFERROR(INDEX(TBBP[],$C44,1),"SEM DADOS")</f>
        <v>1.3.3.1.01.00006</v>
      </c>
      <c r="E44" s="17" t="str">
        <f>IFERROR(INDEX(TBBP[],$C44,2),"SEM DADOS")</f>
        <v>Maquinas e Equipamentos - Produção</v>
      </c>
      <c r="F44" s="24">
        <f>IFERROR(INDEX(TBBP[],$C44,F$8),"SEM DADOS")</f>
        <v>7348259.0999999996</v>
      </c>
      <c r="G44" s="25">
        <f t="shared" si="1"/>
        <v>5.179346342000158E-2</v>
      </c>
      <c r="H44" s="24">
        <f>IFERROR(INDEX(TBBP[],$C44,H$8),"SEM DADOS")</f>
        <v>7515591.8399999999</v>
      </c>
      <c r="I44" s="25">
        <f t="shared" si="2"/>
        <v>5.6325639824203105E-2</v>
      </c>
      <c r="J44" s="24">
        <f>IFERROR(INDEX(TBBP[],$C44,J$8),"SEM DADOS")</f>
        <v>7515591.8399999999</v>
      </c>
      <c r="K44" s="25">
        <f t="shared" si="3"/>
        <v>5.6325639824203105E-2</v>
      </c>
      <c r="L44" s="24">
        <f>IFERROR(INDEX(TBBP[],$C44,L$8),"SEM DADOS")</f>
        <v>7530719.8600000003</v>
      </c>
      <c r="M44" s="25">
        <f t="shared" si="4"/>
        <v>5.5265737445380457E-2</v>
      </c>
    </row>
    <row r="45" spans="3:13" x14ac:dyDescent="0.3">
      <c r="C45">
        <f t="shared" si="0"/>
        <v>46</v>
      </c>
      <c r="D45" t="str">
        <f>IFERROR(INDEX(TBBP[],$C45,1),"SEM DADOS")</f>
        <v>1.SEM CONTA</v>
      </c>
      <c r="E45" s="17" t="str">
        <f>IFERROR(INDEX(TBBP[],$C45,2),"SEM DADOS")</f>
        <v>Máquinas e Equipamentos - Prestação de Serviço</v>
      </c>
      <c r="F45" s="24">
        <f>IFERROR(INDEX(TBBP[],$C45,F$8),"SEM DADOS")</f>
        <v>0</v>
      </c>
      <c r="G45" s="25">
        <f t="shared" si="1"/>
        <v>0</v>
      </c>
      <c r="H45" s="24">
        <f>IFERROR(INDEX(TBBP[],$C45,H$8),"SEM DADOS")</f>
        <v>0</v>
      </c>
      <c r="I45" s="25">
        <f t="shared" si="2"/>
        <v>0</v>
      </c>
      <c r="J45" s="24">
        <f>IFERROR(INDEX(TBBP[],$C45,J$8),"SEM DADOS")</f>
        <v>0</v>
      </c>
      <c r="K45" s="25">
        <f t="shared" si="3"/>
        <v>0</v>
      </c>
      <c r="L45" s="24">
        <f>IFERROR(INDEX(TBBP[],$C45,L$8),"SEM DADOS")</f>
        <v>0</v>
      </c>
      <c r="M45" s="25">
        <f t="shared" si="4"/>
        <v>0</v>
      </c>
    </row>
    <row r="46" spans="3:13" x14ac:dyDescent="0.3">
      <c r="C46">
        <f t="shared" si="0"/>
        <v>47</v>
      </c>
      <c r="D46" t="str">
        <f>IFERROR(INDEX(TBBP[],$C46,1),"SEM DADOS")</f>
        <v>1.SEM CONTA</v>
      </c>
      <c r="E46" s="17" t="str">
        <f>IFERROR(INDEX(TBBP[],$C46,2),"SEM DADOS")</f>
        <v>Máquinas e Equipamentos - Leasing Financeiro - Serviço</v>
      </c>
      <c r="F46" s="24">
        <f>IFERROR(INDEX(TBBP[],$C46,F$8),"SEM DADOS")</f>
        <v>0</v>
      </c>
      <c r="G46" s="25">
        <f t="shared" si="1"/>
        <v>0</v>
      </c>
      <c r="H46" s="24">
        <f>IFERROR(INDEX(TBBP[],$C46,H$8),"SEM DADOS")</f>
        <v>0</v>
      </c>
      <c r="I46" s="25">
        <f t="shared" si="2"/>
        <v>0</v>
      </c>
      <c r="J46" s="24">
        <f>IFERROR(INDEX(TBBP[],$C46,J$8),"SEM DADOS")</f>
        <v>0</v>
      </c>
      <c r="K46" s="25">
        <f t="shared" si="3"/>
        <v>0</v>
      </c>
      <c r="L46" s="24">
        <f>IFERROR(INDEX(TBBP[],$C46,L$8),"SEM DADOS")</f>
        <v>0</v>
      </c>
      <c r="M46" s="25">
        <f t="shared" si="4"/>
        <v>0</v>
      </c>
    </row>
    <row r="47" spans="3:13" x14ac:dyDescent="0.3">
      <c r="C47">
        <f t="shared" ref="C47:C83" si="5">C46+1</f>
        <v>48</v>
      </c>
      <c r="D47" t="str">
        <f>IFERROR(INDEX(TBBP[],$C47,1),"SEM DADOS")</f>
        <v>1.3.3.1.01.00007</v>
      </c>
      <c r="E47" s="17" t="str">
        <f>IFERROR(INDEX(TBBP[],$C47,2),"SEM DADOS")</f>
        <v>Instalacoes</v>
      </c>
      <c r="F47" s="24">
        <f>IFERROR(INDEX(TBBP[],$C47,F$8),"SEM DADOS")</f>
        <v>2261486.23</v>
      </c>
      <c r="G47" s="25">
        <f t="shared" si="1"/>
        <v>1.5939857690693334E-2</v>
      </c>
      <c r="H47" s="24">
        <f>IFERROR(INDEX(TBBP[],$C47,H$8),"SEM DADOS")</f>
        <v>2261486.23</v>
      </c>
      <c r="I47" s="25">
        <f t="shared" si="2"/>
        <v>1.6948719617851805E-2</v>
      </c>
      <c r="J47" s="24">
        <f>IFERROR(INDEX(TBBP[],$C47,J$8),"SEM DADOS")</f>
        <v>2261486.23</v>
      </c>
      <c r="K47" s="25">
        <f t="shared" si="3"/>
        <v>1.6948719617851805E-2</v>
      </c>
      <c r="L47" s="24">
        <f>IFERROR(INDEX(TBBP[],$C47,L$8),"SEM DADOS")</f>
        <v>2261486.23</v>
      </c>
      <c r="M47" s="25">
        <f t="shared" si="4"/>
        <v>1.6596382091887199E-2</v>
      </c>
    </row>
    <row r="48" spans="3:13" x14ac:dyDescent="0.3">
      <c r="C48">
        <f t="shared" si="5"/>
        <v>49</v>
      </c>
      <c r="D48" t="str">
        <f>IFERROR(INDEX(TBBP[],$C48,1),"SEM DADOS")</f>
        <v>1.3.3.1.01.00008</v>
      </c>
      <c r="E48" s="17" t="str">
        <f>IFERROR(INDEX(TBBP[],$C48,2),"SEM DADOS")</f>
        <v>Ferramentas / Moldes</v>
      </c>
      <c r="F48" s="24">
        <f>IFERROR(INDEX(TBBP[],$C48,F$8),"SEM DADOS")</f>
        <v>960983.39</v>
      </c>
      <c r="G48" s="25">
        <f t="shared" si="1"/>
        <v>6.7733945387410356E-3</v>
      </c>
      <c r="H48" s="24">
        <f>IFERROR(INDEX(TBBP[],$C48,H$8),"SEM DADOS")</f>
        <v>967544.35</v>
      </c>
      <c r="I48" s="25">
        <f t="shared" si="2"/>
        <v>7.2512658659817141E-3</v>
      </c>
      <c r="J48" s="24">
        <f>IFERROR(INDEX(TBBP[],$C48,J$8),"SEM DADOS")</f>
        <v>967544.35</v>
      </c>
      <c r="K48" s="25">
        <f t="shared" si="3"/>
        <v>7.2512658659817141E-3</v>
      </c>
      <c r="L48" s="24">
        <f>IFERROR(INDEX(TBBP[],$C48,L$8),"SEM DADOS")</f>
        <v>970190.8</v>
      </c>
      <c r="M48" s="25">
        <f t="shared" si="4"/>
        <v>7.1199448421287604E-3</v>
      </c>
    </row>
    <row r="49" spans="3:13" x14ac:dyDescent="0.3">
      <c r="C49">
        <f t="shared" si="5"/>
        <v>50</v>
      </c>
      <c r="D49" t="str">
        <f>IFERROR(INDEX(TBBP[],$C49,1),"SEM DADOS")</f>
        <v>1.3.3.1.01.00010</v>
      </c>
      <c r="E49" s="17" t="str">
        <f>IFERROR(INDEX(TBBP[],$C49,2),"SEM DADOS")</f>
        <v>Aparelhos de Telefonia</v>
      </c>
      <c r="F49" s="24">
        <f>IFERROR(INDEX(TBBP[],$C49,F$8),"SEM DADOS")</f>
        <v>10421.799999999999</v>
      </c>
      <c r="G49" s="25">
        <f t="shared" si="1"/>
        <v>7.3457006581405449E-5</v>
      </c>
      <c r="H49" s="24">
        <f>IFERROR(INDEX(TBBP[],$C49,H$8),"SEM DADOS")</f>
        <v>10421.799999999999</v>
      </c>
      <c r="I49" s="25">
        <f t="shared" si="2"/>
        <v>7.810623110153888E-5</v>
      </c>
      <c r="J49" s="24">
        <f>IFERROR(INDEX(TBBP[],$C49,J$8),"SEM DADOS")</f>
        <v>10421.799999999999</v>
      </c>
      <c r="K49" s="25">
        <f t="shared" si="3"/>
        <v>7.810623110153888E-5</v>
      </c>
      <c r="L49" s="24">
        <f>IFERROR(INDEX(TBBP[],$C49,L$8),"SEM DADOS")</f>
        <v>10421.799999999999</v>
      </c>
      <c r="M49" s="25">
        <f t="shared" si="4"/>
        <v>7.6482524010429195E-5</v>
      </c>
    </row>
    <row r="50" spans="3:13" x14ac:dyDescent="0.3">
      <c r="C50">
        <f t="shared" si="5"/>
        <v>51</v>
      </c>
      <c r="D50" t="str">
        <f>IFERROR(INDEX(TBBP[],$C50,1),"SEM DADOS")</f>
        <v>1.3.3.1.01.00012</v>
      </c>
      <c r="E50" s="17" t="str">
        <f>IFERROR(INDEX(TBBP[],$C50,2),"SEM DADOS")</f>
        <v>Benfeitorias em Imoveis de Terceiros</v>
      </c>
      <c r="F50" s="24">
        <f>IFERROR(INDEX(TBBP[],$C50,F$8),"SEM DADOS")</f>
        <v>362660.96</v>
      </c>
      <c r="G50" s="25">
        <f t="shared" si="1"/>
        <v>2.5561792133353949E-3</v>
      </c>
      <c r="H50" s="24">
        <f>IFERROR(INDEX(TBBP[],$C50,H$8),"SEM DADOS")</f>
        <v>362865.46</v>
      </c>
      <c r="I50" s="25">
        <f t="shared" si="2"/>
        <v>2.7194969657378014E-3</v>
      </c>
      <c r="J50" s="24">
        <f>IFERROR(INDEX(TBBP[],$C50,J$8),"SEM DADOS")</f>
        <v>362865.46</v>
      </c>
      <c r="K50" s="25">
        <f t="shared" si="3"/>
        <v>2.7194969657378014E-3</v>
      </c>
      <c r="L50" s="24">
        <f>IFERROR(INDEX(TBBP[],$C50,L$8),"SEM DADOS")</f>
        <v>363804.66</v>
      </c>
      <c r="M50" s="25">
        <f t="shared" si="4"/>
        <v>2.6698553650574782E-3</v>
      </c>
    </row>
    <row r="51" spans="3:13" x14ac:dyDescent="0.3">
      <c r="C51">
        <f t="shared" si="5"/>
        <v>52</v>
      </c>
      <c r="D51" t="str">
        <f>IFERROR(INDEX(TBBP[],$C51,1),"SEM DADOS")</f>
        <v>1.3.3.1.03</v>
      </c>
      <c r="E51" s="17" t="str">
        <f>IFERROR(INDEX(TBBP[],$C51,2),"SEM DADOS")</f>
        <v>Imobilizado em Andamento</v>
      </c>
      <c r="F51" s="24">
        <f>IFERROR(INDEX(TBBP[],$C51,F$8),"SEM DADOS")</f>
        <v>0</v>
      </c>
      <c r="G51" s="25">
        <f t="shared" si="1"/>
        <v>0</v>
      </c>
      <c r="H51" s="24">
        <f>IFERROR(INDEX(TBBP[],$C51,H$8),"SEM DADOS")</f>
        <v>0</v>
      </c>
      <c r="I51" s="25">
        <f t="shared" si="2"/>
        <v>0</v>
      </c>
      <c r="J51" s="24">
        <f>IFERROR(INDEX(TBBP[],$C51,J$8),"SEM DADOS")</f>
        <v>0</v>
      </c>
      <c r="K51" s="25">
        <f t="shared" si="3"/>
        <v>0</v>
      </c>
      <c r="L51" s="24">
        <f>IFERROR(INDEX(TBBP[],$C51,L$8),"SEM DADOS")</f>
        <v>0</v>
      </c>
      <c r="M51" s="25">
        <f t="shared" si="4"/>
        <v>0</v>
      </c>
    </row>
    <row r="52" spans="3:13" x14ac:dyDescent="0.3">
      <c r="C52">
        <f t="shared" si="5"/>
        <v>53</v>
      </c>
      <c r="D52" t="str">
        <f>IFERROR(INDEX(TBBP[],$C52,1),"SEM DADOS")</f>
        <v>1.3.3.1.99</v>
      </c>
      <c r="E52" s="17" t="str">
        <f>IFERROR(INDEX(TBBP[],$C52,2),"SEM DADOS")</f>
        <v>Depreciacao/Amortizacao Acumulada</v>
      </c>
      <c r="F52" s="24">
        <f>IFERROR(INDEX(TBBP[],$C52,F$8),"SEM DADOS")</f>
        <v>-6949274.7000000002</v>
      </c>
      <c r="G52" s="25">
        <f t="shared" si="1"/>
        <v>-4.8981262101930031E-2</v>
      </c>
      <c r="H52" s="24">
        <f>IFERROR(INDEX(TBBP[],$C52,H$8),"SEM DADOS")</f>
        <v>-7163717.0599999996</v>
      </c>
      <c r="I52" s="25">
        <f t="shared" si="2"/>
        <v>-5.3688512563510787E-2</v>
      </c>
      <c r="J52" s="24">
        <f>IFERROR(INDEX(TBBP[],$C52,J$8),"SEM DADOS")</f>
        <v>-7163717.0599999996</v>
      </c>
      <c r="K52" s="25">
        <f t="shared" si="3"/>
        <v>-5.3688512563510787E-2</v>
      </c>
      <c r="L52" s="24">
        <f>IFERROR(INDEX(TBBP[],$C52,L$8),"SEM DADOS")</f>
        <v>-7379616.6399999997</v>
      </c>
      <c r="M52" s="25">
        <f t="shared" si="4"/>
        <v>-5.4156835369759813E-2</v>
      </c>
    </row>
    <row r="53" spans="3:13" x14ac:dyDescent="0.3">
      <c r="C53">
        <f t="shared" si="5"/>
        <v>54</v>
      </c>
      <c r="D53" t="str">
        <f>IFERROR(INDEX(TBBP[],$C53,1),"SEM DADOS")</f>
        <v>1.3.3.5.99</v>
      </c>
      <c r="E53" s="167" t="str">
        <f>IFERROR(INDEX(TBBP[],$C53,2),"SEM DADOS")</f>
        <v>Depreciações - Leasing Financeiro</v>
      </c>
      <c r="F53" s="168">
        <f>IFERROR(INDEX(TBBP[],$C53,F$8),"SEM DADOS")</f>
        <v>0</v>
      </c>
      <c r="G53" s="169">
        <f t="shared" si="1"/>
        <v>0</v>
      </c>
      <c r="H53" s="168">
        <f>IFERROR(INDEX(TBBP[],$C53,H$8),"SEM DADOS")</f>
        <v>0</v>
      </c>
      <c r="I53" s="169">
        <f t="shared" si="2"/>
        <v>0</v>
      </c>
      <c r="J53" s="168">
        <f>IFERROR(INDEX(TBBP[],$C53,J$8),"SEM DADOS")</f>
        <v>0</v>
      </c>
      <c r="K53" s="169">
        <f t="shared" si="3"/>
        <v>0</v>
      </c>
      <c r="L53" s="168">
        <f>IFERROR(INDEX(TBBP[],$C53,L$8),"SEM DADOS")</f>
        <v>0</v>
      </c>
      <c r="M53" s="169">
        <f t="shared" si="4"/>
        <v>0</v>
      </c>
    </row>
    <row r="54" spans="3:13" x14ac:dyDescent="0.3">
      <c r="C54">
        <f t="shared" si="5"/>
        <v>55</v>
      </c>
      <c r="D54" t="str">
        <f>IFERROR(INDEX(TBBP[],$C54,1),"SEM DADOS")</f>
        <v>1.3.4</v>
      </c>
      <c r="E54" s="17" t="str">
        <f>IFERROR(INDEX(TBBP[],$C54,2),"SEM DADOS")</f>
        <v>INTANGIVEL</v>
      </c>
      <c r="F54" s="24">
        <f>IFERROR(INDEX(TBBP[],$C54,F$8),"SEM DADOS")</f>
        <v>962289.73000000021</v>
      </c>
      <c r="G54" s="25">
        <f t="shared" si="1"/>
        <v>6.7826021445267504E-3</v>
      </c>
      <c r="H54" s="24">
        <f>IFERROR(INDEX(TBBP[],$C54,H$8),"SEM DADOS")</f>
        <v>936647.37000000011</v>
      </c>
      <c r="I54" s="25">
        <f t="shared" si="2"/>
        <v>7.0197082981700489E-3</v>
      </c>
      <c r="J54" s="24">
        <f>IFERROR(INDEX(TBBP[],$C54,J$8),"SEM DADOS")</f>
        <v>936647.37000000011</v>
      </c>
      <c r="K54" s="25">
        <f t="shared" si="3"/>
        <v>7.0197082981700489E-3</v>
      </c>
      <c r="L54" s="24">
        <f>IFERROR(INDEX(TBBP[],$C54,L$8),"SEM DADOS")</f>
        <v>910199.87000000011</v>
      </c>
      <c r="M54" s="25">
        <f t="shared" si="4"/>
        <v>6.679689056743033E-3</v>
      </c>
    </row>
    <row r="55" spans="3:13" x14ac:dyDescent="0.3">
      <c r="C55">
        <f t="shared" si="5"/>
        <v>56</v>
      </c>
      <c r="D55" t="str">
        <f>IFERROR(INDEX(TBBP[],$C55,1),"SEM DADOS")</f>
        <v>1.3.4.1.01.00004</v>
      </c>
      <c r="E55" s="17" t="str">
        <f>IFERROR(INDEX(TBBP[],$C55,2),"SEM DADOS")</f>
        <v>Modelos, Projetos e Prototipos</v>
      </c>
      <c r="F55" s="24">
        <f>IFERROR(INDEX(TBBP[],$C55,F$8),"SEM DADOS")</f>
        <v>1360000</v>
      </c>
      <c r="G55" s="25">
        <f t="shared" si="1"/>
        <v>9.5858228857501979E-3</v>
      </c>
      <c r="H55" s="24">
        <f>IFERROR(INDEX(TBBP[],$C55,H$8),"SEM DADOS")</f>
        <v>1360000</v>
      </c>
      <c r="I55" s="25">
        <f t="shared" si="2"/>
        <v>1.0192526655481097E-2</v>
      </c>
      <c r="J55" s="24">
        <f>IFERROR(INDEX(TBBP[],$C55,J$8),"SEM DADOS")</f>
        <v>1360000</v>
      </c>
      <c r="K55" s="25">
        <f t="shared" si="3"/>
        <v>1.0192526655481097E-2</v>
      </c>
      <c r="L55" s="24">
        <f>IFERROR(INDEX(TBBP[],$C55,L$8),"SEM DADOS")</f>
        <v>1360000</v>
      </c>
      <c r="M55" s="25">
        <f t="shared" si="4"/>
        <v>9.9806398754710042E-3</v>
      </c>
    </row>
    <row r="56" spans="3:13" x14ac:dyDescent="0.3">
      <c r="C56">
        <f t="shared" si="5"/>
        <v>57</v>
      </c>
      <c r="D56" t="str">
        <f>IFERROR(INDEX(TBBP[],$C56,1),"SEM DADOS")</f>
        <v>1.3.4.1.01.00001</v>
      </c>
      <c r="E56" s="17" t="str">
        <f>IFERROR(INDEX(TBBP[],$C56,2),"SEM DADOS")</f>
        <v>Direito Uso Software</v>
      </c>
      <c r="F56" s="24">
        <f>IFERROR(INDEX(TBBP[],$C56,F$8),"SEM DADOS")</f>
        <v>724324.41</v>
      </c>
      <c r="G56" s="25">
        <f t="shared" si="1"/>
        <v>5.1053275780040515E-3</v>
      </c>
      <c r="H56" s="24">
        <f>IFERROR(INDEX(TBBP[],$C56,H$8),"SEM DADOS")</f>
        <v>724324.41</v>
      </c>
      <c r="I56" s="25">
        <f t="shared" si="2"/>
        <v>5.4284528353975136E-3</v>
      </c>
      <c r="J56" s="24">
        <f>IFERROR(INDEX(TBBP[],$C56,J$8),"SEM DADOS")</f>
        <v>724324.41</v>
      </c>
      <c r="K56" s="25">
        <f t="shared" si="3"/>
        <v>5.4284528353975136E-3</v>
      </c>
      <c r="L56" s="24">
        <f>IFERROR(INDEX(TBBP[],$C56,L$8),"SEM DADOS")</f>
        <v>724324.41</v>
      </c>
      <c r="M56" s="25">
        <f t="shared" si="4"/>
        <v>5.3156037420757415E-3</v>
      </c>
    </row>
    <row r="57" spans="3:13" x14ac:dyDescent="0.3">
      <c r="C57">
        <f t="shared" si="5"/>
        <v>58</v>
      </c>
      <c r="D57" t="str">
        <f>IFERROR(INDEX(TBBP[],$C57,1),"SEM DADOS")</f>
        <v>1.3.4.1.01.00002</v>
      </c>
      <c r="E57" s="17" t="str">
        <f>IFERROR(INDEX(TBBP[],$C57,2),"SEM DADOS")</f>
        <v>Marcas e Patentes</v>
      </c>
      <c r="F57" s="24">
        <f>IFERROR(INDEX(TBBP[],$C57,F$8),"SEM DADOS")</f>
        <v>355</v>
      </c>
      <c r="G57" s="25">
        <f t="shared" si="1"/>
        <v>2.5021817091480296E-6</v>
      </c>
      <c r="H57" s="24">
        <f>IFERROR(INDEX(TBBP[],$C57,H$8),"SEM DADOS")</f>
        <v>355</v>
      </c>
      <c r="I57" s="25">
        <f t="shared" si="2"/>
        <v>2.6605492372763157E-6</v>
      </c>
      <c r="J57" s="24">
        <f>IFERROR(INDEX(TBBP[],$C57,J$8),"SEM DADOS")</f>
        <v>355</v>
      </c>
      <c r="K57" s="25">
        <f t="shared" si="3"/>
        <v>2.6605492372763157E-6</v>
      </c>
      <c r="L57" s="24">
        <f>IFERROR(INDEX(TBBP[],$C57,L$8),"SEM DADOS")</f>
        <v>355</v>
      </c>
      <c r="M57" s="25">
        <f t="shared" si="4"/>
        <v>2.6052405557295633E-6</v>
      </c>
    </row>
    <row r="58" spans="3:13" x14ac:dyDescent="0.3">
      <c r="C58">
        <f t="shared" si="5"/>
        <v>59</v>
      </c>
      <c r="D58" t="str">
        <f>IFERROR(INDEX(TBBP[],$C58,1),"SEM DADOS")</f>
        <v>1.3.4.1.01.00003</v>
      </c>
      <c r="E58" s="17" t="str">
        <f>IFERROR(INDEX(TBBP[],$C58,2),"SEM DADOS")</f>
        <v>Paginas de Internet / Sites</v>
      </c>
      <c r="F58" s="24">
        <f>IFERROR(INDEX(TBBP[],$C58,F$8),"SEM DADOS")</f>
        <v>6000</v>
      </c>
      <c r="G58" s="25">
        <f t="shared" si="1"/>
        <v>4.229039508419205E-5</v>
      </c>
      <c r="H58" s="24">
        <f>IFERROR(INDEX(TBBP[],$C58,H$8),"SEM DADOS")</f>
        <v>6000</v>
      </c>
      <c r="I58" s="25">
        <f t="shared" si="2"/>
        <v>4.4967029362416603E-5</v>
      </c>
      <c r="J58" s="24">
        <f>IFERROR(INDEX(TBBP[],$C58,J$8),"SEM DADOS")</f>
        <v>6000</v>
      </c>
      <c r="K58" s="25">
        <f t="shared" si="3"/>
        <v>4.4967029362416603E-5</v>
      </c>
      <c r="L58" s="24">
        <f>IFERROR(INDEX(TBBP[],$C58,L$8),"SEM DADOS")</f>
        <v>6000</v>
      </c>
      <c r="M58" s="25">
        <f t="shared" si="4"/>
        <v>4.4032234744725016E-5</v>
      </c>
    </row>
    <row r="59" spans="3:13" x14ac:dyDescent="0.3">
      <c r="C59">
        <f t="shared" si="5"/>
        <v>60</v>
      </c>
      <c r="D59" t="str">
        <f>IFERROR(INDEX(TBBP[],$C59,1),"SEM DADOS")</f>
        <v>1.3.4.1.99</v>
      </c>
      <c r="E59" s="159" t="str">
        <f>IFERROR(INDEX(TBBP[],$C59,2),"SEM DADOS")</f>
        <v>Amortizacao Acumulada</v>
      </c>
      <c r="F59" s="160">
        <f>IFERROR(INDEX(TBBP[],$C59,F$8),"SEM DADOS")</f>
        <v>-1128389.68</v>
      </c>
      <c r="G59" s="161">
        <f>IF(MID($D59,1,1)="1",F59/$F$10,IF(MID($D59,1,1)="2",F59/$F$59,"NÃO É ATIVO E PASSIVO"))</f>
        <v>-7.9533408960208388E-3</v>
      </c>
      <c r="H59" s="160">
        <f>IFERROR(INDEX(TBBP[],$C59,H$8),"SEM DADOS")</f>
        <v>-1154032.04</v>
      </c>
      <c r="I59" s="161">
        <f>IF(MID($D59,1,1)="1",H59/$H$10,IF(MID($D59,1,1)="2",H59/$H$59,"NÃO É ATIVO E PASSIVO"))</f>
        <v>-8.6488987713082555E-3</v>
      </c>
      <c r="J59" s="160">
        <f>IFERROR(INDEX(TBBP[],$C59,J$8),"SEM DADOS")</f>
        <v>-1154032.04</v>
      </c>
      <c r="K59" s="161">
        <f>IF(MID($D59,1,1)="1",J59/$J$10,IF(MID($D59,1,1)="2",J59/$J$59,"NÃO É ATIVO E PASSIVO"))</f>
        <v>-8.6488987713082555E-3</v>
      </c>
      <c r="L59" s="160">
        <f>IFERROR(INDEX(TBBP[],$C59,L$8),"SEM DADOS")</f>
        <v>-1180479.54</v>
      </c>
      <c r="M59" s="161">
        <f>IF(MID($D59,1,1)="1",L59/$L$10,IF(MID($D59,1,1)="2",L59/$L$59,"NÃO É ATIVO E PASSIVO"))</f>
        <v>-8.6631920361041684E-3</v>
      </c>
    </row>
    <row r="60" spans="3:13" ht="15" thickBot="1" x14ac:dyDescent="0.35">
      <c r="C60">
        <f t="shared" si="5"/>
        <v>61</v>
      </c>
      <c r="D60" t="str">
        <f>IFERROR(INDEX(TBBP[],$C60,1),"SEM DADOS")</f>
        <v>2</v>
      </c>
      <c r="E60" s="162" t="str">
        <f>IFERROR(INDEX(TBBP[],$C60,2),"SEM DADOS")</f>
        <v>PASSIVO</v>
      </c>
      <c r="F60" s="163">
        <f>IFERROR(INDEX(TBBP[],$C60,F$8),"SEM DADOS")</f>
        <v>141876186.97</v>
      </c>
      <c r="G60" s="164">
        <f t="shared" ref="G60:G83" si="6">IF(MID($D60,1,1)="1",F60/$F$10,IF(MID($D60,1,1)="2",F60/$F$59,"NÃO É ATIVO E PASSIVO"))</f>
        <v>-125.73332553874474</v>
      </c>
      <c r="H60" s="163">
        <f>IFERROR(INDEX(TBBP[],$C60,H$8),"SEM DADOS")</f>
        <v>133431095.7429</v>
      </c>
      <c r="I60" s="164">
        <f t="shared" ref="I60:I83" si="7">IF(MID($D60,1,1)="1",H60/$H$10,IF(MID($D60,1,1)="2",H60/$H$59,"NÃO É ATIVO E PASSIVO"))</f>
        <v>-115.62165617420813</v>
      </c>
      <c r="J60" s="163">
        <f>IFERROR(INDEX(TBBP[],$C60,J$8),"SEM DADOS")</f>
        <v>133431095.73999999</v>
      </c>
      <c r="K60" s="164">
        <f t="shared" ref="K60:K83" si="8">IF(MID($D60,1,1)="1",J60/$J$10,IF(MID($D60,1,1)="2",J60/$J$59,"NÃO É ATIVO E PASSIVO"))</f>
        <v>-115.62165617169519</v>
      </c>
      <c r="L60" s="163">
        <f>IFERROR(INDEX(TBBP[],$C60,L$8),"SEM DADOS")</f>
        <v>136263808.43000001</v>
      </c>
      <c r="M60" s="164">
        <f t="shared" ref="M60:M83" si="9">IF(MID($D60,1,1)="1",L60/$L$10,IF(MID($D60,1,1)="2",L60/$L$59,"NÃO É ATIVO E PASSIVO"))</f>
        <v>-115.43089381286524</v>
      </c>
    </row>
    <row r="61" spans="3:13" ht="15" thickTop="1" x14ac:dyDescent="0.3">
      <c r="C61">
        <f t="shared" si="5"/>
        <v>62</v>
      </c>
      <c r="D61" t="str">
        <f>IFERROR(INDEX(TBBP[],$C61,1),"SEM DADOS")</f>
        <v>2.1</v>
      </c>
      <c r="E61" s="17" t="str">
        <f>IFERROR(INDEX(TBBP[],$C61,2),"SEM DADOS")</f>
        <v>PASSIVO CIRCULANTE</v>
      </c>
      <c r="F61" s="24">
        <f>IFERROR(INDEX(TBBP[],$C61,F$8),"SEM DADOS")</f>
        <v>36182401.633900002</v>
      </c>
      <c r="G61" s="25">
        <f t="shared" si="6"/>
        <v>-32.065519806863179</v>
      </c>
      <c r="H61" s="24">
        <f>IFERROR(INDEX(TBBP[],$C61,H$8),"SEM DADOS")</f>
        <v>33810455.879999995</v>
      </c>
      <c r="I61" s="25">
        <f t="shared" si="7"/>
        <v>-29.297675201461473</v>
      </c>
      <c r="J61" s="24">
        <f>IFERROR(INDEX(TBBP[],$C61,J$8),"SEM DADOS")</f>
        <v>33810455.879999995</v>
      </c>
      <c r="K61" s="25">
        <f t="shared" si="8"/>
        <v>-29.297675201461473</v>
      </c>
      <c r="L61" s="24">
        <f>IFERROR(INDEX(TBBP[],$C61,L$8),"SEM DADOS")</f>
        <v>36719325.760799997</v>
      </c>
      <c r="M61" s="25">
        <f t="shared" si="9"/>
        <v>-31.105431747508302</v>
      </c>
    </row>
    <row r="62" spans="3:13" x14ac:dyDescent="0.3">
      <c r="C62">
        <f t="shared" si="5"/>
        <v>63</v>
      </c>
      <c r="D62" t="str">
        <f>IFERROR(INDEX(TBBP[],$C62,1),"SEM DADOS")</f>
        <v>2.1.1.1.01</v>
      </c>
      <c r="E62" s="17" t="str">
        <f>IFERROR(INDEX(TBBP[],$C62,2),"SEM DADOS")</f>
        <v>Fornecedores Nacionais</v>
      </c>
      <c r="F62" s="24">
        <f>IFERROR(INDEX(TBBP[],$C62,F$8),"SEM DADOS")</f>
        <v>4601275.7</v>
      </c>
      <c r="G62" s="25">
        <f t="shared" si="6"/>
        <v>-4.0777364252391965</v>
      </c>
      <c r="H62" s="24">
        <f>IFERROR(INDEX(TBBP[],$C62,H$8),"SEM DADOS")</f>
        <v>4475096.8499999996</v>
      </c>
      <c r="I62" s="25">
        <f t="shared" si="7"/>
        <v>-3.8777925524494097</v>
      </c>
      <c r="J62" s="24">
        <f>IFERROR(INDEX(TBBP[],$C62,J$8),"SEM DADOS")</f>
        <v>4475096.8499999996</v>
      </c>
      <c r="K62" s="25">
        <f t="shared" si="8"/>
        <v>-3.8777925524494097</v>
      </c>
      <c r="L62" s="24">
        <f>IFERROR(INDEX(TBBP[],$C62,L$8),"SEM DADOS")</f>
        <v>4681750.3</v>
      </c>
      <c r="M62" s="25">
        <f t="shared" si="9"/>
        <v>-3.9659732687954929</v>
      </c>
    </row>
    <row r="63" spans="3:13" x14ac:dyDescent="0.3">
      <c r="C63">
        <f t="shared" si="5"/>
        <v>64</v>
      </c>
      <c r="D63" t="str">
        <f>IFERROR(INDEX(TBBP[],$C63,1),"SEM DADOS")</f>
        <v>2.1.1.1.02</v>
      </c>
      <c r="E63" s="17" t="str">
        <f>IFERROR(INDEX(TBBP[],$C63,2),"SEM DADOS")</f>
        <v>Fornecedor - Compras para Entrega Futura</v>
      </c>
      <c r="F63" s="24">
        <f>IFERROR(INDEX(TBBP[],$C63,F$8),"SEM DADOS")</f>
        <v>0</v>
      </c>
      <c r="G63" s="25">
        <f t="shared" si="6"/>
        <v>0</v>
      </c>
      <c r="H63" s="24">
        <f>IFERROR(INDEX(TBBP[],$C63,H$8),"SEM DADOS")</f>
        <v>0</v>
      </c>
      <c r="I63" s="25">
        <f t="shared" si="7"/>
        <v>0</v>
      </c>
      <c r="J63" s="24">
        <f>IFERROR(INDEX(TBBP[],$C63,J$8),"SEM DADOS")</f>
        <v>0</v>
      </c>
      <c r="K63" s="25">
        <f t="shared" si="8"/>
        <v>0</v>
      </c>
      <c r="L63" s="24">
        <f>IFERROR(INDEX(TBBP[],$C63,L$8),"SEM DADOS")</f>
        <v>0</v>
      </c>
      <c r="M63" s="25">
        <f t="shared" si="9"/>
        <v>0</v>
      </c>
    </row>
    <row r="64" spans="3:13" x14ac:dyDescent="0.3">
      <c r="C64">
        <f t="shared" si="5"/>
        <v>65</v>
      </c>
      <c r="D64" t="str">
        <f>IFERROR(INDEX(TBBP[],$C64,1),"SEM DADOS")</f>
        <v>2.1.1.1.03</v>
      </c>
      <c r="E64" s="17" t="str">
        <f>IFERROR(INDEX(TBBP[],$C64,2),"SEM DADOS")</f>
        <v>Fornecedores No Exterior</v>
      </c>
      <c r="F64" s="24">
        <f>IFERROR(INDEX(TBBP[],$C64,F$8),"SEM DADOS")</f>
        <v>733867.08</v>
      </c>
      <c r="G64" s="25">
        <f t="shared" si="6"/>
        <v>-0.65036670665048979</v>
      </c>
      <c r="H64" s="24">
        <f>IFERROR(INDEX(TBBP[],$C64,H$8),"SEM DADOS")</f>
        <v>123330.96</v>
      </c>
      <c r="I64" s="25">
        <f t="shared" si="7"/>
        <v>-0.1068696151625045</v>
      </c>
      <c r="J64" s="24">
        <f>IFERROR(INDEX(TBBP[],$C64,J$8),"SEM DADOS")</f>
        <v>123330.96</v>
      </c>
      <c r="K64" s="25">
        <f t="shared" si="8"/>
        <v>-0.1068696151625045</v>
      </c>
      <c r="L64" s="24">
        <f>IFERROR(INDEX(TBBP[],$C64,L$8),"SEM DADOS")</f>
        <v>1775303.89</v>
      </c>
      <c r="M64" s="25">
        <f t="shared" si="9"/>
        <v>-1.5038836590086091</v>
      </c>
    </row>
    <row r="65" spans="3:13" x14ac:dyDescent="0.3">
      <c r="C65">
        <f t="shared" si="5"/>
        <v>66</v>
      </c>
      <c r="D65" t="str">
        <f>IFERROR(INDEX(TBBP[],$C65,1),"SEM DADOS")</f>
        <v>2.1.1.2</v>
      </c>
      <c r="E65" s="17" t="str">
        <f>IFERROR(INDEX(TBBP[],$C65,2),"SEM DADOS")</f>
        <v>Emprestimos E Financimentos - TERCEIROS</v>
      </c>
      <c r="F65" s="24">
        <f>IFERROR(INDEX(TBBP[],$C65,F$8),"SEM DADOS")</f>
        <v>17496649.390000001</v>
      </c>
      <c r="G65" s="25">
        <f t="shared" si="6"/>
        <v>-15.505857329358065</v>
      </c>
      <c r="H65" s="24">
        <f>IFERROR(INDEX(TBBP[],$C65,H$8),"SEM DADOS")</f>
        <v>16567130.529999999</v>
      </c>
      <c r="I65" s="25">
        <f t="shared" si="7"/>
        <v>-14.355867043344826</v>
      </c>
      <c r="J65" s="24">
        <f>IFERROR(INDEX(TBBP[],$C65,J$8),"SEM DADOS")</f>
        <v>16567130.529999999</v>
      </c>
      <c r="K65" s="25">
        <f t="shared" si="8"/>
        <v>-14.355867043344826</v>
      </c>
      <c r="L65" s="24">
        <f>IFERROR(INDEX(TBBP[],$C65,L$8),"SEM DADOS")</f>
        <v>17158637.600000001</v>
      </c>
      <c r="M65" s="25">
        <f t="shared" si="9"/>
        <v>-14.53531130238818</v>
      </c>
    </row>
    <row r="66" spans="3:13" x14ac:dyDescent="0.3">
      <c r="C66">
        <f t="shared" si="5"/>
        <v>67</v>
      </c>
      <c r="D66" t="str">
        <f>IFERROR(INDEX(TBBP[],$C66,1),"SEM DADOS")</f>
        <v>2.1.1.4</v>
      </c>
      <c r="E66" s="17" t="str">
        <f>IFERROR(INDEX(TBBP[],$C66,2),"SEM DADOS")</f>
        <v>Salarios e Encargos Sociais</v>
      </c>
      <c r="F66" s="24">
        <f>IFERROR(INDEX(TBBP[],$C66,F$8),"SEM DADOS")</f>
        <v>1545545.12</v>
      </c>
      <c r="G66" s="25">
        <f t="shared" si="6"/>
        <v>-1.369690938683523</v>
      </c>
      <c r="H66" s="24">
        <f>IFERROR(INDEX(TBBP[],$C66,H$8),"SEM DADOS")</f>
        <v>1078961.79</v>
      </c>
      <c r="I66" s="25">
        <f t="shared" si="7"/>
        <v>-0.93494959637342478</v>
      </c>
      <c r="J66" s="24">
        <f>IFERROR(INDEX(TBBP[],$C66,J$8),"SEM DADOS")</f>
        <v>1078961.79</v>
      </c>
      <c r="K66" s="25">
        <f t="shared" si="8"/>
        <v>-0.93494959637342478</v>
      </c>
      <c r="L66" s="24">
        <f>IFERROR(INDEX(TBBP[],$C66,L$8),"SEM DADOS")</f>
        <v>1131358.1100000001</v>
      </c>
      <c r="M66" s="25">
        <f t="shared" si="9"/>
        <v>-0.95838857994946702</v>
      </c>
    </row>
    <row r="67" spans="3:13" x14ac:dyDescent="0.3">
      <c r="C67">
        <v>72</v>
      </c>
      <c r="D67" t="str">
        <f>IFERROR(INDEX(TBBP[],$C67,1),"SEM DADOS")</f>
        <v>2.1.1.5.02.00002</v>
      </c>
      <c r="E67" s="17" t="str">
        <f>IFERROR(INDEX(TBBP[],$C67,2),"SEM DADOS")</f>
        <v>Pis a Recolher</v>
      </c>
      <c r="F67" s="24">
        <f>IFERROR(INDEX(TBBP[],$C67,F$8),"SEM DADOS")</f>
        <v>52332.47</v>
      </c>
      <c r="G67" s="25">
        <f t="shared" si="6"/>
        <v>-4.6378011893905308E-2</v>
      </c>
      <c r="H67" s="24">
        <f>IFERROR(INDEX(TBBP[],$C67,H$8),"SEM DADOS")</f>
        <v>21883.05</v>
      </c>
      <c r="I67" s="25">
        <f t="shared" si="7"/>
        <v>-1.8962255155411455E-2</v>
      </c>
      <c r="J67" s="24">
        <f>IFERROR(INDEX(TBBP[],$C67,J$8),"SEM DADOS")</f>
        <v>21883.05</v>
      </c>
      <c r="K67" s="25">
        <f t="shared" si="8"/>
        <v>-1.8962255155411455E-2</v>
      </c>
      <c r="L67" s="24">
        <f>IFERROR(INDEX(TBBP[],$C67,L$8),"SEM DADOS")</f>
        <v>69692.33</v>
      </c>
      <c r="M67" s="25">
        <f t="shared" si="9"/>
        <v>-5.9037304450020367E-2</v>
      </c>
    </row>
    <row r="68" spans="3:13" x14ac:dyDescent="0.3">
      <c r="C68">
        <f t="shared" si="5"/>
        <v>73</v>
      </c>
      <c r="D68" t="str">
        <f>IFERROR(INDEX(TBBP[],$C68,1),"SEM DADOS")</f>
        <v>2.1.1.6</v>
      </c>
      <c r="E68" s="17" t="str">
        <f>IFERROR(INDEX(TBBP[],$C68,2),"SEM DADOS")</f>
        <v>Provisao do Imposto de Renda e CSSLL</v>
      </c>
      <c r="F68" s="24">
        <f>IFERROR(INDEX(TBBP[],$C68,F$8),"SEM DADOS")</f>
        <v>3777051.3538999972</v>
      </c>
      <c r="G68" s="25">
        <f t="shared" si="6"/>
        <v>-3.3472934225169424</v>
      </c>
      <c r="H68" s="24">
        <f>IFERROR(INDEX(TBBP[],$C68,H$8),"SEM DADOS")</f>
        <v>0</v>
      </c>
      <c r="I68" s="25">
        <f t="shared" si="7"/>
        <v>0</v>
      </c>
      <c r="J68" s="24">
        <f>IFERROR(INDEX(TBBP[],$C68,J$8),"SEM DADOS")</f>
        <v>0</v>
      </c>
      <c r="K68" s="25">
        <f t="shared" si="8"/>
        <v>0</v>
      </c>
      <c r="L68" s="24">
        <f>IFERROR(INDEX(TBBP[],$C68,L$8),"SEM DADOS")</f>
        <v>436376.49079999956</v>
      </c>
      <c r="M68" s="25">
        <f t="shared" si="9"/>
        <v>-0.36966035921300217</v>
      </c>
    </row>
    <row r="69" spans="3:13" x14ac:dyDescent="0.3">
      <c r="C69">
        <f t="shared" si="5"/>
        <v>74</v>
      </c>
      <c r="D69" t="str">
        <f>IFERROR(INDEX(TBBP[],$C69,1),"SEM DADOS")</f>
        <v>2.1.1.7.01</v>
      </c>
      <c r="E69" s="17" t="str">
        <f>IFERROR(INDEX(TBBP[],$C69,2),"SEM DADOS")</f>
        <v>Dividendos</v>
      </c>
      <c r="F69" s="24">
        <f>IFERROR(INDEX(TBBP[],$C69,F$8),"SEM DADOS")</f>
        <v>0</v>
      </c>
      <c r="G69" s="25">
        <f t="shared" si="6"/>
        <v>0</v>
      </c>
      <c r="H69" s="24">
        <f>IFERROR(INDEX(TBBP[],$C69,H$8),"SEM DADOS")</f>
        <v>4006800</v>
      </c>
      <c r="I69" s="25">
        <f t="shared" si="7"/>
        <v>-3.4720006560649734</v>
      </c>
      <c r="J69" s="24">
        <f>IFERROR(INDEX(TBBP[],$C69,J$8),"SEM DADOS")</f>
        <v>4006800</v>
      </c>
      <c r="K69" s="25">
        <f t="shared" si="8"/>
        <v>-3.4720006560649734</v>
      </c>
      <c r="L69" s="24">
        <f>IFERROR(INDEX(TBBP[],$C69,L$8),"SEM DADOS")</f>
        <v>3922900</v>
      </c>
      <c r="M69" s="25">
        <f t="shared" si="9"/>
        <v>-3.3231410347018806</v>
      </c>
    </row>
    <row r="70" spans="3:13" x14ac:dyDescent="0.3">
      <c r="C70">
        <f t="shared" si="5"/>
        <v>75</v>
      </c>
      <c r="D70" t="str">
        <f>IFERROR(INDEX(TBBP[],$C70,1),"SEM DADOS")</f>
        <v>2.1.1.7.02</v>
      </c>
      <c r="E70" s="17" t="str">
        <f>IFERROR(INDEX(TBBP[],$C70,2),"SEM DADOS")</f>
        <v>Juros s/ Capital Proprio</v>
      </c>
      <c r="F70" s="24">
        <f>IFERROR(INDEX(TBBP[],$C70,F$8),"SEM DADOS")</f>
        <v>0</v>
      </c>
      <c r="G70" s="25">
        <f t="shared" si="6"/>
        <v>0</v>
      </c>
      <c r="H70" s="24">
        <f>IFERROR(INDEX(TBBP[],$C70,H$8),"SEM DADOS")</f>
        <v>0</v>
      </c>
      <c r="I70" s="25">
        <f t="shared" si="7"/>
        <v>0</v>
      </c>
      <c r="J70" s="24">
        <f>IFERROR(INDEX(TBBP[],$C70,J$8),"SEM DADOS")</f>
        <v>0</v>
      </c>
      <c r="K70" s="25">
        <f t="shared" si="8"/>
        <v>0</v>
      </c>
      <c r="L70" s="24">
        <f>IFERROR(INDEX(TBBP[],$C70,L$8),"SEM DADOS")</f>
        <v>0</v>
      </c>
      <c r="M70" s="25">
        <f t="shared" si="9"/>
        <v>0</v>
      </c>
    </row>
    <row r="71" spans="3:13" x14ac:dyDescent="0.3">
      <c r="C71">
        <f t="shared" si="5"/>
        <v>76</v>
      </c>
      <c r="D71" t="str">
        <f>IFERROR(INDEX(TBBP[],$C71,1),"SEM DADOS")</f>
        <v>2.1.1.8</v>
      </c>
      <c r="E71" s="17" t="str">
        <f>IFERROR(INDEX(TBBP[],$C71,2),"SEM DADOS")</f>
        <v>Adiantamento Terceiros</v>
      </c>
      <c r="F71" s="24">
        <f>IFERROR(INDEX(TBBP[],$C71,F$8),"SEM DADOS")</f>
        <v>7411714.0499999998</v>
      </c>
      <c r="G71" s="25">
        <f t="shared" si="6"/>
        <v>-6.5683993582784277</v>
      </c>
      <c r="H71" s="24">
        <f>IFERROR(INDEX(TBBP[],$C71,H$8),"SEM DADOS")</f>
        <v>7125334.3600000003</v>
      </c>
      <c r="I71" s="25">
        <f t="shared" si="7"/>
        <v>-6.1742950914950336</v>
      </c>
      <c r="J71" s="24">
        <f>IFERROR(INDEX(TBBP[],$C71,J$8),"SEM DADOS")</f>
        <v>7125334.3600000003</v>
      </c>
      <c r="K71" s="25">
        <f t="shared" si="8"/>
        <v>-6.1742950914950336</v>
      </c>
      <c r="L71" s="24">
        <f>IFERROR(INDEX(TBBP[],$C71,L$8),"SEM DADOS")</f>
        <v>6857881.0999999996</v>
      </c>
      <c r="M71" s="25">
        <f t="shared" si="9"/>
        <v>-5.8094027618640469</v>
      </c>
    </row>
    <row r="72" spans="3:13" ht="15" thickBot="1" x14ac:dyDescent="0.35">
      <c r="C72">
        <f t="shared" si="5"/>
        <v>77</v>
      </c>
      <c r="D72" t="str">
        <f>IFERROR(INDEX(TBBP[],$C72,1),"SEM DADOS")</f>
        <v>2.1.SEM CONTA</v>
      </c>
      <c r="E72" s="162" t="str">
        <f>IFERROR(INDEX(TBBP[],$C72,2),"SEM DADOS")</f>
        <v>Outras Contas</v>
      </c>
      <c r="F72" s="163">
        <f>IFERROR(INDEX(TBBP[],$C72,F$8),"SEM DADOS")</f>
        <v>0</v>
      </c>
      <c r="G72" s="164">
        <f t="shared" si="6"/>
        <v>0</v>
      </c>
      <c r="H72" s="163">
        <f>IFERROR(INDEX(TBBP[],$C72,H$8),"SEM DADOS")</f>
        <v>0</v>
      </c>
      <c r="I72" s="164">
        <f t="shared" si="7"/>
        <v>0</v>
      </c>
      <c r="J72" s="163">
        <f>IFERROR(INDEX(TBBP[],$C72,J$8),"SEM DADOS")</f>
        <v>0</v>
      </c>
      <c r="K72" s="164">
        <f t="shared" si="8"/>
        <v>0</v>
      </c>
      <c r="L72" s="163">
        <f>IFERROR(INDEX(TBBP[],$C72,L$8),"SEM DADOS")</f>
        <v>0</v>
      </c>
      <c r="M72" s="164">
        <f t="shared" si="9"/>
        <v>0</v>
      </c>
    </row>
    <row r="73" spans="3:13" ht="15" thickTop="1" x14ac:dyDescent="0.3">
      <c r="C73">
        <f t="shared" si="5"/>
        <v>78</v>
      </c>
      <c r="D73" t="str">
        <f>IFERROR(INDEX(TBBP[],$C73,1),"SEM DADOS")</f>
        <v>2.3</v>
      </c>
      <c r="E73" s="17" t="str">
        <f>IFERROR(INDEX(TBBP[],$C73,2),"SEM DADOS")</f>
        <v>PASSIVO NAO CIRCULANTE</v>
      </c>
      <c r="F73" s="24">
        <f>IFERROR(INDEX(TBBP[],$C73,F$8),"SEM DADOS")</f>
        <v>13131709.02</v>
      </c>
      <c r="G73" s="25">
        <f t="shared" si="6"/>
        <v>-11.637565685641507</v>
      </c>
      <c r="H73" s="24">
        <f>IFERROR(INDEX(TBBP[],$C73,H$8),"SEM DADOS")</f>
        <v>21328840.109999999</v>
      </c>
      <c r="I73" s="25">
        <f t="shared" si="7"/>
        <v>-18.482017284372798</v>
      </c>
      <c r="J73" s="24">
        <f>IFERROR(INDEX(TBBP[],$C73,J$8),"SEM DADOS")</f>
        <v>21328840.109999999</v>
      </c>
      <c r="K73" s="25">
        <f t="shared" si="8"/>
        <v>-18.482017284372798</v>
      </c>
      <c r="L73" s="24">
        <f>IFERROR(INDEX(TBBP[],$C73,L$8),"SEM DADOS")</f>
        <v>20441060.41</v>
      </c>
      <c r="M73" s="25">
        <f t="shared" si="9"/>
        <v>-17.315895546991012</v>
      </c>
    </row>
    <row r="74" spans="3:13" x14ac:dyDescent="0.3">
      <c r="C74">
        <f t="shared" si="5"/>
        <v>79</v>
      </c>
      <c r="D74" t="str">
        <f>IFERROR(INDEX(TBBP[],$C74,1),"SEM DADOS")</f>
        <v>2.3.1</v>
      </c>
      <c r="E74" s="17" t="str">
        <f>IFERROR(INDEX(TBBP[],$C74,2),"SEM DADOS")</f>
        <v>Emprestimos de Terceiros LP</v>
      </c>
      <c r="F74" s="24">
        <f>IFERROR(INDEX(TBBP[],$C74,F$8),"SEM DADOS")</f>
        <v>13131709.02</v>
      </c>
      <c r="G74" s="25">
        <f t="shared" si="6"/>
        <v>-11.637565685641507</v>
      </c>
      <c r="H74" s="24">
        <f>IFERROR(INDEX(TBBP[],$C74,H$8),"SEM DADOS")</f>
        <v>13315240.109999999</v>
      </c>
      <c r="I74" s="25">
        <f t="shared" si="7"/>
        <v>-11.538015972242849</v>
      </c>
      <c r="J74" s="24">
        <f>IFERROR(INDEX(TBBP[],$C74,J$8),"SEM DADOS")</f>
        <v>13315240.109999999</v>
      </c>
      <c r="K74" s="25">
        <f t="shared" si="8"/>
        <v>-11.538015972242849</v>
      </c>
      <c r="L74" s="24">
        <f>IFERROR(INDEX(TBBP[],$C74,L$8),"SEM DADOS")</f>
        <v>12427460.41</v>
      </c>
      <c r="M74" s="25">
        <f t="shared" si="9"/>
        <v>-10.527467854292501</v>
      </c>
    </row>
    <row r="75" spans="3:13" x14ac:dyDescent="0.3">
      <c r="C75">
        <f t="shared" si="5"/>
        <v>80</v>
      </c>
      <c r="D75" t="str">
        <f>IFERROR(INDEX(TBBP[],$C75,1),"SEM DADOS")</f>
        <v>2.SEM CONTA</v>
      </c>
      <c r="E75" s="17" t="str">
        <f>IFERROR(INDEX(TBBP[],$C75,2),"SEM DADOS")</f>
        <v>Fornecedores Nacionais LP</v>
      </c>
      <c r="F75" s="24">
        <f>IFERROR(INDEX(TBBP[],$C75,F$8),"SEM DADOS")</f>
        <v>0</v>
      </c>
      <c r="G75" s="25">
        <f t="shared" si="6"/>
        <v>0</v>
      </c>
      <c r="H75" s="24">
        <f>IFERROR(INDEX(TBBP[],$C75,H$8),"SEM DADOS")</f>
        <v>0</v>
      </c>
      <c r="I75" s="25">
        <f t="shared" si="7"/>
        <v>0</v>
      </c>
      <c r="J75" s="24">
        <f>IFERROR(INDEX(TBBP[],$C75,J$8),"SEM DADOS")</f>
        <v>0</v>
      </c>
      <c r="K75" s="25">
        <f t="shared" si="8"/>
        <v>0</v>
      </c>
      <c r="L75" s="24">
        <f>IFERROR(INDEX(TBBP[],$C75,L$8),"SEM DADOS")</f>
        <v>0</v>
      </c>
      <c r="M75" s="25">
        <f t="shared" si="9"/>
        <v>0</v>
      </c>
    </row>
    <row r="76" spans="3:13" x14ac:dyDescent="0.3">
      <c r="C76">
        <f t="shared" si="5"/>
        <v>81</v>
      </c>
      <c r="D76" t="str">
        <f>IFERROR(INDEX(TBBP[],$C76,1),"SEM DADOS")</f>
        <v>2.3.6.1</v>
      </c>
      <c r="E76" s="159" t="str">
        <f>IFERROR(INDEX(TBBP[],$C76,2),"SEM DADOS")</f>
        <v>Dividendos Longo Prazo</v>
      </c>
      <c r="F76" s="160">
        <f>IFERROR(INDEX(TBBP[],$C76,F$8),"SEM DADOS")</f>
        <v>0</v>
      </c>
      <c r="G76" s="161">
        <f t="shared" si="6"/>
        <v>0</v>
      </c>
      <c r="H76" s="160">
        <f>IFERROR(INDEX(TBBP[],$C76,H$8),"SEM DADOS")</f>
        <v>8013600</v>
      </c>
      <c r="I76" s="161">
        <f t="shared" si="7"/>
        <v>-6.9440013121299469</v>
      </c>
      <c r="J76" s="160">
        <f>IFERROR(INDEX(TBBP[],$C76,J$8),"SEM DADOS")</f>
        <v>8013600</v>
      </c>
      <c r="K76" s="161">
        <f t="shared" si="8"/>
        <v>-6.9440013121299469</v>
      </c>
      <c r="L76" s="160">
        <f>IFERROR(INDEX(TBBP[],$C76,L$8),"SEM DADOS")</f>
        <v>8013600</v>
      </c>
      <c r="M76" s="161">
        <f t="shared" si="9"/>
        <v>-6.7884276926985114</v>
      </c>
    </row>
    <row r="77" spans="3:13" x14ac:dyDescent="0.3">
      <c r="C77">
        <f t="shared" si="5"/>
        <v>82</v>
      </c>
      <c r="D77" t="str">
        <f>IFERROR(INDEX(TBBP[],$C77,1),"SEM DADOS")</f>
        <v>2.9</v>
      </c>
      <c r="E77" s="17" t="str">
        <f>IFERROR(INDEX(TBBP[],$C77,2),"SEM DADOS")</f>
        <v>PATRIMONIO LIQUIDO</v>
      </c>
      <c r="F77" s="24">
        <f>IFERROR(INDEX(TBBP[],$C77,F$8),"SEM DADOS")</f>
        <v>92562076.316100001</v>
      </c>
      <c r="G77" s="25">
        <f t="shared" si="6"/>
        <v>-82.030240046240067</v>
      </c>
      <c r="H77" s="24">
        <f>IFERROR(INDEX(TBBP[],$C77,H$8),"SEM DADOS")</f>
        <v>78291799.752900004</v>
      </c>
      <c r="I77" s="25">
        <f t="shared" si="7"/>
        <v>-67.841963688373852</v>
      </c>
      <c r="J77" s="24">
        <f>IFERROR(INDEX(TBBP[],$C77,J$8),"SEM DADOS")</f>
        <v>78291799.75</v>
      </c>
      <c r="K77" s="25">
        <f t="shared" si="8"/>
        <v>-67.841963685860918</v>
      </c>
      <c r="L77" s="24">
        <f>IFERROR(INDEX(TBBP[],$C77,L$8),"SEM DADOS")</f>
        <v>79103422.259200007</v>
      </c>
      <c r="M77" s="25">
        <f t="shared" si="9"/>
        <v>-67.009566518365915</v>
      </c>
    </row>
    <row r="78" spans="3:13" x14ac:dyDescent="0.3">
      <c r="C78">
        <f t="shared" si="5"/>
        <v>83</v>
      </c>
      <c r="D78" t="str">
        <f>IFERROR(INDEX(TBBP[],$C78,1),"SEM DADOS")</f>
        <v>2.9.1</v>
      </c>
      <c r="E78" s="17" t="str">
        <f>IFERROR(INDEX(TBBP[],$C78,2),"SEM DADOS")</f>
        <v>Capital Social</v>
      </c>
      <c r="F78" s="24">
        <f>IFERROR(INDEX(TBBP[],$C78,F$8),"SEM DADOS")</f>
        <v>1000000</v>
      </c>
      <c r="G78" s="25">
        <f t="shared" si="6"/>
        <v>-0.88621866871380817</v>
      </c>
      <c r="H78" s="24">
        <f>IFERROR(INDEX(TBBP[],$C78,H$8),"SEM DADOS")</f>
        <v>1000000</v>
      </c>
      <c r="I78" s="25">
        <f t="shared" si="7"/>
        <v>-0.86652706800064228</v>
      </c>
      <c r="J78" s="24">
        <f>IFERROR(INDEX(TBBP[],$C78,J$8),"SEM DADOS")</f>
        <v>1000000</v>
      </c>
      <c r="K78" s="25">
        <f t="shared" si="8"/>
        <v>-0.86652706800064228</v>
      </c>
      <c r="L78" s="24">
        <f>IFERROR(INDEX(TBBP[],$C78,L$8),"SEM DADOS")</f>
        <v>1000000</v>
      </c>
      <c r="M78" s="25">
        <f t="shared" si="9"/>
        <v>-0.84711336886025146</v>
      </c>
    </row>
    <row r="79" spans="3:13" x14ac:dyDescent="0.3">
      <c r="C79">
        <f t="shared" si="5"/>
        <v>84</v>
      </c>
      <c r="D79" t="str">
        <f>IFERROR(INDEX(TBBP[],$C79,1),"SEM DADOS")</f>
        <v>2.SEM CONTA</v>
      </c>
      <c r="E79" s="17" t="str">
        <f>IFERROR(INDEX(TBBP[],$C79,2),"SEM DADOS")</f>
        <v>Reservas de Capital</v>
      </c>
      <c r="F79" s="24">
        <f>IFERROR(INDEX(TBBP[],$C79,F$8),"SEM DADOS")</f>
        <v>0</v>
      </c>
      <c r="G79" s="25">
        <f t="shared" si="6"/>
        <v>0</v>
      </c>
      <c r="H79" s="24">
        <f>IFERROR(INDEX(TBBP[],$C79,H$8),"SEM DADOS")</f>
        <v>0</v>
      </c>
      <c r="I79" s="25">
        <f t="shared" si="7"/>
        <v>0</v>
      </c>
      <c r="J79" s="24">
        <f>IFERROR(INDEX(TBBP[],$C79,J$8),"SEM DADOS")</f>
        <v>0</v>
      </c>
      <c r="K79" s="25">
        <f t="shared" si="8"/>
        <v>0</v>
      </c>
      <c r="L79" s="24">
        <f>IFERROR(INDEX(TBBP[],$C79,L$8),"SEM DADOS")</f>
        <v>0</v>
      </c>
      <c r="M79" s="25">
        <f t="shared" si="9"/>
        <v>0</v>
      </c>
    </row>
    <row r="80" spans="3:13" x14ac:dyDescent="0.3">
      <c r="C80">
        <f t="shared" si="5"/>
        <v>85</v>
      </c>
      <c r="D80" t="str">
        <f>IFERROR(INDEX(TBBP[],$C80,1),"SEM DADOS")</f>
        <v>2.9.4.1.01.00001</v>
      </c>
      <c r="E80" s="17" t="str">
        <f>IFERROR(INDEX(TBBP[],$C80,2),"SEM DADOS")</f>
        <v>Reserva de Lucros</v>
      </c>
      <c r="F80" s="24">
        <f>IFERROR(INDEX(TBBP[],$C80,F$8),"SEM DADOS")</f>
        <v>84034056.890000001</v>
      </c>
      <c r="G80" s="25">
        <f t="shared" si="6"/>
        <v>-74.47255002367622</v>
      </c>
      <c r="H80" s="24">
        <f>IFERROR(INDEX(TBBP[],$C80,H$8),"SEM DADOS")</f>
        <v>67787167.920000002</v>
      </c>
      <c r="I80" s="25">
        <f t="shared" si="7"/>
        <v>-58.7394158657848</v>
      </c>
      <c r="J80" s="24">
        <f>IFERROR(INDEX(TBBP[],$C80,J$8),"SEM DADOS")</f>
        <v>77291799.75</v>
      </c>
      <c r="K80" s="25">
        <f t="shared" si="8"/>
        <v>-66.975436617860282</v>
      </c>
      <c r="L80" s="24">
        <f>IFERROR(INDEX(TBBP[],$C80,L$8),"SEM DADOS")</f>
        <v>77291799.75</v>
      </c>
      <c r="M80" s="25">
        <f t="shared" si="9"/>
        <v>-65.474916871494443</v>
      </c>
    </row>
    <row r="81" spans="3:13" x14ac:dyDescent="0.3">
      <c r="C81">
        <f t="shared" si="5"/>
        <v>86</v>
      </c>
      <c r="D81" t="str">
        <f>IFERROR(INDEX(TBBP[],$C81,1),"SEM DADOS")</f>
        <v>2.9.8.1.01.00002</v>
      </c>
      <c r="E81" s="17" t="str">
        <f>IFERROR(INDEX(TBBP[],$C81,2),"SEM DADOS")</f>
        <v>Lucros Acumulados</v>
      </c>
      <c r="F81" s="24">
        <f>IFERROR(INDEX(TBBP[],$C81,F$8),"SEM DADOS")</f>
        <v>0</v>
      </c>
      <c r="G81" s="25">
        <f t="shared" si="6"/>
        <v>0</v>
      </c>
      <c r="H81" s="24">
        <f>IFERROR(INDEX(TBBP[],$C81,H$8),"SEM DADOS")</f>
        <v>0</v>
      </c>
      <c r="I81" s="25">
        <f t="shared" si="7"/>
        <v>0</v>
      </c>
      <c r="J81" s="24">
        <f>IFERROR(INDEX(TBBP[],$C81,J$8),"SEM DADOS")</f>
        <v>0</v>
      </c>
      <c r="K81" s="25">
        <f t="shared" si="8"/>
        <v>0</v>
      </c>
      <c r="L81" s="24">
        <f>IFERROR(INDEX(TBBP[],$C81,L$8),"SEM DADOS")</f>
        <v>0</v>
      </c>
      <c r="M81" s="25">
        <f t="shared" si="9"/>
        <v>0</v>
      </c>
    </row>
    <row r="82" spans="3:13" x14ac:dyDescent="0.3">
      <c r="C82">
        <f t="shared" si="5"/>
        <v>87</v>
      </c>
      <c r="D82" t="str">
        <f>IFERROR(INDEX(TBBP[],$C82,1),"SEM DADOS")</f>
        <v>2.9.8.1.01.00007</v>
      </c>
      <c r="E82" s="17" t="str">
        <f>IFERROR(INDEX(TBBP[],$C82,2),"SEM DADOS")</f>
        <v>Ajustes Exercicios Anteriores</v>
      </c>
      <c r="F82" s="24">
        <f>IFERROR(INDEX(TBBP[],$C82,F$8),"SEM DADOS")</f>
        <v>-148258.67000000001</v>
      </c>
      <c r="G82" s="25">
        <f t="shared" si="6"/>
        <v>0.13138960115267984</v>
      </c>
      <c r="H82" s="24">
        <f>IFERROR(INDEX(TBBP[],$C82,H$8),"SEM DADOS")</f>
        <v>-148258.67000000001</v>
      </c>
      <c r="I82" s="25">
        <f t="shared" si="7"/>
        <v>0.1284701506207748</v>
      </c>
      <c r="J82" s="24">
        <f>IFERROR(INDEX(TBBP[],$C82,J$8),"SEM DADOS")</f>
        <v>0</v>
      </c>
      <c r="K82" s="25">
        <f t="shared" si="8"/>
        <v>0</v>
      </c>
      <c r="L82" s="24">
        <f>IFERROR(INDEX(TBBP[],$C82,L$8),"SEM DADOS")</f>
        <v>0</v>
      </c>
      <c r="M82" s="25">
        <f t="shared" si="9"/>
        <v>0</v>
      </c>
    </row>
    <row r="83" spans="3:13" x14ac:dyDescent="0.3">
      <c r="C83">
        <f t="shared" si="5"/>
        <v>88</v>
      </c>
      <c r="D83" t="str">
        <f>IFERROR(INDEX(TBBP[],$C83,1),"SEM DADOS")</f>
        <v>2.9.9.1.01.00900</v>
      </c>
      <c r="E83" s="17" t="str">
        <f>IFERROR(INDEX(TBBP[],$C83,2),"SEM DADOS")</f>
        <v>Lucro do Exercício</v>
      </c>
      <c r="F83" s="24">
        <f>IFERROR(INDEX(TBBP[],$C83,F$8),"SEM DADOS")</f>
        <v>9543847.4060999975</v>
      </c>
      <c r="G83" s="25">
        <f t="shared" si="6"/>
        <v>-8.4579357426416717</v>
      </c>
      <c r="H83" s="24">
        <f>IFERROR(INDEX(TBBP[],$C83,H$8),"SEM DADOS")</f>
        <v>9652890.5028999969</v>
      </c>
      <c r="I83" s="25">
        <f t="shared" si="7"/>
        <v>-8.3644909052091805</v>
      </c>
      <c r="J83" s="24">
        <f>IFERROR(INDEX(TBBP[],$C83,J$8),"SEM DADOS")</f>
        <v>0</v>
      </c>
      <c r="K83" s="25">
        <f t="shared" si="8"/>
        <v>0</v>
      </c>
      <c r="L83" s="24">
        <f>IFERROR(INDEX(TBBP[],$C83,L$8),"SEM DADOS")</f>
        <v>811622.50919999939</v>
      </c>
      <c r="M83" s="25">
        <f t="shared" si="9"/>
        <v>-0.68753627801122197</v>
      </c>
    </row>
  </sheetData>
  <sheetProtection selectLockedCells="1" selectUnlockedCells="1"/>
  <mergeCells count="1">
    <mergeCell ref="E5:M6"/>
  </mergeCells>
  <pageMargins left="0.25" right="0.25" top="0.75" bottom="0.75" header="0.3" footer="0.3"/>
  <pageSetup paperSize="9" scale="4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croll Bar 2">
              <controlPr defaultSize="0" autoPict="0">
                <anchor>
                  <from>
                    <xdr:col>3</xdr:col>
                    <xdr:colOff>1127760</xdr:colOff>
                    <xdr:row>6</xdr:row>
                    <xdr:rowOff>45720</xdr:rowOff>
                  </from>
                  <to>
                    <xdr:col>13</xdr:col>
                    <xdr:colOff>7620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4C881-E6EA-4ECA-B0A2-4E6AFEBC5EED}">
  <sheetPr codeName="Planilha12">
    <pageSetUpPr autoPageBreaks="0" fitToPage="1"/>
  </sheetPr>
  <dimension ref="A1:M86"/>
  <sheetViews>
    <sheetView showGridLines="0" showRowColHeaders="0" zoomScale="69" zoomScaleNormal="69" workbookViewId="0">
      <pane xSplit="3" ySplit="9" topLeftCell="D10" activePane="bottomRight" state="frozen"/>
      <selection activeCell="O7" sqref="O7"/>
      <selection pane="topRight" activeCell="O7" sqref="O7"/>
      <selection pane="bottomLeft" activeCell="O7" sqref="O7"/>
      <selection pane="bottomRight"/>
    </sheetView>
  </sheetViews>
  <sheetFormatPr defaultRowHeight="14.4" x14ac:dyDescent="0.3"/>
  <cols>
    <col min="1" max="1" width="15.88671875" hidden="1" customWidth="1"/>
    <col min="2" max="3" width="9.109375" hidden="1" customWidth="1"/>
    <col min="4" max="4" width="16.6640625" hidden="1" customWidth="1"/>
    <col min="5" max="5" width="54.109375" bestFit="1" customWidth="1"/>
    <col min="6" max="6" width="25.6640625" style="7" customWidth="1"/>
    <col min="7" max="7" width="12" style="7" bestFit="1" customWidth="1"/>
    <col min="8" max="8" width="25.6640625" style="7" customWidth="1"/>
    <col min="9" max="9" width="15.5546875" style="7" bestFit="1" customWidth="1"/>
    <col min="10" max="10" width="25.6640625" style="7" customWidth="1"/>
    <col min="11" max="11" width="11.5546875" style="7" bestFit="1" customWidth="1"/>
    <col min="12" max="12" width="20.6640625" style="7" customWidth="1"/>
    <col min="13" max="13" width="20.6640625" style="2" customWidth="1"/>
    <col min="14" max="14" width="9.33203125" bestFit="1" customWidth="1"/>
    <col min="15" max="15" width="12.33203125" bestFit="1" customWidth="1"/>
    <col min="16" max="20" width="9.33203125" bestFit="1" customWidth="1"/>
    <col min="21" max="21" width="16.88671875" bestFit="1" customWidth="1"/>
  </cols>
  <sheetData>
    <row r="1" spans="1:13" ht="7.5" customHeight="1" x14ac:dyDescent="0.3"/>
    <row r="2" spans="1:13" s="48" customFormat="1" ht="37.5" customHeight="1" x14ac:dyDescent="0.3">
      <c r="A2" s="48">
        <f ca="1">NOW()</f>
        <v>46240.707701736108</v>
      </c>
      <c r="F2" s="51"/>
      <c r="G2" s="51"/>
      <c r="H2" s="51"/>
      <c r="I2" s="51"/>
      <c r="J2" s="51"/>
      <c r="K2" s="51"/>
      <c r="L2" s="51"/>
      <c r="M2" s="52"/>
    </row>
    <row r="5" spans="1:13" ht="15" customHeight="1" x14ac:dyDescent="0.3">
      <c r="E5" s="261" t="s">
        <v>957</v>
      </c>
      <c r="F5" s="261"/>
      <c r="G5" s="261"/>
      <c r="H5" s="261"/>
      <c r="I5" s="261"/>
      <c r="J5" s="261"/>
      <c r="K5" s="261"/>
      <c r="L5" s="261"/>
      <c r="M5" s="261"/>
    </row>
    <row r="6" spans="1:13" ht="15" customHeight="1" x14ac:dyDescent="0.3">
      <c r="E6" s="261"/>
      <c r="F6" s="261"/>
      <c r="G6" s="261"/>
      <c r="H6" s="261"/>
      <c r="I6" s="261"/>
      <c r="J6" s="261"/>
      <c r="K6" s="261"/>
      <c r="L6" s="261"/>
      <c r="M6" s="261"/>
    </row>
    <row r="7" spans="1:13" ht="15" customHeight="1" x14ac:dyDescent="0.3">
      <c r="F7"/>
      <c r="G7"/>
      <c r="H7"/>
      <c r="I7"/>
      <c r="J7"/>
      <c r="K7"/>
      <c r="L7"/>
    </row>
    <row r="8" spans="1:13" s="6" customFormat="1" ht="15" customHeight="1" x14ac:dyDescent="0.3">
      <c r="A8"/>
      <c r="B8"/>
      <c r="C8"/>
      <c r="D8"/>
      <c r="E8" s="6">
        <f>IF(F8=20,21,IF(F8=33,34,IF(F8=46,47,IF(F8=59,60,IF(F8=72,73,IF(F8=85,86,F8))))))</f>
        <v>84</v>
      </c>
      <c r="F8" s="44">
        <v>84</v>
      </c>
      <c r="H8" s="6">
        <f>E8+13</f>
        <v>97</v>
      </c>
      <c r="J8" s="6">
        <f>H8+13</f>
        <v>110</v>
      </c>
      <c r="M8" s="39"/>
    </row>
    <row r="9" spans="1:13" ht="15" thickBot="1" x14ac:dyDescent="0.35">
      <c r="C9">
        <v>1</v>
      </c>
      <c r="D9" s="166" t="str">
        <f>IFERROR(INDEX(TBBP[],$C9,1),"SEM DADOS")</f>
        <v>CONTA CONTABIL</v>
      </c>
      <c r="E9" s="20" t="str">
        <f>IFERROR(INDEX(TBBP[],$C9,2),"SEM DADOS")</f>
        <v>DESCRIÇÃO</v>
      </c>
      <c r="F9" s="20" t="str">
        <f>IFERROR(VLOOKUP(MONTH(IFERROR(IF(INDEX(TBBP[],$C9,E$8)&gt;3000,INDEX(TBBP[],$C9,E$8),),"SEM DADOS")),LISTATRIMESTRE,2,0)&amp;"º TRIMESTRE "&amp;YEAR((IFERROR(IF(INDEX(TBBP[],$C9,E$8)&gt;3000,INDEX(TBBP[],$C9,E$8),),"SEM DADOS"))),"PERIODO SEM DADOS")</f>
        <v>4º TRIMESTRE 2023</v>
      </c>
      <c r="G9" s="21" t="s">
        <v>248</v>
      </c>
      <c r="H9" s="20" t="str">
        <f>IFERROR(VLOOKUP(MONTH(IFERROR(IF(INDEX(TBBP[],$C9,H$8)&gt;3000,INDEX(TBBP[],$C9,H$8),),"SEM DADOS")),LISTATRIMESTRE,2,0)&amp;"º TRIMESTRE "&amp;YEAR((IFERROR(IF(INDEX(TBBP[],$C9,H$8)&gt;3000,INDEX(TBBP[],$C9,H$8),),"SEM DADOS"))),"PERIODO SEM DADOS")</f>
        <v>4º TRIMESTRE 2024</v>
      </c>
      <c r="I9" s="21" t="s">
        <v>248</v>
      </c>
      <c r="J9" s="20" t="str">
        <f>IFERROR(VLOOKUP(MONTH(IFERROR(IF(INDEX(TBBP[],$C9,J$8)&gt;3000,INDEX(TBBP[],$C9,J$8),),"SEM DADOS")),LISTATRIMESTRE,2,0)&amp;"º TRIMESTRE "&amp;YEAR((IFERROR(IF(INDEX(TBBP[],$C9,J$8)&gt;3000,INDEX(TBBP[],$C9,J$8),),"SEM DADOS"))),"PERIODO SEM DADOS")</f>
        <v>4º TRIMESTRE 2025</v>
      </c>
      <c r="K9" s="21" t="s">
        <v>248</v>
      </c>
      <c r="L9" s="20" t="str">
        <f>IFERROR(YEAR(INDEX(TBBP[],$C9,F$8))&amp;"-"&amp;YEAR(INDEX(TBBP[],$C9,$H$8)),"PERIODO SEM DADOS")</f>
        <v>2023-2024</v>
      </c>
      <c r="M9" s="21" t="str">
        <f>IFERROR(YEAR(INDEX(TBBP[],$C9,H$8))&amp;"-"&amp;YEAR(INDEX(TBBP[],$C9,$J$8)),"PERIODO SEM DADOS")</f>
        <v>2024-2025</v>
      </c>
    </row>
    <row r="10" spans="1:13" ht="15" thickTop="1" x14ac:dyDescent="0.3">
      <c r="C10">
        <v>2</v>
      </c>
      <c r="D10" t="str">
        <f>IFERROR(INDEX(TBBP[],$C10,1),"SEM DADOS")</f>
        <v>1</v>
      </c>
      <c r="E10" s="159" t="str">
        <f>IFERROR(INDEX(TBBP[],$C10,2),"SEM DADOS")</f>
        <v>ATIVO</v>
      </c>
      <c r="F10" s="160">
        <f>IFERROR((INDEX(TBBP[],$C10,E$8)),"SEM DADOS")</f>
        <v>93839012.410000011</v>
      </c>
      <c r="G10" s="161">
        <f>IFERROR(IF(MID(D10,1,1)="1",F10/$F$10,IF(MID(D10,1,1)="2",F10/$F$59,)),"SEM DADOS")</f>
        <v>1</v>
      </c>
      <c r="H10" s="160">
        <f>IFERROR(INDEX(TBBP[],$C10,H$8),"SEM DADOS")</f>
        <v>135904935.95999998</v>
      </c>
      <c r="I10" s="161">
        <f>IFERROR(IF(MID(D10,1,1)="1",H10/$H$10,IF(MID(D10,1,1)="2",H10/$H$59,)),"SEM DADOS")</f>
        <v>1</v>
      </c>
      <c r="J10" s="160">
        <f>IFERROR(INDEX(TBBP[],$C10,J$8),"SEM DADOS")</f>
        <v>133431095.73999998</v>
      </c>
      <c r="K10" s="161">
        <f>IFERROR(IF(MID(D10,1,1)="1",J10/$J$10,IF(MID(D10,1,1)="2",J10/$J$59,)),"SEM DADOS")</f>
        <v>1</v>
      </c>
      <c r="L10" s="235">
        <f t="shared" ref="L10:L15" si="0">IF(AND(F10=0,H10&lt;&gt;0),1,IFERROR((H10/F10)-1,0))</f>
        <v>0.44827756036270028</v>
      </c>
      <c r="M10" s="235">
        <f>IF(AND(H10=0,J10&lt;&gt;0),1,IFERROR((J10/H10)-1,0))</f>
        <v>-1.8202725328005043E-2</v>
      </c>
    </row>
    <row r="11" spans="1:13" ht="15" thickBot="1" x14ac:dyDescent="0.35">
      <c r="C11">
        <f t="shared" ref="C11:C74" si="1">C10+1</f>
        <v>3</v>
      </c>
      <c r="D11" t="str">
        <f>IFERROR(INDEX(TBBP[],$C11,1),"SEM DADOS")</f>
        <v>1.1</v>
      </c>
      <c r="E11" s="165" t="str">
        <f>IFERROR(INDEX(TBBP[],$C11,2),"SEM DADOS")</f>
        <v>ATIVO CIRCULANTE</v>
      </c>
      <c r="F11" s="163">
        <f>IFERROR((INDEX(TBBP[],$C11,E$8)),"SEM DADOS")</f>
        <v>82221106.400000006</v>
      </c>
      <c r="G11" s="164">
        <f t="shared" ref="G11:G74" si="2">IFERROR(IF(MID(D11,1,1)="1",F11/$F$10,IF(MID(D11,1,1)="2",F11/$F$59,)),"SEM DADOS")</f>
        <v>0.87619321951898621</v>
      </c>
      <c r="H11" s="163">
        <f>IFERROR(INDEX(TBBP[],$C11,H$8),"SEM DADOS")</f>
        <v>118785452.31999998</v>
      </c>
      <c r="I11" s="164">
        <f t="shared" ref="I11:I74" si="3">IFERROR(IF(MID(D11,1,1)="1",H11/$H$10,IF(MID(D11,1,1)="2",H11/$H$59,)),"SEM DADOS")</f>
        <v>0.8740333931282771</v>
      </c>
      <c r="J11" s="163">
        <f>IFERROR(INDEX(TBBP[],$C11,J$8),"SEM DADOS")</f>
        <v>117163636.10999998</v>
      </c>
      <c r="K11" s="164">
        <f t="shared" ref="K11:K74" si="4">IFERROR(IF(MID(D11,1,1)="1",J11/$J$10,IF(MID(D11,1,1)="2",J11/$J$59,)),"SEM DADOS")</f>
        <v>0.87808344419431061</v>
      </c>
      <c r="L11" s="236">
        <f t="shared" si="0"/>
        <v>0.44470753947431652</v>
      </c>
      <c r="M11" s="236">
        <f t="shared" ref="M11:M74" si="5">IF(AND(H11=0,J11&lt;&gt;0),1,IFERROR((J11/H11)-1,0))</f>
        <v>-1.3653323520046334E-2</v>
      </c>
    </row>
    <row r="12" spans="1:13" ht="15" thickTop="1" x14ac:dyDescent="0.3">
      <c r="C12">
        <f t="shared" si="1"/>
        <v>4</v>
      </c>
      <c r="D12" t="str">
        <f>IFERROR(INDEX(TBBP[],$C12,1),"SEM DADOS")</f>
        <v>1.1.1.1</v>
      </c>
      <c r="E12" s="17" t="str">
        <f>IFERROR(INDEX(TBBP[],$C12,2),"SEM DADOS")</f>
        <v>Caixa e Bancos</v>
      </c>
      <c r="F12" s="24">
        <f>IFERROR((INDEX(TBBP[],$C12,E$8)),"SEM DADOS")</f>
        <v>2541493.4500000002</v>
      </c>
      <c r="G12" s="25">
        <f t="shared" si="2"/>
        <v>2.7083548566088324E-2</v>
      </c>
      <c r="H12" s="24">
        <f>IFERROR(INDEX(TBBP[],$C12,H$8),"SEM DADOS")</f>
        <v>2426067.64</v>
      </c>
      <c r="I12" s="25">
        <f t="shared" si="3"/>
        <v>1.785121064855252E-2</v>
      </c>
      <c r="J12" s="24">
        <f>IFERROR(INDEX(TBBP[],$C12,J$8),"SEM DADOS")</f>
        <v>2585574.63</v>
      </c>
      <c r="K12" s="25">
        <f t="shared" si="4"/>
        <v>1.9377601717654905E-2</v>
      </c>
      <c r="L12" s="90">
        <f t="shared" si="0"/>
        <v>-4.5416528616274876E-2</v>
      </c>
      <c r="M12" s="90">
        <f t="shared" si="5"/>
        <v>6.5747132260500329E-2</v>
      </c>
    </row>
    <row r="13" spans="1:13" x14ac:dyDescent="0.3">
      <c r="C13">
        <f t="shared" si="1"/>
        <v>5</v>
      </c>
      <c r="D13" t="str">
        <f>IFERROR(INDEX(TBBP[],$C13,1),"SEM DADOS")</f>
        <v>1.1.1.2</v>
      </c>
      <c r="E13" s="17" t="str">
        <f>IFERROR(INDEX(TBBP[],$C13,2),"SEM DADOS")</f>
        <v>Aplicacoes Financeiras</v>
      </c>
      <c r="F13" s="24">
        <f>IFERROR((INDEX(TBBP[],$C13,E$8)),"SEM DADOS")</f>
        <v>11668974.57</v>
      </c>
      <c r="G13" s="25">
        <f t="shared" si="2"/>
        <v>0.12435099507458679</v>
      </c>
      <c r="H13" s="24">
        <f>IFERROR(INDEX(TBBP[],$C13,H$8),"SEM DADOS")</f>
        <v>18332604.77</v>
      </c>
      <c r="I13" s="25">
        <f t="shared" si="3"/>
        <v>0.13489285463035514</v>
      </c>
      <c r="J13" s="24">
        <f>IFERROR(INDEX(TBBP[],$C13,J$8),"SEM DADOS")</f>
        <v>15184695.77</v>
      </c>
      <c r="K13" s="25">
        <f t="shared" si="4"/>
        <v>0.11380177675815886</v>
      </c>
      <c r="L13" s="90">
        <f t="shared" si="0"/>
        <v>0.57105533652731233</v>
      </c>
      <c r="M13" s="90">
        <f t="shared" si="5"/>
        <v>-0.17171095103470124</v>
      </c>
    </row>
    <row r="14" spans="1:13" x14ac:dyDescent="0.3">
      <c r="C14">
        <f t="shared" si="1"/>
        <v>6</v>
      </c>
      <c r="D14" t="str">
        <f>IFERROR(INDEX(TBBP[],$C14,1),"SEM DADOS")</f>
        <v>1.1.1.3.01</v>
      </c>
      <c r="E14" s="17" t="str">
        <f>IFERROR(INDEX(TBBP[],$C14,2),"SEM DADOS")</f>
        <v>Duplicatas a Receber</v>
      </c>
      <c r="F14" s="24">
        <f>IFERROR((INDEX(TBBP[],$C14,E$8)),"SEM DADOS")</f>
        <v>33491854.899999999</v>
      </c>
      <c r="G14" s="25">
        <f t="shared" si="2"/>
        <v>0.35690758075828727</v>
      </c>
      <c r="H14" s="24">
        <f>IFERROR(INDEX(TBBP[],$C14,H$8),"SEM DADOS")</f>
        <v>55243276.909999996</v>
      </c>
      <c r="I14" s="25">
        <f t="shared" si="3"/>
        <v>0.40648469843846874</v>
      </c>
      <c r="J14" s="24">
        <f>IFERROR(INDEX(TBBP[],$C14,J$8),"SEM DADOS")</f>
        <v>56771817.329999998</v>
      </c>
      <c r="K14" s="25">
        <f t="shared" si="4"/>
        <v>0.42547666280597696</v>
      </c>
      <c r="L14" s="90">
        <f t="shared" si="0"/>
        <v>0.64945408592463472</v>
      </c>
      <c r="M14" s="90">
        <f t="shared" si="5"/>
        <v>2.7669256885145321E-2</v>
      </c>
    </row>
    <row r="15" spans="1:13" x14ac:dyDescent="0.3">
      <c r="C15">
        <f>C14+1</f>
        <v>7</v>
      </c>
      <c r="D15" t="str">
        <f>IFERROR(INDEX(TBBP[],$C15,1),"SEM DADOS")</f>
        <v>1.1.1.3.03</v>
      </c>
      <c r="E15" s="17" t="str">
        <f>IFERROR(INDEX(TBBP[],$C15,2),"SEM DADOS")</f>
        <v>Clientes Exterior</v>
      </c>
      <c r="F15" s="24">
        <f>IFERROR((INDEX(TBBP[],$C15,E$8)),"SEM DADOS")</f>
        <v>1916323.91</v>
      </c>
      <c r="G15" s="25">
        <f t="shared" si="2"/>
        <v>2.0421398955343072E-2</v>
      </c>
      <c r="H15" s="24">
        <f>IFERROR(INDEX(TBBP[],$C15,H$8),"SEM DADOS")</f>
        <v>3844467.41</v>
      </c>
      <c r="I15" s="25">
        <f t="shared" si="3"/>
        <v>2.8287915982179761E-2</v>
      </c>
      <c r="J15" s="24">
        <f>IFERROR(INDEX(TBBP[],$C15,J$8),"SEM DADOS")</f>
        <v>7329165.9900000002</v>
      </c>
      <c r="K15" s="25">
        <f t="shared" si="4"/>
        <v>5.4928470379059194E-2</v>
      </c>
      <c r="L15" s="90">
        <f t="shared" si="0"/>
        <v>1.0061678456018432</v>
      </c>
      <c r="M15" s="90">
        <f t="shared" si="5"/>
        <v>0.90641907145208434</v>
      </c>
    </row>
    <row r="16" spans="1:13" x14ac:dyDescent="0.3">
      <c r="C16">
        <f t="shared" si="1"/>
        <v>8</v>
      </c>
      <c r="D16" t="str">
        <f>IFERROR(INDEX(TBBP[],$C16,1),"SEM DADOS")</f>
        <v>1.1.1.3.90</v>
      </c>
      <c r="E16" s="17" t="str">
        <f>IFERROR(INDEX(TBBP[],$C16,2),"SEM DADOS")</f>
        <v>(-)Prov P/Credito de Liquidacao Duvidosa</v>
      </c>
      <c r="F16" s="24">
        <f>IFERROR((INDEX(TBBP[],$C16,E$8)),"SEM DADOS")</f>
        <v>-394318.76</v>
      </c>
      <c r="G16" s="25">
        <f t="shared" si="2"/>
        <v>-4.2020770452820665E-3</v>
      </c>
      <c r="H16" s="24">
        <f>IFERROR(INDEX(TBBP[],$C16,H$8),"SEM DADOS")</f>
        <v>-394330.76</v>
      </c>
      <c r="I16" s="25">
        <f t="shared" si="3"/>
        <v>-2.9015190450187977E-3</v>
      </c>
      <c r="J16" s="24">
        <f>IFERROR(INDEX(TBBP[],$C16,J$8),"SEM DADOS")</f>
        <v>-394342.76</v>
      </c>
      <c r="K16" s="25">
        <f t="shared" si="4"/>
        <v>-2.9554037446294008E-3</v>
      </c>
      <c r="L16" s="90">
        <f t="shared" ref="L16:L77" si="6">IF(AND(F16=0,H16&lt;&gt;0),1,IFERROR((H16/F16)-1,0))</f>
        <v>3.043223203480494E-5</v>
      </c>
      <c r="M16" s="90">
        <f t="shared" si="5"/>
        <v>3.0431305942268949E-5</v>
      </c>
    </row>
    <row r="17" spans="3:13" x14ac:dyDescent="0.3">
      <c r="C17">
        <f t="shared" si="1"/>
        <v>9</v>
      </c>
      <c r="D17" t="str">
        <f>IFERROR(INDEX(TBBP[],$C17,1),"SEM DADOS")</f>
        <v>1.1.1.5</v>
      </c>
      <c r="E17" s="17" t="str">
        <f>IFERROR(INDEX(TBBP[],$C17,2),"SEM DADOS")</f>
        <v>Impostos e Contribuicoes a Recuperar</v>
      </c>
      <c r="F17" s="24">
        <f>IFERROR((INDEX(TBBP[],$C17,E$8)),"SEM DADOS")</f>
        <v>3627616.38</v>
      </c>
      <c r="G17" s="25">
        <f t="shared" si="2"/>
        <v>3.8657870397764554E-2</v>
      </c>
      <c r="H17" s="24">
        <f>IFERROR(INDEX(TBBP[],$C17,H$8),"SEM DADOS")</f>
        <v>5573525.7999999998</v>
      </c>
      <c r="I17" s="25">
        <f t="shared" si="3"/>
        <v>4.1010473686109675E-2</v>
      </c>
      <c r="J17" s="24">
        <f>IFERROR(INDEX(TBBP[],$C17,J$8),"SEM DADOS")</f>
        <v>2427460.98</v>
      </c>
      <c r="K17" s="25">
        <f t="shared" si="4"/>
        <v>1.8192618193963429E-2</v>
      </c>
      <c r="L17" s="90">
        <f t="shared" si="6"/>
        <v>0.53641543541602377</v>
      </c>
      <c r="M17" s="90">
        <f t="shared" si="5"/>
        <v>-0.56446582161690184</v>
      </c>
    </row>
    <row r="18" spans="3:13" x14ac:dyDescent="0.3">
      <c r="C18">
        <v>19</v>
      </c>
      <c r="D18" t="str">
        <f>IFERROR(INDEX(TBBP[],$C18,1),"SEM DADOS")</f>
        <v>1.1.1.6</v>
      </c>
      <c r="E18" s="17" t="str">
        <f>IFERROR(INDEX(TBBP[],$C18,2),"SEM DADOS")</f>
        <v>Estoques</v>
      </c>
      <c r="F18" s="24">
        <f>IFERROR((INDEX(TBBP[],$C18,E$8)),"SEM DADOS")</f>
        <v>25926588.920000002</v>
      </c>
      <c r="G18" s="25">
        <f t="shared" si="2"/>
        <v>0.27628795587406585</v>
      </c>
      <c r="H18" s="24">
        <f>IFERROR(INDEX(TBBP[],$C18,H$8),"SEM DADOS")</f>
        <v>28358377.210000001</v>
      </c>
      <c r="I18" s="25">
        <f t="shared" si="3"/>
        <v>0.20866333521798311</v>
      </c>
      <c r="J18" s="24">
        <f>IFERROR(INDEX(TBBP[],$C18,J$8),"SEM DADOS")</f>
        <v>27286693.039999999</v>
      </c>
      <c r="K18" s="25">
        <f t="shared" si="4"/>
        <v>0.20450025452215478</v>
      </c>
      <c r="L18" s="90">
        <f t="shared" si="6"/>
        <v>9.3795149740045325E-2</v>
      </c>
      <c r="M18" s="90">
        <f t="shared" si="5"/>
        <v>-3.7790743880157351E-2</v>
      </c>
    </row>
    <row r="19" spans="3:13" x14ac:dyDescent="0.3">
      <c r="C19">
        <f t="shared" si="1"/>
        <v>20</v>
      </c>
      <c r="D19" t="str">
        <f>IFERROR(INDEX(TBBP[],$C19,1),"SEM DADOS")</f>
        <v>1.1.1.7.01</v>
      </c>
      <c r="E19" s="17" t="str">
        <f>IFERROR(INDEX(TBBP[],$C19,2),"SEM DADOS")</f>
        <v>Adiantamentos a Fornecedores</v>
      </c>
      <c r="F19" s="24">
        <f>IFERROR((INDEX(TBBP[],$C19,E$8)),"SEM DADOS")</f>
        <v>943835.05</v>
      </c>
      <c r="G19" s="25">
        <f t="shared" si="2"/>
        <v>1.0058024117690093E-2</v>
      </c>
      <c r="H19" s="24">
        <f>IFERROR(INDEX(TBBP[],$C19,H$8),"SEM DADOS")</f>
        <v>650990.61</v>
      </c>
      <c r="I19" s="25">
        <f t="shared" si="3"/>
        <v>4.7900439038623425E-3</v>
      </c>
      <c r="J19" s="24">
        <f>IFERROR(INDEX(TBBP[],$C19,J$8),"SEM DADOS")</f>
        <v>734154.29</v>
      </c>
      <c r="K19" s="25">
        <f t="shared" si="4"/>
        <v>5.5021229191623529E-3</v>
      </c>
      <c r="L19" s="90">
        <f t="shared" si="6"/>
        <v>-0.31027078301446853</v>
      </c>
      <c r="M19" s="90">
        <f t="shared" si="5"/>
        <v>0.1277494309787357</v>
      </c>
    </row>
    <row r="20" spans="3:13" x14ac:dyDescent="0.3">
      <c r="C20">
        <f t="shared" si="1"/>
        <v>21</v>
      </c>
      <c r="D20" t="str">
        <f>IFERROR(INDEX(TBBP[],$C20,1),"SEM DADOS")</f>
        <v>1.1.1.7.02</v>
      </c>
      <c r="E20" s="17" t="str">
        <f>IFERROR(INDEX(TBBP[],$C20,2),"SEM DADOS")</f>
        <v>Adiantamentos - Despachante Aduaneiro</v>
      </c>
      <c r="F20" s="24">
        <f>IFERROR((INDEX(TBBP[],$C20,E$8)),"SEM DADOS")</f>
        <v>71521.27</v>
      </c>
      <c r="G20" s="25">
        <f t="shared" si="2"/>
        <v>7.6216989249109246E-4</v>
      </c>
      <c r="H20" s="24">
        <f>IFERROR(INDEX(TBBP[],$C20,H$8),"SEM DADOS")</f>
        <v>71521.27</v>
      </c>
      <c r="I20" s="25">
        <f t="shared" si="3"/>
        <v>5.2625954675443432E-4</v>
      </c>
      <c r="J20" s="24">
        <f>IFERROR(INDEX(TBBP[],$C20,J$8),"SEM DADOS")</f>
        <v>71521.27</v>
      </c>
      <c r="K20" s="25">
        <f t="shared" si="4"/>
        <v>5.3601650802122096E-4</v>
      </c>
      <c r="L20" s="90">
        <f t="shared" si="6"/>
        <v>0</v>
      </c>
      <c r="M20" s="90">
        <f t="shared" si="5"/>
        <v>0</v>
      </c>
    </row>
    <row r="21" spans="3:13" x14ac:dyDescent="0.3">
      <c r="C21">
        <f t="shared" si="1"/>
        <v>22</v>
      </c>
      <c r="D21" t="str">
        <f>IFERROR(INDEX(TBBP[],$C21,1),"SEM DADOS")</f>
        <v>1.1.1.7.03</v>
      </c>
      <c r="E21" s="17" t="str">
        <f>IFERROR(INDEX(TBBP[],$C21,2),"SEM DADOS")</f>
        <v>Adiantamento - Funcionários</v>
      </c>
      <c r="F21" s="24">
        <f>IFERROR((INDEX(TBBP[],$C21,E$8)),"SEM DADOS")</f>
        <v>3746.39</v>
      </c>
      <c r="G21" s="25">
        <f t="shared" si="2"/>
        <v>3.9923587256346312E-5</v>
      </c>
      <c r="H21" s="24">
        <f>IFERROR(INDEX(TBBP[],$C21,H$8),"SEM DADOS")</f>
        <v>3746.39</v>
      </c>
      <c r="I21" s="25">
        <f t="shared" si="3"/>
        <v>2.7566254113850954E-5</v>
      </c>
      <c r="J21" s="24">
        <f>IFERROR(INDEX(TBBP[],$C21,J$8),"SEM DADOS")</f>
        <v>4255.1400000000003</v>
      </c>
      <c r="K21" s="25">
        <f t="shared" si="4"/>
        <v>3.1890167553532234E-5</v>
      </c>
      <c r="L21" s="90">
        <f t="shared" si="6"/>
        <v>0</v>
      </c>
      <c r="M21" s="90">
        <f t="shared" si="5"/>
        <v>0.13579739429157156</v>
      </c>
    </row>
    <row r="22" spans="3:13" x14ac:dyDescent="0.3">
      <c r="C22">
        <f t="shared" si="1"/>
        <v>23</v>
      </c>
      <c r="D22" t="str">
        <f>IFERROR(INDEX(TBBP[],$C22,1),"SEM DADOS")</f>
        <v>1.1.1.7.04</v>
      </c>
      <c r="E22" s="17" t="str">
        <f>IFERROR(INDEX(TBBP[],$C22,2),"SEM DADOS")</f>
        <v>Adiantamento de Viagem</v>
      </c>
      <c r="F22" s="24">
        <f>IFERROR((INDEX(TBBP[],$C22,E$8)),"SEM DADOS")</f>
        <v>642806.73</v>
      </c>
      <c r="G22" s="25">
        <f t="shared" si="2"/>
        <v>6.8501011838387471E-3</v>
      </c>
      <c r="H22" s="24">
        <f>IFERROR(INDEX(TBBP[],$C22,H$8),"SEM DADOS")</f>
        <v>308283.59999999998</v>
      </c>
      <c r="I22" s="25">
        <f t="shared" si="3"/>
        <v>2.268376772501737E-3</v>
      </c>
      <c r="J22" s="24">
        <f>IFERROR(INDEX(TBBP[],$C22,J$8),"SEM DADOS")</f>
        <v>95932.09</v>
      </c>
      <c r="K22" s="25">
        <f t="shared" si="4"/>
        <v>7.1896351797133204E-4</v>
      </c>
      <c r="L22" s="90">
        <f t="shared" si="6"/>
        <v>-0.52041012389524921</v>
      </c>
      <c r="M22" s="90">
        <f t="shared" si="5"/>
        <v>-0.68881870459537908</v>
      </c>
    </row>
    <row r="23" spans="3:13" x14ac:dyDescent="0.3">
      <c r="C23">
        <f t="shared" si="1"/>
        <v>24</v>
      </c>
      <c r="D23" t="str">
        <f>IFERROR(INDEX(TBBP[],$C23,1),"SEM DADOS")</f>
        <v>1.1.1.7.05</v>
      </c>
      <c r="E23" s="17" t="str">
        <f>IFERROR(INDEX(TBBP[],$C23,2),"SEM DADOS")</f>
        <v>Adto a Fornecedores Exterior</v>
      </c>
      <c r="F23" s="24">
        <f>IFERROR((INDEX(TBBP[],$C23,E$8)),"SEM DADOS")</f>
        <v>1251038.07</v>
      </c>
      <c r="G23" s="25">
        <f t="shared" si="2"/>
        <v>1.3331748042423798E-2</v>
      </c>
      <c r="H23" s="24">
        <f>IFERROR(INDEX(TBBP[],$C23,H$8),"SEM DADOS")</f>
        <v>967387.33</v>
      </c>
      <c r="I23" s="25">
        <f t="shared" si="3"/>
        <v>7.1181176987179101E-3</v>
      </c>
      <c r="J23" s="24">
        <f>IFERROR(INDEX(TBBP[],$C23,J$8),"SEM DADOS")</f>
        <v>2315227.86</v>
      </c>
      <c r="K23" s="25">
        <f t="shared" si="4"/>
        <v>1.7351486526884157E-2</v>
      </c>
      <c r="L23" s="90">
        <f t="shared" si="6"/>
        <v>-0.22673230080040652</v>
      </c>
      <c r="M23" s="90">
        <f t="shared" si="5"/>
        <v>1.3932790808827318</v>
      </c>
    </row>
    <row r="24" spans="3:13" x14ac:dyDescent="0.3">
      <c r="C24">
        <f t="shared" si="1"/>
        <v>25</v>
      </c>
      <c r="D24" t="str">
        <f>IFERROR(INDEX(TBBP[],$C24,1),"SEM DADOS")</f>
        <v>1.1.1.7.06</v>
      </c>
      <c r="E24" s="17" t="str">
        <f>IFERROR(INDEX(TBBP[],$C24,2),"SEM DADOS")</f>
        <v>Adiantamentos - Partes Relacionadas</v>
      </c>
      <c r="F24" s="24">
        <f>IFERROR((INDEX(TBBP[],$C24,E$8)),"SEM DADOS")</f>
        <v>5000</v>
      </c>
      <c r="G24" s="25">
        <f t="shared" si="2"/>
        <v>5.3282743195911682E-5</v>
      </c>
      <c r="H24" s="24">
        <f>IFERROR(INDEX(TBBP[],$C24,H$8),"SEM DADOS")</f>
        <v>0</v>
      </c>
      <c r="I24" s="25">
        <f t="shared" si="3"/>
        <v>0</v>
      </c>
      <c r="J24" s="24">
        <f>IFERROR(INDEX(TBBP[],$C24,J$8),"SEM DADOS")</f>
        <v>0</v>
      </c>
      <c r="K24" s="25">
        <f t="shared" si="4"/>
        <v>0</v>
      </c>
      <c r="L24" s="90">
        <f t="shared" si="6"/>
        <v>-1</v>
      </c>
      <c r="M24" s="90">
        <f t="shared" si="5"/>
        <v>0</v>
      </c>
    </row>
    <row r="25" spans="3:13" x14ac:dyDescent="0.3">
      <c r="C25">
        <f t="shared" si="1"/>
        <v>26</v>
      </c>
      <c r="D25" t="str">
        <f>IFERROR(INDEX(TBBP[],$C25,1),"SEM DADOS")</f>
        <v>1.1.1.7.07</v>
      </c>
      <c r="E25" s="17" t="str">
        <f>IFERROR(INDEX(TBBP[],$C25,2),"SEM DADOS")</f>
        <v>Compra - Entrega Futura</v>
      </c>
      <c r="F25" s="24">
        <f>IFERROR((INDEX(TBBP[],$C25,E$8)),"SEM DADOS")</f>
        <v>50734.92</v>
      </c>
      <c r="G25" s="25">
        <f t="shared" si="2"/>
        <v>5.4065914268502469E-4</v>
      </c>
      <c r="H25" s="24">
        <f>IFERROR(INDEX(TBBP[],$C25,H$8),"SEM DADOS")</f>
        <v>30652.81</v>
      </c>
      <c r="I25" s="25">
        <f t="shared" si="3"/>
        <v>2.2554596551976482E-4</v>
      </c>
      <c r="J25" s="24">
        <f>IFERROR(INDEX(TBBP[],$C25,J$8),"SEM DADOS")</f>
        <v>30652.81</v>
      </c>
      <c r="K25" s="25">
        <f t="shared" si="4"/>
        <v>2.2972763455176288E-4</v>
      </c>
      <c r="L25" s="90">
        <f t="shared" si="6"/>
        <v>-0.39582421732408368</v>
      </c>
      <c r="M25" s="90">
        <f t="shared" si="5"/>
        <v>0</v>
      </c>
    </row>
    <row r="26" spans="3:13" x14ac:dyDescent="0.3">
      <c r="C26">
        <f t="shared" si="1"/>
        <v>27</v>
      </c>
      <c r="D26" t="str">
        <f>IFERROR(INDEX(TBBP[],$C26,1),"SEM DADOS")</f>
        <v>1.1.1.7.90</v>
      </c>
      <c r="E26" s="17" t="str">
        <f>IFERROR(INDEX(TBBP[],$C26,2),"SEM DADOS")</f>
        <v>Outros Adiantamentos</v>
      </c>
      <c r="F26" s="24">
        <f>IFERROR((INDEX(TBBP[],$C26,E$8)),"SEM DADOS")</f>
        <v>6756.28</v>
      </c>
      <c r="G26" s="25">
        <f t="shared" si="2"/>
        <v>7.1998626439934835E-5</v>
      </c>
      <c r="H26" s="24">
        <f>IFERROR(INDEX(TBBP[],$C26,H$8),"SEM DADOS")</f>
        <v>0</v>
      </c>
      <c r="I26" s="25">
        <f t="shared" si="3"/>
        <v>0</v>
      </c>
      <c r="J26" s="24">
        <f>IFERROR(INDEX(TBBP[],$C26,J$8),"SEM DADOS")</f>
        <v>0</v>
      </c>
      <c r="K26" s="25">
        <f t="shared" si="4"/>
        <v>0</v>
      </c>
      <c r="L26" s="90">
        <f t="shared" si="6"/>
        <v>-1</v>
      </c>
      <c r="M26" s="90">
        <f t="shared" si="5"/>
        <v>0</v>
      </c>
    </row>
    <row r="27" spans="3:13" x14ac:dyDescent="0.3">
      <c r="C27">
        <f t="shared" si="1"/>
        <v>28</v>
      </c>
      <c r="D27" t="str">
        <f>IFERROR(INDEX(TBBP[],$C27,1),"SEM DADOS")</f>
        <v>1.1.1.7.08</v>
      </c>
      <c r="E27" s="17" t="str">
        <f>IFERROR(INDEX(TBBP[],$C27,2),"SEM DADOS")</f>
        <v>Programa Apoio Empreendedor</v>
      </c>
      <c r="F27" s="24">
        <f>IFERROR((INDEX(TBBP[],$C27,E$8)),"SEM DADOS")</f>
        <v>17000</v>
      </c>
      <c r="G27" s="25">
        <f t="shared" si="2"/>
        <v>1.8116132686609972E-4</v>
      </c>
      <c r="H27" s="24">
        <f>IFERROR(INDEX(TBBP[],$C27,H$8),"SEM DADOS")</f>
        <v>2125.6799999999998</v>
      </c>
      <c r="I27" s="25">
        <f t="shared" si="3"/>
        <v>1.5640933016779003E-5</v>
      </c>
      <c r="J27" s="24">
        <f>IFERROR(INDEX(TBBP[],$C27,J$8),"SEM DADOS")</f>
        <v>2125.6799999999998</v>
      </c>
      <c r="K27" s="25">
        <f t="shared" si="4"/>
        <v>1.5930919162516954E-5</v>
      </c>
      <c r="L27" s="90">
        <f t="shared" si="6"/>
        <v>-0.87495999999999996</v>
      </c>
      <c r="M27" s="90">
        <f t="shared" si="5"/>
        <v>0</v>
      </c>
    </row>
    <row r="28" spans="3:13" x14ac:dyDescent="0.3">
      <c r="C28">
        <f t="shared" si="1"/>
        <v>29</v>
      </c>
      <c r="D28" t="str">
        <f>IFERROR(INDEX(TBBP[],$C28,1),"SEM DADOS")</f>
        <v>1.1.1.8</v>
      </c>
      <c r="E28" s="17" t="str">
        <f>IFERROR(INDEX(TBBP[],$C28,2),"SEM DADOS")</f>
        <v>Outros Recebíveis</v>
      </c>
      <c r="F28" s="24">
        <f>IFERROR((INDEX(TBBP[],$C28,E$8)),"SEM DADOS")</f>
        <v>0</v>
      </c>
      <c r="G28" s="25">
        <f t="shared" si="2"/>
        <v>0</v>
      </c>
      <c r="H28" s="24">
        <f>IFERROR(INDEX(TBBP[],$C28,H$8),"SEM DADOS")</f>
        <v>0</v>
      </c>
      <c r="I28" s="25">
        <f t="shared" si="3"/>
        <v>0</v>
      </c>
      <c r="J28" s="24">
        <f>IFERROR(INDEX(TBBP[],$C28,J$8),"SEM DADOS")</f>
        <v>1756</v>
      </c>
      <c r="K28" s="25">
        <f t="shared" si="4"/>
        <v>1.3160350593400593E-5</v>
      </c>
      <c r="L28" s="90">
        <f t="shared" si="6"/>
        <v>0</v>
      </c>
      <c r="M28" s="90">
        <f t="shared" si="5"/>
        <v>1</v>
      </c>
    </row>
    <row r="29" spans="3:13" x14ac:dyDescent="0.3">
      <c r="C29">
        <f t="shared" si="1"/>
        <v>30</v>
      </c>
      <c r="D29" t="str">
        <f>IFERROR(INDEX(TBBP[],$C29,1),"SEM DADOS")</f>
        <v>1.1.1.9</v>
      </c>
      <c r="E29" s="17" t="str">
        <f>IFERROR(INDEX(TBBP[],$C29,2),"SEM DADOS")</f>
        <v>Despesas Exercicio Seguinte</v>
      </c>
      <c r="F29" s="24">
        <f>IFERROR((INDEX(TBBP[],$C29,E$8)),"SEM DADOS")</f>
        <v>450134.32</v>
      </c>
      <c r="G29" s="25">
        <f t="shared" si="2"/>
        <v>4.7968782752452668E-3</v>
      </c>
      <c r="H29" s="24">
        <f>IFERROR(INDEX(TBBP[],$C29,H$8),"SEM DADOS")</f>
        <v>3366755.65</v>
      </c>
      <c r="I29" s="25">
        <f t="shared" si="3"/>
        <v>2.4772872495160258E-2</v>
      </c>
      <c r="J29" s="24">
        <f>IFERROR(INDEX(TBBP[],$C29,J$8),"SEM DADOS")</f>
        <v>2716945.99</v>
      </c>
      <c r="K29" s="25">
        <f t="shared" si="4"/>
        <v>2.0362165018071678E-2</v>
      </c>
      <c r="L29" s="90">
        <f t="shared" si="6"/>
        <v>6.4794466904900743</v>
      </c>
      <c r="M29" s="90">
        <f t="shared" si="5"/>
        <v>-0.19300766897057098</v>
      </c>
    </row>
    <row r="30" spans="3:13" ht="15" thickBot="1" x14ac:dyDescent="0.35">
      <c r="C30">
        <f t="shared" si="1"/>
        <v>31</v>
      </c>
      <c r="D30" t="str">
        <f>IFERROR(INDEX(TBBP[],$C30,1),"SEM DADOS")</f>
        <v>1.3</v>
      </c>
      <c r="E30" s="165" t="str">
        <f>IFERROR(INDEX(TBBP[],$C30,2),"SEM DADOS")</f>
        <v>ATIVO NAO CIRCULANTE</v>
      </c>
      <c r="F30" s="163">
        <f>IFERROR((INDEX(TBBP[],$C30,E$8)),"SEM DADOS")</f>
        <v>11617906.010000002</v>
      </c>
      <c r="G30" s="164">
        <f t="shared" si="2"/>
        <v>0.1238067804810138</v>
      </c>
      <c r="H30" s="163">
        <f>IFERROR(INDEX(TBBP[],$C30,H$8),"SEM DADOS")</f>
        <v>17119483.640000001</v>
      </c>
      <c r="I30" s="164">
        <f t="shared" si="3"/>
        <v>0.12596660687172295</v>
      </c>
      <c r="J30" s="163">
        <f>IFERROR(INDEX(TBBP[],$C30,J$8),"SEM DADOS")</f>
        <v>16267459.630000003</v>
      </c>
      <c r="K30" s="164">
        <f t="shared" si="4"/>
        <v>0.12191655580568947</v>
      </c>
      <c r="L30" s="236">
        <f t="shared" si="6"/>
        <v>0.47354296249811001</v>
      </c>
      <c r="M30" s="236">
        <f t="shared" si="5"/>
        <v>-4.9769258694767338E-2</v>
      </c>
    </row>
    <row r="31" spans="3:13" ht="15" thickTop="1" x14ac:dyDescent="0.3">
      <c r="C31">
        <f t="shared" si="1"/>
        <v>32</v>
      </c>
      <c r="D31" t="str">
        <f>IFERROR(INDEX(TBBP[],$C31,1),"SEM DADOS")</f>
        <v>1.3.1</v>
      </c>
      <c r="E31" s="167" t="str">
        <f>IFERROR(INDEX(TBBP[],$C31,2),"SEM DADOS")</f>
        <v>REALIZAVEL A LONGO PRAZO</v>
      </c>
      <c r="F31" s="168">
        <f>IFERROR((INDEX(TBBP[],$C31,E$8)),"SEM DADOS")</f>
        <v>77037.69</v>
      </c>
      <c r="G31" s="169">
        <f t="shared" si="2"/>
        <v>8.2095589053525074E-4</v>
      </c>
      <c r="H31" s="168">
        <f>IFERROR(INDEX(TBBP[],$C31,H$8),"SEM DADOS")</f>
        <v>62037.69</v>
      </c>
      <c r="I31" s="169">
        <f t="shared" si="3"/>
        <v>4.564785639445734E-4</v>
      </c>
      <c r="J31" s="168">
        <f>IFERROR(INDEX(TBBP[],$C31,J$8),"SEM DADOS")</f>
        <v>3202798.51</v>
      </c>
      <c r="K31" s="169">
        <f t="shared" si="4"/>
        <v>2.4003389106845689E-2</v>
      </c>
      <c r="L31" s="237">
        <f t="shared" si="6"/>
        <v>-0.19470988810801571</v>
      </c>
      <c r="M31" s="237">
        <f t="shared" si="5"/>
        <v>50.626656472863509</v>
      </c>
    </row>
    <row r="32" spans="3:13" x14ac:dyDescent="0.3">
      <c r="C32">
        <f t="shared" si="1"/>
        <v>33</v>
      </c>
      <c r="D32" t="str">
        <f>IFERROR(INDEX(TBBP[],$C32,1),"SEM DADOS")</f>
        <v>1.3.1.1</v>
      </c>
      <c r="E32" s="17" t="str">
        <f>IFERROR(INDEX(TBBP[],$C32,2),"SEM DADOS")</f>
        <v>Depositos e Caucoes</v>
      </c>
      <c r="F32" s="24">
        <f>IFERROR((INDEX(TBBP[],$C32,E$8)),"SEM DADOS")</f>
        <v>77037.69</v>
      </c>
      <c r="G32" s="25">
        <f t="shared" si="2"/>
        <v>8.2095589053525074E-4</v>
      </c>
      <c r="H32" s="24">
        <f>IFERROR(INDEX(TBBP[],$C32,H$8),"SEM DADOS")</f>
        <v>62037.69</v>
      </c>
      <c r="I32" s="25">
        <f t="shared" si="3"/>
        <v>4.564785639445734E-4</v>
      </c>
      <c r="J32" s="24">
        <f>IFERROR(INDEX(TBBP[],$C32,J$8),"SEM DADOS")</f>
        <v>63237.69</v>
      </c>
      <c r="K32" s="25">
        <f t="shared" si="4"/>
        <v>4.7393517717356649E-4</v>
      </c>
      <c r="L32" s="90">
        <f t="shared" si="6"/>
        <v>-0.19470988810801571</v>
      </c>
      <c r="M32" s="90">
        <f t="shared" si="5"/>
        <v>1.9343079988955125E-2</v>
      </c>
    </row>
    <row r="33" spans="3:13" x14ac:dyDescent="0.3">
      <c r="C33">
        <f t="shared" si="1"/>
        <v>34</v>
      </c>
      <c r="D33" t="str">
        <f>IFERROR(INDEX(TBBP[],$C33,1),"SEM DADOS")</f>
        <v>1.SEM CONTA</v>
      </c>
      <c r="E33" s="17" t="str">
        <f>IFERROR(INDEX(TBBP[],$C33,2),"SEM DADOS")</f>
        <v>Títulos de Capitalização</v>
      </c>
      <c r="F33" s="24">
        <f>IFERROR((INDEX(TBBP[],$C33,E$8)),"SEM DADOS")</f>
        <v>0</v>
      </c>
      <c r="G33" s="25">
        <f t="shared" si="2"/>
        <v>0</v>
      </c>
      <c r="H33" s="24">
        <f>IFERROR(INDEX(TBBP[],$C33,H$8),"SEM DADOS")</f>
        <v>0</v>
      </c>
      <c r="I33" s="25">
        <f t="shared" si="3"/>
        <v>0</v>
      </c>
      <c r="J33" s="24">
        <f>IFERROR(INDEX(TBBP[],$C33,J$8),"SEM DADOS")</f>
        <v>0</v>
      </c>
      <c r="K33" s="25">
        <f t="shared" si="4"/>
        <v>0</v>
      </c>
      <c r="L33" s="90">
        <f t="shared" si="6"/>
        <v>0</v>
      </c>
      <c r="M33" s="90">
        <f t="shared" si="5"/>
        <v>0</v>
      </c>
    </row>
    <row r="34" spans="3:13" x14ac:dyDescent="0.3">
      <c r="C34">
        <f t="shared" si="1"/>
        <v>35</v>
      </c>
      <c r="D34" t="str">
        <f>IFERROR(INDEX(TBBP[],$C34,1),"SEM DADOS")</f>
        <v>1.3.1.3</v>
      </c>
      <c r="E34" s="167" t="str">
        <f>IFERROR(INDEX(TBBP[],$C34,2),"SEM DADOS")</f>
        <v>Clientes Longo Prazo</v>
      </c>
      <c r="F34" s="168">
        <f>IFERROR((INDEX(TBBP[],$C34,E$8)),"SEM DADOS")</f>
        <v>0</v>
      </c>
      <c r="G34" s="169">
        <f t="shared" si="2"/>
        <v>0</v>
      </c>
      <c r="H34" s="168">
        <f>IFERROR(INDEX(TBBP[],$C34,H$8),"SEM DADOS")</f>
        <v>0</v>
      </c>
      <c r="I34" s="169">
        <f t="shared" si="3"/>
        <v>0</v>
      </c>
      <c r="J34" s="168">
        <f>IFERROR(INDEX(TBBP[],$C34,J$8),"SEM DADOS")</f>
        <v>3139560.82</v>
      </c>
      <c r="K34" s="169">
        <f t="shared" si="4"/>
        <v>2.3529453929672123E-2</v>
      </c>
      <c r="L34" s="237">
        <f t="shared" si="6"/>
        <v>0</v>
      </c>
      <c r="M34" s="237">
        <f t="shared" si="5"/>
        <v>1</v>
      </c>
    </row>
    <row r="35" spans="3:13" x14ac:dyDescent="0.3">
      <c r="C35">
        <f t="shared" si="1"/>
        <v>36</v>
      </c>
      <c r="D35" t="str">
        <f>IFERROR(INDEX(TBBP[],$C35,1),"SEM DADOS")</f>
        <v>1.3.2</v>
      </c>
      <c r="E35" s="17" t="str">
        <f>IFERROR(INDEX(TBBP[],$C35,2),"SEM DADOS")</f>
        <v>INVESTIMENTOS</v>
      </c>
      <c r="F35" s="24">
        <f>IFERROR((INDEX(TBBP[],$C35,E$8)),"SEM DADOS")</f>
        <v>3932743.12</v>
      </c>
      <c r="G35" s="25">
        <f t="shared" si="2"/>
        <v>4.19094683436897E-2</v>
      </c>
      <c r="H35" s="24">
        <f>IFERROR(INDEX(TBBP[],$C35,H$8),"SEM DADOS")</f>
        <v>3081714.38</v>
      </c>
      <c r="I35" s="25">
        <f t="shared" si="3"/>
        <v>2.2675514750303265E-2</v>
      </c>
      <c r="J35" s="24">
        <f>IFERROR(INDEX(TBBP[],$C35,J$8),"SEM DADOS")</f>
        <v>0</v>
      </c>
      <c r="K35" s="25">
        <f t="shared" si="4"/>
        <v>0</v>
      </c>
      <c r="L35" s="90">
        <f t="shared" si="6"/>
        <v>-0.21639571007627878</v>
      </c>
      <c r="M35" s="90">
        <f t="shared" si="5"/>
        <v>-1</v>
      </c>
    </row>
    <row r="36" spans="3:13" x14ac:dyDescent="0.3">
      <c r="C36">
        <f t="shared" si="1"/>
        <v>37</v>
      </c>
      <c r="D36" t="str">
        <f>IFERROR(INDEX(TBBP[],$C36,1),"SEM DADOS")</f>
        <v>1.3.2.2</v>
      </c>
      <c r="E36" s="17" t="str">
        <f>IFERROR(INDEX(TBBP[],$C36,2),"SEM DADOS")</f>
        <v>Participações Societaria</v>
      </c>
      <c r="F36" s="24">
        <f>IFERROR((INDEX(TBBP[],$C36,E$8)),"SEM DADOS")</f>
        <v>2727404.93</v>
      </c>
      <c r="G36" s="25">
        <f t="shared" si="2"/>
        <v>2.9064723295290699E-2</v>
      </c>
      <c r="H36" s="24">
        <f>IFERROR(INDEX(TBBP[],$C36,H$8),"SEM DADOS")</f>
        <v>3081714.38</v>
      </c>
      <c r="I36" s="25">
        <f t="shared" si="3"/>
        <v>2.2675514750303265E-2</v>
      </c>
      <c r="J36" s="24">
        <f>IFERROR(INDEX(TBBP[],$C36,J$8),"SEM DADOS")</f>
        <v>0</v>
      </c>
      <c r="K36" s="25">
        <f t="shared" si="4"/>
        <v>0</v>
      </c>
      <c r="L36" s="90">
        <f t="shared" si="6"/>
        <v>0.12990716783664369</v>
      </c>
      <c r="M36" s="90">
        <f t="shared" si="5"/>
        <v>-1</v>
      </c>
    </row>
    <row r="37" spans="3:13" x14ac:dyDescent="0.3">
      <c r="C37">
        <f t="shared" si="1"/>
        <v>38</v>
      </c>
      <c r="D37" t="str">
        <f>IFERROR(INDEX(TBBP[],$C37,1),"SEM DADOS")</f>
        <v>1.3.2.3</v>
      </c>
      <c r="E37" s="167" t="str">
        <f>IFERROR(INDEX(TBBP[],$C37,2),"SEM DADOS")</f>
        <v>Aplicações Financeiras LP</v>
      </c>
      <c r="F37" s="168">
        <f>IFERROR((INDEX(TBBP[],$C37,E$8)),"SEM DADOS")</f>
        <v>1205338.19</v>
      </c>
      <c r="G37" s="169">
        <f t="shared" si="2"/>
        <v>1.2844745048399E-2</v>
      </c>
      <c r="H37" s="168">
        <f>IFERROR(INDEX(TBBP[],$C37,H$8),"SEM DADOS")</f>
        <v>0</v>
      </c>
      <c r="I37" s="169">
        <f t="shared" si="3"/>
        <v>0</v>
      </c>
      <c r="J37" s="168">
        <f>IFERROR(INDEX(TBBP[],$C37,J$8),"SEM DADOS")</f>
        <v>0</v>
      </c>
      <c r="K37" s="169">
        <f t="shared" si="4"/>
        <v>0</v>
      </c>
      <c r="L37" s="237">
        <f t="shared" si="6"/>
        <v>-1</v>
      </c>
      <c r="M37" s="237">
        <f t="shared" si="5"/>
        <v>0</v>
      </c>
    </row>
    <row r="38" spans="3:13" x14ac:dyDescent="0.3">
      <c r="C38">
        <f t="shared" si="1"/>
        <v>39</v>
      </c>
      <c r="D38" t="str">
        <f>IFERROR(INDEX(TBBP[],$C38,1),"SEM DADOS")</f>
        <v>1.3.3</v>
      </c>
      <c r="E38" s="17" t="str">
        <f>IFERROR(INDEX(TBBP[],$C38,2),"SEM DADOS")</f>
        <v>IMOBILIZADO TECNICO</v>
      </c>
      <c r="F38" s="24">
        <f>IFERROR((INDEX(TBBP[],$C38,E$8)),"SEM DADOS")</f>
        <v>6620018.870000001</v>
      </c>
      <c r="G38" s="25">
        <f t="shared" si="2"/>
        <v>7.0546553080459901E-2</v>
      </c>
      <c r="H38" s="24">
        <f>IFERROR(INDEX(TBBP[],$C38,H$8),"SEM DADOS")</f>
        <v>13165418.600000001</v>
      </c>
      <c r="I38" s="25">
        <f t="shared" si="3"/>
        <v>9.687226226922982E-2</v>
      </c>
      <c r="J38" s="24">
        <f>IFERROR(INDEX(TBBP[],$C38,J$8),"SEM DADOS")</f>
        <v>12128013.750000004</v>
      </c>
      <c r="K38" s="25">
        <f t="shared" si="4"/>
        <v>9.0893458400673741E-2</v>
      </c>
      <c r="L38" s="90">
        <f t="shared" si="6"/>
        <v>0.98872825871567338</v>
      </c>
      <c r="M38" s="90">
        <f t="shared" si="5"/>
        <v>-7.8797710997202786E-2</v>
      </c>
    </row>
    <row r="39" spans="3:13" x14ac:dyDescent="0.3">
      <c r="C39">
        <f t="shared" si="1"/>
        <v>40</v>
      </c>
      <c r="D39" t="str">
        <f>IFERROR(INDEX(TBBP[],$C39,1),"SEM DADOS")</f>
        <v>1.3.3.1.01.00003</v>
      </c>
      <c r="E39" s="17" t="str">
        <f>IFERROR(INDEX(TBBP[],$C39,2),"SEM DADOS")</f>
        <v>Moveis e Utensilios</v>
      </c>
      <c r="F39" s="24">
        <f>IFERROR((INDEX(TBBP[],$C39,E$8)),"SEM DADOS")</f>
        <v>227039.81</v>
      </c>
      <c r="G39" s="25">
        <f t="shared" si="2"/>
        <v>2.4194607782957161E-3</v>
      </c>
      <c r="H39" s="24">
        <f>IFERROR(INDEX(TBBP[],$C39,H$8),"SEM DADOS")</f>
        <v>277537.76</v>
      </c>
      <c r="I39" s="25">
        <f t="shared" si="3"/>
        <v>2.0421462843828271E-3</v>
      </c>
      <c r="J39" s="24">
        <f>IFERROR(INDEX(TBBP[],$C39,J$8),"SEM DADOS")</f>
        <v>308158.23</v>
      </c>
      <c r="K39" s="25">
        <f t="shared" si="4"/>
        <v>2.3094933627800548E-3</v>
      </c>
      <c r="L39" s="90">
        <f t="shared" si="6"/>
        <v>0.222418922919289</v>
      </c>
      <c r="M39" s="90">
        <f t="shared" si="5"/>
        <v>0.11032902333722072</v>
      </c>
    </row>
    <row r="40" spans="3:13" x14ac:dyDescent="0.3">
      <c r="C40">
        <f t="shared" si="1"/>
        <v>41</v>
      </c>
      <c r="D40" t="str">
        <f>IFERROR(INDEX(TBBP[],$C40,1),"SEM DADOS")</f>
        <v>1.3.3.1.01.00009</v>
      </c>
      <c r="E40" s="17" t="str">
        <f>IFERROR(INDEX(TBBP[],$C40,2),"SEM DADOS")</f>
        <v>Veiculos</v>
      </c>
      <c r="F40" s="24">
        <f>IFERROR((INDEX(TBBP[],$C40,E$8)),"SEM DADOS")</f>
        <v>1192295.93</v>
      </c>
      <c r="G40" s="25">
        <f t="shared" si="2"/>
        <v>1.2705759570344137E-2</v>
      </c>
      <c r="H40" s="24">
        <f>IFERROR(INDEX(TBBP[],$C40,H$8),"SEM DADOS")</f>
        <v>6823369.5099999998</v>
      </c>
      <c r="I40" s="25">
        <f t="shared" si="3"/>
        <v>5.0206929290693883E-2</v>
      </c>
      <c r="J40" s="24">
        <f>IFERROR(INDEX(TBBP[],$C40,J$8),"SEM DADOS")</f>
        <v>6896706.6200000001</v>
      </c>
      <c r="K40" s="25">
        <f t="shared" si="4"/>
        <v>5.1687401514252163E-2</v>
      </c>
      <c r="L40" s="90">
        <f t="shared" si="6"/>
        <v>4.722882497804048</v>
      </c>
      <c r="M40" s="90">
        <f t="shared" si="5"/>
        <v>1.0747931779529374E-2</v>
      </c>
    </row>
    <row r="41" spans="3:13" x14ac:dyDescent="0.3">
      <c r="C41">
        <f t="shared" si="1"/>
        <v>42</v>
      </c>
      <c r="D41" t="str">
        <f>IFERROR(INDEX(TBBP[],$C41,1),"SEM DADOS")</f>
        <v>1.3.3.1.01.00002</v>
      </c>
      <c r="E41" s="17" t="str">
        <f>IFERROR(INDEX(TBBP[],$C41,2),"SEM DADOS")</f>
        <v>Edificios</v>
      </c>
      <c r="F41" s="24">
        <f>IFERROR((INDEX(TBBP[],$C41,E$8)),"SEM DADOS")</f>
        <v>342545.37</v>
      </c>
      <c r="G41" s="25">
        <f t="shared" si="2"/>
        <v>3.6503513965317098E-3</v>
      </c>
      <c r="H41" s="24">
        <f>IFERROR(INDEX(TBBP[],$C41,H$8),"SEM DADOS")</f>
        <v>342545.37</v>
      </c>
      <c r="I41" s="25">
        <f t="shared" si="3"/>
        <v>2.5204777705853092E-3</v>
      </c>
      <c r="J41" s="24">
        <f>IFERROR(INDEX(TBBP[],$C41,J$8),"SEM DADOS")</f>
        <v>342545.37</v>
      </c>
      <c r="K41" s="25">
        <f t="shared" si="4"/>
        <v>2.5672079517916431E-3</v>
      </c>
      <c r="L41" s="90">
        <f t="shared" si="6"/>
        <v>0</v>
      </c>
      <c r="M41" s="90">
        <f t="shared" si="5"/>
        <v>0</v>
      </c>
    </row>
    <row r="42" spans="3:13" x14ac:dyDescent="0.3">
      <c r="C42">
        <f t="shared" si="1"/>
        <v>43</v>
      </c>
      <c r="D42" t="str">
        <f>IFERROR(INDEX(TBBP[],$C42,1),"SEM DADOS")</f>
        <v>1.3.3.5.01.00002</v>
      </c>
      <c r="E42" s="17" t="str">
        <f>IFERROR(INDEX(TBBP[],$C42,2),"SEM DADOS")</f>
        <v>Veiculos - Leasing Financeiro</v>
      </c>
      <c r="F42" s="24">
        <f>IFERROR((INDEX(TBBP[],$C42,E$8)),"SEM DADOS")</f>
        <v>0</v>
      </c>
      <c r="G42" s="25">
        <f t="shared" si="2"/>
        <v>0</v>
      </c>
      <c r="H42" s="24">
        <f>IFERROR(INDEX(TBBP[],$C42,H$8),"SEM DADOS")</f>
        <v>0</v>
      </c>
      <c r="I42" s="25">
        <f t="shared" si="3"/>
        <v>0</v>
      </c>
      <c r="J42" s="24">
        <f>IFERROR(INDEX(TBBP[],$C42,J$8),"SEM DADOS")</f>
        <v>0</v>
      </c>
      <c r="K42" s="25">
        <f t="shared" si="4"/>
        <v>0</v>
      </c>
      <c r="L42" s="90">
        <f t="shared" si="6"/>
        <v>0</v>
      </c>
      <c r="M42" s="90">
        <f t="shared" si="5"/>
        <v>0</v>
      </c>
    </row>
    <row r="43" spans="3:13" x14ac:dyDescent="0.3">
      <c r="C43">
        <f t="shared" si="1"/>
        <v>44</v>
      </c>
      <c r="D43" t="str">
        <f>IFERROR(INDEX(TBBP[],$C43,1),"SEM DADOS")</f>
        <v>1.3.3.1.01.00005</v>
      </c>
      <c r="E43" s="17" t="str">
        <f>IFERROR(INDEX(TBBP[],$C43,2),"SEM DADOS")</f>
        <v>Equipamentos de Informatica</v>
      </c>
      <c r="F43" s="24">
        <f>IFERROR((INDEX(TBBP[],$C43,E$8)),"SEM DADOS")</f>
        <v>479247.14</v>
      </c>
      <c r="G43" s="25">
        <f t="shared" si="2"/>
        <v>5.107120457599027E-3</v>
      </c>
      <c r="H43" s="24">
        <f>IFERROR(INDEX(TBBP[],$C43,H$8),"SEM DADOS")</f>
        <v>575226.67000000004</v>
      </c>
      <c r="I43" s="25">
        <f t="shared" si="3"/>
        <v>4.2325664328284798E-3</v>
      </c>
      <c r="J43" s="24">
        <f>IFERROR(INDEX(TBBP[],$C43,J$8),"SEM DADOS")</f>
        <v>626410.91</v>
      </c>
      <c r="K43" s="25">
        <f t="shared" si="4"/>
        <v>4.694639630484684E-3</v>
      </c>
      <c r="L43" s="90">
        <f t="shared" si="6"/>
        <v>0.20027147162526626</v>
      </c>
      <c r="M43" s="90">
        <f t="shared" si="5"/>
        <v>8.8980992484232413E-2</v>
      </c>
    </row>
    <row r="44" spans="3:13" x14ac:dyDescent="0.3">
      <c r="C44">
        <f t="shared" si="1"/>
        <v>45</v>
      </c>
      <c r="D44" t="str">
        <f>IFERROR(INDEX(TBBP[],$C44,1),"SEM DADOS")</f>
        <v>1.3.3.1.01.00006</v>
      </c>
      <c r="E44" s="17" t="str">
        <f>IFERROR(INDEX(TBBP[],$C44,2),"SEM DADOS")</f>
        <v>Maquinas e Equipamentos - Produção</v>
      </c>
      <c r="F44" s="24">
        <f>IFERROR((INDEX(TBBP[],$C44,E$8)),"SEM DADOS")</f>
        <v>4609996.4800000004</v>
      </c>
      <c r="G44" s="25">
        <f t="shared" si="2"/>
        <v>4.9126651715579367E-2</v>
      </c>
      <c r="H44" s="24">
        <f>IFERROR(INDEX(TBBP[],$C44,H$8),"SEM DADOS")</f>
        <v>6666452.8399999999</v>
      </c>
      <c r="I44" s="25">
        <f t="shared" si="3"/>
        <v>4.905232317656287E-2</v>
      </c>
      <c r="J44" s="24">
        <f>IFERROR(INDEX(TBBP[],$C44,J$8),"SEM DADOS")</f>
        <v>7515591.8399999999</v>
      </c>
      <c r="K44" s="25">
        <f t="shared" si="4"/>
        <v>5.6325639824203105E-2</v>
      </c>
      <c r="L44" s="90">
        <f t="shared" si="6"/>
        <v>0.44608631892057304</v>
      </c>
      <c r="M44" s="90">
        <f t="shared" si="5"/>
        <v>0.12737493542367884</v>
      </c>
    </row>
    <row r="45" spans="3:13" x14ac:dyDescent="0.3">
      <c r="C45">
        <f t="shared" si="1"/>
        <v>46</v>
      </c>
      <c r="D45" t="str">
        <f>IFERROR(INDEX(TBBP[],$C45,1),"SEM DADOS")</f>
        <v>1.SEM CONTA</v>
      </c>
      <c r="E45" s="17" t="str">
        <f>IFERROR(INDEX(TBBP[],$C45,2),"SEM DADOS")</f>
        <v>Máquinas e Equipamentos - Prestação de Serviço</v>
      </c>
      <c r="F45" s="24">
        <f>IFERROR((INDEX(TBBP[],$C45,E$8)),"SEM DADOS")</f>
        <v>0</v>
      </c>
      <c r="G45" s="25">
        <f t="shared" si="2"/>
        <v>0</v>
      </c>
      <c r="H45" s="24">
        <f>IFERROR(INDEX(TBBP[],$C45,H$8),"SEM DADOS")</f>
        <v>0</v>
      </c>
      <c r="I45" s="25">
        <f t="shared" si="3"/>
        <v>0</v>
      </c>
      <c r="J45" s="24">
        <f>IFERROR(INDEX(TBBP[],$C45,J$8),"SEM DADOS")</f>
        <v>0</v>
      </c>
      <c r="K45" s="25">
        <f t="shared" si="4"/>
        <v>0</v>
      </c>
      <c r="L45" s="90">
        <f t="shared" si="6"/>
        <v>0</v>
      </c>
      <c r="M45" s="90">
        <f t="shared" si="5"/>
        <v>0</v>
      </c>
    </row>
    <row r="46" spans="3:13" x14ac:dyDescent="0.3">
      <c r="C46">
        <f t="shared" si="1"/>
        <v>47</v>
      </c>
      <c r="D46" t="str">
        <f>IFERROR(INDEX(TBBP[],$C46,1),"SEM DADOS")</f>
        <v>1.SEM CONTA</v>
      </c>
      <c r="E46" s="17" t="str">
        <f>IFERROR(INDEX(TBBP[],$C46,2),"SEM DADOS")</f>
        <v>Máquinas e Equipamentos - Leasing Financeiro - Serviço</v>
      </c>
      <c r="F46" s="24">
        <f>IFERROR((INDEX(TBBP[],$C46,E$8)),"SEM DADOS")</f>
        <v>0</v>
      </c>
      <c r="G46" s="25">
        <f t="shared" si="2"/>
        <v>0</v>
      </c>
      <c r="H46" s="24">
        <f>IFERROR(INDEX(TBBP[],$C46,H$8),"SEM DADOS")</f>
        <v>0</v>
      </c>
      <c r="I46" s="25">
        <f t="shared" si="3"/>
        <v>0</v>
      </c>
      <c r="J46" s="24">
        <f>IFERROR(INDEX(TBBP[],$C46,J$8),"SEM DADOS")</f>
        <v>0</v>
      </c>
      <c r="K46" s="25">
        <f t="shared" si="4"/>
        <v>0</v>
      </c>
      <c r="L46" s="90">
        <f t="shared" si="6"/>
        <v>0</v>
      </c>
      <c r="M46" s="90">
        <f t="shared" si="5"/>
        <v>0</v>
      </c>
    </row>
    <row r="47" spans="3:13" x14ac:dyDescent="0.3">
      <c r="C47">
        <f t="shared" si="1"/>
        <v>48</v>
      </c>
      <c r="D47" t="str">
        <f>IFERROR(INDEX(TBBP[],$C47,1),"SEM DADOS")</f>
        <v>1.3.3.1.01.00007</v>
      </c>
      <c r="E47" s="17" t="str">
        <f>IFERROR(INDEX(TBBP[],$C47,2),"SEM DADOS")</f>
        <v>Instalacoes</v>
      </c>
      <c r="F47" s="24">
        <f>IFERROR((INDEX(TBBP[],$C47,E$8)),"SEM DADOS")</f>
        <v>2003143.65</v>
      </c>
      <c r="G47" s="25">
        <f t="shared" si="2"/>
        <v>2.1346597737494238E-2</v>
      </c>
      <c r="H47" s="24">
        <f>IFERROR(INDEX(TBBP[],$C47,H$8),"SEM DADOS")</f>
        <v>2217197.7799999998</v>
      </c>
      <c r="I47" s="25">
        <f t="shared" si="3"/>
        <v>1.6314328573412324E-2</v>
      </c>
      <c r="J47" s="24">
        <f>IFERROR(INDEX(TBBP[],$C47,J$8),"SEM DADOS")</f>
        <v>2261486.23</v>
      </c>
      <c r="K47" s="25">
        <f t="shared" si="4"/>
        <v>1.6948719617851805E-2</v>
      </c>
      <c r="L47" s="90">
        <f t="shared" si="6"/>
        <v>0.10685910119326691</v>
      </c>
      <c r="M47" s="90">
        <f t="shared" si="5"/>
        <v>1.9974965877874951E-2</v>
      </c>
    </row>
    <row r="48" spans="3:13" x14ac:dyDescent="0.3">
      <c r="C48">
        <f t="shared" si="1"/>
        <v>49</v>
      </c>
      <c r="D48" t="str">
        <f>IFERROR(INDEX(TBBP[],$C48,1),"SEM DADOS")</f>
        <v>1.3.3.1.01.00008</v>
      </c>
      <c r="E48" s="17" t="str">
        <f>IFERROR(INDEX(TBBP[],$C48,2),"SEM DADOS")</f>
        <v>Ferramentas / Moldes</v>
      </c>
      <c r="F48" s="24">
        <f>IFERROR((INDEX(TBBP[],$C48,E$8)),"SEM DADOS")</f>
        <v>545470.87</v>
      </c>
      <c r="G48" s="25">
        <f t="shared" si="2"/>
        <v>5.8128368574121049E-3</v>
      </c>
      <c r="H48" s="24">
        <f>IFERROR(INDEX(TBBP[],$C48,H$8),"SEM DADOS")</f>
        <v>798773.07</v>
      </c>
      <c r="I48" s="25">
        <f t="shared" si="3"/>
        <v>5.8774397291581643E-3</v>
      </c>
      <c r="J48" s="24">
        <f>IFERROR(INDEX(TBBP[],$C48,J$8),"SEM DADOS")</f>
        <v>967544.35</v>
      </c>
      <c r="K48" s="25">
        <f t="shared" si="4"/>
        <v>7.2512658659817141E-3</v>
      </c>
      <c r="L48" s="90">
        <f t="shared" si="6"/>
        <v>0.4643734687427028</v>
      </c>
      <c r="M48" s="90">
        <f t="shared" si="5"/>
        <v>0.21128814470422741</v>
      </c>
    </row>
    <row r="49" spans="3:13" x14ac:dyDescent="0.3">
      <c r="C49">
        <f t="shared" si="1"/>
        <v>50</v>
      </c>
      <c r="D49" t="str">
        <f>IFERROR(INDEX(TBBP[],$C49,1),"SEM DADOS")</f>
        <v>1.3.3.1.01.00010</v>
      </c>
      <c r="E49" s="17" t="str">
        <f>IFERROR(INDEX(TBBP[],$C49,2),"SEM DADOS")</f>
        <v>Aparelhos de Telefonia</v>
      </c>
      <c r="F49" s="24">
        <f>IFERROR((INDEX(TBBP[],$C49,E$8)),"SEM DADOS")</f>
        <v>10173.799999999999</v>
      </c>
      <c r="G49" s="25">
        <f t="shared" si="2"/>
        <v>1.0841759454531325E-4</v>
      </c>
      <c r="H49" s="24">
        <f>IFERROR(INDEX(TBBP[],$C49,H$8),"SEM DADOS")</f>
        <v>10173.799999999999</v>
      </c>
      <c r="I49" s="25">
        <f t="shared" si="3"/>
        <v>7.4859679879429755E-5</v>
      </c>
      <c r="J49" s="24">
        <f>IFERROR(INDEX(TBBP[],$C49,J$8),"SEM DADOS")</f>
        <v>10421.799999999999</v>
      </c>
      <c r="K49" s="25">
        <f t="shared" si="4"/>
        <v>7.810623110153888E-5</v>
      </c>
      <c r="L49" s="90">
        <f t="shared" si="6"/>
        <v>0</v>
      </c>
      <c r="M49" s="90">
        <f t="shared" si="5"/>
        <v>2.4376339224281951E-2</v>
      </c>
    </row>
    <row r="50" spans="3:13" x14ac:dyDescent="0.3">
      <c r="C50">
        <f t="shared" si="1"/>
        <v>51</v>
      </c>
      <c r="D50" t="str">
        <f>IFERROR(INDEX(TBBP[],$C50,1),"SEM DADOS")</f>
        <v>1.3.3.1.01.00012</v>
      </c>
      <c r="E50" s="17" t="str">
        <f>IFERROR(INDEX(TBBP[],$C50,2),"SEM DADOS")</f>
        <v>Benfeitorias em Imoveis de Terceiros</v>
      </c>
      <c r="F50" s="24">
        <f>IFERROR((INDEX(TBBP[],$C50,E$8)),"SEM DADOS")</f>
        <v>165782.81</v>
      </c>
      <c r="G50" s="25">
        <f t="shared" si="2"/>
        <v>1.7666725783053237E-3</v>
      </c>
      <c r="H50" s="24">
        <f>IFERROR(INDEX(TBBP[],$C50,H$8),"SEM DADOS")</f>
        <v>258928.42</v>
      </c>
      <c r="I50" s="25">
        <f t="shared" si="3"/>
        <v>1.9052171885516266E-3</v>
      </c>
      <c r="J50" s="24">
        <f>IFERROR(INDEX(TBBP[],$C50,J$8),"SEM DADOS")</f>
        <v>362865.46</v>
      </c>
      <c r="K50" s="25">
        <f t="shared" si="4"/>
        <v>2.7194969657378014E-3</v>
      </c>
      <c r="L50" s="90">
        <f t="shared" si="6"/>
        <v>0.5618532464252477</v>
      </c>
      <c r="M50" s="90">
        <f t="shared" si="5"/>
        <v>0.40141225130868219</v>
      </c>
    </row>
    <row r="51" spans="3:13" x14ac:dyDescent="0.3">
      <c r="C51">
        <f t="shared" si="1"/>
        <v>52</v>
      </c>
      <c r="D51" t="str">
        <f>IFERROR(INDEX(TBBP[],$C51,1),"SEM DADOS")</f>
        <v>1.3.3.1.03</v>
      </c>
      <c r="E51" s="17" t="str">
        <f>IFERROR(INDEX(TBBP[],$C51,2),"SEM DADOS")</f>
        <v>Imobilizado em Andamento</v>
      </c>
      <c r="F51" s="24">
        <f>IFERROR((INDEX(TBBP[],$C51,E$8)),"SEM DADOS")</f>
        <v>0</v>
      </c>
      <c r="G51" s="25">
        <f t="shared" si="2"/>
        <v>0</v>
      </c>
      <c r="H51" s="24">
        <f>IFERROR(INDEX(TBBP[],$C51,H$8),"SEM DADOS")</f>
        <v>0</v>
      </c>
      <c r="I51" s="25">
        <f t="shared" si="3"/>
        <v>0</v>
      </c>
      <c r="J51" s="24">
        <f>IFERROR(INDEX(TBBP[],$C51,J$8),"SEM DADOS")</f>
        <v>0</v>
      </c>
      <c r="K51" s="25">
        <f t="shared" si="4"/>
        <v>0</v>
      </c>
      <c r="L51" s="90">
        <f t="shared" si="6"/>
        <v>0</v>
      </c>
      <c r="M51" s="90">
        <f t="shared" si="5"/>
        <v>0</v>
      </c>
    </row>
    <row r="52" spans="3:13" x14ac:dyDescent="0.3">
      <c r="C52">
        <f t="shared" si="1"/>
        <v>53</v>
      </c>
      <c r="D52" t="str">
        <f>IFERROR(INDEX(TBBP[],$C52,1),"SEM DADOS")</f>
        <v>1.3.3.1.99</v>
      </c>
      <c r="E52" s="17" t="str">
        <f>IFERROR(INDEX(TBBP[],$C52,2),"SEM DADOS")</f>
        <v>Depreciacao/Amortizacao Acumulada</v>
      </c>
      <c r="F52" s="24">
        <f>IFERROR((INDEX(TBBP[],$C52,E$8)),"SEM DADOS")</f>
        <v>-2955676.99</v>
      </c>
      <c r="G52" s="25">
        <f t="shared" si="2"/>
        <v>-3.1497315605647044E-2</v>
      </c>
      <c r="H52" s="24">
        <f>IFERROR(INDEX(TBBP[],$C52,H$8),"SEM DADOS")</f>
        <v>-4804786.62</v>
      </c>
      <c r="I52" s="25">
        <f t="shared" si="3"/>
        <v>-3.5354025856825108E-2</v>
      </c>
      <c r="J52" s="24">
        <f>IFERROR(INDEX(TBBP[],$C52,J$8),"SEM DADOS")</f>
        <v>-7163717.0599999996</v>
      </c>
      <c r="K52" s="25">
        <f t="shared" si="4"/>
        <v>-5.3688512563510787E-2</v>
      </c>
      <c r="L52" s="90">
        <f t="shared" si="6"/>
        <v>0.62561289215842208</v>
      </c>
      <c r="M52" s="90">
        <f t="shared" si="5"/>
        <v>0.49095425594570918</v>
      </c>
    </row>
    <row r="53" spans="3:13" x14ac:dyDescent="0.3">
      <c r="C53">
        <f t="shared" si="1"/>
        <v>54</v>
      </c>
      <c r="D53" t="str">
        <f>IFERROR(INDEX(TBBP[],$C53,1),"SEM DADOS")</f>
        <v>1.3.3.5.99</v>
      </c>
      <c r="E53" s="167" t="str">
        <f>IFERROR(INDEX(TBBP[],$C53,2),"SEM DADOS")</f>
        <v>Depreciações - Leasing Financeiro</v>
      </c>
      <c r="F53" s="168">
        <f>IFERROR((INDEX(TBBP[],$C53,E$8)),"SEM DADOS")</f>
        <v>0</v>
      </c>
      <c r="G53" s="169">
        <f t="shared" si="2"/>
        <v>0</v>
      </c>
      <c r="H53" s="168">
        <f>IFERROR(INDEX(TBBP[],$C53,H$8),"SEM DADOS")</f>
        <v>0</v>
      </c>
      <c r="I53" s="169">
        <f t="shared" si="3"/>
        <v>0</v>
      </c>
      <c r="J53" s="168">
        <f>IFERROR(INDEX(TBBP[],$C53,J$8),"SEM DADOS")</f>
        <v>0</v>
      </c>
      <c r="K53" s="169">
        <f t="shared" si="4"/>
        <v>0</v>
      </c>
      <c r="L53" s="237">
        <f t="shared" si="6"/>
        <v>0</v>
      </c>
      <c r="M53" s="237">
        <f t="shared" si="5"/>
        <v>0</v>
      </c>
    </row>
    <row r="54" spans="3:13" x14ac:dyDescent="0.3">
      <c r="C54">
        <f t="shared" si="1"/>
        <v>55</v>
      </c>
      <c r="D54" t="str">
        <f>IFERROR(INDEX(TBBP[],$C54,1),"SEM DADOS")</f>
        <v>1.3.4</v>
      </c>
      <c r="E54" s="17" t="str">
        <f>IFERROR(INDEX(TBBP[],$C54,2),"SEM DADOS")</f>
        <v>INTANGIVEL</v>
      </c>
      <c r="F54" s="24">
        <f>IFERROR((INDEX(TBBP[],$C54,E$8)),"SEM DADOS")</f>
        <v>988106.33000000007</v>
      </c>
      <c r="G54" s="25">
        <f t="shared" si="2"/>
        <v>1.0529803166328953E-2</v>
      </c>
      <c r="H54" s="24">
        <f>IFERROR(INDEX(TBBP[],$C54,H$8),"SEM DADOS")</f>
        <v>810312.9700000002</v>
      </c>
      <c r="I54" s="25">
        <f t="shared" si="3"/>
        <v>5.9623512882452951E-3</v>
      </c>
      <c r="J54" s="24">
        <f>IFERROR(INDEX(TBBP[],$C54,J$8),"SEM DADOS")</f>
        <v>936647.37000000011</v>
      </c>
      <c r="K54" s="25">
        <f t="shared" si="4"/>
        <v>7.0197082981700489E-3</v>
      </c>
      <c r="L54" s="90">
        <f t="shared" si="6"/>
        <v>-0.17993342882440577</v>
      </c>
      <c r="M54" s="90">
        <f t="shared" si="5"/>
        <v>0.15590815484540488</v>
      </c>
    </row>
    <row r="55" spans="3:13" x14ac:dyDescent="0.3">
      <c r="C55">
        <f t="shared" si="1"/>
        <v>56</v>
      </c>
      <c r="D55" t="str">
        <f>IFERROR(INDEX(TBBP[],$C55,1),"SEM DADOS")</f>
        <v>1.3.4.1.01.00004</v>
      </c>
      <c r="E55" s="17" t="str">
        <f>IFERROR(INDEX(TBBP[],$C55,2),"SEM DADOS")</f>
        <v>Modelos, Projetos e Prototipos</v>
      </c>
      <c r="F55" s="24">
        <f>IFERROR((INDEX(TBBP[],$C55,E$8)),"SEM DADOS")</f>
        <v>1050000</v>
      </c>
      <c r="G55" s="25">
        <f t="shared" si="2"/>
        <v>1.1189376071141453E-2</v>
      </c>
      <c r="H55" s="24">
        <f>IFERROR(INDEX(TBBP[],$C55,H$8),"SEM DADOS")</f>
        <v>1050000</v>
      </c>
      <c r="I55" s="25">
        <f t="shared" si="3"/>
        <v>7.7259887036703343E-3</v>
      </c>
      <c r="J55" s="24">
        <f>IFERROR(INDEX(TBBP[],$C55,J$8),"SEM DADOS")</f>
        <v>1360000</v>
      </c>
      <c r="K55" s="25">
        <f t="shared" si="4"/>
        <v>1.0192526655481097E-2</v>
      </c>
      <c r="L55" s="90">
        <f t="shared" si="6"/>
        <v>0</v>
      </c>
      <c r="M55" s="90">
        <f t="shared" si="5"/>
        <v>0.2952380952380953</v>
      </c>
    </row>
    <row r="56" spans="3:13" x14ac:dyDescent="0.3">
      <c r="C56">
        <f t="shared" si="1"/>
        <v>57</v>
      </c>
      <c r="D56" t="str">
        <f>IFERROR(INDEX(TBBP[],$C56,1),"SEM DADOS")</f>
        <v>1.3.4.1.01.00001</v>
      </c>
      <c r="E56" s="17" t="str">
        <f>IFERROR(INDEX(TBBP[],$C56,2),"SEM DADOS")</f>
        <v>Direito Uso Software</v>
      </c>
      <c r="F56" s="24">
        <f>IFERROR((INDEX(TBBP[],$C56,E$8)),"SEM DADOS")</f>
        <v>507795.34</v>
      </c>
      <c r="G56" s="25">
        <f t="shared" si="2"/>
        <v>5.4113457394601317E-3</v>
      </c>
      <c r="H56" s="24">
        <f>IFERROR(INDEX(TBBP[],$C56,H$8),"SEM DADOS")</f>
        <v>607520.41</v>
      </c>
      <c r="I56" s="25">
        <f t="shared" si="3"/>
        <v>4.4701864999134953E-3</v>
      </c>
      <c r="J56" s="24">
        <f>IFERROR(INDEX(TBBP[],$C56,J$8),"SEM DADOS")</f>
        <v>724324.41</v>
      </c>
      <c r="K56" s="25">
        <f t="shared" si="4"/>
        <v>5.4284528353975136E-3</v>
      </c>
      <c r="L56" s="90">
        <f t="shared" si="6"/>
        <v>0.19638831266155377</v>
      </c>
      <c r="M56" s="90">
        <f t="shared" si="5"/>
        <v>0.19226349942712218</v>
      </c>
    </row>
    <row r="57" spans="3:13" x14ac:dyDescent="0.3">
      <c r="C57">
        <f t="shared" si="1"/>
        <v>58</v>
      </c>
      <c r="D57" t="str">
        <f>IFERROR(INDEX(TBBP[],$C57,1),"SEM DADOS")</f>
        <v>1.3.4.1.01.00002</v>
      </c>
      <c r="E57" s="17" t="str">
        <f>IFERROR(INDEX(TBBP[],$C57,2),"SEM DADOS")</f>
        <v>Marcas e Patentes</v>
      </c>
      <c r="F57" s="24">
        <f>IFERROR((INDEX(TBBP[],$C57,E$8)),"SEM DADOS")</f>
        <v>355</v>
      </c>
      <c r="G57" s="25">
        <f t="shared" si="2"/>
        <v>3.7830747669097295E-6</v>
      </c>
      <c r="H57" s="24">
        <f>IFERROR(INDEX(TBBP[],$C57,H$8),"SEM DADOS")</f>
        <v>355</v>
      </c>
      <c r="I57" s="25">
        <f t="shared" si="3"/>
        <v>2.6121199902885416E-6</v>
      </c>
      <c r="J57" s="24">
        <f>IFERROR(INDEX(TBBP[],$C57,J$8),"SEM DADOS")</f>
        <v>355</v>
      </c>
      <c r="K57" s="25">
        <f t="shared" si="4"/>
        <v>2.6605492372763157E-6</v>
      </c>
      <c r="L57" s="90">
        <f t="shared" si="6"/>
        <v>0</v>
      </c>
      <c r="M57" s="90">
        <f t="shared" si="5"/>
        <v>0</v>
      </c>
    </row>
    <row r="58" spans="3:13" x14ac:dyDescent="0.3">
      <c r="C58">
        <f t="shared" si="1"/>
        <v>59</v>
      </c>
      <c r="D58" t="str">
        <f>IFERROR(INDEX(TBBP[],$C58,1),"SEM DADOS")</f>
        <v>1.3.4.1.01.00003</v>
      </c>
      <c r="E58" s="17" t="str">
        <f>IFERROR(INDEX(TBBP[],$C58,2),"SEM DADOS")</f>
        <v>Paginas de Internet / Sites</v>
      </c>
      <c r="F58" s="24">
        <f>IFERROR((INDEX(TBBP[],$C58,E$8)),"SEM DADOS")</f>
        <v>6000</v>
      </c>
      <c r="G58" s="25">
        <f t="shared" si="2"/>
        <v>6.3939291835094013E-5</v>
      </c>
      <c r="H58" s="24">
        <f>IFERROR(INDEX(TBBP[],$C58,H$8),"SEM DADOS")</f>
        <v>6000</v>
      </c>
      <c r="I58" s="25">
        <f t="shared" si="3"/>
        <v>4.4148506878116192E-5</v>
      </c>
      <c r="J58" s="24">
        <f>IFERROR(INDEX(TBBP[],$C58,J$8),"SEM DADOS")</f>
        <v>6000</v>
      </c>
      <c r="K58" s="25">
        <f t="shared" si="4"/>
        <v>4.4967029362416603E-5</v>
      </c>
      <c r="L58" s="90">
        <f t="shared" si="6"/>
        <v>0</v>
      </c>
      <c r="M58" s="90">
        <f t="shared" si="5"/>
        <v>0</v>
      </c>
    </row>
    <row r="59" spans="3:13" x14ac:dyDescent="0.3">
      <c r="C59">
        <f t="shared" si="1"/>
        <v>60</v>
      </c>
      <c r="D59" t="str">
        <f>IFERROR(INDEX(TBBP[],$C59,1),"SEM DADOS")</f>
        <v>1.3.4.1.99</v>
      </c>
      <c r="E59" s="159" t="str">
        <f>IFERROR(INDEX(TBBP[],$C59,2),"SEM DADOS")</f>
        <v>Amortizacao Acumulada</v>
      </c>
      <c r="F59" s="160">
        <f>IFERROR((INDEX(TBBP[],$C59,E$8)),"SEM DADOS")</f>
        <v>-576044.01</v>
      </c>
      <c r="G59" s="161">
        <f t="shared" si="2"/>
        <v>-6.1386410108746365E-3</v>
      </c>
      <c r="H59" s="160">
        <f>IFERROR(INDEX(TBBP[],$C59,H$8),"SEM DADOS")</f>
        <v>-853562.44</v>
      </c>
      <c r="I59" s="161">
        <f t="shared" si="3"/>
        <v>-6.2805845422069396E-3</v>
      </c>
      <c r="J59" s="160">
        <f>IFERROR(INDEX(TBBP[],$C59,J$8),"SEM DADOS")</f>
        <v>-1154032.04</v>
      </c>
      <c r="K59" s="161">
        <f t="shared" si="4"/>
        <v>-8.6488987713082555E-3</v>
      </c>
      <c r="L59" s="235">
        <f t="shared" si="6"/>
        <v>0.48176601992615109</v>
      </c>
      <c r="M59" s="235">
        <f t="shared" si="5"/>
        <v>0.35201830108644439</v>
      </c>
    </row>
    <row r="60" spans="3:13" ht="15" thickBot="1" x14ac:dyDescent="0.35">
      <c r="C60">
        <f t="shared" si="1"/>
        <v>61</v>
      </c>
      <c r="D60" t="str">
        <f>IFERROR(INDEX(TBBP[],$C60,1),"SEM DADOS")</f>
        <v>2</v>
      </c>
      <c r="E60" s="165" t="str">
        <f>IFERROR(INDEX(TBBP[],$C60,2),"SEM DADOS")</f>
        <v>PASSIVO</v>
      </c>
      <c r="F60" s="163">
        <f>IFERROR((INDEX(TBBP[],$C60,E$8)),"SEM DADOS")</f>
        <v>93839012.405799985</v>
      </c>
      <c r="G60" s="164">
        <f t="shared" si="2"/>
        <v>-162.90250532385534</v>
      </c>
      <c r="H60" s="163">
        <f>IFERROR(INDEX(TBBP[],$C60,H$8),"SEM DADOS")</f>
        <v>135904935.96000001</v>
      </c>
      <c r="I60" s="164">
        <f t="shared" si="3"/>
        <v>-159.22084851812366</v>
      </c>
      <c r="J60" s="163">
        <f>IFERROR(INDEX(TBBP[],$C60,J$8),"SEM DADOS")</f>
        <v>133431095.7429</v>
      </c>
      <c r="K60" s="164">
        <f t="shared" si="4"/>
        <v>-115.62165617420813</v>
      </c>
      <c r="L60" s="236">
        <f t="shared" si="6"/>
        <v>0.44827756042752243</v>
      </c>
      <c r="M60" s="236">
        <f t="shared" si="5"/>
        <v>-1.8202725306666667E-2</v>
      </c>
    </row>
    <row r="61" spans="3:13" ht="15" thickTop="1" x14ac:dyDescent="0.3">
      <c r="C61">
        <f t="shared" si="1"/>
        <v>62</v>
      </c>
      <c r="D61" t="str">
        <f>IFERROR(INDEX(TBBP[],$C61,1),"SEM DADOS")</f>
        <v>2.1</v>
      </c>
      <c r="E61" s="17" t="str">
        <f>IFERROR(INDEX(TBBP[],$C61,2),"SEM DADOS")</f>
        <v>PASSIVO CIRCULANTE</v>
      </c>
      <c r="F61" s="24">
        <f>IFERROR((INDEX(TBBP[],$C61,E$8)),"SEM DADOS")</f>
        <v>18207300.539999999</v>
      </c>
      <c r="G61" s="25">
        <f t="shared" si="2"/>
        <v>-31.607481761679978</v>
      </c>
      <c r="H61" s="24">
        <f>IFERROR(INDEX(TBBP[],$C61,H$8),"SEM DADOS")</f>
        <v>35014129.395900004</v>
      </c>
      <c r="I61" s="25">
        <f t="shared" si="3"/>
        <v>-41.021169342807546</v>
      </c>
      <c r="J61" s="24">
        <f>IFERROR(INDEX(TBBP[],$C61,J$8),"SEM DADOS")</f>
        <v>33810455.879999995</v>
      </c>
      <c r="K61" s="25">
        <f t="shared" si="4"/>
        <v>-29.297675201461473</v>
      </c>
      <c r="L61" s="90">
        <f t="shared" si="6"/>
        <v>0.92308186043157425</v>
      </c>
      <c r="M61" s="90">
        <f t="shared" si="5"/>
        <v>-3.4376794073336381E-2</v>
      </c>
    </row>
    <row r="62" spans="3:13" x14ac:dyDescent="0.3">
      <c r="C62">
        <f t="shared" si="1"/>
        <v>63</v>
      </c>
      <c r="D62" t="str">
        <f>IFERROR(INDEX(TBBP[],$C62,1),"SEM DADOS")</f>
        <v>2.1.1.1.01</v>
      </c>
      <c r="E62" s="17" t="str">
        <f>IFERROR(INDEX(TBBP[],$C62,2),"SEM DADOS")</f>
        <v>Fornecedores Nacionais</v>
      </c>
      <c r="F62" s="24">
        <f>IFERROR((INDEX(TBBP[],$C62,E$8)),"SEM DADOS")</f>
        <v>3618912.24</v>
      </c>
      <c r="G62" s="25">
        <f t="shared" si="2"/>
        <v>-6.2823537389096371</v>
      </c>
      <c r="H62" s="24">
        <f>IFERROR(INDEX(TBBP[],$C62,H$8),"SEM DADOS")</f>
        <v>5277068.1900000004</v>
      </c>
      <c r="I62" s="25">
        <f t="shared" si="3"/>
        <v>-6.1824044061732621</v>
      </c>
      <c r="J62" s="24">
        <f>IFERROR(INDEX(TBBP[],$C62,J$8),"SEM DADOS")</f>
        <v>4475096.8499999996</v>
      </c>
      <c r="K62" s="25">
        <f t="shared" si="4"/>
        <v>-3.8777925524494097</v>
      </c>
      <c r="L62" s="90">
        <f t="shared" si="6"/>
        <v>0.45819181014458654</v>
      </c>
      <c r="M62" s="90">
        <f t="shared" si="5"/>
        <v>-0.15197289690509019</v>
      </c>
    </row>
    <row r="63" spans="3:13" x14ac:dyDescent="0.3">
      <c r="C63">
        <f t="shared" si="1"/>
        <v>64</v>
      </c>
      <c r="D63" t="str">
        <f>IFERROR(INDEX(TBBP[],$C63,1),"SEM DADOS")</f>
        <v>2.1.1.1.02</v>
      </c>
      <c r="E63" s="17" t="str">
        <f>IFERROR(INDEX(TBBP[],$C63,2),"SEM DADOS")</f>
        <v>Fornecedor - Compras para Entrega Futura</v>
      </c>
      <c r="F63" s="24">
        <f>IFERROR((INDEX(TBBP[],$C63,E$8)),"SEM DADOS")</f>
        <v>0</v>
      </c>
      <c r="G63" s="25">
        <f t="shared" si="2"/>
        <v>0</v>
      </c>
      <c r="H63" s="24">
        <f>IFERROR(INDEX(TBBP[],$C63,H$8),"SEM DADOS")</f>
        <v>0</v>
      </c>
      <c r="I63" s="25">
        <f t="shared" si="3"/>
        <v>0</v>
      </c>
      <c r="J63" s="24">
        <f>IFERROR(INDEX(TBBP[],$C63,J$8),"SEM DADOS")</f>
        <v>0</v>
      </c>
      <c r="K63" s="25">
        <f t="shared" si="4"/>
        <v>0</v>
      </c>
      <c r="L63" s="90">
        <f t="shared" si="6"/>
        <v>0</v>
      </c>
      <c r="M63" s="90">
        <f t="shared" si="5"/>
        <v>0</v>
      </c>
    </row>
    <row r="64" spans="3:13" x14ac:dyDescent="0.3">
      <c r="C64">
        <f t="shared" si="1"/>
        <v>65</v>
      </c>
      <c r="D64" t="str">
        <f>IFERROR(INDEX(TBBP[],$C64,1),"SEM DADOS")</f>
        <v>2.1.1.1.03</v>
      </c>
      <c r="E64" s="17" t="str">
        <f>IFERROR(INDEX(TBBP[],$C64,2),"SEM DADOS")</f>
        <v>Fornecedores No Exterior</v>
      </c>
      <c r="F64" s="24">
        <f>IFERROR((INDEX(TBBP[],$C64,E$8)),"SEM DADOS")</f>
        <v>631018.89</v>
      </c>
      <c r="G64" s="25">
        <f t="shared" si="2"/>
        <v>-1.0954352081536269</v>
      </c>
      <c r="H64" s="24">
        <f>IFERROR(INDEX(TBBP[],$C64,H$8),"SEM DADOS")</f>
        <v>2620762.5299999998</v>
      </c>
      <c r="I64" s="25">
        <f t="shared" si="3"/>
        <v>-3.0703817403211886</v>
      </c>
      <c r="J64" s="24">
        <f>IFERROR(INDEX(TBBP[],$C64,J$8),"SEM DADOS")</f>
        <v>123330.96</v>
      </c>
      <c r="K64" s="25">
        <f t="shared" si="4"/>
        <v>-0.1068696151625045</v>
      </c>
      <c r="L64" s="90">
        <f t="shared" si="6"/>
        <v>3.1532235746540005</v>
      </c>
      <c r="M64" s="90">
        <f t="shared" si="5"/>
        <v>-0.95294081070366954</v>
      </c>
    </row>
    <row r="65" spans="3:13" x14ac:dyDescent="0.3">
      <c r="C65">
        <f t="shared" si="1"/>
        <v>66</v>
      </c>
      <c r="D65" t="str">
        <f>IFERROR(INDEX(TBBP[],$C65,1),"SEM DADOS")</f>
        <v>2.1.1.2</v>
      </c>
      <c r="E65" s="17" t="str">
        <f>IFERROR(INDEX(TBBP[],$C65,2),"SEM DADOS")</f>
        <v>Emprestimos E Financimentos - TERCEIROS</v>
      </c>
      <c r="F65" s="24">
        <f>IFERROR((INDEX(TBBP[],$C65,E$8)),"SEM DADOS")</f>
        <v>3889034.71</v>
      </c>
      <c r="G65" s="25">
        <f t="shared" si="2"/>
        <v>-6.7512805314996678</v>
      </c>
      <c r="H65" s="24">
        <f>IFERROR(INDEX(TBBP[],$C65,H$8),"SEM DADOS")</f>
        <v>9610699.5199999996</v>
      </c>
      <c r="I65" s="25">
        <f t="shared" si="3"/>
        <v>-11.259515496019249</v>
      </c>
      <c r="J65" s="24">
        <f>IFERROR(INDEX(TBBP[],$C65,J$8),"SEM DADOS")</f>
        <v>16567130.529999999</v>
      </c>
      <c r="K65" s="25">
        <f t="shared" si="4"/>
        <v>-14.355867043344826</v>
      </c>
      <c r="L65" s="90">
        <f t="shared" si="6"/>
        <v>1.4712300703533705</v>
      </c>
      <c r="M65" s="90">
        <f t="shared" si="5"/>
        <v>0.72382150701138559</v>
      </c>
    </row>
    <row r="66" spans="3:13" x14ac:dyDescent="0.3">
      <c r="C66">
        <v>67</v>
      </c>
      <c r="D66" t="str">
        <f>IFERROR(INDEX(TBBP[],$C66,1),"SEM DADOS")</f>
        <v>2.1.1.4</v>
      </c>
      <c r="E66" s="17" t="str">
        <f>IFERROR(INDEX(TBBP[],$C66,2),"SEM DADOS")</f>
        <v>Salarios e Encargos Sociais</v>
      </c>
      <c r="F66" s="24">
        <f>IFERROR((INDEX(TBBP[],$C66,E$8)),"SEM DADOS")</f>
        <v>908782.42</v>
      </c>
      <c r="G66" s="25">
        <f t="shared" si="2"/>
        <v>-1.5776267164031443</v>
      </c>
      <c r="H66" s="24">
        <f>IFERROR(INDEX(TBBP[],$C66,H$8),"SEM DADOS")</f>
        <v>1645585.17</v>
      </c>
      <c r="I66" s="25">
        <f t="shared" si="3"/>
        <v>-1.9279025093934545</v>
      </c>
      <c r="J66" s="24">
        <f>IFERROR(INDEX(TBBP[],$C66,J$8),"SEM DADOS")</f>
        <v>1078961.79</v>
      </c>
      <c r="K66" s="25">
        <f t="shared" si="4"/>
        <v>-0.93494959637342478</v>
      </c>
      <c r="L66" s="90">
        <f t="shared" si="6"/>
        <v>0.81075814604776331</v>
      </c>
      <c r="M66" s="90">
        <f t="shared" si="5"/>
        <v>-0.34432941565704556</v>
      </c>
    </row>
    <row r="67" spans="3:13" x14ac:dyDescent="0.3">
      <c r="C67">
        <v>72</v>
      </c>
      <c r="D67" t="str">
        <f>IFERROR(INDEX(TBBP[],$C67,1),"SEM DADOS")</f>
        <v>2.1.1.5.02.00002</v>
      </c>
      <c r="E67" s="17" t="str">
        <f>IFERROR(INDEX(TBBP[],$C67,2),"SEM DADOS")</f>
        <v>Pis a Recolher</v>
      </c>
      <c r="F67" s="24">
        <f>IFERROR((INDEX(TBBP[],$C67,E$8)),"SEM DADOS")</f>
        <v>45337.41</v>
      </c>
      <c r="G67" s="25">
        <f t="shared" si="2"/>
        <v>-7.8704767713841869E-2</v>
      </c>
      <c r="H67" s="24">
        <f>IFERROR(INDEX(TBBP[],$C67,H$8),"SEM DADOS")</f>
        <v>131933.81</v>
      </c>
      <c r="I67" s="25">
        <f t="shared" si="3"/>
        <v>-0.15456843438424964</v>
      </c>
      <c r="J67" s="24">
        <f>IFERROR(INDEX(TBBP[],$C67,J$8),"SEM DADOS")</f>
        <v>21883.05</v>
      </c>
      <c r="K67" s="25">
        <f t="shared" si="4"/>
        <v>-1.8962255155411455E-2</v>
      </c>
      <c r="L67" s="90">
        <f t="shared" si="6"/>
        <v>1.9100429424618652</v>
      </c>
      <c r="M67" s="90">
        <f t="shared" si="5"/>
        <v>-0.83413614751215026</v>
      </c>
    </row>
    <row r="68" spans="3:13" x14ac:dyDescent="0.3">
      <c r="C68">
        <f t="shared" si="1"/>
        <v>73</v>
      </c>
      <c r="D68" t="str">
        <f>IFERROR(INDEX(TBBP[],$C68,1),"SEM DADOS")</f>
        <v>2.1.1.6</v>
      </c>
      <c r="E68" s="17" t="str">
        <f>IFERROR(INDEX(TBBP[],$C68,2),"SEM DADOS")</f>
        <v>Provisao do Imposto de Renda e CSSLL</v>
      </c>
      <c r="F68" s="24">
        <f>IFERROR((INDEX(TBBP[],$C68,E$8)),"SEM DADOS")</f>
        <v>5267928.84</v>
      </c>
      <c r="G68" s="25">
        <f t="shared" si="2"/>
        <v>-9.1450110556656945</v>
      </c>
      <c r="H68" s="24">
        <f>IFERROR(INDEX(TBBP[],$C68,H$8),"SEM DADOS")</f>
        <v>6782269.3359000003</v>
      </c>
      <c r="I68" s="25">
        <f t="shared" si="3"/>
        <v>-7.9458385445123394</v>
      </c>
      <c r="J68" s="24">
        <f>IFERROR(INDEX(TBBP[],$C68,J$8),"SEM DADOS")</f>
        <v>0</v>
      </c>
      <c r="K68" s="25">
        <f t="shared" si="4"/>
        <v>0</v>
      </c>
      <c r="L68" s="90">
        <f t="shared" si="6"/>
        <v>0.28746411386604853</v>
      </c>
      <c r="M68" s="90">
        <f t="shared" si="5"/>
        <v>-1</v>
      </c>
    </row>
    <row r="69" spans="3:13" x14ac:dyDescent="0.3">
      <c r="C69">
        <f t="shared" si="1"/>
        <v>74</v>
      </c>
      <c r="D69" t="str">
        <f>IFERROR(INDEX(TBBP[],$C69,1),"SEM DADOS")</f>
        <v>2.1.1.7.01</v>
      </c>
      <c r="E69" s="17" t="str">
        <f>IFERROR(INDEX(TBBP[],$C69,2),"SEM DADOS")</f>
        <v>Dividendos</v>
      </c>
      <c r="F69" s="24">
        <f>IFERROR((INDEX(TBBP[],$C69,E$8)),"SEM DADOS")</f>
        <v>0</v>
      </c>
      <c r="G69" s="25">
        <f t="shared" si="2"/>
        <v>0</v>
      </c>
      <c r="H69" s="24">
        <f>IFERROR(INDEX(TBBP[],$C69,H$8),"SEM DADOS")</f>
        <v>0</v>
      </c>
      <c r="I69" s="25">
        <f t="shared" si="3"/>
        <v>0</v>
      </c>
      <c r="J69" s="24">
        <f>IFERROR(INDEX(TBBP[],$C69,J$8),"SEM DADOS")</f>
        <v>4006800</v>
      </c>
      <c r="K69" s="25">
        <f t="shared" si="4"/>
        <v>-3.4720006560649734</v>
      </c>
      <c r="L69" s="90">
        <f t="shared" si="6"/>
        <v>0</v>
      </c>
      <c r="M69" s="90">
        <f t="shared" si="5"/>
        <v>1</v>
      </c>
    </row>
    <row r="70" spans="3:13" x14ac:dyDescent="0.3">
      <c r="C70">
        <f t="shared" si="1"/>
        <v>75</v>
      </c>
      <c r="D70" t="str">
        <f>IFERROR(INDEX(TBBP[],$C70,1),"SEM DADOS")</f>
        <v>2.1.1.7.02</v>
      </c>
      <c r="E70" s="17" t="str">
        <f>IFERROR(INDEX(TBBP[],$C70,2),"SEM DADOS")</f>
        <v>Juros s/ Capital Proprio</v>
      </c>
      <c r="F70" s="24">
        <f>IFERROR((INDEX(TBBP[],$C70,E$8)),"SEM DADOS")</f>
        <v>0</v>
      </c>
      <c r="G70" s="25">
        <f t="shared" si="2"/>
        <v>0</v>
      </c>
      <c r="H70" s="24">
        <f>IFERROR(INDEX(TBBP[],$C70,H$8),"SEM DADOS")</f>
        <v>0</v>
      </c>
      <c r="I70" s="25">
        <f t="shared" si="3"/>
        <v>0</v>
      </c>
      <c r="J70" s="24">
        <f>IFERROR(INDEX(TBBP[],$C70,J$8),"SEM DADOS")</f>
        <v>0</v>
      </c>
      <c r="K70" s="25">
        <f t="shared" si="4"/>
        <v>0</v>
      </c>
      <c r="L70" s="90">
        <f t="shared" si="6"/>
        <v>0</v>
      </c>
      <c r="M70" s="90">
        <f t="shared" si="5"/>
        <v>0</v>
      </c>
    </row>
    <row r="71" spans="3:13" x14ac:dyDescent="0.3">
      <c r="C71">
        <f t="shared" si="1"/>
        <v>76</v>
      </c>
      <c r="D71" t="str">
        <f>IFERROR(INDEX(TBBP[],$C71,1),"SEM DADOS")</f>
        <v>2.1.1.8</v>
      </c>
      <c r="E71" s="17" t="str">
        <f>IFERROR(INDEX(TBBP[],$C71,2),"SEM DADOS")</f>
        <v>Adiantamento Terceiros</v>
      </c>
      <c r="F71" s="24">
        <f>IFERROR((INDEX(TBBP[],$C71,E$8)),"SEM DADOS")</f>
        <v>3268301.18</v>
      </c>
      <c r="G71" s="25">
        <f t="shared" si="2"/>
        <v>-5.6737004868777303</v>
      </c>
      <c r="H71" s="24">
        <f>IFERROR(INDEX(TBBP[],$C71,H$8),"SEM DADOS")</f>
        <v>8077947.7800000003</v>
      </c>
      <c r="I71" s="25">
        <f t="shared" si="3"/>
        <v>-9.4638041711394898</v>
      </c>
      <c r="J71" s="24">
        <f>IFERROR(INDEX(TBBP[],$C71,J$8),"SEM DADOS")</f>
        <v>7125334.3600000003</v>
      </c>
      <c r="K71" s="25">
        <f t="shared" si="4"/>
        <v>-6.1742950914950336</v>
      </c>
      <c r="L71" s="90">
        <f t="shared" si="6"/>
        <v>1.4716044621077424</v>
      </c>
      <c r="M71" s="90">
        <f t="shared" si="5"/>
        <v>-0.11792765265932426</v>
      </c>
    </row>
    <row r="72" spans="3:13" ht="15" thickBot="1" x14ac:dyDescent="0.35">
      <c r="C72">
        <f t="shared" si="1"/>
        <v>77</v>
      </c>
      <c r="D72" t="str">
        <f>IFERROR(INDEX(TBBP[],$C72,1),"SEM DADOS")</f>
        <v>2.1.SEM CONTA</v>
      </c>
      <c r="E72" s="165" t="str">
        <f>IFERROR(INDEX(TBBP[],$C72,2),"SEM DADOS")</f>
        <v>Outras Contas</v>
      </c>
      <c r="F72" s="163">
        <f>IFERROR((INDEX(TBBP[],$C72,E$8)),"SEM DADOS")</f>
        <v>0</v>
      </c>
      <c r="G72" s="164">
        <f t="shared" si="2"/>
        <v>0</v>
      </c>
      <c r="H72" s="163">
        <f>IFERROR(INDEX(TBBP[],$C72,H$8),"SEM DADOS")</f>
        <v>0</v>
      </c>
      <c r="I72" s="164">
        <f t="shared" si="3"/>
        <v>0</v>
      </c>
      <c r="J72" s="163">
        <f>IFERROR(INDEX(TBBP[],$C72,J$8),"SEM DADOS")</f>
        <v>0</v>
      </c>
      <c r="K72" s="164">
        <f t="shared" si="4"/>
        <v>0</v>
      </c>
      <c r="L72" s="236">
        <f t="shared" si="6"/>
        <v>0</v>
      </c>
      <c r="M72" s="236">
        <f t="shared" si="5"/>
        <v>0</v>
      </c>
    </row>
    <row r="73" spans="3:13" ht="15" thickTop="1" x14ac:dyDescent="0.3">
      <c r="C73">
        <f t="shared" si="1"/>
        <v>78</v>
      </c>
      <c r="D73" t="str">
        <f>IFERROR(INDEX(TBBP[],$C73,1),"SEM DADOS")</f>
        <v>2.3</v>
      </c>
      <c r="E73" s="17" t="str">
        <f>IFERROR(INDEX(TBBP[],$C73,2),"SEM DADOS")</f>
        <v>PASSIVO NAO CIRCULANTE</v>
      </c>
      <c r="F73" s="24">
        <f>IFERROR((INDEX(TBBP[],$C73,E$8)),"SEM DADOS")</f>
        <v>1652126.97</v>
      </c>
      <c r="G73" s="25">
        <f t="shared" si="2"/>
        <v>-2.8680568521144765</v>
      </c>
      <c r="H73" s="24">
        <f>IFERROR(INDEX(TBBP[],$C73,H$8),"SEM DADOS")</f>
        <v>15856749.67</v>
      </c>
      <c r="I73" s="25">
        <f t="shared" si="3"/>
        <v>-18.577140847481527</v>
      </c>
      <c r="J73" s="24">
        <f>IFERROR(INDEX(TBBP[],$C73,J$8),"SEM DADOS")</f>
        <v>21328840.109999999</v>
      </c>
      <c r="K73" s="25">
        <f t="shared" si="4"/>
        <v>-18.482017284372798</v>
      </c>
      <c r="L73" s="90">
        <f t="shared" si="6"/>
        <v>8.5977790798972311</v>
      </c>
      <c r="M73" s="90">
        <f t="shared" si="5"/>
        <v>0.34509534134557596</v>
      </c>
    </row>
    <row r="74" spans="3:13" x14ac:dyDescent="0.3">
      <c r="C74">
        <f t="shared" si="1"/>
        <v>79</v>
      </c>
      <c r="D74" t="str">
        <f>IFERROR(INDEX(TBBP[],$C74,1),"SEM DADOS")</f>
        <v>2.3.1</v>
      </c>
      <c r="E74" s="17" t="str">
        <f>IFERROR(INDEX(TBBP[],$C74,2),"SEM DADOS")</f>
        <v>Emprestimos de Terceiros LP</v>
      </c>
      <c r="F74" s="24">
        <f>IFERROR((INDEX(TBBP[],$C74,E$8)),"SEM DADOS")</f>
        <v>1652126.97</v>
      </c>
      <c r="G74" s="25">
        <f t="shared" si="2"/>
        <v>-2.8680568521144765</v>
      </c>
      <c r="H74" s="24">
        <f>IFERROR(INDEX(TBBP[],$C74,H$8),"SEM DADOS")</f>
        <v>15856749.67</v>
      </c>
      <c r="I74" s="25">
        <f t="shared" si="3"/>
        <v>-18.577140847481527</v>
      </c>
      <c r="J74" s="24">
        <f>IFERROR(INDEX(TBBP[],$C74,J$8),"SEM DADOS")</f>
        <v>13315240.109999999</v>
      </c>
      <c r="K74" s="25">
        <f t="shared" si="4"/>
        <v>-11.538015972242849</v>
      </c>
      <c r="L74" s="90">
        <f t="shared" si="6"/>
        <v>8.5977790798972311</v>
      </c>
      <c r="M74" s="90">
        <f t="shared" si="5"/>
        <v>-0.16027935187804476</v>
      </c>
    </row>
    <row r="75" spans="3:13" x14ac:dyDescent="0.3">
      <c r="C75">
        <f t="shared" ref="C75:C82" si="7">C74+1</f>
        <v>80</v>
      </c>
      <c r="D75" t="str">
        <f>IFERROR(INDEX(TBBP[],$C75,1),"SEM DADOS")</f>
        <v>2.SEM CONTA</v>
      </c>
      <c r="E75" s="17" t="str">
        <f>IFERROR(INDEX(TBBP[],$C75,2),"SEM DADOS")</f>
        <v>Fornecedores Nacionais LP</v>
      </c>
      <c r="F75" s="24">
        <f>IFERROR((INDEX(TBBP[],$C75,E$8)),"SEM DADOS")</f>
        <v>0</v>
      </c>
      <c r="G75" s="25">
        <f t="shared" ref="G75:G82" si="8">IFERROR(IF(MID(D75,1,1)="1",F75/$F$10,IF(MID(D75,1,1)="2",F75/$F$59,)),"SEM DADOS")</f>
        <v>0</v>
      </c>
      <c r="H75" s="24">
        <f>IFERROR(INDEX(TBBP[],$C75,H$8),"SEM DADOS")</f>
        <v>0</v>
      </c>
      <c r="I75" s="25">
        <f t="shared" ref="I75:I82" si="9">IFERROR(IF(MID(D75,1,1)="1",H75/$H$10,IF(MID(D75,1,1)="2",H75/$H$59,)),"SEM DADOS")</f>
        <v>0</v>
      </c>
      <c r="J75" s="24">
        <f>IFERROR(INDEX(TBBP[],$C75,J$8),"SEM DADOS")</f>
        <v>0</v>
      </c>
      <c r="K75" s="25">
        <f t="shared" ref="K75:K82" si="10">IFERROR(IF(MID(D75,1,1)="1",J75/$J$10,IF(MID(D75,1,1)="2",J75/$J$59,)),"SEM DADOS")</f>
        <v>0</v>
      </c>
      <c r="L75" s="90">
        <f t="shared" si="6"/>
        <v>0</v>
      </c>
      <c r="M75" s="90">
        <f t="shared" ref="M75:M83" si="11">IF(AND(H75=0,J75&lt;&gt;0),1,IFERROR((J75/H75)-1,0))</f>
        <v>0</v>
      </c>
    </row>
    <row r="76" spans="3:13" ht="15" thickBot="1" x14ac:dyDescent="0.35">
      <c r="C76">
        <f t="shared" si="7"/>
        <v>81</v>
      </c>
      <c r="D76" t="str">
        <f>IFERROR(INDEX(TBBP[],$C76,1),"SEM DADOS")</f>
        <v>2.3.6.1</v>
      </c>
      <c r="E76" s="165" t="str">
        <f>IFERROR(INDEX(TBBP[],$C76,2),"SEM DADOS")</f>
        <v>Dividendos Longo Prazo</v>
      </c>
      <c r="F76" s="163">
        <f>IFERROR((INDEX(TBBP[],$C76,E$8)),"SEM DADOS")</f>
        <v>0</v>
      </c>
      <c r="G76" s="164">
        <f t="shared" si="8"/>
        <v>0</v>
      </c>
      <c r="H76" s="163">
        <f>IFERROR(INDEX(TBBP[],$C76,H$8),"SEM DADOS")</f>
        <v>0</v>
      </c>
      <c r="I76" s="164">
        <f t="shared" si="9"/>
        <v>0</v>
      </c>
      <c r="J76" s="163">
        <f>IFERROR(INDEX(TBBP[],$C76,J$8),"SEM DADOS")</f>
        <v>8013600</v>
      </c>
      <c r="K76" s="164">
        <f t="shared" si="10"/>
        <v>-6.9440013121299469</v>
      </c>
      <c r="L76" s="236">
        <f t="shared" si="6"/>
        <v>0</v>
      </c>
      <c r="M76" s="236">
        <f t="shared" si="11"/>
        <v>1</v>
      </c>
    </row>
    <row r="77" spans="3:13" ht="15" thickTop="1" x14ac:dyDescent="0.3">
      <c r="C77">
        <f t="shared" si="7"/>
        <v>82</v>
      </c>
      <c r="D77" t="str">
        <f>IFERROR(INDEX(TBBP[],$C77,1),"SEM DADOS")</f>
        <v>2.9</v>
      </c>
      <c r="E77" s="17" t="str">
        <f>IFERROR(INDEX(TBBP[],$C77,2),"SEM DADOS")</f>
        <v>PATRIMONIO LIQUIDO</v>
      </c>
      <c r="F77" s="24">
        <f>IFERROR((INDEX(TBBP[],$C77,E$8)),"SEM DADOS")</f>
        <v>73979584.895799994</v>
      </c>
      <c r="G77" s="25">
        <f t="shared" si="8"/>
        <v>-128.4269667100609</v>
      </c>
      <c r="H77" s="24">
        <f>IFERROR(INDEX(TBBP[],$C77,H$8),"SEM DADOS")</f>
        <v>85034056.894099995</v>
      </c>
      <c r="I77" s="25">
        <f t="shared" si="9"/>
        <v>-99.622538327834576</v>
      </c>
      <c r="J77" s="24">
        <f>IFERROR(INDEX(TBBP[],$C77,J$8),"SEM DADOS")</f>
        <v>78291799.752900004</v>
      </c>
      <c r="K77" s="25">
        <f t="shared" si="10"/>
        <v>-67.841963688373852</v>
      </c>
      <c r="L77" s="90">
        <f t="shared" si="6"/>
        <v>0.14942598034133581</v>
      </c>
      <c r="M77" s="90">
        <f t="shared" si="11"/>
        <v>-7.9288903616543727E-2</v>
      </c>
    </row>
    <row r="78" spans="3:13" x14ac:dyDescent="0.3">
      <c r="C78">
        <f t="shared" si="7"/>
        <v>83</v>
      </c>
      <c r="D78" t="str">
        <f>IFERROR(INDEX(TBBP[],$C78,1),"SEM DADOS")</f>
        <v>2.9.1</v>
      </c>
      <c r="E78" s="17" t="str">
        <f>IFERROR(INDEX(TBBP[],$C78,2),"SEM DADOS")</f>
        <v>Capital Social</v>
      </c>
      <c r="F78" s="24">
        <f>IFERROR((INDEX(TBBP[],$C78,E$8)),"SEM DADOS")</f>
        <v>1000000</v>
      </c>
      <c r="G78" s="25">
        <f t="shared" si="8"/>
        <v>-1.7359784715060225</v>
      </c>
      <c r="H78" s="24">
        <f>IFERROR(INDEX(TBBP[],$C78,H$8),"SEM DADOS")</f>
        <v>1000000</v>
      </c>
      <c r="I78" s="25">
        <f t="shared" si="9"/>
        <v>-1.1715604543236462</v>
      </c>
      <c r="J78" s="24">
        <f>IFERROR(INDEX(TBBP[],$C78,J$8),"SEM DADOS")</f>
        <v>1000000</v>
      </c>
      <c r="K78" s="25">
        <f t="shared" si="10"/>
        <v>-0.86652706800064228</v>
      </c>
      <c r="L78" s="90">
        <f t="shared" ref="L78:L83" si="12">IF(AND(F78=0,H78&lt;&gt;0),1,IFERROR((H78/F78)-1,0))</f>
        <v>0</v>
      </c>
      <c r="M78" s="90">
        <f t="shared" si="11"/>
        <v>0</v>
      </c>
    </row>
    <row r="79" spans="3:13" x14ac:dyDescent="0.3">
      <c r="C79">
        <f t="shared" si="7"/>
        <v>84</v>
      </c>
      <c r="D79" t="str">
        <f>IFERROR(INDEX(TBBP[],$C79,1),"SEM DADOS")</f>
        <v>2.SEM CONTA</v>
      </c>
      <c r="E79" s="17" t="str">
        <f>IFERROR(INDEX(TBBP[],$C79,2),"SEM DADOS")</f>
        <v>Reservas de Capital</v>
      </c>
      <c r="F79" s="24">
        <f>IFERROR((INDEX(TBBP[],$C79,E$8)),"SEM DADOS")</f>
        <v>0</v>
      </c>
      <c r="G79" s="25">
        <f t="shared" si="8"/>
        <v>0</v>
      </c>
      <c r="H79" s="24">
        <f>IFERROR(INDEX(TBBP[],$C79,H$8),"SEM DADOS")</f>
        <v>0</v>
      </c>
      <c r="I79" s="25">
        <f t="shared" si="9"/>
        <v>0</v>
      </c>
      <c r="J79" s="24">
        <f>IFERROR(INDEX(TBBP[],$C79,J$8),"SEM DADOS")</f>
        <v>0</v>
      </c>
      <c r="K79" s="25">
        <f t="shared" si="10"/>
        <v>0</v>
      </c>
      <c r="L79" s="90">
        <f t="shared" si="12"/>
        <v>0</v>
      </c>
      <c r="M79" s="90">
        <f t="shared" si="11"/>
        <v>0</v>
      </c>
    </row>
    <row r="80" spans="3:13" x14ac:dyDescent="0.3">
      <c r="C80">
        <f t="shared" si="7"/>
        <v>85</v>
      </c>
      <c r="D80" t="str">
        <f>IFERROR(INDEX(TBBP[],$C80,1),"SEM DADOS")</f>
        <v>2.9.4.1.01.00001</v>
      </c>
      <c r="E80" s="17" t="str">
        <f>IFERROR(INDEX(TBBP[],$C80,2),"SEM DADOS")</f>
        <v>Reserva de Lucros</v>
      </c>
      <c r="F80" s="24">
        <f>IFERROR((INDEX(TBBP[],$C80,E$8)),"SEM DADOS")</f>
        <v>63315063.969999999</v>
      </c>
      <c r="G80" s="25">
        <f t="shared" si="8"/>
        <v>-109.91358797394663</v>
      </c>
      <c r="H80" s="24">
        <f>IFERROR(INDEX(TBBP[],$C80,H$8),"SEM DADOS")</f>
        <v>72979584.900000006</v>
      </c>
      <c r="I80" s="25">
        <f t="shared" si="9"/>
        <v>-85.499995641795124</v>
      </c>
      <c r="J80" s="24">
        <f>IFERROR(INDEX(TBBP[],$C80,J$8),"SEM DADOS")</f>
        <v>67787167.920000002</v>
      </c>
      <c r="K80" s="25">
        <f t="shared" si="10"/>
        <v>-58.7394158657848</v>
      </c>
      <c r="L80" s="90">
        <f t="shared" si="12"/>
        <v>0.1526417304826424</v>
      </c>
      <c r="M80" s="90">
        <f t="shared" si="11"/>
        <v>-7.1148897148632595E-2</v>
      </c>
    </row>
    <row r="81" spans="3:13" x14ac:dyDescent="0.3">
      <c r="C81">
        <f t="shared" si="7"/>
        <v>86</v>
      </c>
      <c r="D81" t="str">
        <f>IFERROR(INDEX(TBBP[],$C81,1),"SEM DADOS")</f>
        <v>2.9.8.1.01.00002</v>
      </c>
      <c r="E81" s="17" t="str">
        <f>IFERROR(INDEX(TBBP[],$C81,2),"SEM DADOS")</f>
        <v>Lucros Acumulados</v>
      </c>
      <c r="F81" s="24">
        <f>IFERROR((INDEX(TBBP[],$C81,E$8)),"SEM DADOS")</f>
        <v>0</v>
      </c>
      <c r="G81" s="25">
        <f t="shared" si="8"/>
        <v>0</v>
      </c>
      <c r="H81" s="24">
        <f>IFERROR(INDEX(TBBP[],$C81,H$8),"SEM DADOS")</f>
        <v>0</v>
      </c>
      <c r="I81" s="25">
        <f t="shared" si="9"/>
        <v>0</v>
      </c>
      <c r="J81" s="24">
        <f>IFERROR(INDEX(TBBP[],$C81,J$8),"SEM DADOS")</f>
        <v>0</v>
      </c>
      <c r="K81" s="25">
        <f t="shared" si="10"/>
        <v>0</v>
      </c>
      <c r="L81" s="90">
        <f t="shared" si="12"/>
        <v>0</v>
      </c>
      <c r="M81" s="90">
        <f t="shared" si="11"/>
        <v>0</v>
      </c>
    </row>
    <row r="82" spans="3:13" x14ac:dyDescent="0.3">
      <c r="C82">
        <f t="shared" si="7"/>
        <v>87</v>
      </c>
      <c r="D82" t="str">
        <f>IFERROR(INDEX(TBBP[],$C82,1),"SEM DADOS")</f>
        <v>2.9.8.1.01.00007</v>
      </c>
      <c r="E82" s="17" t="str">
        <f>IFERROR(INDEX(TBBP[],$C82,2),"SEM DADOS")</f>
        <v>Ajustes Exercicios Anteriores</v>
      </c>
      <c r="F82" s="24">
        <f>IFERROR((INDEX(TBBP[],$C82,E$8)),"SEM DADOS")</f>
        <v>-126734.39999999999</v>
      </c>
      <c r="G82" s="25">
        <f t="shared" si="8"/>
        <v>0.22000818999923286</v>
      </c>
      <c r="H82" s="24">
        <f>IFERROR(INDEX(TBBP[],$C82,H$8),"SEM DADOS")</f>
        <v>1162655.03</v>
      </c>
      <c r="I82" s="25">
        <f t="shared" si="9"/>
        <v>-1.3621206551684726</v>
      </c>
      <c r="J82" s="24">
        <f>IFERROR(INDEX(TBBP[],$C82,J$8),"SEM DADOS")</f>
        <v>-148258.67000000001</v>
      </c>
      <c r="K82" s="25">
        <f t="shared" si="10"/>
        <v>0.1284701506207748</v>
      </c>
      <c r="L82" s="90">
        <f t="shared" si="12"/>
        <v>-10.173949851027031</v>
      </c>
      <c r="M82" s="90">
        <f t="shared" si="11"/>
        <v>-1.1275173341829519</v>
      </c>
    </row>
    <row r="83" spans="3:13" x14ac:dyDescent="0.3">
      <c r="C83">
        <v>88</v>
      </c>
      <c r="D83" t="str">
        <f>IFERROR(INDEX(TBBP[],$C83,1),"SEM DADOS")</f>
        <v>2.9.9.1.01.00900</v>
      </c>
      <c r="E83" s="17" t="str">
        <f>IFERROR(INDEX(TBBP[],$C83,2),"SEM DADOS")</f>
        <v>Lucro do Exercício</v>
      </c>
      <c r="F83" s="24">
        <f>IFERROR((INDEX(TBBP[],$C83,E$8)),"SEM DADOS")</f>
        <v>10824476.855799999</v>
      </c>
      <c r="G83" s="25">
        <f>IFERROR(IF(MID(D83,1,1)="1",F83/$F$10,IF(MID(D83,1,1)="2",F83/$F$59,)),"SEM DADOS")</f>
        <v>-18.791058786983999</v>
      </c>
      <c r="H83" s="24">
        <f>IFERROR(INDEX(TBBP[],$C83,H$8),"SEM DADOS")</f>
        <v>10578797.474099996</v>
      </c>
      <c r="I83" s="25">
        <f>IFERROR(IF(MID(D83,1,1)="1",H83/$H$10,IF(MID(D83,1,1)="2",H83/$H$59,)),"SEM DADOS")</f>
        <v>-12.393700774954432</v>
      </c>
      <c r="J83" s="24">
        <f>IFERROR(INDEX(TBBP[],$C83,J$8),"SEM DADOS")</f>
        <v>9652890.5028999969</v>
      </c>
      <c r="K83" s="25">
        <f>IFERROR(IF(MID(D83,1,1)="1",J83/$J$10,IF(MID(D83,1,1)="2",J83/$J$59,)),"SEM DADOS")</f>
        <v>-8.3644909052091805</v>
      </c>
      <c r="L83" s="90">
        <f t="shared" si="12"/>
        <v>-2.2696651761822784E-2</v>
      </c>
      <c r="M83" s="90">
        <f t="shared" si="11"/>
        <v>-8.7524784690026558E-2</v>
      </c>
    </row>
    <row r="84" spans="3:13" x14ac:dyDescent="0.3">
      <c r="F84"/>
      <c r="G84"/>
      <c r="H84"/>
      <c r="I84"/>
      <c r="J84"/>
      <c r="K84"/>
      <c r="L84"/>
      <c r="M84"/>
    </row>
    <row r="85" spans="3:13" x14ac:dyDescent="0.3">
      <c r="F85"/>
      <c r="G85"/>
      <c r="H85"/>
      <c r="I85"/>
      <c r="J85"/>
      <c r="K85"/>
      <c r="L85"/>
      <c r="M85"/>
    </row>
    <row r="86" spans="3:13" x14ac:dyDescent="0.3">
      <c r="F86"/>
      <c r="G86"/>
      <c r="H86"/>
      <c r="I86"/>
      <c r="J86"/>
      <c r="K86"/>
      <c r="L86"/>
      <c r="M86"/>
    </row>
  </sheetData>
  <sheetProtection selectLockedCells="1" selectUnlockedCells="1"/>
  <mergeCells count="1">
    <mergeCell ref="E5:M6"/>
  </mergeCells>
  <pageMargins left="0.25" right="0.25" top="0.75" bottom="0.75" header="0.3" footer="0.3"/>
  <pageSetup paperSize="9" scale="39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10595" r:id="rId4" name="PGBPTRIMENOS">
          <controlPr defaultSize="0" autoLine="0" r:id="rId5">
            <anchor moveWithCells="1">
              <from>
                <xdr:col>12</xdr:col>
                <xdr:colOff>38100</xdr:colOff>
                <xdr:row>4</xdr:row>
                <xdr:rowOff>76200</xdr:rowOff>
              </from>
              <to>
                <xdr:col>12</xdr:col>
                <xdr:colOff>464820</xdr:colOff>
                <xdr:row>5</xdr:row>
                <xdr:rowOff>175260</xdr:rowOff>
              </to>
            </anchor>
          </controlPr>
        </control>
      </mc:Choice>
      <mc:Fallback>
        <control shapeId="110595" r:id="rId4" name="PGBPTRIMENOS"/>
      </mc:Fallback>
    </mc:AlternateContent>
    <mc:AlternateContent xmlns:mc="http://schemas.openxmlformats.org/markup-compatibility/2006">
      <mc:Choice Requires="x14">
        <control shapeId="110594" r:id="rId6" name="PGBPTRIMMAIS">
          <controlPr defaultSize="0" autoLine="0" r:id="rId7">
            <anchor moveWithCells="1">
              <from>
                <xdr:col>12</xdr:col>
                <xdr:colOff>541020</xdr:colOff>
                <xdr:row>4</xdr:row>
                <xdr:rowOff>76200</xdr:rowOff>
              </from>
              <to>
                <xdr:col>12</xdr:col>
                <xdr:colOff>967740</xdr:colOff>
                <xdr:row>5</xdr:row>
                <xdr:rowOff>175260</xdr:rowOff>
              </to>
            </anchor>
          </controlPr>
        </control>
      </mc:Choice>
      <mc:Fallback>
        <control shapeId="110594" r:id="rId6" name="PGBPTRIMMAI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0" id="{365531F5-3D05-4E5B-BC80-840506CEEAF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L10:M29 L77:M77 L54:M56 L50:M50 L32:M33 L35:M35 L60:M62 L65:M67 L37:M39 L43:M47</xm:sqref>
        </x14:conditionalFormatting>
        <x14:conditionalFormatting xmlns:xm="http://schemas.microsoft.com/office/excel/2006/main">
          <x14:cfRule type="iconSet" priority="66" id="{FCD4125C-0220-4898-A377-317A46616DD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L68:M68</xm:sqref>
        </x14:conditionalFormatting>
        <x14:conditionalFormatting xmlns:xm="http://schemas.microsoft.com/office/excel/2006/main">
          <x14:cfRule type="iconSet" priority="64" id="{E49EC18E-2B5A-401D-8644-B65223EAD50D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L48:M49</xm:sqref>
        </x14:conditionalFormatting>
        <x14:conditionalFormatting xmlns:xm="http://schemas.microsoft.com/office/excel/2006/main">
          <x14:cfRule type="iconSet" priority="63" id="{63878BF9-6496-46AE-8E3D-9C0954E9520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L78:M78</xm:sqref>
        </x14:conditionalFormatting>
        <x14:conditionalFormatting xmlns:xm="http://schemas.microsoft.com/office/excel/2006/main">
          <x14:cfRule type="iconSet" priority="60" id="{68B2FDDA-CD3A-4F44-9BC5-7567F3F20821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L73:M73</xm:sqref>
        </x14:conditionalFormatting>
        <x14:conditionalFormatting xmlns:xm="http://schemas.microsoft.com/office/excel/2006/main">
          <x14:cfRule type="iconSet" priority="58" id="{B8901350-C8CD-4C4B-A1F1-04D52171C4D6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L69:M69</xm:sqref>
        </x14:conditionalFormatting>
        <x14:conditionalFormatting xmlns:xm="http://schemas.microsoft.com/office/excel/2006/main">
          <x14:cfRule type="iconSet" priority="53" id="{46EB1D68-A267-4CA5-8B4E-ACADC516429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L51:M51</xm:sqref>
        </x14:conditionalFormatting>
        <x14:conditionalFormatting xmlns:xm="http://schemas.microsoft.com/office/excel/2006/main">
          <x14:cfRule type="iconSet" priority="52" id="{F75486BC-9103-466A-A044-FF53906AD195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L74:M74 L70:M70</xm:sqref>
        </x14:conditionalFormatting>
        <x14:conditionalFormatting xmlns:xm="http://schemas.microsoft.com/office/excel/2006/main">
          <x14:cfRule type="iconSet" priority="51" id="{AB7863E3-FCBD-4568-BC7A-FD6F650190A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L81:M81</xm:sqref>
        </x14:conditionalFormatting>
        <x14:conditionalFormatting xmlns:xm="http://schemas.microsoft.com/office/excel/2006/main">
          <x14:cfRule type="iconSet" priority="46" id="{8946F402-E693-47FC-9926-039AA7A0235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L31:M31</xm:sqref>
        </x14:conditionalFormatting>
        <x14:conditionalFormatting xmlns:xm="http://schemas.microsoft.com/office/excel/2006/main">
          <x14:cfRule type="iconSet" priority="45" id="{65A43D33-C7B8-42C4-9626-A30BDE756663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L30:M30</xm:sqref>
        </x14:conditionalFormatting>
        <x14:conditionalFormatting xmlns:xm="http://schemas.microsoft.com/office/excel/2006/main">
          <x14:cfRule type="iconSet" priority="44" id="{059E6C60-CF74-4035-805D-E85EBFC0F79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L34:M34</xm:sqref>
        </x14:conditionalFormatting>
        <x14:conditionalFormatting xmlns:xm="http://schemas.microsoft.com/office/excel/2006/main">
          <x14:cfRule type="iconSet" priority="43" id="{E96F1188-80E5-4FE0-8997-E2F7B7E2C1F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L36:M36</xm:sqref>
        </x14:conditionalFormatting>
        <x14:conditionalFormatting xmlns:xm="http://schemas.microsoft.com/office/excel/2006/main">
          <x14:cfRule type="iconSet" priority="41" id="{09292109-58FB-4661-B280-73D289534C7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L40:M42</xm:sqref>
        </x14:conditionalFormatting>
        <x14:conditionalFormatting xmlns:xm="http://schemas.microsoft.com/office/excel/2006/main">
          <x14:cfRule type="iconSet" priority="40" id="{69A1E5C2-801B-49B7-96F7-74AAE2F6077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L57:M57</xm:sqref>
        </x14:conditionalFormatting>
        <x14:conditionalFormatting xmlns:xm="http://schemas.microsoft.com/office/excel/2006/main">
          <x14:cfRule type="iconSet" priority="39" id="{51C7524A-B9A4-4685-A493-278294C415E6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L59:M60</xm:sqref>
        </x14:conditionalFormatting>
        <x14:conditionalFormatting xmlns:xm="http://schemas.microsoft.com/office/excel/2006/main">
          <x14:cfRule type="iconSet" priority="38" id="{7B6F5D2E-4821-4FDE-A55B-C3D10CE79B4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L63:M64</xm:sqref>
        </x14:conditionalFormatting>
        <x14:conditionalFormatting xmlns:xm="http://schemas.microsoft.com/office/excel/2006/main">
          <x14:cfRule type="iconSet" priority="36" id="{660CF437-B5EF-4F97-9C2F-CDCE6B47E5E0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L80:M80</xm:sqref>
        </x14:conditionalFormatting>
        <x14:conditionalFormatting xmlns:xm="http://schemas.microsoft.com/office/excel/2006/main">
          <x14:cfRule type="iconSet" priority="34" id="{71E2CB30-5573-48C1-A61A-60A748AA73C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L82:M82</xm:sqref>
        </x14:conditionalFormatting>
        <x14:conditionalFormatting xmlns:xm="http://schemas.microsoft.com/office/excel/2006/main">
          <x14:cfRule type="iconSet" priority="33" id="{56D443E2-2FD6-4F75-BE14-C93C125EC4C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L53:M53</xm:sqref>
        </x14:conditionalFormatting>
        <x14:conditionalFormatting xmlns:xm="http://schemas.microsoft.com/office/excel/2006/main">
          <x14:cfRule type="iconSet" priority="32" id="{50A3F86D-53A9-4D86-A16D-73060FB76E56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L52:M52</xm:sqref>
        </x14:conditionalFormatting>
        <x14:conditionalFormatting xmlns:xm="http://schemas.microsoft.com/office/excel/2006/main">
          <x14:cfRule type="iconSet" priority="31" id="{5098B349-5A27-4C84-BCD4-C188AEC6A2A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L58:M58</xm:sqref>
        </x14:conditionalFormatting>
        <x14:conditionalFormatting xmlns:xm="http://schemas.microsoft.com/office/excel/2006/main">
          <x14:cfRule type="iconSet" priority="29" id="{86610186-6BAE-450C-8444-25B7A570A254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L77:M77</xm:sqref>
        </x14:conditionalFormatting>
        <x14:conditionalFormatting xmlns:xm="http://schemas.microsoft.com/office/excel/2006/main">
          <x14:cfRule type="iconSet" priority="28" id="{0E157DC8-A982-4275-B4FF-F0363BCFCEFE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L78:M78</xm:sqref>
        </x14:conditionalFormatting>
        <x14:conditionalFormatting xmlns:xm="http://schemas.microsoft.com/office/excel/2006/main">
          <x14:cfRule type="iconSet" priority="23" id="{7D4C7CB1-EB0D-40CF-8454-8FCA9020CB7D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L73:M73</xm:sqref>
        </x14:conditionalFormatting>
        <x14:conditionalFormatting xmlns:xm="http://schemas.microsoft.com/office/excel/2006/main">
          <x14:cfRule type="iconSet" priority="22" id="{AF2A51E7-CC42-45E3-8B23-D86373CFC81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L74:M74</xm:sqref>
        </x14:conditionalFormatting>
        <x14:conditionalFormatting xmlns:xm="http://schemas.microsoft.com/office/excel/2006/main">
          <x14:cfRule type="iconSet" priority="18" id="{805B0CB9-F600-451C-BEF2-A15A56EBE37E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L73:M73</xm:sqref>
        </x14:conditionalFormatting>
        <x14:conditionalFormatting xmlns:xm="http://schemas.microsoft.com/office/excel/2006/main">
          <x14:cfRule type="iconSet" priority="17" id="{D41FAAB1-8C73-49A1-89D2-55FD3361699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L74:M74</xm:sqref>
        </x14:conditionalFormatting>
        <x14:conditionalFormatting xmlns:xm="http://schemas.microsoft.com/office/excel/2006/main">
          <x14:cfRule type="iconSet" priority="14" id="{0E869192-FC58-4E27-B3E3-EE835637143D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L79:M79</xm:sqref>
        </x14:conditionalFormatting>
        <x14:conditionalFormatting xmlns:xm="http://schemas.microsoft.com/office/excel/2006/main">
          <x14:cfRule type="iconSet" priority="13" id="{909BB641-4BBA-4545-82B0-1159B455492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L79:M79</xm:sqref>
        </x14:conditionalFormatting>
        <x14:conditionalFormatting xmlns:xm="http://schemas.microsoft.com/office/excel/2006/main">
          <x14:cfRule type="iconSet" priority="12" id="{27207861-0243-425B-BB28-9F0E3D6CD80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L83:M83</xm:sqref>
        </x14:conditionalFormatting>
        <x14:conditionalFormatting xmlns:xm="http://schemas.microsoft.com/office/excel/2006/main">
          <x14:cfRule type="iconSet" priority="11" id="{35896BDE-89C0-4E15-B86D-2950336C4465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L76:M76</xm:sqref>
        </x14:conditionalFormatting>
        <x14:conditionalFormatting xmlns:xm="http://schemas.microsoft.com/office/excel/2006/main">
          <x14:cfRule type="iconSet" priority="10" id="{9D49526B-959C-4643-A08B-C740C2329771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L76:M76</xm:sqref>
        </x14:conditionalFormatting>
        <x14:conditionalFormatting xmlns:xm="http://schemas.microsoft.com/office/excel/2006/main">
          <x14:cfRule type="iconSet" priority="9" id="{FDEB4A23-A4D2-4534-8CB0-DA76C87A359E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L76:M76</xm:sqref>
        </x14:conditionalFormatting>
        <x14:conditionalFormatting xmlns:xm="http://schemas.microsoft.com/office/excel/2006/main">
          <x14:cfRule type="iconSet" priority="8" id="{02607145-2F99-40CE-8980-E626647BF2F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L76:M76</xm:sqref>
        </x14:conditionalFormatting>
        <x14:conditionalFormatting xmlns:xm="http://schemas.microsoft.com/office/excel/2006/main">
          <x14:cfRule type="iconSet" priority="7" id="{4EF13283-742D-42C0-9502-DEB221A5975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L75:M75</xm:sqref>
        </x14:conditionalFormatting>
        <x14:conditionalFormatting xmlns:xm="http://schemas.microsoft.com/office/excel/2006/main">
          <x14:cfRule type="iconSet" priority="6" id="{614069C3-501B-4A96-B0A9-FE05E5437C8C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L75:M75</xm:sqref>
        </x14:conditionalFormatting>
        <x14:conditionalFormatting xmlns:xm="http://schemas.microsoft.com/office/excel/2006/main">
          <x14:cfRule type="iconSet" priority="5" id="{2125DBD0-7126-41BC-8039-E4C7E750FB4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L75:M75</xm:sqref>
        </x14:conditionalFormatting>
        <x14:conditionalFormatting xmlns:xm="http://schemas.microsoft.com/office/excel/2006/main">
          <x14:cfRule type="iconSet" priority="4" id="{0E403B9A-668E-4EE0-9A50-9385C5F1428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L72:M72</xm:sqref>
        </x14:conditionalFormatting>
        <x14:conditionalFormatting xmlns:xm="http://schemas.microsoft.com/office/excel/2006/main">
          <x14:cfRule type="iconSet" priority="3" id="{3AA6F341-8ADE-4843-9FD8-5C512F6DD0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L72:M72</xm:sqref>
        </x14:conditionalFormatting>
        <x14:conditionalFormatting xmlns:xm="http://schemas.microsoft.com/office/excel/2006/main">
          <x14:cfRule type="iconSet" priority="2" id="{E36CB444-B4D4-4A7D-B490-CE9DCDCDBB9D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L72:M72</xm:sqref>
        </x14:conditionalFormatting>
        <x14:conditionalFormatting xmlns:xm="http://schemas.microsoft.com/office/excel/2006/main">
          <x14:cfRule type="iconSet" priority="1" id="{030D61CC-7B9D-4BEF-B48E-0418259DED33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L71:M71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BD37C-6A62-48AE-91C8-90CCEDFCA607}">
  <sheetPr codeName="Planilha16">
    <pageSetUpPr autoPageBreaks="0" fitToPage="1"/>
  </sheetPr>
  <dimension ref="A1:M83"/>
  <sheetViews>
    <sheetView showGridLines="0" showRowColHeaders="0" zoomScale="102" zoomScaleNormal="102" workbookViewId="0">
      <pane xSplit="3" ySplit="9" topLeftCell="D10" activePane="bottomRight" state="frozen"/>
      <selection activeCell="O7" sqref="O7"/>
      <selection pane="topRight" activeCell="O7" sqref="O7"/>
      <selection pane="bottomLeft" activeCell="O7" sqref="O7"/>
      <selection pane="bottomRight" activeCell="E5" sqref="E5:M6"/>
    </sheetView>
  </sheetViews>
  <sheetFormatPr defaultRowHeight="14.4" x14ac:dyDescent="0.3"/>
  <cols>
    <col min="1" max="1" width="15.88671875" hidden="1" customWidth="1"/>
    <col min="2" max="3" width="9.109375" hidden="1" customWidth="1"/>
    <col min="4" max="4" width="16.6640625" hidden="1" customWidth="1"/>
    <col min="5" max="5" width="54.109375" bestFit="1" customWidth="1"/>
    <col min="6" max="6" width="25.6640625" style="7" customWidth="1"/>
    <col min="7" max="7" width="10.5546875" style="7" customWidth="1"/>
    <col min="8" max="8" width="25.6640625" style="7" customWidth="1"/>
    <col min="9" max="9" width="11.5546875" style="7" bestFit="1" customWidth="1"/>
    <col min="10" max="10" width="25.6640625" style="7" customWidth="1"/>
    <col min="11" max="11" width="11.5546875" style="7" bestFit="1" customWidth="1"/>
    <col min="12" max="12" width="20.6640625" style="7" customWidth="1"/>
    <col min="13" max="13" width="20.6640625" style="2" customWidth="1"/>
    <col min="14" max="14" width="9.33203125" bestFit="1" customWidth="1"/>
    <col min="15" max="15" width="12.33203125" bestFit="1" customWidth="1"/>
    <col min="16" max="20" width="9.33203125" bestFit="1" customWidth="1"/>
    <col min="21" max="21" width="16.88671875" bestFit="1" customWidth="1"/>
  </cols>
  <sheetData>
    <row r="1" spans="1:13" ht="7.5" customHeight="1" x14ac:dyDescent="0.3"/>
    <row r="2" spans="1:13" s="48" customFormat="1" ht="37.5" customHeight="1" x14ac:dyDescent="0.3">
      <c r="A2" s="48">
        <f ca="1">NOW()</f>
        <v>46240.707701736108</v>
      </c>
      <c r="F2" s="51"/>
      <c r="G2" s="51"/>
      <c r="H2" s="51"/>
      <c r="I2" s="51"/>
      <c r="J2" s="51"/>
      <c r="K2" s="51"/>
      <c r="L2" s="51"/>
      <c r="M2" s="52"/>
    </row>
    <row r="5" spans="1:13" ht="15" customHeight="1" x14ac:dyDescent="0.3">
      <c r="E5" s="261" t="s">
        <v>958</v>
      </c>
      <c r="F5" s="261"/>
      <c r="G5" s="261"/>
      <c r="H5" s="261"/>
      <c r="I5" s="261"/>
      <c r="J5" s="261"/>
      <c r="K5" s="261"/>
      <c r="L5" s="261"/>
      <c r="M5" s="261"/>
    </row>
    <row r="6" spans="1:13" ht="15" customHeight="1" x14ac:dyDescent="0.3">
      <c r="E6" s="261"/>
      <c r="F6" s="261"/>
      <c r="G6" s="261"/>
      <c r="H6" s="261"/>
      <c r="I6" s="261"/>
      <c r="J6" s="261"/>
      <c r="K6" s="261"/>
      <c r="L6" s="261"/>
      <c r="M6" s="261"/>
    </row>
    <row r="7" spans="1:13" ht="15" customHeight="1" x14ac:dyDescent="0.3">
      <c r="F7"/>
      <c r="G7"/>
      <c r="H7"/>
      <c r="I7"/>
      <c r="J7"/>
      <c r="K7"/>
      <c r="L7"/>
    </row>
    <row r="8" spans="1:13" s="152" customFormat="1" ht="15" customHeight="1" x14ac:dyDescent="0.3">
      <c r="A8" s="171"/>
      <c r="B8" s="171"/>
      <c r="C8" s="171"/>
      <c r="D8" s="171"/>
      <c r="E8" s="152">
        <f>IF(F8=20,20,IF(F8=33,33,IF(F8=46,46,IF(F8=59,59,IF(F8=72,72,IF(F8=85,85,F8))))))</f>
        <v>45</v>
      </c>
      <c r="F8" s="153">
        <v>45</v>
      </c>
      <c r="H8" s="152">
        <f>E8+13</f>
        <v>58</v>
      </c>
      <c r="J8" s="152">
        <f>H8+13</f>
        <v>71</v>
      </c>
      <c r="M8" s="154"/>
    </row>
    <row r="9" spans="1:13" ht="15" thickBot="1" x14ac:dyDescent="0.35">
      <c r="C9">
        <v>1</v>
      </c>
      <c r="D9" s="166" t="str">
        <f>IFERROR(INDEX(TBBP[],$C9,1),"SEM DADOS")</f>
        <v>CONTA CONTABIL</v>
      </c>
      <c r="E9" s="20" t="str">
        <f>IFERROR(INDEX(TBBP[],$C9,2),"SEM DADOS")</f>
        <v>DESCRIÇÃO</v>
      </c>
      <c r="F9" s="20" t="str">
        <f>IFERROR(VLOOKUP(MONTH(IFERROR(IF(INDEX(TBBP[],$C9,E$8)&gt;3000,INDEX(TBBP[],$C9,E$8),),"SEM DADOS")),LISTASEMESTRE,2,0)&amp;"º SEMESTRE "&amp;YEAR((IFERROR(IF(INDEX(TBBP[],$C9,E$8)&gt;3000,INDEX(TBBP[],$C9,E$8),),"SEM DADOS"))),"PERIODO SEM DADOS")</f>
        <v>2º SEMESTRE 2020</v>
      </c>
      <c r="G9" s="21" t="s">
        <v>248</v>
      </c>
      <c r="H9" s="20" t="str">
        <f>IFERROR(VLOOKUP(MONTH(IFERROR(IF(INDEX(TBBP[],$C9,H$8)&gt;3000,INDEX(TBBP[],$C9,H$8),),"SEM DADOS")),LISTASEMESTRE,2,0)&amp;"º SEMESTRE "&amp;YEAR((IFERROR(IF(INDEX(TBBP[],$C9,H$8)&gt;3000,INDEX(TBBP[],$C9,H$8),),"SEM DADOS"))),"PERIODO SEM DADOS")</f>
        <v>2º SEMESTRE 2021</v>
      </c>
      <c r="I9" s="21" t="s">
        <v>248</v>
      </c>
      <c r="J9" s="20" t="str">
        <f>IFERROR(VLOOKUP(MONTH(IFERROR(IF(INDEX(TBBP[],$C9,J$8)&gt;3000,INDEX(TBBP[],$C9,J$8),),"SEM DADOS")),LISTASEMESTRE,2,0)&amp;"º SEMESTRE "&amp;YEAR((IFERROR(IF(INDEX(TBBP[],$C9,J$8)&gt;3000,INDEX(TBBP[],$C9,J$8),),"SEM DADOS"))),"PERIODO SEM DADOS")</f>
        <v>2º SEMESTRE 2022</v>
      </c>
      <c r="K9" s="21" t="s">
        <v>248</v>
      </c>
      <c r="L9" s="20" t="str">
        <f>IFERROR(YEAR(INDEX(TBBP[],$C9,F$8))&amp;"-"&amp;YEAR(INDEX(TBBP[],$C9,$H$8)),"PERIODO SEM DADOS")</f>
        <v>2020-2021</v>
      </c>
      <c r="M9" s="21" t="str">
        <f>IFERROR(YEAR(INDEX(TBBP[],$C9,H$8))&amp;"-"&amp;YEAR(INDEX(TBBP[],$C9,$J$8)),"PERIODO SEM DADOS")</f>
        <v>2021-2022</v>
      </c>
    </row>
    <row r="10" spans="1:13" ht="15" thickTop="1" x14ac:dyDescent="0.3">
      <c r="C10">
        <v>2</v>
      </c>
      <c r="D10" t="str">
        <f>IFERROR(INDEX(TBBP[],$C10,1),"SEM DADOS")</f>
        <v>1</v>
      </c>
      <c r="E10" s="159" t="str">
        <f>IFERROR(INDEX(TBBP[],$C10,2),"SEM DADOS")</f>
        <v>ATIVO</v>
      </c>
      <c r="F10" s="160">
        <f>IFERROR((INDEX(TBBP[],$C10,E$8)),"SEM DADOS")</f>
        <v>41534024.170000002</v>
      </c>
      <c r="G10" s="161">
        <f>IFERROR(IF(MID(D10,1,1)="1",F10/$F$10,IF(MID(D10,1,1)="2",F10/$F$59,)),"SEM DADOS")</f>
        <v>1</v>
      </c>
      <c r="H10" s="160">
        <f>IFERROR(INDEX(TBBP[],$C10,H$8),"SEM DADOS")</f>
        <v>63547764.300000004</v>
      </c>
      <c r="I10" s="161">
        <f>IFERROR(IF(MID(D10,1,1)="1",H10/$H$10,IF(MID(D10,1,1)="2",H10/$H$59,)),"SEM DADOS")</f>
        <v>1</v>
      </c>
      <c r="J10" s="160">
        <f>IFERROR(INDEX(TBBP[],$C10,J$8),"SEM DADOS")</f>
        <v>76043176.389999986</v>
      </c>
      <c r="K10" s="161">
        <f>IFERROR(IF(MID(D10,1,1)="1",J10/$J$10,IF(MID(D10,1,1)="2",J10/$J$59,)),"SEM DADOS")</f>
        <v>1</v>
      </c>
      <c r="L10" s="235">
        <f t="shared" ref="L10:L15" si="0">IF(AND(F10=0,H10&lt;&gt;0),1,IFERROR((H10/F10)-1,0))</f>
        <v>0.53001702989089394</v>
      </c>
      <c r="M10" s="235">
        <f>IF(AND(H10=0,J10&lt;&gt;0),1,IFERROR((J10/H10)-1,0))</f>
        <v>0.19663023912235378</v>
      </c>
    </row>
    <row r="11" spans="1:13" ht="15" thickBot="1" x14ac:dyDescent="0.35">
      <c r="C11">
        <f t="shared" ref="C11:C74" si="1">C10+1</f>
        <v>3</v>
      </c>
      <c r="D11" t="str">
        <f>IFERROR(INDEX(TBBP[],$C11,1),"SEM DADOS")</f>
        <v>1.1</v>
      </c>
      <c r="E11" s="165" t="str">
        <f>IFERROR(INDEX(TBBP[],$C11,2),"SEM DADOS")</f>
        <v>ATIVO CIRCULANTE</v>
      </c>
      <c r="F11" s="163">
        <f>IFERROR((INDEX(TBBP[],$C11,E$8)),"SEM DADOS")</f>
        <v>36724556.980000004</v>
      </c>
      <c r="G11" s="164">
        <f t="shared" ref="G11:G74" si="2">IFERROR(IF(MID(D11,1,1)="1",F11/$F$10,IF(MID(D11,1,1)="2",F11/$F$59,)),"SEM DADOS")</f>
        <v>0.88420416065838681</v>
      </c>
      <c r="H11" s="163">
        <f>IFERROR(INDEX(TBBP[],$C11,H$8),"SEM DADOS")</f>
        <v>56985505.870000005</v>
      </c>
      <c r="I11" s="164">
        <f t="shared" ref="I11:I74" si="3">IFERROR(IF(MID(D11,1,1)="1",H11/$H$10,IF(MID(D11,1,1)="2",H11/$H$59,)),"SEM DADOS")</f>
        <v>0.89673502282439854</v>
      </c>
      <c r="J11" s="163">
        <f>IFERROR(INDEX(TBBP[],$C11,J$8),"SEM DADOS")</f>
        <v>66565451.819999993</v>
      </c>
      <c r="K11" s="164">
        <f t="shared" ref="K11:K74" si="4">IFERROR(IF(MID(D11,1,1)="1",J11/$J$10,IF(MID(D11,1,1)="2",J11/$J$59,)),"SEM DADOS")</f>
        <v>0.87536390482438664</v>
      </c>
      <c r="L11" s="236">
        <f t="shared" si="0"/>
        <v>0.55170029419371902</v>
      </c>
      <c r="M11" s="236">
        <f t="shared" ref="M11:M74" si="5">IF(AND(H11=0,J11&lt;&gt;0),1,IFERROR((J11/H11)-1,0))</f>
        <v>0.16811197520742449</v>
      </c>
    </row>
    <row r="12" spans="1:13" ht="15" thickTop="1" x14ac:dyDescent="0.3">
      <c r="C12">
        <f t="shared" si="1"/>
        <v>4</v>
      </c>
      <c r="D12" t="str">
        <f>IFERROR(INDEX(TBBP[],$C12,1),"SEM DADOS")</f>
        <v>1.1.1.1</v>
      </c>
      <c r="E12" s="17" t="str">
        <f>IFERROR(INDEX(TBBP[],$C12,2),"SEM DADOS")</f>
        <v>Caixa e Bancos</v>
      </c>
      <c r="F12" s="24">
        <f>IFERROR((INDEX(TBBP[],$C12,E$8)),"SEM DADOS")</f>
        <v>941487.53</v>
      </c>
      <c r="G12" s="25">
        <f t="shared" si="2"/>
        <v>2.2667862043573322E-2</v>
      </c>
      <c r="H12" s="24">
        <f>IFERROR(INDEX(TBBP[],$C12,H$8),"SEM DADOS")</f>
        <v>2313172.7200000002</v>
      </c>
      <c r="I12" s="25">
        <f t="shared" si="3"/>
        <v>3.6400536596060865E-2</v>
      </c>
      <c r="J12" s="24">
        <f>IFERROR(INDEX(TBBP[],$C12,J$8),"SEM DADOS")</f>
        <v>2345159.39</v>
      </c>
      <c r="K12" s="25">
        <f t="shared" si="4"/>
        <v>3.0839839961082936E-2</v>
      </c>
      <c r="L12" s="90">
        <f t="shared" si="0"/>
        <v>1.4569339967784809</v>
      </c>
      <c r="M12" s="90">
        <f t="shared" si="5"/>
        <v>1.3828050851300011E-2</v>
      </c>
    </row>
    <row r="13" spans="1:13" x14ac:dyDescent="0.3">
      <c r="C13">
        <f t="shared" si="1"/>
        <v>5</v>
      </c>
      <c r="D13" t="str">
        <f>IFERROR(INDEX(TBBP[],$C13,1),"SEM DADOS")</f>
        <v>1.1.1.2</v>
      </c>
      <c r="E13" s="17" t="str">
        <f>IFERROR(INDEX(TBBP[],$C13,2),"SEM DADOS")</f>
        <v>Aplicacoes Financeiras</v>
      </c>
      <c r="F13" s="24">
        <f>IFERROR((INDEX(TBBP[],$C13,E$8)),"SEM DADOS")</f>
        <v>8038757.3899999997</v>
      </c>
      <c r="G13" s="25">
        <f t="shared" si="2"/>
        <v>0.19354631655957838</v>
      </c>
      <c r="H13" s="24">
        <f>IFERROR(INDEX(TBBP[],$C13,H$8),"SEM DADOS")</f>
        <v>8000565.7300000004</v>
      </c>
      <c r="I13" s="25">
        <f t="shared" si="3"/>
        <v>0.12589846107300426</v>
      </c>
      <c r="J13" s="24">
        <f>IFERROR(INDEX(TBBP[],$C13,J$8),"SEM DADOS")</f>
        <v>11310943.779999999</v>
      </c>
      <c r="K13" s="25">
        <f t="shared" si="4"/>
        <v>0.14874370478673796</v>
      </c>
      <c r="L13" s="90">
        <f t="shared" si="0"/>
        <v>-4.7509407420988081E-3</v>
      </c>
      <c r="M13" s="90">
        <f t="shared" si="5"/>
        <v>0.41376799612894355</v>
      </c>
    </row>
    <row r="14" spans="1:13" x14ac:dyDescent="0.3">
      <c r="C14">
        <f t="shared" si="1"/>
        <v>6</v>
      </c>
      <c r="D14" t="str">
        <f>IFERROR(INDEX(TBBP[],$C14,1),"SEM DADOS")</f>
        <v>1.1.1.3.01</v>
      </c>
      <c r="E14" s="17" t="str">
        <f>IFERROR(INDEX(TBBP[],$C14,2),"SEM DADOS")</f>
        <v>Duplicatas a Receber</v>
      </c>
      <c r="F14" s="24">
        <f>IFERROR((INDEX(TBBP[],$C14,E$8)),"SEM DADOS")</f>
        <v>15214152.359999999</v>
      </c>
      <c r="G14" s="25">
        <f t="shared" si="2"/>
        <v>0.36630576169860207</v>
      </c>
      <c r="H14" s="24">
        <f>IFERROR(INDEX(TBBP[],$C14,H$8),"SEM DADOS")</f>
        <v>24708720.460000001</v>
      </c>
      <c r="I14" s="25">
        <f t="shared" si="3"/>
        <v>0.38882123914467909</v>
      </c>
      <c r="J14" s="24">
        <f>IFERROR(INDEX(TBBP[],$C14,J$8),"SEM DADOS")</f>
        <v>26273938.719999999</v>
      </c>
      <c r="K14" s="25">
        <f t="shared" si="4"/>
        <v>0.34551343022876591</v>
      </c>
      <c r="L14" s="90">
        <f t="shared" si="0"/>
        <v>0.62406158919260379</v>
      </c>
      <c r="M14" s="90">
        <f t="shared" si="5"/>
        <v>6.3346795417183577E-2</v>
      </c>
    </row>
    <row r="15" spans="1:13" x14ac:dyDescent="0.3">
      <c r="C15">
        <f>C14+1</f>
        <v>7</v>
      </c>
      <c r="D15" t="str">
        <f>IFERROR(INDEX(TBBP[],$C15,1),"SEM DADOS")</f>
        <v>1.1.1.3.03</v>
      </c>
      <c r="E15" s="17" t="str">
        <f>IFERROR(INDEX(TBBP[],$C15,2),"SEM DADOS")</f>
        <v>Clientes Exterior</v>
      </c>
      <c r="F15" s="24">
        <f>IFERROR((INDEX(TBBP[],$C15,E$8)),"SEM DADOS")</f>
        <v>318780</v>
      </c>
      <c r="G15" s="25">
        <f t="shared" si="2"/>
        <v>7.6751532356995784E-3</v>
      </c>
      <c r="H15" s="24">
        <f>IFERROR(INDEX(TBBP[],$C15,H$8),"SEM DADOS")</f>
        <v>1013918.46</v>
      </c>
      <c r="I15" s="25">
        <f t="shared" si="3"/>
        <v>1.5955218427723662E-2</v>
      </c>
      <c r="J15" s="24">
        <f>IFERROR(INDEX(TBBP[],$C15,J$8),"SEM DADOS")</f>
        <v>1033773.23</v>
      </c>
      <c r="K15" s="25">
        <f t="shared" si="4"/>
        <v>1.3594556133454016E-2</v>
      </c>
      <c r="L15" s="90">
        <f t="shared" si="0"/>
        <v>2.1806213062300017</v>
      </c>
      <c r="M15" s="90">
        <f t="shared" si="5"/>
        <v>1.9582215713874973E-2</v>
      </c>
    </row>
    <row r="16" spans="1:13" x14ac:dyDescent="0.3">
      <c r="C16">
        <f t="shared" si="1"/>
        <v>8</v>
      </c>
      <c r="D16" t="str">
        <f>IFERROR(INDEX(TBBP[],$C16,1),"SEM DADOS")</f>
        <v>1.1.1.3.90</v>
      </c>
      <c r="E16" s="17" t="str">
        <f>IFERROR(INDEX(TBBP[],$C16,2),"SEM DADOS")</f>
        <v>(-)Prov P/Credito de Liquidacao Duvidosa</v>
      </c>
      <c r="F16" s="24">
        <f>IFERROR((INDEX(TBBP[],$C16,E$8)),"SEM DADOS")</f>
        <v>-346262.07</v>
      </c>
      <c r="G16" s="25">
        <f t="shared" si="2"/>
        <v>-8.3368293084902876E-3</v>
      </c>
      <c r="H16" s="24">
        <f>IFERROR(INDEX(TBBP[],$C16,H$8),"SEM DADOS")</f>
        <v>-346262.07</v>
      </c>
      <c r="I16" s="25">
        <f t="shared" si="3"/>
        <v>-5.4488473955644724E-3</v>
      </c>
      <c r="J16" s="24">
        <f>IFERROR(INDEX(TBBP[],$C16,J$8),"SEM DADOS")</f>
        <v>-346262.07</v>
      </c>
      <c r="K16" s="25">
        <f t="shared" si="4"/>
        <v>-4.5534929817257737E-3</v>
      </c>
      <c r="L16" s="90">
        <f t="shared" ref="L16:L79" si="6">IF(AND(F16=0,H16&lt;&gt;0),1,IFERROR((H16/F16)-1,0))</f>
        <v>0</v>
      </c>
      <c r="M16" s="90">
        <f t="shared" si="5"/>
        <v>0</v>
      </c>
    </row>
    <row r="17" spans="3:13" x14ac:dyDescent="0.3">
      <c r="C17">
        <f t="shared" si="1"/>
        <v>9</v>
      </c>
      <c r="D17" t="str">
        <f>IFERROR(INDEX(TBBP[],$C17,1),"SEM DADOS")</f>
        <v>1.1.1.5</v>
      </c>
      <c r="E17" s="17" t="str">
        <f>IFERROR(INDEX(TBBP[],$C17,2),"SEM DADOS")</f>
        <v>Impostos e Contribuicoes a Recuperar</v>
      </c>
      <c r="F17" s="24">
        <f>IFERROR((INDEX(TBBP[],$C17,E$8)),"SEM DADOS")</f>
        <v>327689.59000000003</v>
      </c>
      <c r="G17" s="25">
        <f t="shared" si="2"/>
        <v>7.8896662808004524E-3</v>
      </c>
      <c r="H17" s="24">
        <f>IFERROR(INDEX(TBBP[],$C17,H$8),"SEM DADOS")</f>
        <v>158453.04999999999</v>
      </c>
      <c r="I17" s="25">
        <f t="shared" si="3"/>
        <v>2.4934480661186688E-3</v>
      </c>
      <c r="J17" s="24">
        <f>IFERROR(INDEX(TBBP[],$C17,J$8),"SEM DADOS")</f>
        <v>262028.58</v>
      </c>
      <c r="K17" s="25">
        <f t="shared" si="4"/>
        <v>3.4457868863360355E-3</v>
      </c>
      <c r="L17" s="90">
        <f t="shared" si="6"/>
        <v>-0.51645381838342819</v>
      </c>
      <c r="M17" s="90">
        <f t="shared" si="5"/>
        <v>0.65366700104542019</v>
      </c>
    </row>
    <row r="18" spans="3:13" x14ac:dyDescent="0.3">
      <c r="C18">
        <v>19</v>
      </c>
      <c r="D18" t="str">
        <f>IFERROR(INDEX(TBBP[],$C18,1),"SEM DADOS")</f>
        <v>1.1.1.6</v>
      </c>
      <c r="E18" s="17" t="str">
        <f>IFERROR(INDEX(TBBP[],$C18,2),"SEM DADOS")</f>
        <v>Estoques</v>
      </c>
      <c r="F18" s="24">
        <f>IFERROR((INDEX(TBBP[],$C18,E$8)),"SEM DADOS")</f>
        <v>9911262.5399999991</v>
      </c>
      <c r="G18" s="25">
        <f t="shared" si="2"/>
        <v>0.23862996032922082</v>
      </c>
      <c r="H18" s="24">
        <f>IFERROR(INDEX(TBBP[],$C18,H$8),"SEM DADOS")</f>
        <v>18291401.879999999</v>
      </c>
      <c r="I18" s="25">
        <f t="shared" si="3"/>
        <v>0.28783706368722711</v>
      </c>
      <c r="J18" s="24">
        <f>IFERROR(INDEX(TBBP[],$C18,J$8),"SEM DADOS")</f>
        <v>22997369.18</v>
      </c>
      <c r="K18" s="25">
        <f t="shared" si="4"/>
        <v>0.30242515202224318</v>
      </c>
      <c r="L18" s="90">
        <f t="shared" si="6"/>
        <v>0.84551683563817703</v>
      </c>
      <c r="M18" s="90">
        <f t="shared" si="5"/>
        <v>0.25727756302514737</v>
      </c>
    </row>
    <row r="19" spans="3:13" x14ac:dyDescent="0.3">
      <c r="C19">
        <f t="shared" si="1"/>
        <v>20</v>
      </c>
      <c r="D19" t="str">
        <f>IFERROR(INDEX(TBBP[],$C19,1),"SEM DADOS")</f>
        <v>1.1.1.7.01</v>
      </c>
      <c r="E19" s="17" t="str">
        <f>IFERROR(INDEX(TBBP[],$C19,2),"SEM DADOS")</f>
        <v>Adiantamentos a Fornecedores</v>
      </c>
      <c r="F19" s="24">
        <f>IFERROR((INDEX(TBBP[],$C19,E$8)),"SEM DADOS")</f>
        <v>201505.09</v>
      </c>
      <c r="G19" s="25">
        <f t="shared" si="2"/>
        <v>4.8515667341848126E-3</v>
      </c>
      <c r="H19" s="24">
        <f>IFERROR(INDEX(TBBP[],$C19,H$8),"SEM DADOS")</f>
        <v>448485.75</v>
      </c>
      <c r="I19" s="25">
        <f t="shared" si="3"/>
        <v>7.0574591402265893E-3</v>
      </c>
      <c r="J19" s="24">
        <f>IFERROR(INDEX(TBBP[],$C19,J$8),"SEM DADOS")</f>
        <v>454255.56</v>
      </c>
      <c r="K19" s="25">
        <f t="shared" si="4"/>
        <v>5.9736531476575275E-3</v>
      </c>
      <c r="L19" s="90">
        <f t="shared" si="6"/>
        <v>1.2256795101304885</v>
      </c>
      <c r="M19" s="90">
        <f t="shared" si="5"/>
        <v>1.2865091031320386E-2</v>
      </c>
    </row>
    <row r="20" spans="3:13" x14ac:dyDescent="0.3">
      <c r="C20">
        <f t="shared" si="1"/>
        <v>21</v>
      </c>
      <c r="D20" t="str">
        <f>IFERROR(INDEX(TBBP[],$C20,1),"SEM DADOS")</f>
        <v>1.1.1.7.02</v>
      </c>
      <c r="E20" s="17" t="str">
        <f>IFERROR(INDEX(TBBP[],$C20,2),"SEM DADOS")</f>
        <v>Adiantamentos - Despachante Aduaneiro</v>
      </c>
      <c r="F20" s="24">
        <f>IFERROR((INDEX(TBBP[],$C20,E$8)),"SEM DADOS")</f>
        <v>0</v>
      </c>
      <c r="G20" s="25">
        <f t="shared" si="2"/>
        <v>0</v>
      </c>
      <c r="H20" s="24">
        <f>IFERROR(INDEX(TBBP[],$C20,H$8),"SEM DADOS")</f>
        <v>0</v>
      </c>
      <c r="I20" s="25">
        <f t="shared" si="3"/>
        <v>0</v>
      </c>
      <c r="J20" s="24">
        <f>IFERROR(INDEX(TBBP[],$C20,J$8),"SEM DADOS")</f>
        <v>0</v>
      </c>
      <c r="K20" s="25">
        <f t="shared" si="4"/>
        <v>0</v>
      </c>
      <c r="L20" s="90">
        <f t="shared" si="6"/>
        <v>0</v>
      </c>
      <c r="M20" s="90">
        <f t="shared" si="5"/>
        <v>0</v>
      </c>
    </row>
    <row r="21" spans="3:13" x14ac:dyDescent="0.3">
      <c r="C21">
        <f t="shared" si="1"/>
        <v>22</v>
      </c>
      <c r="D21" t="str">
        <f>IFERROR(INDEX(TBBP[],$C21,1),"SEM DADOS")</f>
        <v>1.1.1.7.03</v>
      </c>
      <c r="E21" s="17" t="str">
        <f>IFERROR(INDEX(TBBP[],$C21,2),"SEM DADOS")</f>
        <v>Adiantamento - Funcionários</v>
      </c>
      <c r="F21" s="24">
        <f>IFERROR((INDEX(TBBP[],$C21,E$8)),"SEM DADOS")</f>
        <v>0</v>
      </c>
      <c r="G21" s="25">
        <f t="shared" si="2"/>
        <v>0</v>
      </c>
      <c r="H21" s="24">
        <f>IFERROR(INDEX(TBBP[],$C21,H$8),"SEM DADOS")</f>
        <v>0</v>
      </c>
      <c r="I21" s="25">
        <f t="shared" si="3"/>
        <v>0</v>
      </c>
      <c r="J21" s="24">
        <f>IFERROR(INDEX(TBBP[],$C21,J$8),"SEM DADOS")</f>
        <v>3746.39</v>
      </c>
      <c r="K21" s="25">
        <f t="shared" si="4"/>
        <v>4.9266616386275346E-5</v>
      </c>
      <c r="L21" s="90">
        <f t="shared" si="6"/>
        <v>0</v>
      </c>
      <c r="M21" s="90">
        <f t="shared" si="5"/>
        <v>1</v>
      </c>
    </row>
    <row r="22" spans="3:13" x14ac:dyDescent="0.3">
      <c r="C22">
        <f t="shared" si="1"/>
        <v>23</v>
      </c>
      <c r="D22" t="str">
        <f>IFERROR(INDEX(TBBP[],$C22,1),"SEM DADOS")</f>
        <v>1.1.1.7.04</v>
      </c>
      <c r="E22" s="17" t="str">
        <f>IFERROR(INDEX(TBBP[],$C22,2),"SEM DADOS")</f>
        <v>Adiantamento de Viagem</v>
      </c>
      <c r="F22" s="24">
        <f>IFERROR((INDEX(TBBP[],$C22,E$8)),"SEM DADOS")</f>
        <v>109895.66</v>
      </c>
      <c r="G22" s="25">
        <f t="shared" si="2"/>
        <v>2.6459189109678798E-3</v>
      </c>
      <c r="H22" s="24">
        <f>IFERROR(INDEX(TBBP[],$C22,H$8),"SEM DADOS")</f>
        <v>345495.17</v>
      </c>
      <c r="I22" s="25">
        <f t="shared" si="3"/>
        <v>5.4367793077497763E-3</v>
      </c>
      <c r="J22" s="24">
        <f>IFERROR(INDEX(TBBP[],$C22,J$8),"SEM DADOS")</f>
        <v>325944.18</v>
      </c>
      <c r="K22" s="25">
        <f t="shared" si="4"/>
        <v>4.2863041166026714E-3</v>
      </c>
      <c r="L22" s="90">
        <f t="shared" si="6"/>
        <v>2.1438472638500916</v>
      </c>
      <c r="M22" s="90">
        <f t="shared" si="5"/>
        <v>-5.6588316415537743E-2</v>
      </c>
    </row>
    <row r="23" spans="3:13" x14ac:dyDescent="0.3">
      <c r="C23">
        <f t="shared" si="1"/>
        <v>24</v>
      </c>
      <c r="D23" t="str">
        <f>IFERROR(INDEX(TBBP[],$C23,1),"SEM DADOS")</f>
        <v>1.1.1.7.05</v>
      </c>
      <c r="E23" s="17" t="str">
        <f>IFERROR(INDEX(TBBP[],$C23,2),"SEM DADOS")</f>
        <v>Adto a Fornecedores Exterior</v>
      </c>
      <c r="F23" s="24">
        <f>IFERROR((INDEX(TBBP[],$C23,E$8)),"SEM DADOS")</f>
        <v>1999742.82</v>
      </c>
      <c r="G23" s="25">
        <f t="shared" si="2"/>
        <v>4.8147100117604619E-2</v>
      </c>
      <c r="H23" s="24">
        <f>IFERROR(INDEX(TBBP[],$C23,H$8),"SEM DADOS")</f>
        <v>1779887.79</v>
      </c>
      <c r="I23" s="25">
        <f t="shared" si="3"/>
        <v>2.8008661037977695E-2</v>
      </c>
      <c r="J23" s="24">
        <f>IFERROR(INDEX(TBBP[],$C23,J$8),"SEM DADOS")</f>
        <v>1502200.37</v>
      </c>
      <c r="K23" s="25">
        <f t="shared" si="4"/>
        <v>1.9754571564655814E-2</v>
      </c>
      <c r="L23" s="90">
        <f t="shared" si="6"/>
        <v>-0.10994165239708176</v>
      </c>
      <c r="M23" s="90">
        <f t="shared" si="5"/>
        <v>-0.15601400355693207</v>
      </c>
    </row>
    <row r="24" spans="3:13" x14ac:dyDescent="0.3">
      <c r="C24">
        <f t="shared" si="1"/>
        <v>25</v>
      </c>
      <c r="D24" t="str">
        <f>IFERROR(INDEX(TBBP[],$C24,1),"SEM DADOS")</f>
        <v>1.1.1.7.06</v>
      </c>
      <c r="E24" s="17" t="str">
        <f>IFERROR(INDEX(TBBP[],$C24,2),"SEM DADOS")</f>
        <v>Adiantamentos - Partes Relacionadas</v>
      </c>
      <c r="F24" s="24">
        <f>IFERROR((INDEX(TBBP[],$C24,E$8)),"SEM DADOS")</f>
        <v>0</v>
      </c>
      <c r="G24" s="25">
        <f t="shared" si="2"/>
        <v>0</v>
      </c>
      <c r="H24" s="24">
        <f>IFERROR(INDEX(TBBP[],$C24,H$8),"SEM DADOS")</f>
        <v>115000</v>
      </c>
      <c r="I24" s="25">
        <f t="shared" si="3"/>
        <v>1.8096624053853614E-3</v>
      </c>
      <c r="J24" s="24">
        <f>IFERROR(INDEX(TBBP[],$C24,J$8),"SEM DADOS")</f>
        <v>55000</v>
      </c>
      <c r="K24" s="25">
        <f t="shared" si="4"/>
        <v>7.232733114398512E-4</v>
      </c>
      <c r="L24" s="90">
        <f t="shared" si="6"/>
        <v>1</v>
      </c>
      <c r="M24" s="90">
        <f t="shared" si="5"/>
        <v>-0.52173913043478259</v>
      </c>
    </row>
    <row r="25" spans="3:13" x14ac:dyDescent="0.3">
      <c r="C25">
        <f t="shared" si="1"/>
        <v>26</v>
      </c>
      <c r="D25" t="str">
        <f>IFERROR(INDEX(TBBP[],$C25,1),"SEM DADOS")</f>
        <v>1.1.1.7.07</v>
      </c>
      <c r="E25" s="17" t="str">
        <f>IFERROR(INDEX(TBBP[],$C25,2),"SEM DADOS")</f>
        <v>Compra - Entrega Futura</v>
      </c>
      <c r="F25" s="24">
        <f>IFERROR((INDEX(TBBP[],$C25,E$8)),"SEM DADOS")</f>
        <v>0</v>
      </c>
      <c r="G25" s="25">
        <f t="shared" si="2"/>
        <v>0</v>
      </c>
      <c r="H25" s="24">
        <f>IFERROR(INDEX(TBBP[],$C25,H$8),"SEM DADOS")</f>
        <v>75000.03</v>
      </c>
      <c r="I25" s="25">
        <f t="shared" si="3"/>
        <v>1.1802150842936893E-3</v>
      </c>
      <c r="J25" s="24">
        <f>IFERROR(INDEX(TBBP[],$C25,J$8),"SEM DADOS")</f>
        <v>35500.03</v>
      </c>
      <c r="K25" s="25">
        <f t="shared" si="4"/>
        <v>4.6684044098752839E-4</v>
      </c>
      <c r="L25" s="90">
        <f t="shared" si="6"/>
        <v>1</v>
      </c>
      <c r="M25" s="90">
        <f t="shared" si="5"/>
        <v>-0.52666645600008422</v>
      </c>
    </row>
    <row r="26" spans="3:13" x14ac:dyDescent="0.3">
      <c r="C26">
        <f t="shared" si="1"/>
        <v>27</v>
      </c>
      <c r="D26" t="str">
        <f>IFERROR(INDEX(TBBP[],$C26,1),"SEM DADOS")</f>
        <v>1.1.1.7.90</v>
      </c>
      <c r="E26" s="17" t="str">
        <f>IFERROR(INDEX(TBBP[],$C26,2),"SEM DADOS")</f>
        <v>Outros Adiantamentos</v>
      </c>
      <c r="F26" s="24">
        <f>IFERROR((INDEX(TBBP[],$C26,E$8)),"SEM DADOS")</f>
        <v>7546.07</v>
      </c>
      <c r="G26" s="25">
        <f t="shared" si="2"/>
        <v>1.816840566450703E-4</v>
      </c>
      <c r="H26" s="24">
        <f>IFERROR(INDEX(TBBP[],$C26,H$8),"SEM DADOS")</f>
        <v>10710.34</v>
      </c>
      <c r="I26" s="25">
        <f t="shared" si="3"/>
        <v>1.6853999692952219E-4</v>
      </c>
      <c r="J26" s="24">
        <f>IFERROR(INDEX(TBBP[],$C26,J$8),"SEM DADOS")</f>
        <v>240.35</v>
      </c>
      <c r="K26" s="25">
        <f t="shared" si="4"/>
        <v>3.1607043709921496E-6</v>
      </c>
      <c r="L26" s="90">
        <f t="shared" si="6"/>
        <v>0.41932688140979346</v>
      </c>
      <c r="M26" s="90">
        <f t="shared" si="5"/>
        <v>-0.97755906908650891</v>
      </c>
    </row>
    <row r="27" spans="3:13" x14ac:dyDescent="0.3">
      <c r="C27">
        <f t="shared" si="1"/>
        <v>28</v>
      </c>
      <c r="D27" t="str">
        <f>IFERROR(INDEX(TBBP[],$C27,1),"SEM DADOS")</f>
        <v>1.1.1.7.08</v>
      </c>
      <c r="E27" s="17" t="str">
        <f>IFERROR(INDEX(TBBP[],$C27,2),"SEM DADOS")</f>
        <v>Programa Apoio Empreendedor</v>
      </c>
      <c r="F27" s="24">
        <f>IFERROR((INDEX(TBBP[],$C27,E$8)),"SEM DADOS")</f>
        <v>0</v>
      </c>
      <c r="G27" s="25">
        <f t="shared" si="2"/>
        <v>0</v>
      </c>
      <c r="H27" s="24">
        <f>IFERROR(INDEX(TBBP[],$C27,H$8),"SEM DADOS")</f>
        <v>17000</v>
      </c>
      <c r="I27" s="25">
        <f t="shared" si="3"/>
        <v>2.6751531210044473E-4</v>
      </c>
      <c r="J27" s="24">
        <f>IFERROR(INDEX(TBBP[],$C27,J$8),"SEM DADOS")</f>
        <v>17000</v>
      </c>
      <c r="K27" s="25">
        <f t="shared" si="4"/>
        <v>2.2355720535413584E-4</v>
      </c>
      <c r="L27" s="90">
        <f t="shared" si="6"/>
        <v>1</v>
      </c>
      <c r="M27" s="90">
        <f t="shared" si="5"/>
        <v>0</v>
      </c>
    </row>
    <row r="28" spans="3:13" x14ac:dyDescent="0.3">
      <c r="C28">
        <f t="shared" si="1"/>
        <v>29</v>
      </c>
      <c r="D28" t="str">
        <f>IFERROR(INDEX(TBBP[],$C28,1),"SEM DADOS")</f>
        <v>1.1.1.8</v>
      </c>
      <c r="E28" s="17" t="str">
        <f>IFERROR(INDEX(TBBP[],$C28,2),"SEM DADOS")</f>
        <v>Outros Recebíveis</v>
      </c>
      <c r="F28" s="24">
        <f>IFERROR((INDEX(TBBP[],$C28,E$8)),"SEM DADOS")</f>
        <v>0</v>
      </c>
      <c r="G28" s="25">
        <f t="shared" si="2"/>
        <v>0</v>
      </c>
      <c r="H28" s="24">
        <f>IFERROR(INDEX(TBBP[],$C28,H$8),"SEM DADOS")</f>
        <v>0</v>
      </c>
      <c r="I28" s="25">
        <f t="shared" si="3"/>
        <v>0</v>
      </c>
      <c r="J28" s="24">
        <f>IFERROR(INDEX(TBBP[],$C28,J$8),"SEM DADOS")</f>
        <v>0</v>
      </c>
      <c r="K28" s="25">
        <f t="shared" si="4"/>
        <v>0</v>
      </c>
      <c r="L28" s="90">
        <f t="shared" si="6"/>
        <v>0</v>
      </c>
      <c r="M28" s="90">
        <f t="shared" si="5"/>
        <v>0</v>
      </c>
    </row>
    <row r="29" spans="3:13" x14ac:dyDescent="0.3">
      <c r="C29">
        <f t="shared" si="1"/>
        <v>30</v>
      </c>
      <c r="D29" t="str">
        <f>IFERROR(INDEX(TBBP[],$C29,1),"SEM DADOS")</f>
        <v>1.1.1.9</v>
      </c>
      <c r="E29" s="17" t="str">
        <f>IFERROR(INDEX(TBBP[],$C29,2),"SEM DADOS")</f>
        <v>Despesas Exercicio Seguinte</v>
      </c>
      <c r="F29" s="24">
        <f>IFERROR((INDEX(TBBP[],$C29,E$8)),"SEM DADOS")</f>
        <v>0</v>
      </c>
      <c r="G29" s="25">
        <f t="shared" si="2"/>
        <v>0</v>
      </c>
      <c r="H29" s="24">
        <f>IFERROR(INDEX(TBBP[],$C29,H$8),"SEM DADOS")</f>
        <v>53956.56</v>
      </c>
      <c r="I29" s="25">
        <f t="shared" si="3"/>
        <v>8.4907094048625707E-4</v>
      </c>
      <c r="J29" s="24">
        <f>IFERROR(INDEX(TBBP[],$C29,J$8),"SEM DADOS")</f>
        <v>294614.13</v>
      </c>
      <c r="K29" s="25">
        <f t="shared" si="4"/>
        <v>3.874300680037651E-3</v>
      </c>
      <c r="L29" s="90">
        <f t="shared" si="6"/>
        <v>1</v>
      </c>
      <c r="M29" s="90">
        <f t="shared" si="5"/>
        <v>4.4602096575467378</v>
      </c>
    </row>
    <row r="30" spans="3:13" ht="15" thickBot="1" x14ac:dyDescent="0.35">
      <c r="C30">
        <f t="shared" si="1"/>
        <v>31</v>
      </c>
      <c r="D30" t="str">
        <f>IFERROR(INDEX(TBBP[],$C30,1),"SEM DADOS")</f>
        <v>1.3</v>
      </c>
      <c r="E30" s="165" t="str">
        <f>IFERROR(INDEX(TBBP[],$C30,2),"SEM DADOS")</f>
        <v>ATIVO NAO CIRCULANTE</v>
      </c>
      <c r="F30" s="163">
        <f>IFERROR((INDEX(TBBP[],$C30,E$8)),"SEM DADOS")</f>
        <v>4809467.1899999995</v>
      </c>
      <c r="G30" s="164">
        <f t="shared" si="2"/>
        <v>0.11579583934161319</v>
      </c>
      <c r="H30" s="163">
        <f>IFERROR(INDEX(TBBP[],$C30,H$8),"SEM DADOS")</f>
        <v>6562258.4299999997</v>
      </c>
      <c r="I30" s="164">
        <f t="shared" si="3"/>
        <v>0.10326497717560143</v>
      </c>
      <c r="J30" s="163">
        <f>IFERROR(INDEX(TBBP[],$C30,J$8),"SEM DADOS")</f>
        <v>9477724.5700000003</v>
      </c>
      <c r="K30" s="164">
        <f t="shared" si="4"/>
        <v>0.12463609517561346</v>
      </c>
      <c r="L30" s="236">
        <f t="shared" si="6"/>
        <v>0.36444603336612014</v>
      </c>
      <c r="M30" s="236">
        <f t="shared" si="5"/>
        <v>0.44427786121187562</v>
      </c>
    </row>
    <row r="31" spans="3:13" ht="15" thickTop="1" x14ac:dyDescent="0.3">
      <c r="C31">
        <f t="shared" si="1"/>
        <v>32</v>
      </c>
      <c r="D31" t="str">
        <f>IFERROR(INDEX(TBBP[],$C31,1),"SEM DADOS")</f>
        <v>1.3.1</v>
      </c>
      <c r="E31" s="167" t="str">
        <f>IFERROR(INDEX(TBBP[],$C31,2),"SEM DADOS")</f>
        <v>REALIZAVEL A LONGO PRAZO</v>
      </c>
      <c r="F31" s="168">
        <f>IFERROR((INDEX(TBBP[],$C31,E$8)),"SEM DADOS")</f>
        <v>62037.69</v>
      </c>
      <c r="G31" s="169">
        <f t="shared" si="2"/>
        <v>1.4936595054232617E-3</v>
      </c>
      <c r="H31" s="168">
        <f>IFERROR(INDEX(TBBP[],$C31,H$8),"SEM DADOS")</f>
        <v>62037.69</v>
      </c>
      <c r="I31" s="169">
        <f t="shared" si="3"/>
        <v>9.7623717660827284E-4</v>
      </c>
      <c r="J31" s="168">
        <f>IFERROR(INDEX(TBBP[],$C31,J$8),"SEM DADOS")</f>
        <v>62037.69</v>
      </c>
      <c r="K31" s="169">
        <f t="shared" si="4"/>
        <v>8.1582191782507169E-4</v>
      </c>
      <c r="L31" s="237">
        <f t="shared" si="6"/>
        <v>0</v>
      </c>
      <c r="M31" s="237">
        <f t="shared" si="5"/>
        <v>0</v>
      </c>
    </row>
    <row r="32" spans="3:13" x14ac:dyDescent="0.3">
      <c r="C32">
        <f t="shared" si="1"/>
        <v>33</v>
      </c>
      <c r="D32" t="str">
        <f>IFERROR(INDEX(TBBP[],$C32,1),"SEM DADOS")</f>
        <v>1.3.1.1</v>
      </c>
      <c r="E32" s="17" t="str">
        <f>IFERROR(INDEX(TBBP[],$C32,2),"SEM DADOS")</f>
        <v>Depositos e Caucoes</v>
      </c>
      <c r="F32" s="24">
        <f>IFERROR((INDEX(TBBP[],$C32,E$8)),"SEM DADOS")</f>
        <v>62037.69</v>
      </c>
      <c r="G32" s="25">
        <f t="shared" si="2"/>
        <v>1.4936595054232617E-3</v>
      </c>
      <c r="H32" s="24">
        <f>IFERROR(INDEX(TBBP[],$C32,H$8),"SEM DADOS")</f>
        <v>62037.69</v>
      </c>
      <c r="I32" s="25">
        <f t="shared" si="3"/>
        <v>9.7623717660827284E-4</v>
      </c>
      <c r="J32" s="24">
        <f>IFERROR(INDEX(TBBP[],$C32,J$8),"SEM DADOS")</f>
        <v>62037.69</v>
      </c>
      <c r="K32" s="25">
        <f t="shared" si="4"/>
        <v>8.1582191782507169E-4</v>
      </c>
      <c r="L32" s="90">
        <f t="shared" si="6"/>
        <v>0</v>
      </c>
      <c r="M32" s="90">
        <f t="shared" si="5"/>
        <v>0</v>
      </c>
    </row>
    <row r="33" spans="3:13" x14ac:dyDescent="0.3">
      <c r="C33">
        <f t="shared" si="1"/>
        <v>34</v>
      </c>
      <c r="D33" t="str">
        <f>IFERROR(INDEX(TBBP[],$C33,1),"SEM DADOS")</f>
        <v>1.SEM CONTA</v>
      </c>
      <c r="E33" s="17" t="str">
        <f>IFERROR(INDEX(TBBP[],$C33,2),"SEM DADOS")</f>
        <v>Títulos de Capitalização</v>
      </c>
      <c r="F33" s="24">
        <f>IFERROR((INDEX(TBBP[],$C33,E$8)),"SEM DADOS")</f>
        <v>0</v>
      </c>
      <c r="G33" s="25">
        <f t="shared" si="2"/>
        <v>0</v>
      </c>
      <c r="H33" s="24">
        <f>IFERROR(INDEX(TBBP[],$C33,H$8),"SEM DADOS")</f>
        <v>0</v>
      </c>
      <c r="I33" s="25">
        <f t="shared" si="3"/>
        <v>0</v>
      </c>
      <c r="J33" s="24">
        <f>IFERROR(INDEX(TBBP[],$C33,J$8),"SEM DADOS")</f>
        <v>0</v>
      </c>
      <c r="K33" s="25">
        <f t="shared" si="4"/>
        <v>0</v>
      </c>
      <c r="L33" s="90">
        <f t="shared" si="6"/>
        <v>0</v>
      </c>
      <c r="M33" s="90">
        <f t="shared" si="5"/>
        <v>0</v>
      </c>
    </row>
    <row r="34" spans="3:13" x14ac:dyDescent="0.3">
      <c r="C34">
        <f t="shared" si="1"/>
        <v>35</v>
      </c>
      <c r="D34" t="str">
        <f>IFERROR(INDEX(TBBP[],$C34,1),"SEM DADOS")</f>
        <v>1.3.1.3</v>
      </c>
      <c r="E34" s="167" t="str">
        <f>IFERROR(INDEX(TBBP[],$C34,2),"SEM DADOS")</f>
        <v>Clientes Longo Prazo</v>
      </c>
      <c r="F34" s="168">
        <f>IFERROR((INDEX(TBBP[],$C34,E$8)),"SEM DADOS")</f>
        <v>0</v>
      </c>
      <c r="G34" s="169">
        <f t="shared" si="2"/>
        <v>0</v>
      </c>
      <c r="H34" s="168">
        <f>IFERROR(INDEX(TBBP[],$C34,H$8),"SEM DADOS")</f>
        <v>0</v>
      </c>
      <c r="I34" s="169">
        <f t="shared" si="3"/>
        <v>0</v>
      </c>
      <c r="J34" s="168">
        <f>IFERROR(INDEX(TBBP[],$C34,J$8),"SEM DADOS")</f>
        <v>0</v>
      </c>
      <c r="K34" s="169">
        <f t="shared" si="4"/>
        <v>0</v>
      </c>
      <c r="L34" s="237">
        <f t="shared" si="6"/>
        <v>0</v>
      </c>
      <c r="M34" s="237">
        <f t="shared" si="5"/>
        <v>0</v>
      </c>
    </row>
    <row r="35" spans="3:13" x14ac:dyDescent="0.3">
      <c r="C35">
        <f t="shared" si="1"/>
        <v>36</v>
      </c>
      <c r="D35" t="str">
        <f>IFERROR(INDEX(TBBP[],$C35,1),"SEM DADOS")</f>
        <v>1.3.2</v>
      </c>
      <c r="E35" s="17" t="str">
        <f>IFERROR(INDEX(TBBP[],$C35,2),"SEM DADOS")</f>
        <v>INVESTIMENTOS</v>
      </c>
      <c r="F35" s="24">
        <f>IFERROR((INDEX(TBBP[],$C35,E$8)),"SEM DADOS")</f>
        <v>635942.27</v>
      </c>
      <c r="G35" s="25">
        <f t="shared" si="2"/>
        <v>1.5311356958744698E-2</v>
      </c>
      <c r="H35" s="24">
        <f>IFERROR(INDEX(TBBP[],$C35,H$8),"SEM DADOS")</f>
        <v>1245826.92</v>
      </c>
      <c r="I35" s="25">
        <f t="shared" si="3"/>
        <v>1.9604575136878574E-2</v>
      </c>
      <c r="J35" s="24">
        <f>IFERROR(INDEX(TBBP[],$C35,J$8),"SEM DADOS")</f>
        <v>3523360.87</v>
      </c>
      <c r="K35" s="25">
        <f t="shared" si="4"/>
        <v>4.6333688797136278E-2</v>
      </c>
      <c r="L35" s="90">
        <f t="shared" si="6"/>
        <v>0.95902518006862469</v>
      </c>
      <c r="M35" s="90">
        <f t="shared" si="5"/>
        <v>1.8281303072179562</v>
      </c>
    </row>
    <row r="36" spans="3:13" x14ac:dyDescent="0.3">
      <c r="C36">
        <f t="shared" si="1"/>
        <v>37</v>
      </c>
      <c r="D36" t="str">
        <f>IFERROR(INDEX(TBBP[],$C36,1),"SEM DADOS")</f>
        <v>1.3.2.2</v>
      </c>
      <c r="E36" s="17" t="str">
        <f>IFERROR(INDEX(TBBP[],$C36,2),"SEM DADOS")</f>
        <v>Participações Societaria</v>
      </c>
      <c r="F36" s="24">
        <f>IFERROR((INDEX(TBBP[],$C36,E$8)),"SEM DADOS")</f>
        <v>635942.27</v>
      </c>
      <c r="G36" s="25">
        <f t="shared" si="2"/>
        <v>1.5311356958744698E-2</v>
      </c>
      <c r="H36" s="24">
        <f>IFERROR(INDEX(TBBP[],$C36,H$8),"SEM DADOS")</f>
        <v>1245826.92</v>
      </c>
      <c r="I36" s="25">
        <f t="shared" si="3"/>
        <v>1.9604575136878574E-2</v>
      </c>
      <c r="J36" s="24">
        <f>IFERROR(INDEX(TBBP[],$C36,J$8),"SEM DADOS")</f>
        <v>2482963.63</v>
      </c>
      <c r="K36" s="25">
        <f t="shared" si="4"/>
        <v>3.2652024124632972E-2</v>
      </c>
      <c r="L36" s="90">
        <f t="shared" si="6"/>
        <v>0.95902518006862469</v>
      </c>
      <c r="M36" s="90">
        <f t="shared" si="5"/>
        <v>0.99302454469357593</v>
      </c>
    </row>
    <row r="37" spans="3:13" x14ac:dyDescent="0.3">
      <c r="C37">
        <f t="shared" si="1"/>
        <v>38</v>
      </c>
      <c r="D37" t="str">
        <f>IFERROR(INDEX(TBBP[],$C37,1),"SEM DADOS")</f>
        <v>1.3.2.3</v>
      </c>
      <c r="E37" s="167" t="str">
        <f>IFERROR(INDEX(TBBP[],$C37,2),"SEM DADOS")</f>
        <v>Aplicações Financeiras LP</v>
      </c>
      <c r="F37" s="168">
        <f>IFERROR((INDEX(TBBP[],$C37,E$8)),"SEM DADOS")</f>
        <v>0</v>
      </c>
      <c r="G37" s="169">
        <f t="shared" si="2"/>
        <v>0</v>
      </c>
      <c r="H37" s="168">
        <f>IFERROR(INDEX(TBBP[],$C37,H$8),"SEM DADOS")</f>
        <v>0</v>
      </c>
      <c r="I37" s="169">
        <f t="shared" si="3"/>
        <v>0</v>
      </c>
      <c r="J37" s="168">
        <f>IFERROR(INDEX(TBBP[],$C37,J$8),"SEM DADOS")</f>
        <v>1040397.24</v>
      </c>
      <c r="K37" s="169">
        <f t="shared" si="4"/>
        <v>1.3681664672503303E-2</v>
      </c>
      <c r="L37" s="237">
        <f t="shared" si="6"/>
        <v>0</v>
      </c>
      <c r="M37" s="237">
        <f t="shared" si="5"/>
        <v>1</v>
      </c>
    </row>
    <row r="38" spans="3:13" x14ac:dyDescent="0.3">
      <c r="C38">
        <f t="shared" si="1"/>
        <v>39</v>
      </c>
      <c r="D38" t="str">
        <f>IFERROR(INDEX(TBBP[],$C38,1),"SEM DADOS")</f>
        <v>1.3.3</v>
      </c>
      <c r="E38" s="17" t="str">
        <f>IFERROR(INDEX(TBBP[],$C38,2),"SEM DADOS")</f>
        <v>IMOBILIZADO TECNICO</v>
      </c>
      <c r="F38" s="24">
        <f>IFERROR((INDEX(TBBP[],$C38,E$8)),"SEM DADOS")</f>
        <v>3838845.89</v>
      </c>
      <c r="G38" s="25">
        <f t="shared" si="2"/>
        <v>9.2426533828927557E-2</v>
      </c>
      <c r="H38" s="24">
        <f>IFERROR(INDEX(TBBP[],$C38,H$8),"SEM DADOS")</f>
        <v>5026955.57</v>
      </c>
      <c r="I38" s="25">
        <f t="shared" si="3"/>
        <v>7.9105152248448177E-2</v>
      </c>
      <c r="J38" s="24">
        <f>IFERROR(INDEX(TBBP[],$C38,J$8),"SEM DADOS")</f>
        <v>5474945.4299999997</v>
      </c>
      <c r="K38" s="25">
        <f t="shared" si="4"/>
        <v>7.1997852929246903E-2</v>
      </c>
      <c r="L38" s="90">
        <f t="shared" si="6"/>
        <v>0.3094965815363846</v>
      </c>
      <c r="M38" s="90">
        <f t="shared" si="5"/>
        <v>8.9117529240466231E-2</v>
      </c>
    </row>
    <row r="39" spans="3:13" x14ac:dyDescent="0.3">
      <c r="C39">
        <f t="shared" si="1"/>
        <v>40</v>
      </c>
      <c r="D39" t="str">
        <f>IFERROR(INDEX(TBBP[],$C39,1),"SEM DADOS")</f>
        <v>1.3.3.1.01.00003</v>
      </c>
      <c r="E39" s="17" t="str">
        <f>IFERROR(INDEX(TBBP[],$C39,2),"SEM DADOS")</f>
        <v>Moveis e Utensilios</v>
      </c>
      <c r="F39" s="24">
        <f>IFERROR((INDEX(TBBP[],$C39,E$8)),"SEM DADOS")</f>
        <v>132954.82</v>
      </c>
      <c r="G39" s="25">
        <f t="shared" si="2"/>
        <v>3.2011061450682447E-3</v>
      </c>
      <c r="H39" s="24">
        <f>IFERROR(INDEX(TBBP[],$C39,H$8),"SEM DADOS")</f>
        <v>173691.51</v>
      </c>
      <c r="I39" s="25">
        <f t="shared" si="3"/>
        <v>2.7332434415792656E-3</v>
      </c>
      <c r="J39" s="24">
        <f>IFERROR(INDEX(TBBP[],$C39,J$8),"SEM DADOS")</f>
        <v>188624.9</v>
      </c>
      <c r="K39" s="25">
        <f t="shared" si="4"/>
        <v>2.4804973826001962E-3</v>
      </c>
      <c r="L39" s="90">
        <f t="shared" si="6"/>
        <v>0.30639498440146817</v>
      </c>
      <c r="M39" s="90">
        <f t="shared" si="5"/>
        <v>8.5976510884153035E-2</v>
      </c>
    </row>
    <row r="40" spans="3:13" x14ac:dyDescent="0.3">
      <c r="C40">
        <f t="shared" si="1"/>
        <v>41</v>
      </c>
      <c r="D40" t="str">
        <f>IFERROR(INDEX(TBBP[],$C40,1),"SEM DADOS")</f>
        <v>1.3.3.1.01.00009</v>
      </c>
      <c r="E40" s="17" t="str">
        <f>IFERROR(INDEX(TBBP[],$C40,2),"SEM DADOS")</f>
        <v>Veiculos</v>
      </c>
      <c r="F40" s="24">
        <f>IFERROR((INDEX(TBBP[],$C40,E$8)),"SEM DADOS")</f>
        <v>960843.52</v>
      </c>
      <c r="G40" s="25">
        <f t="shared" si="2"/>
        <v>2.3133889364229162E-2</v>
      </c>
      <c r="H40" s="24">
        <f>IFERROR(INDEX(TBBP[],$C40,H$8),"SEM DADOS")</f>
        <v>859358.5</v>
      </c>
      <c r="I40" s="25">
        <f t="shared" si="3"/>
        <v>1.3523032784333531E-2</v>
      </c>
      <c r="J40" s="24">
        <f>IFERROR(INDEX(TBBP[],$C40,J$8),"SEM DADOS")</f>
        <v>828911.73</v>
      </c>
      <c r="K40" s="25">
        <f t="shared" si="4"/>
        <v>1.090054057906247E-2</v>
      </c>
      <c r="L40" s="90">
        <f t="shared" si="6"/>
        <v>-0.10562075706146201</v>
      </c>
      <c r="M40" s="90">
        <f t="shared" si="5"/>
        <v>-3.5429648976533112E-2</v>
      </c>
    </row>
    <row r="41" spans="3:13" x14ac:dyDescent="0.3">
      <c r="C41">
        <f t="shared" si="1"/>
        <v>42</v>
      </c>
      <c r="D41" t="str">
        <f>IFERROR(INDEX(TBBP[],$C41,1),"SEM DADOS")</f>
        <v>1.3.3.1.01.00002</v>
      </c>
      <c r="E41" s="17" t="str">
        <f>IFERROR(INDEX(TBBP[],$C41,2),"SEM DADOS")</f>
        <v>Edificios</v>
      </c>
      <c r="F41" s="24">
        <f>IFERROR((INDEX(TBBP[],$C41,E$8)),"SEM DADOS")</f>
        <v>321376.53000000003</v>
      </c>
      <c r="G41" s="25">
        <f t="shared" si="2"/>
        <v>7.7376689695319743E-3</v>
      </c>
      <c r="H41" s="24">
        <f>IFERROR(INDEX(TBBP[],$C41,H$8),"SEM DADOS")</f>
        <v>342545.37</v>
      </c>
      <c r="I41" s="25">
        <f t="shared" si="3"/>
        <v>5.3903606802419004E-3</v>
      </c>
      <c r="J41" s="24">
        <f>IFERROR(INDEX(TBBP[],$C41,J$8),"SEM DADOS")</f>
        <v>342545.37</v>
      </c>
      <c r="K41" s="25">
        <f t="shared" si="4"/>
        <v>4.5046168014234375E-3</v>
      </c>
      <c r="L41" s="90">
        <f t="shared" si="6"/>
        <v>6.586927800857123E-2</v>
      </c>
      <c r="M41" s="90">
        <f t="shared" si="5"/>
        <v>0</v>
      </c>
    </row>
    <row r="42" spans="3:13" x14ac:dyDescent="0.3">
      <c r="C42">
        <f t="shared" si="1"/>
        <v>43</v>
      </c>
      <c r="D42" t="str">
        <f>IFERROR(INDEX(TBBP[],$C42,1),"SEM DADOS")</f>
        <v>1.3.3.5.01.00002</v>
      </c>
      <c r="E42" s="17" t="str">
        <f>IFERROR(INDEX(TBBP[],$C42,2),"SEM DADOS")</f>
        <v>Veiculos - Leasing Financeiro</v>
      </c>
      <c r="F42" s="24">
        <f>IFERROR((INDEX(TBBP[],$C42,E$8)),"SEM DADOS")</f>
        <v>0</v>
      </c>
      <c r="G42" s="25">
        <f t="shared" si="2"/>
        <v>0</v>
      </c>
      <c r="H42" s="24">
        <f>IFERROR(INDEX(TBBP[],$C42,H$8),"SEM DADOS")</f>
        <v>0</v>
      </c>
      <c r="I42" s="25">
        <f t="shared" si="3"/>
        <v>0</v>
      </c>
      <c r="J42" s="24">
        <f>IFERROR(INDEX(TBBP[],$C42,J$8),"SEM DADOS")</f>
        <v>0</v>
      </c>
      <c r="K42" s="25">
        <f t="shared" si="4"/>
        <v>0</v>
      </c>
      <c r="L42" s="90">
        <f t="shared" si="6"/>
        <v>0</v>
      </c>
      <c r="M42" s="90">
        <f t="shared" si="5"/>
        <v>0</v>
      </c>
    </row>
    <row r="43" spans="3:13" x14ac:dyDescent="0.3">
      <c r="C43">
        <f t="shared" si="1"/>
        <v>44</v>
      </c>
      <c r="D43" t="str">
        <f>IFERROR(INDEX(TBBP[],$C43,1),"SEM DADOS")</f>
        <v>1.3.3.1.01.00005</v>
      </c>
      <c r="E43" s="17" t="str">
        <f>IFERROR(INDEX(TBBP[],$C43,2),"SEM DADOS")</f>
        <v>Equipamentos de Informatica</v>
      </c>
      <c r="F43" s="24">
        <f>IFERROR((INDEX(TBBP[],$C43,E$8)),"SEM DADOS")</f>
        <v>175975.42</v>
      </c>
      <c r="G43" s="25">
        <f t="shared" si="2"/>
        <v>4.2368979051903895E-3</v>
      </c>
      <c r="H43" s="24">
        <f>IFERROR(INDEX(TBBP[],$C43,H$8),"SEM DADOS")</f>
        <v>276177.28000000003</v>
      </c>
      <c r="I43" s="25">
        <f t="shared" si="3"/>
        <v>4.3459794855442305E-3</v>
      </c>
      <c r="J43" s="24">
        <f>IFERROR(INDEX(TBBP[],$C43,J$8),"SEM DADOS")</f>
        <v>382923.75</v>
      </c>
      <c r="K43" s="25">
        <f t="shared" si="4"/>
        <v>5.0356096125721041E-3</v>
      </c>
      <c r="L43" s="90">
        <f t="shared" si="6"/>
        <v>0.56940827304176911</v>
      </c>
      <c r="M43" s="90">
        <f t="shared" si="5"/>
        <v>0.38651430704220124</v>
      </c>
    </row>
    <row r="44" spans="3:13" x14ac:dyDescent="0.3">
      <c r="C44">
        <f t="shared" si="1"/>
        <v>45</v>
      </c>
      <c r="D44" t="str">
        <f>IFERROR(INDEX(TBBP[],$C44,1),"SEM DADOS")</f>
        <v>1.3.3.1.01.00006</v>
      </c>
      <c r="E44" s="17" t="str">
        <f>IFERROR(INDEX(TBBP[],$C44,2),"SEM DADOS")</f>
        <v>Maquinas e Equipamentos - Produção</v>
      </c>
      <c r="F44" s="24">
        <f>IFERROR((INDEX(TBBP[],$C44,E$8)),"SEM DADOS")</f>
        <v>1577418.03</v>
      </c>
      <c r="G44" s="25">
        <f t="shared" si="2"/>
        <v>3.7978935620193721E-2</v>
      </c>
      <c r="H44" s="24">
        <f>IFERROR(INDEX(TBBP[],$C44,H$8),"SEM DADOS")</f>
        <v>2243953.88</v>
      </c>
      <c r="I44" s="25">
        <f t="shared" si="3"/>
        <v>3.5311295443953165E-2</v>
      </c>
      <c r="J44" s="24">
        <f>IFERROR(INDEX(TBBP[],$C44,J$8),"SEM DADOS")</f>
        <v>3814078.59</v>
      </c>
      <c r="K44" s="25">
        <f t="shared" si="4"/>
        <v>5.0156750034202516E-2</v>
      </c>
      <c r="L44" s="90">
        <f t="shared" si="6"/>
        <v>0.42254864425506788</v>
      </c>
      <c r="M44" s="90">
        <f t="shared" si="5"/>
        <v>0.69971344954736781</v>
      </c>
    </row>
    <row r="45" spans="3:13" x14ac:dyDescent="0.3">
      <c r="C45">
        <f t="shared" si="1"/>
        <v>46</v>
      </c>
      <c r="D45" t="str">
        <f>IFERROR(INDEX(TBBP[],$C45,1),"SEM DADOS")</f>
        <v>1.SEM CONTA</v>
      </c>
      <c r="E45" s="17" t="str">
        <f>IFERROR(INDEX(TBBP[],$C45,2),"SEM DADOS")</f>
        <v>Máquinas e Equipamentos - Prestação de Serviço</v>
      </c>
      <c r="F45" s="24">
        <f>IFERROR((INDEX(TBBP[],$C45,E$8)),"SEM DADOS")</f>
        <v>3108025.77</v>
      </c>
      <c r="G45" s="25">
        <f t="shared" si="2"/>
        <v>7.4830836455402394E-2</v>
      </c>
      <c r="H45" s="24">
        <f>IFERROR(INDEX(TBBP[],$C45,H$8),"SEM DADOS")</f>
        <v>2526093.46</v>
      </c>
      <c r="I45" s="25">
        <f t="shared" si="3"/>
        <v>3.9751098843928953E-2</v>
      </c>
      <c r="J45" s="24">
        <f>IFERROR(INDEX(TBBP[],$C45,J$8),"SEM DADOS")</f>
        <v>0</v>
      </c>
      <c r="K45" s="25">
        <f t="shared" si="4"/>
        <v>0</v>
      </c>
      <c r="L45" s="90">
        <f t="shared" si="6"/>
        <v>-0.18723535551637338</v>
      </c>
      <c r="M45" s="90">
        <f t="shared" si="5"/>
        <v>-1</v>
      </c>
    </row>
    <row r="46" spans="3:13" x14ac:dyDescent="0.3">
      <c r="C46">
        <f t="shared" si="1"/>
        <v>47</v>
      </c>
      <c r="D46" t="str">
        <f>IFERROR(INDEX(TBBP[],$C46,1),"SEM DADOS")</f>
        <v>1.SEM CONTA</v>
      </c>
      <c r="E46" s="17" t="str">
        <f>IFERROR(INDEX(TBBP[],$C46,2),"SEM DADOS")</f>
        <v>Máquinas e Equipamentos - Leasing Financeiro - Serviço</v>
      </c>
      <c r="F46" s="24">
        <f>IFERROR((INDEX(TBBP[],$C46,E$8)),"SEM DADOS")</f>
        <v>0</v>
      </c>
      <c r="G46" s="25">
        <f t="shared" si="2"/>
        <v>0</v>
      </c>
      <c r="H46" s="24">
        <f>IFERROR(INDEX(TBBP[],$C46,H$8),"SEM DADOS")</f>
        <v>0</v>
      </c>
      <c r="I46" s="25">
        <f t="shared" si="3"/>
        <v>0</v>
      </c>
      <c r="J46" s="24">
        <f>IFERROR(INDEX(TBBP[],$C46,J$8),"SEM DADOS")</f>
        <v>0</v>
      </c>
      <c r="K46" s="25">
        <f t="shared" si="4"/>
        <v>0</v>
      </c>
      <c r="L46" s="90">
        <f t="shared" si="6"/>
        <v>0</v>
      </c>
      <c r="M46" s="90">
        <f t="shared" si="5"/>
        <v>0</v>
      </c>
    </row>
    <row r="47" spans="3:13" x14ac:dyDescent="0.3">
      <c r="C47">
        <f t="shared" si="1"/>
        <v>48</v>
      </c>
      <c r="D47" t="str">
        <f>IFERROR(INDEX(TBBP[],$C47,1),"SEM DADOS")</f>
        <v>1.3.3.1.01.00007</v>
      </c>
      <c r="E47" s="17" t="str">
        <f>IFERROR(INDEX(TBBP[],$C47,2),"SEM DADOS")</f>
        <v>Instalacoes</v>
      </c>
      <c r="F47" s="24">
        <f>IFERROR((INDEX(TBBP[],$C47,E$8)),"SEM DADOS")</f>
        <v>608133.56999999995</v>
      </c>
      <c r="G47" s="25">
        <f t="shared" si="2"/>
        <v>1.4641816731046602E-2</v>
      </c>
      <c r="H47" s="24">
        <f>IFERROR(INDEX(TBBP[],$C47,H$8),"SEM DADOS")</f>
        <v>1244740.6399999999</v>
      </c>
      <c r="I47" s="25">
        <f t="shared" si="3"/>
        <v>1.9587481223159252E-2</v>
      </c>
      <c r="J47" s="24">
        <f>IFERROR(INDEX(TBBP[],$C47,J$8),"SEM DADOS")</f>
        <v>1621196.5</v>
      </c>
      <c r="K47" s="25">
        <f t="shared" si="4"/>
        <v>2.1319421109994487E-2</v>
      </c>
      <c r="L47" s="90">
        <f t="shared" si="6"/>
        <v>1.0468211284570264</v>
      </c>
      <c r="M47" s="90">
        <f t="shared" si="5"/>
        <v>0.3024371888428099</v>
      </c>
    </row>
    <row r="48" spans="3:13" x14ac:dyDescent="0.3">
      <c r="C48">
        <f t="shared" si="1"/>
        <v>49</v>
      </c>
      <c r="D48" t="str">
        <f>IFERROR(INDEX(TBBP[],$C48,1),"SEM DADOS")</f>
        <v>1.3.3.1.01.00008</v>
      </c>
      <c r="E48" s="17" t="str">
        <f>IFERROR(INDEX(TBBP[],$C48,2),"SEM DADOS")</f>
        <v>Ferramentas / Moldes</v>
      </c>
      <c r="F48" s="24">
        <f>IFERROR((INDEX(TBBP[],$C48,E$8)),"SEM DADOS")</f>
        <v>129863.72</v>
      </c>
      <c r="G48" s="25">
        <f t="shared" si="2"/>
        <v>3.1266828243866744E-3</v>
      </c>
      <c r="H48" s="24">
        <f>IFERROR(INDEX(TBBP[],$C48,H$8),"SEM DADOS")</f>
        <v>232693.04</v>
      </c>
      <c r="I48" s="25">
        <f t="shared" si="3"/>
        <v>3.6617030128941923E-3</v>
      </c>
      <c r="J48" s="24">
        <f>IFERROR(INDEX(TBBP[],$C48,J$8),"SEM DADOS")</f>
        <v>369351.77</v>
      </c>
      <c r="K48" s="25">
        <f t="shared" si="4"/>
        <v>4.8571323231649151E-3</v>
      </c>
      <c r="L48" s="90">
        <f t="shared" si="6"/>
        <v>0.79182484530706509</v>
      </c>
      <c r="M48" s="90">
        <f t="shared" si="5"/>
        <v>0.587291867431875</v>
      </c>
    </row>
    <row r="49" spans="3:13" x14ac:dyDescent="0.3">
      <c r="C49">
        <f t="shared" si="1"/>
        <v>50</v>
      </c>
      <c r="D49" t="str">
        <f>IFERROR(INDEX(TBBP[],$C49,1),"SEM DADOS")</f>
        <v>1.3.3.1.01.00010</v>
      </c>
      <c r="E49" s="17" t="str">
        <f>IFERROR(INDEX(TBBP[],$C49,2),"SEM DADOS")</f>
        <v>Aparelhos de Telefonia</v>
      </c>
      <c r="F49" s="24">
        <f>IFERROR((INDEX(TBBP[],$C49,E$8)),"SEM DADOS")</f>
        <v>8196.1200000000008</v>
      </c>
      <c r="G49" s="25">
        <f t="shared" si="2"/>
        <v>1.9733508042594277E-4</v>
      </c>
      <c r="H49" s="24">
        <f>IFERROR(INDEX(TBBP[],$C49,H$8),"SEM DADOS")</f>
        <v>9115.6</v>
      </c>
      <c r="I49" s="25">
        <f t="shared" si="3"/>
        <v>1.4344485758722436E-4</v>
      </c>
      <c r="J49" s="24">
        <f>IFERROR(INDEX(TBBP[],$C49,J$8),"SEM DADOS")</f>
        <v>9115.6</v>
      </c>
      <c r="K49" s="25">
        <f t="shared" si="4"/>
        <v>1.1987400359565651E-4</v>
      </c>
      <c r="L49" s="90">
        <f t="shared" si="6"/>
        <v>0.11218478987618519</v>
      </c>
      <c r="M49" s="90">
        <f t="shared" si="5"/>
        <v>0</v>
      </c>
    </row>
    <row r="50" spans="3:13" x14ac:dyDescent="0.3">
      <c r="C50">
        <f t="shared" si="1"/>
        <v>51</v>
      </c>
      <c r="D50" t="str">
        <f>IFERROR(INDEX(TBBP[],$C50,1),"SEM DADOS")</f>
        <v>1.3.3.1.01.00012</v>
      </c>
      <c r="E50" s="17" t="str">
        <f>IFERROR(INDEX(TBBP[],$C50,2),"SEM DADOS")</f>
        <v>Benfeitorias em Imoveis de Terceiros</v>
      </c>
      <c r="F50" s="24">
        <f>IFERROR((INDEX(TBBP[],$C50,E$8)),"SEM DADOS")</f>
        <v>0</v>
      </c>
      <c r="G50" s="25">
        <f t="shared" si="2"/>
        <v>0</v>
      </c>
      <c r="H50" s="24">
        <f>IFERROR(INDEX(TBBP[],$C50,H$8),"SEM DADOS")</f>
        <v>23424.65</v>
      </c>
      <c r="I50" s="25">
        <f t="shared" si="3"/>
        <v>3.6861485621139309E-4</v>
      </c>
      <c r="J50" s="24">
        <f>IFERROR(INDEX(TBBP[],$C50,J$8),"SEM DADOS")</f>
        <v>61560.08</v>
      </c>
      <c r="K50" s="25">
        <f t="shared" si="4"/>
        <v>8.0954114389276651E-4</v>
      </c>
      <c r="L50" s="90">
        <f t="shared" si="6"/>
        <v>1</v>
      </c>
      <c r="M50" s="90">
        <f t="shared" si="5"/>
        <v>1.6280042604692064</v>
      </c>
    </row>
    <row r="51" spans="3:13" x14ac:dyDescent="0.3">
      <c r="C51">
        <f t="shared" si="1"/>
        <v>52</v>
      </c>
      <c r="D51" t="str">
        <f>IFERROR(INDEX(TBBP[],$C51,1),"SEM DADOS")</f>
        <v>1.3.3.1.03</v>
      </c>
      <c r="E51" s="17" t="str">
        <f>IFERROR(INDEX(TBBP[],$C51,2),"SEM DADOS")</f>
        <v>Imobilizado em Andamento</v>
      </c>
      <c r="F51" s="24">
        <f>IFERROR((INDEX(TBBP[],$C51,E$8)),"SEM DADOS")</f>
        <v>0</v>
      </c>
      <c r="G51" s="25">
        <f t="shared" si="2"/>
        <v>0</v>
      </c>
      <c r="H51" s="24">
        <f>IFERROR(INDEX(TBBP[],$C51,H$8),"SEM DADOS")</f>
        <v>0</v>
      </c>
      <c r="I51" s="25">
        <f t="shared" si="3"/>
        <v>0</v>
      </c>
      <c r="J51" s="24">
        <f>IFERROR(INDEX(TBBP[],$C51,J$8),"SEM DADOS")</f>
        <v>0</v>
      </c>
      <c r="K51" s="25">
        <f t="shared" si="4"/>
        <v>0</v>
      </c>
      <c r="L51" s="90">
        <f t="shared" si="6"/>
        <v>0</v>
      </c>
      <c r="M51" s="90">
        <f t="shared" si="5"/>
        <v>0</v>
      </c>
    </row>
    <row r="52" spans="3:13" x14ac:dyDescent="0.3">
      <c r="C52">
        <f t="shared" si="1"/>
        <v>53</v>
      </c>
      <c r="D52" t="str">
        <f>IFERROR(INDEX(TBBP[],$C52,1),"SEM DADOS")</f>
        <v>1.3.3.1.99</v>
      </c>
      <c r="E52" s="17" t="str">
        <f>IFERROR(INDEX(TBBP[],$C52,2),"SEM DADOS")</f>
        <v>Depreciacao/Amortizacao Acumulada</v>
      </c>
      <c r="F52" s="24">
        <f>IFERROR((INDEX(TBBP[],$C52,E$8)),"SEM DADOS")</f>
        <v>-3183941.61</v>
      </c>
      <c r="G52" s="25">
        <f t="shared" si="2"/>
        <v>-7.6658635266547537E-2</v>
      </c>
      <c r="H52" s="24">
        <f>IFERROR(INDEX(TBBP[],$C52,H$8),"SEM DADOS")</f>
        <v>-2904838.36</v>
      </c>
      <c r="I52" s="25">
        <f t="shared" si="3"/>
        <v>-4.5711102380984941E-2</v>
      </c>
      <c r="J52" s="24">
        <f>IFERROR(INDEX(TBBP[],$C52,J$8),"SEM DADOS")</f>
        <v>-2143362.86</v>
      </c>
      <c r="K52" s="25">
        <f t="shared" si="4"/>
        <v>-2.8186130061261638E-2</v>
      </c>
      <c r="L52" s="90">
        <f t="shared" si="6"/>
        <v>-8.7659663457207659E-2</v>
      </c>
      <c r="M52" s="90">
        <f t="shared" si="5"/>
        <v>-0.26214040357137114</v>
      </c>
    </row>
    <row r="53" spans="3:13" x14ac:dyDescent="0.3">
      <c r="C53">
        <f t="shared" si="1"/>
        <v>54</v>
      </c>
      <c r="D53" t="str">
        <f>IFERROR(INDEX(TBBP[],$C53,1),"SEM DADOS")</f>
        <v>1.3.3.5.99</v>
      </c>
      <c r="E53" s="167" t="str">
        <f>IFERROR(INDEX(TBBP[],$C53,2),"SEM DADOS")</f>
        <v>Depreciações - Leasing Financeiro</v>
      </c>
      <c r="F53" s="168">
        <f>IFERROR((INDEX(TBBP[],$C53,E$8)),"SEM DADOS")</f>
        <v>0</v>
      </c>
      <c r="G53" s="169">
        <f t="shared" si="2"/>
        <v>0</v>
      </c>
      <c r="H53" s="168">
        <f>IFERROR(INDEX(TBBP[],$C53,H$8),"SEM DADOS")</f>
        <v>0</v>
      </c>
      <c r="I53" s="169">
        <f t="shared" si="3"/>
        <v>0</v>
      </c>
      <c r="J53" s="168">
        <f>IFERROR(INDEX(TBBP[],$C53,J$8),"SEM DADOS")</f>
        <v>0</v>
      </c>
      <c r="K53" s="169">
        <f t="shared" si="4"/>
        <v>0</v>
      </c>
      <c r="L53" s="237">
        <f t="shared" si="6"/>
        <v>0</v>
      </c>
      <c r="M53" s="237">
        <f t="shared" si="5"/>
        <v>0</v>
      </c>
    </row>
    <row r="54" spans="3:13" x14ac:dyDescent="0.3">
      <c r="C54">
        <f t="shared" si="1"/>
        <v>55</v>
      </c>
      <c r="D54" t="str">
        <f>IFERROR(INDEX(TBBP[],$C54,1),"SEM DADOS")</f>
        <v>1.3.4</v>
      </c>
      <c r="E54" s="17" t="str">
        <f>IFERROR(INDEX(TBBP[],$C54,2),"SEM DADOS")</f>
        <v>INTANGIVEL</v>
      </c>
      <c r="F54" s="24">
        <f>IFERROR((INDEX(TBBP[],$C54,E$8)),"SEM DADOS")</f>
        <v>272641.33999999997</v>
      </c>
      <c r="G54" s="25">
        <f t="shared" si="2"/>
        <v>6.5642890485176882E-3</v>
      </c>
      <c r="H54" s="24">
        <f>IFERROR(INDEX(TBBP[],$C54,H$8),"SEM DADOS")</f>
        <v>227438.25</v>
      </c>
      <c r="I54" s="25">
        <f t="shared" si="3"/>
        <v>3.5790126136664101E-3</v>
      </c>
      <c r="J54" s="24">
        <f>IFERROR(INDEX(TBBP[],$C54,J$8),"SEM DADOS")</f>
        <v>417380.58</v>
      </c>
      <c r="K54" s="25">
        <f t="shared" si="4"/>
        <v>5.4887315314051952E-3</v>
      </c>
      <c r="L54" s="90">
        <f t="shared" si="6"/>
        <v>-0.16579690372707223</v>
      </c>
      <c r="M54" s="90">
        <f t="shared" si="5"/>
        <v>0.83513802097932088</v>
      </c>
    </row>
    <row r="55" spans="3:13" x14ac:dyDescent="0.3">
      <c r="C55">
        <f t="shared" si="1"/>
        <v>56</v>
      </c>
      <c r="D55" t="str">
        <f>IFERROR(INDEX(TBBP[],$C55,1),"SEM DADOS")</f>
        <v>1.3.4.1.01.00004</v>
      </c>
      <c r="E55" s="17" t="str">
        <f>IFERROR(INDEX(TBBP[],$C55,2),"SEM DADOS")</f>
        <v>Modelos, Projetos e Prototipos</v>
      </c>
      <c r="F55" s="24">
        <f>IFERROR((INDEX(TBBP[],$C55,E$8)),"SEM DADOS")</f>
        <v>300000</v>
      </c>
      <c r="G55" s="25">
        <f t="shared" si="2"/>
        <v>7.2229938224163169E-3</v>
      </c>
      <c r="H55" s="24">
        <f>IFERROR(INDEX(TBBP[],$C55,H$8),"SEM DADOS")</f>
        <v>300000</v>
      </c>
      <c r="I55" s="25">
        <f t="shared" si="3"/>
        <v>4.7208584488313771E-3</v>
      </c>
      <c r="J55" s="24">
        <f>IFERROR(INDEX(TBBP[],$C55,J$8),"SEM DADOS")</f>
        <v>550000</v>
      </c>
      <c r="K55" s="25">
        <f t="shared" si="4"/>
        <v>7.2327331143985122E-3</v>
      </c>
      <c r="L55" s="90">
        <f t="shared" si="6"/>
        <v>0</v>
      </c>
      <c r="M55" s="90">
        <f t="shared" si="5"/>
        <v>0.83333333333333326</v>
      </c>
    </row>
    <row r="56" spans="3:13" x14ac:dyDescent="0.3">
      <c r="C56">
        <f t="shared" si="1"/>
        <v>57</v>
      </c>
      <c r="D56" t="str">
        <f>IFERROR(INDEX(TBBP[],$C56,1),"SEM DADOS")</f>
        <v>1.3.4.1.01.00001</v>
      </c>
      <c r="E56" s="17" t="str">
        <f>IFERROR(INDEX(TBBP[],$C56,2),"SEM DADOS")</f>
        <v>Direito Uso Software</v>
      </c>
      <c r="F56" s="24">
        <f>IFERROR((INDEX(TBBP[],$C56,E$8)),"SEM DADOS")</f>
        <v>195503.57</v>
      </c>
      <c r="G56" s="25">
        <f t="shared" si="2"/>
        <v>4.7070702612344532E-3</v>
      </c>
      <c r="H56" s="24">
        <f>IFERROR(INDEX(TBBP[],$C56,H$8),"SEM DADOS")</f>
        <v>216051.87</v>
      </c>
      <c r="I56" s="25">
        <f t="shared" si="3"/>
        <v>3.3998343195843946E-3</v>
      </c>
      <c r="J56" s="24">
        <f>IFERROR(INDEX(TBBP[],$C56,J$8),"SEM DADOS")</f>
        <v>240572.54</v>
      </c>
      <c r="K56" s="25">
        <f t="shared" si="4"/>
        <v>3.1636308663144739E-3</v>
      </c>
      <c r="L56" s="90">
        <f t="shared" si="6"/>
        <v>0.10510447456279182</v>
      </c>
      <c r="M56" s="90">
        <f t="shared" si="5"/>
        <v>0.11349436595943385</v>
      </c>
    </row>
    <row r="57" spans="3:13" x14ac:dyDescent="0.3">
      <c r="C57">
        <f t="shared" si="1"/>
        <v>58</v>
      </c>
      <c r="D57" t="str">
        <f>IFERROR(INDEX(TBBP[],$C57,1),"SEM DADOS")</f>
        <v>1.3.4.1.01.00002</v>
      </c>
      <c r="E57" s="17" t="str">
        <f>IFERROR(INDEX(TBBP[],$C57,2),"SEM DADOS")</f>
        <v>Marcas e Patentes</v>
      </c>
      <c r="F57" s="24">
        <f>IFERROR((INDEX(TBBP[],$C57,E$8)),"SEM DADOS")</f>
        <v>355</v>
      </c>
      <c r="G57" s="25">
        <f t="shared" si="2"/>
        <v>8.5472093565259742E-6</v>
      </c>
      <c r="H57" s="24">
        <f>IFERROR(INDEX(TBBP[],$C57,H$8),"SEM DADOS")</f>
        <v>355</v>
      </c>
      <c r="I57" s="25">
        <f t="shared" si="3"/>
        <v>5.5863491644504634E-6</v>
      </c>
      <c r="J57" s="24">
        <f>IFERROR(INDEX(TBBP[],$C57,J$8),"SEM DADOS")</f>
        <v>355</v>
      </c>
      <c r="K57" s="25">
        <f t="shared" si="4"/>
        <v>4.6684004647481309E-6</v>
      </c>
      <c r="L57" s="90">
        <f t="shared" si="6"/>
        <v>0</v>
      </c>
      <c r="M57" s="90">
        <f t="shared" si="5"/>
        <v>0</v>
      </c>
    </row>
    <row r="58" spans="3:13" x14ac:dyDescent="0.3">
      <c r="C58">
        <f t="shared" si="1"/>
        <v>59</v>
      </c>
      <c r="D58" t="str">
        <f>IFERROR(INDEX(TBBP[],$C58,1),"SEM DADOS")</f>
        <v>1.3.4.1.01.00003</v>
      </c>
      <c r="E58" s="17" t="str">
        <f>IFERROR(INDEX(TBBP[],$C58,2),"SEM DADOS")</f>
        <v>Paginas de Internet / Sites</v>
      </c>
      <c r="F58" s="24">
        <f>IFERROR((INDEX(TBBP[],$C58,E$8)),"SEM DADOS")</f>
        <v>6000</v>
      </c>
      <c r="G58" s="25">
        <f t="shared" si="2"/>
        <v>1.4445987644832634E-4</v>
      </c>
      <c r="H58" s="24">
        <f>IFERROR(INDEX(TBBP[],$C58,H$8),"SEM DADOS")</f>
        <v>6000</v>
      </c>
      <c r="I58" s="25">
        <f t="shared" si="3"/>
        <v>9.4417168976627545E-5</v>
      </c>
      <c r="J58" s="24">
        <f>IFERROR(INDEX(TBBP[],$C58,J$8),"SEM DADOS")</f>
        <v>6000</v>
      </c>
      <c r="K58" s="25">
        <f t="shared" si="4"/>
        <v>7.8902543066165589E-5</v>
      </c>
      <c r="L58" s="90">
        <f t="shared" si="6"/>
        <v>0</v>
      </c>
      <c r="M58" s="90">
        <f t="shared" si="5"/>
        <v>0</v>
      </c>
    </row>
    <row r="59" spans="3:13" x14ac:dyDescent="0.3">
      <c r="C59">
        <f t="shared" si="1"/>
        <v>60</v>
      </c>
      <c r="D59" t="str">
        <f>IFERROR(INDEX(TBBP[],$C59,1),"SEM DADOS")</f>
        <v>1.3.4.1.99</v>
      </c>
      <c r="E59" s="159" t="str">
        <f>IFERROR(INDEX(TBBP[],$C59,2),"SEM DADOS")</f>
        <v>Amortizacao Acumulada</v>
      </c>
      <c r="F59" s="160">
        <f>IFERROR((INDEX(TBBP[],$C59,E$8)),"SEM DADOS")</f>
        <v>-229217.23</v>
      </c>
      <c r="G59" s="161">
        <f t="shared" si="2"/>
        <v>-5.518782120937934E-3</v>
      </c>
      <c r="H59" s="160">
        <f>IFERROR(INDEX(TBBP[],$C59,H$8),"SEM DADOS")</f>
        <v>-294968.62</v>
      </c>
      <c r="I59" s="161">
        <f t="shared" si="3"/>
        <v>-4.6416836728904402E-3</v>
      </c>
      <c r="J59" s="160">
        <f>IFERROR(INDEX(TBBP[],$C59,J$8),"SEM DADOS")</f>
        <v>-379546.96</v>
      </c>
      <c r="K59" s="161">
        <f t="shared" si="4"/>
        <v>-4.9912033928387048E-3</v>
      </c>
      <c r="L59" s="235">
        <f t="shared" si="6"/>
        <v>0.2868518653680614</v>
      </c>
      <c r="M59" s="235">
        <f t="shared" si="5"/>
        <v>0.28673673830117941</v>
      </c>
    </row>
    <row r="60" spans="3:13" ht="15" thickBot="1" x14ac:dyDescent="0.35">
      <c r="C60">
        <f t="shared" si="1"/>
        <v>61</v>
      </c>
      <c r="D60" t="str">
        <f>IFERROR(INDEX(TBBP[],$C60,1),"SEM DADOS")</f>
        <v>2</v>
      </c>
      <c r="E60" s="165" t="str">
        <f>IFERROR(INDEX(TBBP[],$C60,2),"SEM DADOS")</f>
        <v>PASSIVO</v>
      </c>
      <c r="F60" s="163">
        <f>IFERROR((INDEX(TBBP[],$C60,E$8)),"SEM DADOS")</f>
        <v>41534024.170000002</v>
      </c>
      <c r="G60" s="164">
        <f t="shared" si="2"/>
        <v>-181.19939836110925</v>
      </c>
      <c r="H60" s="163">
        <f>IFERROR(INDEX(TBBP[],$C60,H$8),"SEM DADOS")</f>
        <v>63547764.300000004</v>
      </c>
      <c r="I60" s="164">
        <f t="shared" si="3"/>
        <v>-215.43906704380962</v>
      </c>
      <c r="J60" s="163">
        <f>IFERROR(INDEX(TBBP[],$C60,J$8),"SEM DADOS")</f>
        <v>76043176.385000005</v>
      </c>
      <c r="K60" s="164">
        <f t="shared" si="4"/>
        <v>-200.35248440667263</v>
      </c>
      <c r="L60" s="236">
        <f t="shared" si="6"/>
        <v>0.53001702989089394</v>
      </c>
      <c r="M60" s="236">
        <f t="shared" si="5"/>
        <v>0.19663023904367316</v>
      </c>
    </row>
    <row r="61" spans="3:13" ht="15" thickTop="1" x14ac:dyDescent="0.3">
      <c r="C61">
        <f t="shared" si="1"/>
        <v>62</v>
      </c>
      <c r="D61" t="str">
        <f>IFERROR(INDEX(TBBP[],$C61,1),"SEM DADOS")</f>
        <v>2.1</v>
      </c>
      <c r="E61" s="17" t="str">
        <f>IFERROR(INDEX(TBBP[],$C61,2),"SEM DADOS")</f>
        <v>PASSIVO CIRCULANTE</v>
      </c>
      <c r="F61" s="24">
        <f>IFERROR((INDEX(TBBP[],$C61,E$8)),"SEM DADOS")</f>
        <v>7399664.0299999993</v>
      </c>
      <c r="G61" s="25">
        <f t="shared" si="2"/>
        <v>-32.282320268855877</v>
      </c>
      <c r="H61" s="24">
        <f>IFERROR(INDEX(TBBP[],$C61,H$8),"SEM DADOS")</f>
        <v>11108943.82</v>
      </c>
      <c r="I61" s="25">
        <f t="shared" si="3"/>
        <v>-37.661442834156396</v>
      </c>
      <c r="J61" s="24">
        <f>IFERROR(INDEX(TBBP[],$C61,J$8),"SEM DADOS")</f>
        <v>10315450.719999999</v>
      </c>
      <c r="K61" s="25">
        <f t="shared" si="4"/>
        <v>-27.178325232798592</v>
      </c>
      <c r="L61" s="90">
        <f t="shared" si="6"/>
        <v>0.50127678431908507</v>
      </c>
      <c r="M61" s="90">
        <f t="shared" si="5"/>
        <v>-7.1428311535020605E-2</v>
      </c>
    </row>
    <row r="62" spans="3:13" x14ac:dyDescent="0.3">
      <c r="C62">
        <f t="shared" si="1"/>
        <v>63</v>
      </c>
      <c r="D62" t="str">
        <f>IFERROR(INDEX(TBBP[],$C62,1),"SEM DADOS")</f>
        <v>2.1.1.1.01</v>
      </c>
      <c r="E62" s="17" t="str">
        <f>IFERROR(INDEX(TBBP[],$C62,2),"SEM DADOS")</f>
        <v>Fornecedores Nacionais</v>
      </c>
      <c r="F62" s="24">
        <f>IFERROR((INDEX(TBBP[],$C62,E$8)),"SEM DADOS")</f>
        <v>2763954.82</v>
      </c>
      <c r="G62" s="25">
        <f t="shared" si="2"/>
        <v>-12.058233231419818</v>
      </c>
      <c r="H62" s="24">
        <f>IFERROR(INDEX(TBBP[],$C62,H$8),"SEM DADOS")</f>
        <v>2539758.56</v>
      </c>
      <c r="I62" s="25">
        <f t="shared" si="3"/>
        <v>-8.6102669497521465</v>
      </c>
      <c r="J62" s="24">
        <f>IFERROR(INDEX(TBBP[],$C62,J$8),"SEM DADOS")</f>
        <v>2073299.29</v>
      </c>
      <c r="K62" s="25">
        <f t="shared" si="4"/>
        <v>-5.4625632886112427</v>
      </c>
      <c r="L62" s="90">
        <f t="shared" si="6"/>
        <v>-8.11142998350457E-2</v>
      </c>
      <c r="M62" s="90">
        <f t="shared" si="5"/>
        <v>-0.18366283998271082</v>
      </c>
    </row>
    <row r="63" spans="3:13" x14ac:dyDescent="0.3">
      <c r="C63">
        <f t="shared" si="1"/>
        <v>64</v>
      </c>
      <c r="D63" t="str">
        <f>IFERROR(INDEX(TBBP[],$C63,1),"SEM DADOS")</f>
        <v>2.1.1.1.02</v>
      </c>
      <c r="E63" s="17" t="str">
        <f>IFERROR(INDEX(TBBP[],$C63,2),"SEM DADOS")</f>
        <v>Fornecedor - Compras para Entrega Futura</v>
      </c>
      <c r="F63" s="24">
        <f>IFERROR((INDEX(TBBP[],$C63,E$8)),"SEM DADOS")</f>
        <v>0</v>
      </c>
      <c r="G63" s="25">
        <f t="shared" si="2"/>
        <v>0</v>
      </c>
      <c r="H63" s="24">
        <f>IFERROR(INDEX(TBBP[],$C63,H$8),"SEM DADOS")</f>
        <v>0</v>
      </c>
      <c r="I63" s="25">
        <f t="shared" si="3"/>
        <v>0</v>
      </c>
      <c r="J63" s="24">
        <f>IFERROR(INDEX(TBBP[],$C63,J$8),"SEM DADOS")</f>
        <v>0</v>
      </c>
      <c r="K63" s="25">
        <f t="shared" si="4"/>
        <v>0</v>
      </c>
      <c r="L63" s="90">
        <f t="shared" si="6"/>
        <v>0</v>
      </c>
      <c r="M63" s="90">
        <f t="shared" si="5"/>
        <v>0</v>
      </c>
    </row>
    <row r="64" spans="3:13" x14ac:dyDescent="0.3">
      <c r="C64">
        <f t="shared" si="1"/>
        <v>65</v>
      </c>
      <c r="D64" t="str">
        <f>IFERROR(INDEX(TBBP[],$C64,1),"SEM DADOS")</f>
        <v>2.1.1.1.03</v>
      </c>
      <c r="E64" s="17" t="str">
        <f>IFERROR(INDEX(TBBP[],$C64,2),"SEM DADOS")</f>
        <v>Fornecedores No Exterior</v>
      </c>
      <c r="F64" s="24">
        <f>IFERROR((INDEX(TBBP[],$C64,E$8)),"SEM DADOS")</f>
        <v>122838.68</v>
      </c>
      <c r="G64" s="25">
        <f t="shared" si="2"/>
        <v>-0.53590508881029575</v>
      </c>
      <c r="H64" s="24">
        <f>IFERROR(INDEX(TBBP[],$C64,H$8),"SEM DADOS")</f>
        <v>296204.23</v>
      </c>
      <c r="I64" s="25">
        <f t="shared" si="3"/>
        <v>-1.0041889540656901</v>
      </c>
      <c r="J64" s="24">
        <f>IFERROR(INDEX(TBBP[],$C64,J$8),"SEM DADOS")</f>
        <v>1669095.21</v>
      </c>
      <c r="K64" s="25">
        <f t="shared" si="4"/>
        <v>-4.3975986792253581</v>
      </c>
      <c r="L64" s="90">
        <f t="shared" si="6"/>
        <v>1.4113270347743887</v>
      </c>
      <c r="M64" s="90">
        <f t="shared" si="5"/>
        <v>4.6349472456892329</v>
      </c>
    </row>
    <row r="65" spans="3:13" x14ac:dyDescent="0.3">
      <c r="C65">
        <f t="shared" si="1"/>
        <v>66</v>
      </c>
      <c r="D65" t="str">
        <f>IFERROR(INDEX(TBBP[],$C65,1),"SEM DADOS")</f>
        <v>2.1.1.2</v>
      </c>
      <c r="E65" s="17" t="str">
        <f>IFERROR(INDEX(TBBP[],$C65,2),"SEM DADOS")</f>
        <v>Emprestimos E Financimentos - TERCEIROS</v>
      </c>
      <c r="F65" s="24">
        <f>IFERROR((INDEX(TBBP[],$C65,E$8)),"SEM DADOS")</f>
        <v>1662596.6</v>
      </c>
      <c r="G65" s="25">
        <f t="shared" si="2"/>
        <v>-7.2533665990117759</v>
      </c>
      <c r="H65" s="24">
        <f>IFERROR(INDEX(TBBP[],$C65,H$8),"SEM DADOS")</f>
        <v>1710670.82</v>
      </c>
      <c r="I65" s="25">
        <f t="shared" si="3"/>
        <v>-5.7995010452298281</v>
      </c>
      <c r="J65" s="24">
        <f>IFERROR(INDEX(TBBP[],$C65,J$8),"SEM DADOS")</f>
        <v>3145062.44</v>
      </c>
      <c r="K65" s="25">
        <f t="shared" si="4"/>
        <v>-8.2863591899142062</v>
      </c>
      <c r="L65" s="90">
        <f t="shared" si="6"/>
        <v>2.8915143938102572E-2</v>
      </c>
      <c r="M65" s="90">
        <f t="shared" si="5"/>
        <v>0.83849657294090041</v>
      </c>
    </row>
    <row r="66" spans="3:13" x14ac:dyDescent="0.3">
      <c r="C66">
        <f t="shared" si="1"/>
        <v>67</v>
      </c>
      <c r="D66" t="str">
        <f>IFERROR(INDEX(TBBP[],$C66,1),"SEM DADOS")</f>
        <v>2.1.1.4</v>
      </c>
      <c r="E66" s="17" t="str">
        <f>IFERROR(INDEX(TBBP[],$C66,2),"SEM DADOS")</f>
        <v>Salarios e Encargos Sociais</v>
      </c>
      <c r="F66" s="24">
        <f>IFERROR((INDEX(TBBP[],$C66,E$8)),"SEM DADOS")</f>
        <v>241275.38</v>
      </c>
      <c r="G66" s="25">
        <f t="shared" si="2"/>
        <v>-1.0526057748800122</v>
      </c>
      <c r="H66" s="24">
        <f>IFERROR(INDEX(TBBP[],$C66,H$8),"SEM DADOS")</f>
        <v>327716.75</v>
      </c>
      <c r="I66" s="25">
        <f t="shared" si="3"/>
        <v>-1.111022419944196</v>
      </c>
      <c r="J66" s="24">
        <f>IFERROR(INDEX(TBBP[],$C66,J$8),"SEM DADOS")</f>
        <v>401595.77</v>
      </c>
      <c r="K66" s="25">
        <f t="shared" si="4"/>
        <v>-1.0580924426321316</v>
      </c>
      <c r="L66" s="90">
        <f t="shared" si="6"/>
        <v>0.3582685063018034</v>
      </c>
      <c r="M66" s="90">
        <f t="shared" si="5"/>
        <v>0.22543559338971852</v>
      </c>
    </row>
    <row r="67" spans="3:13" x14ac:dyDescent="0.3">
      <c r="C67">
        <v>72</v>
      </c>
      <c r="D67" t="str">
        <f>IFERROR(INDEX(TBBP[],$C67,1),"SEM DADOS")</f>
        <v>2.1.1.5.02.00002</v>
      </c>
      <c r="E67" s="17" t="str">
        <f>IFERROR(INDEX(TBBP[],$C67,2),"SEM DADOS")</f>
        <v>Pis a Recolher</v>
      </c>
      <c r="F67" s="24">
        <f>IFERROR((INDEX(TBBP[],$C67,E$8)),"SEM DADOS")</f>
        <v>0</v>
      </c>
      <c r="G67" s="25">
        <f t="shared" si="2"/>
        <v>0</v>
      </c>
      <c r="H67" s="24">
        <f>IFERROR(INDEX(TBBP[],$C67,H$8),"SEM DADOS")</f>
        <v>40303.61</v>
      </c>
      <c r="I67" s="25">
        <f t="shared" si="3"/>
        <v>-0.13663694124480089</v>
      </c>
      <c r="J67" s="24">
        <f>IFERROR(INDEX(TBBP[],$C67,J$8),"SEM DADOS")</f>
        <v>2564.62</v>
      </c>
      <c r="K67" s="25">
        <f t="shared" si="4"/>
        <v>-6.757055833091114E-3</v>
      </c>
      <c r="L67" s="90">
        <f t="shared" si="6"/>
        <v>1</v>
      </c>
      <c r="M67" s="90">
        <f t="shared" si="5"/>
        <v>-0.93636748668419534</v>
      </c>
    </row>
    <row r="68" spans="3:13" x14ac:dyDescent="0.3">
      <c r="C68">
        <f t="shared" si="1"/>
        <v>73</v>
      </c>
      <c r="D68" t="str">
        <f>IFERROR(INDEX(TBBP[],$C68,1),"SEM DADOS")</f>
        <v>2.1.1.6</v>
      </c>
      <c r="E68" s="17" t="str">
        <f>IFERROR(INDEX(TBBP[],$C68,2),"SEM DADOS")</f>
        <v>Provisao do Imposto de Renda e CSSLL</v>
      </c>
      <c r="F68" s="24">
        <f>IFERROR((INDEX(TBBP[],$C68,E$8)),"SEM DADOS")</f>
        <v>662803.24</v>
      </c>
      <c r="G68" s="25">
        <f t="shared" si="2"/>
        <v>-2.8915943186295374</v>
      </c>
      <c r="H68" s="24">
        <f>IFERROR(INDEX(TBBP[],$C68,H$8),"SEM DADOS")</f>
        <v>873540.94</v>
      </c>
      <c r="I68" s="25">
        <f t="shared" si="3"/>
        <v>-2.9614707489901804</v>
      </c>
      <c r="J68" s="24">
        <f>IFERROR(INDEX(TBBP[],$C68,J$8),"SEM DADOS")</f>
        <v>674221.3</v>
      </c>
      <c r="K68" s="25">
        <f t="shared" si="4"/>
        <v>-1.776384403131565</v>
      </c>
      <c r="L68" s="90">
        <f t="shared" si="6"/>
        <v>0.31794910960302492</v>
      </c>
      <c r="M68" s="90">
        <f t="shared" si="5"/>
        <v>-0.22817435436969891</v>
      </c>
    </row>
    <row r="69" spans="3:13" x14ac:dyDescent="0.3">
      <c r="C69">
        <f t="shared" si="1"/>
        <v>74</v>
      </c>
      <c r="D69" t="str">
        <f>IFERROR(INDEX(TBBP[],$C69,1),"SEM DADOS")</f>
        <v>2.1.1.7.01</v>
      </c>
      <c r="E69" s="17" t="str">
        <f>IFERROR(INDEX(TBBP[],$C69,2),"SEM DADOS")</f>
        <v>Dividendos</v>
      </c>
      <c r="F69" s="24">
        <f>IFERROR((INDEX(TBBP[],$C69,E$8)),"SEM DADOS")</f>
        <v>0</v>
      </c>
      <c r="G69" s="25">
        <f t="shared" si="2"/>
        <v>0</v>
      </c>
      <c r="H69" s="24">
        <f>IFERROR(INDEX(TBBP[],$C69,H$8),"SEM DADOS")</f>
        <v>0</v>
      </c>
      <c r="I69" s="25">
        <f t="shared" si="3"/>
        <v>0</v>
      </c>
      <c r="J69" s="24">
        <f>IFERROR(INDEX(TBBP[],$C69,J$8),"SEM DADOS")</f>
        <v>0</v>
      </c>
      <c r="K69" s="25">
        <f t="shared" si="4"/>
        <v>0</v>
      </c>
      <c r="L69" s="90">
        <f t="shared" si="6"/>
        <v>0</v>
      </c>
      <c r="M69" s="90">
        <f t="shared" si="5"/>
        <v>0</v>
      </c>
    </row>
    <row r="70" spans="3:13" x14ac:dyDescent="0.3">
      <c r="C70">
        <f t="shared" si="1"/>
        <v>75</v>
      </c>
      <c r="D70" t="str">
        <f>IFERROR(INDEX(TBBP[],$C70,1),"SEM DADOS")</f>
        <v>2.1.1.7.02</v>
      </c>
      <c r="E70" s="17" t="str">
        <f>IFERROR(INDEX(TBBP[],$C70,2),"SEM DADOS")</f>
        <v>Juros s/ Capital Proprio</v>
      </c>
      <c r="F70" s="24">
        <f>IFERROR((INDEX(TBBP[],$C70,E$8)),"SEM DADOS")</f>
        <v>0</v>
      </c>
      <c r="G70" s="25">
        <f t="shared" si="2"/>
        <v>0</v>
      </c>
      <c r="H70" s="24">
        <f>IFERROR(INDEX(TBBP[],$C70,H$8),"SEM DADOS")</f>
        <v>0</v>
      </c>
      <c r="I70" s="25">
        <f t="shared" si="3"/>
        <v>0</v>
      </c>
      <c r="J70" s="24">
        <f>IFERROR(INDEX(TBBP[],$C70,J$8),"SEM DADOS")</f>
        <v>0</v>
      </c>
      <c r="K70" s="25">
        <f t="shared" si="4"/>
        <v>0</v>
      </c>
      <c r="L70" s="90">
        <f t="shared" si="6"/>
        <v>0</v>
      </c>
      <c r="M70" s="90">
        <f t="shared" si="5"/>
        <v>0</v>
      </c>
    </row>
    <row r="71" spans="3:13" x14ac:dyDescent="0.3">
      <c r="C71">
        <f t="shared" si="1"/>
        <v>76</v>
      </c>
      <c r="D71" t="str">
        <f>IFERROR(INDEX(TBBP[],$C71,1),"SEM DADOS")</f>
        <v>2.1.1.8</v>
      </c>
      <c r="E71" s="17" t="str">
        <f>IFERROR(INDEX(TBBP[],$C71,2),"SEM DADOS")</f>
        <v>Adiantamento Terceiros</v>
      </c>
      <c r="F71" s="24">
        <f>IFERROR((INDEX(TBBP[],$C71,E$8)),"SEM DADOS")</f>
        <v>1529731.5</v>
      </c>
      <c r="G71" s="25">
        <f t="shared" si="2"/>
        <v>-6.6737195105271967</v>
      </c>
      <c r="H71" s="24">
        <f>IFERROR(INDEX(TBBP[],$C71,H$8),"SEM DADOS")</f>
        <v>4432658.42</v>
      </c>
      <c r="I71" s="25">
        <f t="shared" si="3"/>
        <v>-15.027559270542067</v>
      </c>
      <c r="J71" s="24">
        <f>IFERROR(INDEX(TBBP[],$C71,J$8),"SEM DADOS")</f>
        <v>2074277.93</v>
      </c>
      <c r="K71" s="25">
        <f t="shared" si="4"/>
        <v>-5.4651417310785462</v>
      </c>
      <c r="L71" s="90">
        <f t="shared" si="6"/>
        <v>1.8976708788437708</v>
      </c>
      <c r="M71" s="90">
        <f t="shared" si="5"/>
        <v>-0.53204652074228631</v>
      </c>
    </row>
    <row r="72" spans="3:13" ht="15" thickBot="1" x14ac:dyDescent="0.35">
      <c r="C72">
        <f t="shared" si="1"/>
        <v>77</v>
      </c>
      <c r="D72" t="str">
        <f>IFERROR(INDEX(TBBP[],$C72,1),"SEM DADOS")</f>
        <v>2.1.SEM CONTA</v>
      </c>
      <c r="E72" s="165" t="str">
        <f>IFERROR(INDEX(TBBP[],$C72,2),"SEM DADOS")</f>
        <v>Outras Contas</v>
      </c>
      <c r="F72" s="163">
        <f>IFERROR((INDEX(TBBP[],$C72,E$8)),"SEM DADOS")</f>
        <v>0</v>
      </c>
      <c r="G72" s="164">
        <f t="shared" si="2"/>
        <v>0</v>
      </c>
      <c r="H72" s="163">
        <f>IFERROR(INDEX(TBBP[],$C72,H$8),"SEM DADOS")</f>
        <v>0</v>
      </c>
      <c r="I72" s="164">
        <f t="shared" si="3"/>
        <v>0</v>
      </c>
      <c r="J72" s="163">
        <f>IFERROR(INDEX(TBBP[],$C72,J$8),"SEM DADOS")</f>
        <v>0</v>
      </c>
      <c r="K72" s="164">
        <f t="shared" si="4"/>
        <v>0</v>
      </c>
      <c r="L72" s="236">
        <f t="shared" si="6"/>
        <v>0</v>
      </c>
      <c r="M72" s="236">
        <f t="shared" si="5"/>
        <v>0</v>
      </c>
    </row>
    <row r="73" spans="3:13" ht="15" thickTop="1" x14ac:dyDescent="0.3">
      <c r="C73">
        <f t="shared" si="1"/>
        <v>78</v>
      </c>
      <c r="D73" t="str">
        <f>IFERROR(INDEX(TBBP[],$C73,1),"SEM DADOS")</f>
        <v>2.3</v>
      </c>
      <c r="E73" s="17" t="str">
        <f>IFERROR(INDEX(TBBP[],$C73,2),"SEM DADOS")</f>
        <v>PASSIVO NAO CIRCULANTE</v>
      </c>
      <c r="F73" s="24">
        <f>IFERROR((INDEX(TBBP[],$C73,E$8)),"SEM DADOS")</f>
        <v>2633248.87</v>
      </c>
      <c r="G73" s="25">
        <f t="shared" si="2"/>
        <v>-11.488005810034437</v>
      </c>
      <c r="H73" s="24">
        <f>IFERROR(INDEX(TBBP[],$C73,H$8),"SEM DADOS")</f>
        <v>1473276.06</v>
      </c>
      <c r="I73" s="25">
        <f t="shared" si="3"/>
        <v>-4.9946874348871422</v>
      </c>
      <c r="J73" s="24">
        <f>IFERROR(INDEX(TBBP[],$C73,J$8),"SEM DADOS")</f>
        <v>1412661.7</v>
      </c>
      <c r="K73" s="25">
        <f t="shared" si="4"/>
        <v>-3.7219681590915652</v>
      </c>
      <c r="L73" s="90">
        <f t="shared" si="6"/>
        <v>-0.44051013302058306</v>
      </c>
      <c r="M73" s="90">
        <f t="shared" si="5"/>
        <v>-4.1142567673298158E-2</v>
      </c>
    </row>
    <row r="74" spans="3:13" x14ac:dyDescent="0.3">
      <c r="C74">
        <f t="shared" si="1"/>
        <v>79</v>
      </c>
      <c r="D74" t="str">
        <f>IFERROR(INDEX(TBBP[],$C74,1),"SEM DADOS")</f>
        <v>2.3.1</v>
      </c>
      <c r="E74" s="17" t="str">
        <f>IFERROR(INDEX(TBBP[],$C74,2),"SEM DADOS")</f>
        <v>Emprestimos de Terceiros LP</v>
      </c>
      <c r="F74" s="24">
        <f>IFERROR((INDEX(TBBP[],$C74,E$8)),"SEM DADOS")</f>
        <v>2633248.87</v>
      </c>
      <c r="G74" s="25">
        <f t="shared" si="2"/>
        <v>-11.488005810034437</v>
      </c>
      <c r="H74" s="24">
        <f>IFERROR(INDEX(TBBP[],$C74,H$8),"SEM DADOS")</f>
        <v>1473276.06</v>
      </c>
      <c r="I74" s="25">
        <f t="shared" si="3"/>
        <v>-4.9946874348871422</v>
      </c>
      <c r="J74" s="24">
        <f>IFERROR(INDEX(TBBP[],$C74,J$8),"SEM DADOS")</f>
        <v>1412661.7</v>
      </c>
      <c r="K74" s="25">
        <f t="shared" si="4"/>
        <v>-3.7219681590915652</v>
      </c>
      <c r="L74" s="90">
        <f t="shared" si="6"/>
        <v>-0.44051013302058306</v>
      </c>
      <c r="M74" s="90">
        <f t="shared" si="5"/>
        <v>-4.1142567673298158E-2</v>
      </c>
    </row>
    <row r="75" spans="3:13" x14ac:dyDescent="0.3">
      <c r="C75">
        <f t="shared" ref="C75:C83" si="7">C74+1</f>
        <v>80</v>
      </c>
      <c r="D75" t="str">
        <f>IFERROR(INDEX(TBBP[],$C75,1),"SEM DADOS")</f>
        <v>2.SEM CONTA</v>
      </c>
      <c r="E75" s="17" t="str">
        <f>IFERROR(INDEX(TBBP[],$C75,2),"SEM DADOS")</f>
        <v>Fornecedores Nacionais LP</v>
      </c>
      <c r="F75" s="24">
        <f>IFERROR((INDEX(TBBP[],$C75,E$8)),"SEM DADOS")</f>
        <v>0</v>
      </c>
      <c r="G75" s="25">
        <f t="shared" ref="G75:G83" si="8">IFERROR(IF(MID(D75,1,1)="1",F75/$F$10,IF(MID(D75,1,1)="2",F75/$F$59,)),"SEM DADOS")</f>
        <v>0</v>
      </c>
      <c r="H75" s="24">
        <f>IFERROR(INDEX(TBBP[],$C75,H$8),"SEM DADOS")</f>
        <v>0</v>
      </c>
      <c r="I75" s="25">
        <f t="shared" ref="I75:I83" si="9">IFERROR(IF(MID(D75,1,1)="1",H75/$H$10,IF(MID(D75,1,1)="2",H75/$H$59,)),"SEM DADOS")</f>
        <v>0</v>
      </c>
      <c r="J75" s="24">
        <f>IFERROR(INDEX(TBBP[],$C75,J$8),"SEM DADOS")</f>
        <v>0</v>
      </c>
      <c r="K75" s="25">
        <f t="shared" ref="K75:K83" si="10">IFERROR(IF(MID(D75,1,1)="1",J75/$J$10,IF(MID(D75,1,1)="2",J75/$J$59,)),"SEM DADOS")</f>
        <v>0</v>
      </c>
      <c r="L75" s="90">
        <f t="shared" si="6"/>
        <v>0</v>
      </c>
      <c r="M75" s="90">
        <f t="shared" ref="M75:M83" si="11">IF(AND(H75=0,J75&lt;&gt;0),1,IFERROR((J75/H75)-1,0))</f>
        <v>0</v>
      </c>
    </row>
    <row r="76" spans="3:13" ht="15" thickBot="1" x14ac:dyDescent="0.35">
      <c r="C76">
        <f t="shared" si="7"/>
        <v>81</v>
      </c>
      <c r="D76" t="str">
        <f>IFERROR(INDEX(TBBP[],$C76,1),"SEM DADOS")</f>
        <v>2.3.6.1</v>
      </c>
      <c r="E76" s="165" t="str">
        <f>IFERROR(INDEX(TBBP[],$C76,2),"SEM DADOS")</f>
        <v>Dividendos Longo Prazo</v>
      </c>
      <c r="F76" s="163">
        <f>IFERROR((INDEX(TBBP[],$C76,E$8)),"SEM DADOS")</f>
        <v>0</v>
      </c>
      <c r="G76" s="164">
        <f t="shared" si="8"/>
        <v>0</v>
      </c>
      <c r="H76" s="163">
        <f>IFERROR(INDEX(TBBP[],$C76,H$8),"SEM DADOS")</f>
        <v>0</v>
      </c>
      <c r="I76" s="164">
        <f t="shared" si="9"/>
        <v>0</v>
      </c>
      <c r="J76" s="163">
        <f>IFERROR(INDEX(TBBP[],$C76,J$8),"SEM DADOS")</f>
        <v>0</v>
      </c>
      <c r="K76" s="164">
        <f t="shared" si="10"/>
        <v>0</v>
      </c>
      <c r="L76" s="236">
        <f t="shared" si="6"/>
        <v>0</v>
      </c>
      <c r="M76" s="236">
        <f t="shared" si="11"/>
        <v>0</v>
      </c>
    </row>
    <row r="77" spans="3:13" ht="15" thickTop="1" x14ac:dyDescent="0.3">
      <c r="C77">
        <f t="shared" si="7"/>
        <v>82</v>
      </c>
      <c r="D77" t="str">
        <f>IFERROR(INDEX(TBBP[],$C77,1),"SEM DADOS")</f>
        <v>2.9</v>
      </c>
      <c r="E77" s="17" t="str">
        <f>IFERROR(INDEX(TBBP[],$C77,2),"SEM DADOS")</f>
        <v>PATRIMONIO LIQUIDO</v>
      </c>
      <c r="F77" s="24">
        <f>IFERROR((INDEX(TBBP[],$C77,E$8)),"SEM DADOS")</f>
        <v>31501111.270000007</v>
      </c>
      <c r="G77" s="25">
        <f t="shared" si="8"/>
        <v>-137.42907228221895</v>
      </c>
      <c r="H77" s="24">
        <f>IFERROR(INDEX(TBBP[],$C77,H$8),"SEM DADOS")</f>
        <v>50965544.420000002</v>
      </c>
      <c r="I77" s="25">
        <f t="shared" si="9"/>
        <v>-172.78293677476609</v>
      </c>
      <c r="J77" s="24">
        <f>IFERROR(INDEX(TBBP[],$C77,J$8),"SEM DADOS")</f>
        <v>64315063.965000011</v>
      </c>
      <c r="K77" s="25">
        <f t="shared" si="10"/>
        <v>-169.4521910147825</v>
      </c>
      <c r="L77" s="90">
        <f t="shared" si="6"/>
        <v>0.61789671428312087</v>
      </c>
      <c r="M77" s="90">
        <f t="shared" si="11"/>
        <v>0.26193224651910829</v>
      </c>
    </row>
    <row r="78" spans="3:13" x14ac:dyDescent="0.3">
      <c r="C78">
        <f t="shared" si="7"/>
        <v>83</v>
      </c>
      <c r="D78" t="str">
        <f>IFERROR(INDEX(TBBP[],$C78,1),"SEM DADOS")</f>
        <v>2.9.1</v>
      </c>
      <c r="E78" s="17" t="str">
        <f>IFERROR(INDEX(TBBP[],$C78,2),"SEM DADOS")</f>
        <v>Capital Social</v>
      </c>
      <c r="F78" s="24">
        <f>IFERROR((INDEX(TBBP[],$C78,E$8)),"SEM DADOS")</f>
        <v>1000000</v>
      </c>
      <c r="G78" s="25">
        <f t="shared" si="8"/>
        <v>-4.3626737832928173</v>
      </c>
      <c r="H78" s="24">
        <f>IFERROR(INDEX(TBBP[],$C78,H$8),"SEM DADOS")</f>
        <v>1000000</v>
      </c>
      <c r="I78" s="25">
        <f t="shared" si="9"/>
        <v>-3.3901911328737273</v>
      </c>
      <c r="J78" s="24">
        <f>IFERROR(INDEX(TBBP[],$C78,J$8),"SEM DADOS")</f>
        <v>1000000</v>
      </c>
      <c r="K78" s="25">
        <f t="shared" si="10"/>
        <v>-2.6347200883916972</v>
      </c>
      <c r="L78" s="90">
        <f t="shared" si="6"/>
        <v>0</v>
      </c>
      <c r="M78" s="90">
        <f t="shared" si="11"/>
        <v>0</v>
      </c>
    </row>
    <row r="79" spans="3:13" x14ac:dyDescent="0.3">
      <c r="C79">
        <f t="shared" si="7"/>
        <v>84</v>
      </c>
      <c r="D79" t="str">
        <f>IFERROR(INDEX(TBBP[],$C79,1),"SEM DADOS")</f>
        <v>2.SEM CONTA</v>
      </c>
      <c r="E79" s="17" t="str">
        <f>IFERROR(INDEX(TBBP[],$C79,2),"SEM DADOS")</f>
        <v>Reservas de Capital</v>
      </c>
      <c r="F79" s="24">
        <f>IFERROR((INDEX(TBBP[],$C79,E$8)),"SEM DADOS")</f>
        <v>0</v>
      </c>
      <c r="G79" s="25">
        <f t="shared" si="8"/>
        <v>0</v>
      </c>
      <c r="H79" s="24">
        <f>IFERROR(INDEX(TBBP[],$C79,H$8),"SEM DADOS")</f>
        <v>0</v>
      </c>
      <c r="I79" s="25">
        <f t="shared" si="9"/>
        <v>0</v>
      </c>
      <c r="J79" s="24">
        <f>IFERROR(INDEX(TBBP[],$C79,J$8),"SEM DADOS")</f>
        <v>0</v>
      </c>
      <c r="K79" s="25">
        <f t="shared" si="10"/>
        <v>0</v>
      </c>
      <c r="L79" s="90">
        <f t="shared" si="6"/>
        <v>0</v>
      </c>
      <c r="M79" s="90">
        <f t="shared" si="11"/>
        <v>0</v>
      </c>
    </row>
    <row r="80" spans="3:13" x14ac:dyDescent="0.3">
      <c r="C80">
        <f t="shared" si="7"/>
        <v>85</v>
      </c>
      <c r="D80" t="str">
        <f>IFERROR(INDEX(TBBP[],$C80,1),"SEM DADOS")</f>
        <v>2.9.4.1.01.00001</v>
      </c>
      <c r="E80" s="17" t="str">
        <f>IFERROR(INDEX(TBBP[],$C80,2),"SEM DADOS")</f>
        <v>Reserva de Lucros</v>
      </c>
      <c r="F80" s="24">
        <f>IFERROR((INDEX(TBBP[],$C80,E$8)),"SEM DADOS")</f>
        <v>0</v>
      </c>
      <c r="G80" s="25">
        <f t="shared" si="8"/>
        <v>0</v>
      </c>
      <c r="H80" s="24">
        <f>IFERROR(INDEX(TBBP[],$C80,H$8),"SEM DADOS")</f>
        <v>0</v>
      </c>
      <c r="I80" s="25">
        <f t="shared" si="9"/>
        <v>0</v>
      </c>
      <c r="J80" s="24">
        <f>IFERROR(INDEX(TBBP[],$C80,J$8),"SEM DADOS")</f>
        <v>49965544.420000002</v>
      </c>
      <c r="K80" s="25">
        <f t="shared" si="10"/>
        <v>-131.64522361080168</v>
      </c>
      <c r="L80" s="90">
        <f>IF(AND(F80=0,H80&lt;&gt;0),1,IFERROR((H80/F80)-1,0))</f>
        <v>0</v>
      </c>
      <c r="M80" s="90">
        <f t="shared" si="11"/>
        <v>1</v>
      </c>
    </row>
    <row r="81" spans="3:13" x14ac:dyDescent="0.3">
      <c r="C81">
        <f t="shared" si="7"/>
        <v>86</v>
      </c>
      <c r="D81" t="str">
        <f>IFERROR(INDEX(TBBP[],$C81,1),"SEM DADOS")</f>
        <v>2.9.8.1.01.00002</v>
      </c>
      <c r="E81" s="17" t="str">
        <f>IFERROR(INDEX(TBBP[],$C81,2),"SEM DADOS")</f>
        <v>Lucros Acumulados</v>
      </c>
      <c r="F81" s="24">
        <f>IFERROR((INDEX(TBBP[],$C81,E$8)),"SEM DADOS")</f>
        <v>20576441.760000002</v>
      </c>
      <c r="G81" s="25">
        <f t="shared" si="8"/>
        <v>-89.768303019803525</v>
      </c>
      <c r="H81" s="24">
        <f>IFERROR(INDEX(TBBP[],$C81,H$8),"SEM DADOS")</f>
        <v>30501111.27</v>
      </c>
      <c r="I81" s="25">
        <f t="shared" si="9"/>
        <v>-103.40459697034892</v>
      </c>
      <c r="J81" s="24">
        <f>IFERROR(INDEX(TBBP[],$C81,J$8),"SEM DADOS")</f>
        <v>0</v>
      </c>
      <c r="K81" s="25">
        <f t="shared" si="10"/>
        <v>0</v>
      </c>
      <c r="L81" s="90">
        <f>IF(AND(F81=0,H81&lt;&gt;0),1,IFERROR((H81/F81)-1,0))</f>
        <v>0.48233166967153984</v>
      </c>
      <c r="M81" s="90">
        <f t="shared" si="11"/>
        <v>-1</v>
      </c>
    </row>
    <row r="82" spans="3:13" x14ac:dyDescent="0.3">
      <c r="C82">
        <f t="shared" si="7"/>
        <v>87</v>
      </c>
      <c r="D82" t="str">
        <f>IFERROR(INDEX(TBBP[],$C82,1),"SEM DADOS")</f>
        <v>2.9.8.1.01.00007</v>
      </c>
      <c r="E82" s="17" t="str">
        <f>IFERROR(INDEX(TBBP[],$C82,2),"SEM DADOS")</f>
        <v>Ajustes Exercicios Anteriores</v>
      </c>
      <c r="F82" s="24">
        <f>IFERROR((INDEX(TBBP[],$C82,E$8)),"SEM DADOS")</f>
        <v>0</v>
      </c>
      <c r="G82" s="25">
        <f t="shared" si="8"/>
        <v>0</v>
      </c>
      <c r="H82" s="24">
        <f>IFERROR(INDEX(TBBP[],$C82,H$8),"SEM DADOS")</f>
        <v>0</v>
      </c>
      <c r="I82" s="25">
        <f t="shared" si="9"/>
        <v>0</v>
      </c>
      <c r="J82" s="24">
        <f>IFERROR(INDEX(TBBP[],$C82,J$8),"SEM DADOS")</f>
        <v>286990.82</v>
      </c>
      <c r="K82" s="25">
        <f t="shared" si="10"/>
        <v>-0.75614047863800571</v>
      </c>
      <c r="L82" s="90">
        <f>IF(AND(F82=0,H82&lt;&gt;0),1,IFERROR((H82/F82)-1,0))</f>
        <v>0</v>
      </c>
      <c r="M82" s="90">
        <f t="shared" si="11"/>
        <v>1</v>
      </c>
    </row>
    <row r="83" spans="3:13" x14ac:dyDescent="0.3">
      <c r="C83">
        <f t="shared" si="7"/>
        <v>88</v>
      </c>
      <c r="D83" t="str">
        <f>IFERROR(INDEX(TBBP[],$C83,1),"SEM DADOS")</f>
        <v>2.9.9.1.01.00900</v>
      </c>
      <c r="E83" s="17" t="str">
        <f>IFERROR(INDEX(TBBP[],$C83,2),"SEM DADOS")</f>
        <v>Lucro do Exercício</v>
      </c>
      <c r="F83" s="24">
        <f>IFERROR((INDEX(TBBP[],$C83,E$8)),"SEM DADOS")</f>
        <v>11120726.820000004</v>
      </c>
      <c r="G83" s="25">
        <f t="shared" si="8"/>
        <v>-48.516103348775324</v>
      </c>
      <c r="H83" s="24">
        <f>IFERROR(INDEX(TBBP[],$C83,H$8),"SEM DADOS")</f>
        <v>24551941.23</v>
      </c>
      <c r="I83" s="25">
        <f t="shared" si="9"/>
        <v>-83.23577345278288</v>
      </c>
      <c r="J83" s="24">
        <f>IFERROR(INDEX(TBBP[],$C83,J$8),"SEM DADOS")</f>
        <v>14712785.135000004</v>
      </c>
      <c r="K83" s="25">
        <f t="shared" si="10"/>
        <v>-38.764070551375255</v>
      </c>
      <c r="L83" s="90">
        <f>IF(AND(F83=0,H83&lt;&gt;0),1,IFERROR((H83/F83)-1,0))</f>
        <v>1.207764081196987</v>
      </c>
      <c r="M83" s="90">
        <f t="shared" si="11"/>
        <v>-0.40074860080625885</v>
      </c>
    </row>
  </sheetData>
  <sheetProtection selectLockedCells="1" selectUnlockedCells="1"/>
  <mergeCells count="1">
    <mergeCell ref="E5:M6"/>
  </mergeCells>
  <pageMargins left="0.25" right="0.25" top="0.75" bottom="0.75" header="0.3" footer="0.3"/>
  <pageSetup paperSize="9" scale="39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41314" r:id="rId4" name="PGBPTRIMENOS">
          <controlPr defaultSize="0" autoLine="0" r:id="rId5">
            <anchor moveWithCells="1">
              <from>
                <xdr:col>12</xdr:col>
                <xdr:colOff>38100</xdr:colOff>
                <xdr:row>4</xdr:row>
                <xdr:rowOff>76200</xdr:rowOff>
              </from>
              <to>
                <xdr:col>12</xdr:col>
                <xdr:colOff>464820</xdr:colOff>
                <xdr:row>5</xdr:row>
                <xdr:rowOff>175260</xdr:rowOff>
              </to>
            </anchor>
          </controlPr>
        </control>
      </mc:Choice>
      <mc:Fallback>
        <control shapeId="141314" r:id="rId4" name="PGBPTRIMENOS"/>
      </mc:Fallback>
    </mc:AlternateContent>
    <mc:AlternateContent xmlns:mc="http://schemas.openxmlformats.org/markup-compatibility/2006">
      <mc:Choice Requires="x14">
        <control shapeId="141313" r:id="rId6" name="PGBPTRIMMAIS">
          <controlPr defaultSize="0" autoLine="0" r:id="rId7">
            <anchor moveWithCells="1">
              <from>
                <xdr:col>12</xdr:col>
                <xdr:colOff>541020</xdr:colOff>
                <xdr:row>4</xdr:row>
                <xdr:rowOff>76200</xdr:rowOff>
              </from>
              <to>
                <xdr:col>12</xdr:col>
                <xdr:colOff>967740</xdr:colOff>
                <xdr:row>5</xdr:row>
                <xdr:rowOff>175260</xdr:rowOff>
              </to>
            </anchor>
          </controlPr>
        </control>
      </mc:Choice>
      <mc:Fallback>
        <control shapeId="141313" r:id="rId6" name="PGBPTRIMMAI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6" id="{46D91509-5C99-42CB-81B5-C8FD54159FB7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L10:M29 L76:M77 L71:M71 L54:M56 L50:M50 L32:M33 L35:M35 L60:M62 L37:M39 L65:M67 L41:M41 L43:M47</xm:sqref>
        </x14:conditionalFormatting>
        <x14:conditionalFormatting xmlns:xm="http://schemas.microsoft.com/office/excel/2006/main">
          <x14:cfRule type="iconSet" priority="44" id="{0E54A345-88A4-44EE-869F-7F3728F79D9C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L72:M72</xm:sqref>
        </x14:conditionalFormatting>
        <x14:conditionalFormatting xmlns:xm="http://schemas.microsoft.com/office/excel/2006/main">
          <x14:cfRule type="iconSet" priority="42" id="{A25C339D-1D26-4B4E-A8E2-E66B5FA176B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L68:M68</xm:sqref>
        </x14:conditionalFormatting>
        <x14:conditionalFormatting xmlns:xm="http://schemas.microsoft.com/office/excel/2006/main">
          <x14:cfRule type="iconSet" priority="40" id="{013F1AAB-953E-42CF-B958-9B6AC8569FF1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L48:M49</xm:sqref>
        </x14:conditionalFormatting>
        <x14:conditionalFormatting xmlns:xm="http://schemas.microsoft.com/office/excel/2006/main">
          <x14:cfRule type="iconSet" priority="39" id="{09167D0C-230D-4769-8B70-58B98FC60E8E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L78:M78</xm:sqref>
        </x14:conditionalFormatting>
        <x14:conditionalFormatting xmlns:xm="http://schemas.microsoft.com/office/excel/2006/main">
          <x14:cfRule type="iconSet" priority="36" id="{9F0DA023-E861-446C-A5C7-2E39013207C6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L69:M69</xm:sqref>
        </x14:conditionalFormatting>
        <x14:conditionalFormatting xmlns:xm="http://schemas.microsoft.com/office/excel/2006/main">
          <x14:cfRule type="iconSet" priority="34" id="{5E853736-A6F4-40A2-BE57-BD4A28821FB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L73:M73</xm:sqref>
        </x14:conditionalFormatting>
        <x14:conditionalFormatting xmlns:xm="http://schemas.microsoft.com/office/excel/2006/main">
          <x14:cfRule type="iconSet" priority="30" id="{2711505D-82AE-4142-A9F0-4C14ABC33DE7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L51:M51</xm:sqref>
        </x14:conditionalFormatting>
        <x14:conditionalFormatting xmlns:xm="http://schemas.microsoft.com/office/excel/2006/main">
          <x14:cfRule type="iconSet" priority="29" id="{79B3C00A-6DB6-4EA2-AE13-DBD4379391C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L74:M74 L70:M70</xm:sqref>
        </x14:conditionalFormatting>
        <x14:conditionalFormatting xmlns:xm="http://schemas.microsoft.com/office/excel/2006/main">
          <x14:cfRule type="iconSet" priority="1571" id="{15DC4C3F-32BD-439D-9CFC-2B97FFA26A8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L81:M81</xm:sqref>
        </x14:conditionalFormatting>
        <x14:conditionalFormatting xmlns:xm="http://schemas.microsoft.com/office/excel/2006/main">
          <x14:cfRule type="iconSet" priority="23" id="{E4752F64-1CE0-466A-BD48-57BBD76B944D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L31:M31</xm:sqref>
        </x14:conditionalFormatting>
        <x14:conditionalFormatting xmlns:xm="http://schemas.microsoft.com/office/excel/2006/main">
          <x14:cfRule type="iconSet" priority="22" id="{FF437580-FD93-4259-8D3D-E4391A116A8B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L30:M30</xm:sqref>
        </x14:conditionalFormatting>
        <x14:conditionalFormatting xmlns:xm="http://schemas.microsoft.com/office/excel/2006/main">
          <x14:cfRule type="iconSet" priority="19" id="{87D684B4-7027-4D40-BA0E-7698D7B72D9D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L59:M59</xm:sqref>
        </x14:conditionalFormatting>
        <x14:conditionalFormatting xmlns:xm="http://schemas.microsoft.com/office/excel/2006/main">
          <x14:cfRule type="iconSet" priority="18" id="{1FD190D0-F8F3-4903-8277-58B5CB0CF8CC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L75:M75</xm:sqref>
        </x14:conditionalFormatting>
        <x14:conditionalFormatting xmlns:xm="http://schemas.microsoft.com/office/excel/2006/main">
          <x14:cfRule type="iconSet" priority="17" id="{44B32CA4-F146-4740-94F7-F26AD1F2779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L80:M80</xm:sqref>
        </x14:conditionalFormatting>
        <x14:conditionalFormatting xmlns:xm="http://schemas.microsoft.com/office/excel/2006/main">
          <x14:cfRule type="iconSet" priority="16" id="{49C139E8-AB29-47C5-A8F8-3DA175BFC657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L42:M42 L40:M40 L57:M57 L63:M64</xm:sqref>
        </x14:conditionalFormatting>
        <x14:conditionalFormatting xmlns:xm="http://schemas.microsoft.com/office/excel/2006/main">
          <x14:cfRule type="iconSet" priority="15" id="{CE84248C-89E6-4E95-8942-B8CC67D3453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L36:M36</xm:sqref>
        </x14:conditionalFormatting>
        <x14:conditionalFormatting xmlns:xm="http://schemas.microsoft.com/office/excel/2006/main">
          <x14:cfRule type="iconSet" priority="14" id="{BEBF696E-9C83-46D8-9467-AA47383BECE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L82:M82</xm:sqref>
        </x14:conditionalFormatting>
        <x14:conditionalFormatting xmlns:xm="http://schemas.microsoft.com/office/excel/2006/main">
          <x14:cfRule type="iconSet" priority="12" id="{5A45D809-F612-402F-9439-56FCCB6930C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L53:M53</xm:sqref>
        </x14:conditionalFormatting>
        <x14:conditionalFormatting xmlns:xm="http://schemas.microsoft.com/office/excel/2006/main">
          <x14:cfRule type="iconSet" priority="11" id="{7CAC72D8-F168-4380-BD46-F22C1479B4EA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L52:M52</xm:sqref>
        </x14:conditionalFormatting>
        <x14:conditionalFormatting xmlns:xm="http://schemas.microsoft.com/office/excel/2006/main">
          <x14:cfRule type="iconSet" priority="10" id="{D6A781B6-70B3-49C1-BAC4-1BDBD16BC50F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L59:M59</xm:sqref>
        </x14:conditionalFormatting>
        <x14:conditionalFormatting xmlns:xm="http://schemas.microsoft.com/office/excel/2006/main">
          <x14:cfRule type="iconSet" priority="9" id="{8218DB4A-5F45-4424-A5DB-14A1D2D60971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L60:M60</xm:sqref>
        </x14:conditionalFormatting>
        <x14:conditionalFormatting xmlns:xm="http://schemas.microsoft.com/office/excel/2006/main">
          <x14:cfRule type="iconSet" priority="8" id="{5871A67A-4361-4039-91CB-3BF1F6FBE61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L58:M58</xm:sqref>
        </x14:conditionalFormatting>
        <x14:conditionalFormatting xmlns:xm="http://schemas.microsoft.com/office/excel/2006/main">
          <x14:cfRule type="iconSet" priority="2400" id="{F070C33F-58BA-4C8D-B5AB-9B7545B288D6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L83:M83</xm:sqref>
        </x14:conditionalFormatting>
        <x14:conditionalFormatting xmlns:xm="http://schemas.microsoft.com/office/excel/2006/main">
          <x14:cfRule type="iconSet" priority="6" id="{85BC9DA0-BB77-499C-9E7E-1DD83379E00C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L73:M74</xm:sqref>
        </x14:conditionalFormatting>
        <x14:conditionalFormatting xmlns:xm="http://schemas.microsoft.com/office/excel/2006/main">
          <x14:cfRule type="iconSet" priority="5" id="{DD5D2C87-A800-4A5E-8CCA-7CD5BA6E630F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L75:M75</xm:sqref>
        </x14:conditionalFormatting>
        <x14:conditionalFormatting xmlns:xm="http://schemas.microsoft.com/office/excel/2006/main">
          <x14:cfRule type="iconSet" priority="4" id="{7A85356F-0CDE-417C-A638-14FB394DE9B6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L72:M72</xm:sqref>
        </x14:conditionalFormatting>
        <x14:conditionalFormatting xmlns:xm="http://schemas.microsoft.com/office/excel/2006/main">
          <x14:cfRule type="iconSet" priority="3" id="{6C831F7C-C170-4696-A2BD-7D090EF3A28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L76:M76</xm:sqref>
        </x14:conditionalFormatting>
        <x14:conditionalFormatting xmlns:xm="http://schemas.microsoft.com/office/excel/2006/main">
          <x14:cfRule type="iconSet" priority="2" id="{7F666A92-5F0E-4582-A7BB-E3D3DB53B70D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L79:M79</xm:sqref>
        </x14:conditionalFormatting>
        <x14:conditionalFormatting xmlns:xm="http://schemas.microsoft.com/office/excel/2006/main">
          <x14:cfRule type="iconSet" priority="1" id="{A435ED6E-2D6B-4705-8DA4-51231B909B93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L34:M34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CDF2D-5F9C-48D0-982D-F35FC3AF5695}">
  <sheetPr codeName="Planilha5">
    <pageSetUpPr autoPageBreaks="0" fitToPage="1"/>
  </sheetPr>
  <dimension ref="A1:W130"/>
  <sheetViews>
    <sheetView showGridLines="0" showRowColHeaders="0" zoomScale="77" zoomScaleNormal="77" workbookViewId="0">
      <pane xSplit="5" ySplit="9" topLeftCell="F13" activePane="bottomRight" state="frozen"/>
      <selection activeCell="D1" sqref="D1"/>
      <selection pane="topRight" activeCell="F1" sqref="F1"/>
      <selection pane="bottomLeft" activeCell="D10" sqref="D10"/>
      <selection pane="bottomRight" activeCell="N19" sqref="N19"/>
    </sheetView>
  </sheetViews>
  <sheetFormatPr defaultRowHeight="14.4" x14ac:dyDescent="0.3"/>
  <cols>
    <col min="1" max="2" width="9.109375" hidden="1" customWidth="1"/>
    <col min="3" max="3" width="15" hidden="1" customWidth="1"/>
    <col min="4" max="4" width="0.6640625" style="6" hidden="1" customWidth="1"/>
    <col min="5" max="5" width="8.33203125" style="6" hidden="1" customWidth="1"/>
    <col min="6" max="6" width="46.5546875" style="7" bestFit="1" customWidth="1"/>
    <col min="7" max="7" width="22.5546875" style="2" customWidth="1"/>
    <col min="8" max="8" width="12.6640625" style="2" customWidth="1"/>
    <col min="9" max="9" width="23" style="33" customWidth="1"/>
    <col min="10" max="10" width="10.33203125" style="2" customWidth="1"/>
    <col min="11" max="11" width="20.109375" style="33" customWidth="1"/>
    <col min="12" max="12" width="10.33203125" style="2" customWidth="1"/>
    <col min="13" max="13" width="20" style="33" customWidth="1"/>
    <col min="14" max="14" width="19.33203125" style="2" customWidth="1"/>
    <col min="15" max="15" width="0.33203125" style="2" customWidth="1"/>
    <col min="16" max="16" width="26.109375" style="33" customWidth="1"/>
    <col min="17" max="17" width="14.33203125" style="2" customWidth="1"/>
    <col min="18" max="18" width="24" style="2" customWidth="1"/>
    <col min="19" max="19" width="16" style="2" customWidth="1"/>
    <col min="20" max="20" width="11.5546875" customWidth="1"/>
    <col min="22" max="22" width="17.44140625" bestFit="1" customWidth="1"/>
  </cols>
  <sheetData>
    <row r="1" spans="1:19" ht="7.5" customHeight="1" x14ac:dyDescent="0.3">
      <c r="I1" s="141"/>
      <c r="K1" s="141"/>
      <c r="M1" s="141"/>
      <c r="P1" s="141"/>
    </row>
    <row r="2" spans="1:19" s="48" customFormat="1" ht="37.5" customHeight="1" x14ac:dyDescent="0.3">
      <c r="D2" s="50"/>
      <c r="E2" s="50"/>
      <c r="F2" s="51"/>
      <c r="G2" s="52"/>
      <c r="H2" s="52"/>
      <c r="I2" s="53"/>
      <c r="J2" s="52"/>
      <c r="K2" s="53"/>
      <c r="L2" s="52"/>
      <c r="M2" s="53"/>
      <c r="N2" s="52"/>
      <c r="O2" s="52"/>
      <c r="P2" s="53"/>
      <c r="Q2" s="52"/>
      <c r="R2" s="52"/>
      <c r="S2" s="52"/>
    </row>
    <row r="3" spans="1:19" x14ac:dyDescent="0.3">
      <c r="I3" s="141"/>
      <c r="K3" s="141"/>
      <c r="M3" s="141"/>
      <c r="P3" s="141"/>
    </row>
    <row r="5" spans="1:19" ht="15" customHeight="1" x14ac:dyDescent="0.3">
      <c r="F5" s="261" t="s">
        <v>953</v>
      </c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</row>
    <row r="6" spans="1:19" ht="15" customHeight="1" x14ac:dyDescent="0.3"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</row>
    <row r="7" spans="1:19" s="6" customFormat="1" x14ac:dyDescent="0.3">
      <c r="A7"/>
      <c r="F7" s="179">
        <v>112</v>
      </c>
      <c r="G7" s="39"/>
      <c r="H7" s="39">
        <f>F7+1</f>
        <v>113</v>
      </c>
      <c r="I7" s="40"/>
      <c r="J7" s="39">
        <f>H7+1</f>
        <v>114</v>
      </c>
      <c r="K7" s="40"/>
      <c r="L7" s="39">
        <f>J7+1</f>
        <v>115</v>
      </c>
      <c r="M7" s="40"/>
      <c r="N7" s="39">
        <f>L7+1</f>
        <v>116</v>
      </c>
      <c r="O7" s="39"/>
      <c r="P7" s="40"/>
      <c r="Q7" s="39"/>
      <c r="R7" s="39"/>
      <c r="S7" s="39"/>
    </row>
    <row r="9" spans="1:19" ht="15" thickBot="1" x14ac:dyDescent="0.35">
      <c r="D9" s="6" t="s">
        <v>698</v>
      </c>
      <c r="F9" s="61" t="s">
        <v>69</v>
      </c>
      <c r="G9" s="21">
        <f>IFERROR(IF(INDEX(TBBP[],1,H$7)&gt;3000,INDEX(TBBP[],1,H$7),IFERROR("EXERCICIO "&amp;YEAR(D9),("EXERCICIO "&amp;YEAR(I9)-1))),"SEM DADOS")</f>
        <v>46054</v>
      </c>
      <c r="H9" s="28" t="s">
        <v>248</v>
      </c>
      <c r="I9" s="21">
        <f>IFERROR(IF(INDEX(TBBP[],1,J$7)&gt;3000,INDEX(TBBP[],1,J$7),IFERROR("EXERCICIO "&amp;YEAR(G9),("EXERCICIO "&amp;YEAR(K9)-1))),"SEM DADOS")</f>
        <v>46082</v>
      </c>
      <c r="J9" s="28" t="s">
        <v>248</v>
      </c>
      <c r="K9" s="21">
        <f>IFERROR(IF(INDEX(TBBP[],1,L$7)&gt;3000,INDEX(TBBP[],1,L$7),IFERROR("EXERCICIO "&amp;YEAR(I9),("EXERCICIO "&amp;YEAR(M9)-1))),"SEM DADOS")</f>
        <v>46113</v>
      </c>
      <c r="L9" s="28" t="s">
        <v>248</v>
      </c>
      <c r="M9" s="21">
        <f>IFERROR(IF(INDEX(TBBP[],1,N$7)&gt;3000,INDEX(TBBP[],1,N$7),IFERROR("EXERCICIO "&amp;YEAR(K9),("EXERCICIO "&amp;YEAR(#REF!)-1))),"SEM DADOS")</f>
        <v>46143</v>
      </c>
      <c r="N9" s="28" t="s">
        <v>248</v>
      </c>
      <c r="O9" s="46"/>
      <c r="P9" s="172" t="str">
        <f>"ACUMULADO "&amp;DB!DQ1</f>
        <v>ACUMULADO 2026</v>
      </c>
      <c r="Q9" s="172" t="s">
        <v>248</v>
      </c>
      <c r="R9" s="172" t="s">
        <v>1135</v>
      </c>
      <c r="S9" s="172" t="s">
        <v>248</v>
      </c>
    </row>
    <row r="10" spans="1:19" ht="15.6" thickTop="1" thickBot="1" x14ac:dyDescent="0.35">
      <c r="F10" s="262" t="s">
        <v>715</v>
      </c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</row>
    <row r="11" spans="1:19" ht="15" thickTop="1" x14ac:dyDescent="0.3">
      <c r="F11" s="61"/>
      <c r="G11" s="21"/>
      <c r="H11" s="28"/>
      <c r="I11" s="21"/>
      <c r="J11" s="28"/>
      <c r="K11" s="21"/>
      <c r="L11" s="28"/>
      <c r="M11" s="21"/>
      <c r="N11" s="28"/>
      <c r="O11" s="33"/>
    </row>
    <row r="12" spans="1:19" x14ac:dyDescent="0.3">
      <c r="C12" t="s">
        <v>148</v>
      </c>
      <c r="F12" s="7" t="s">
        <v>317</v>
      </c>
      <c r="G12" s="16">
        <f>IFERROR(INDEX(TBBP[],MATCH($C12,planoContas,0)+1,H$7),"SEM DADOS")</f>
        <v>6430702.3799999999</v>
      </c>
      <c r="H12" s="33"/>
      <c r="I12" s="16">
        <f>IFERROR(INDEX(TBBP[],MATCH($C12,planoContas,0)+1,J$7),"SEM DADOS")</f>
        <v>11354977.689999999</v>
      </c>
      <c r="J12" s="33"/>
      <c r="K12" s="16">
        <f>IFERROR(INDEX(TBBP[],MATCH($C12,planoContas,0)+1,L$7),"SEM DADOS")</f>
        <v>12361715.74</v>
      </c>
      <c r="L12" s="33"/>
      <c r="M12" s="16">
        <f>IFERROR(INDEX(TBBP[],MATCH($C12,planoContas,0)+1,N$7),"SEM DADOS")</f>
        <v>9337342.0800000001</v>
      </c>
      <c r="N12" s="33"/>
      <c r="O12" s="46"/>
      <c r="P12" s="16">
        <f>INDEX(ACUMULADOATUAL,MATCH(C12,planoContas,0)+4,2)</f>
        <v>11000000</v>
      </c>
      <c r="R12" s="16"/>
    </row>
    <row r="13" spans="1:19" x14ac:dyDescent="0.3">
      <c r="C13" t="s">
        <v>147</v>
      </c>
      <c r="F13" s="7" t="s">
        <v>313</v>
      </c>
      <c r="G13" s="16">
        <f>IFERROR(INDEX(TBBP[],MATCH($C13,planoContas,0)+1,H$7),"SEM DADOS")</f>
        <v>2782382.09</v>
      </c>
      <c r="H13" s="33"/>
      <c r="I13" s="16">
        <f>IFERROR(INDEX(TBBP[],MATCH($C13,planoContas,0)+1,J$7),"SEM DADOS")</f>
        <v>2867237.93</v>
      </c>
      <c r="J13" s="33"/>
      <c r="K13" s="16">
        <f>IFERROR(INDEX(TBBP[],MATCH($C13,planoContas,0)+1,L$7),"SEM DADOS")</f>
        <v>2969464.46</v>
      </c>
      <c r="L13" s="33"/>
      <c r="M13" s="16">
        <f>IFERROR(INDEX(TBBP[],MATCH($C13,planoContas,0)+1,N$7),"SEM DADOS")</f>
        <v>2456759.44</v>
      </c>
      <c r="N13" s="33"/>
      <c r="O13" s="46"/>
      <c r="P13" s="16">
        <f>INDEX(ACUMULADOATUAL,MATCH(C13,planoContas,0)+4,2)</f>
        <v>4341666.666666667</v>
      </c>
      <c r="R13" s="16"/>
    </row>
    <row r="14" spans="1:19" x14ac:dyDescent="0.3">
      <c r="C14" t="s">
        <v>124</v>
      </c>
      <c r="F14" s="7" t="s">
        <v>314</v>
      </c>
      <c r="G14" s="16">
        <f>IFERROR(INDEX(TBBP[],MATCH($C14,planoContas,0)+1,H$7),"SEM DADOS")</f>
        <v>45894.59</v>
      </c>
      <c r="H14" s="33"/>
      <c r="I14" s="16">
        <f>IFERROR(INDEX(TBBP[],MATCH($C14,planoContas,0)+1,J$7),"SEM DADOS")</f>
        <v>69161.789999999994</v>
      </c>
      <c r="J14" s="33"/>
      <c r="K14" s="16">
        <f>IFERROR(INDEX(TBBP[],MATCH($C14,planoContas,0)+1,L$7),"SEM DADOS")</f>
        <v>45924.95</v>
      </c>
      <c r="L14" s="33"/>
      <c r="M14" s="16">
        <f>IFERROR(INDEX(TBBP[],MATCH($C14,planoContas,0)+1,N$7),"SEM DADOS")</f>
        <v>70579.41</v>
      </c>
      <c r="N14" s="33"/>
      <c r="O14" s="46"/>
      <c r="P14" s="16">
        <f>INDEX(ACUMULADOATUAL,MATCH(C14,planoContas,0)+4,2)</f>
        <v>25000</v>
      </c>
      <c r="R14" s="16"/>
    </row>
    <row r="15" spans="1:19" x14ac:dyDescent="0.3">
      <c r="C15" t="s">
        <v>125</v>
      </c>
      <c r="F15" s="7" t="s">
        <v>315</v>
      </c>
      <c r="G15" s="16">
        <f>IFERROR(INDEX(TBBP[],MATCH($C15,planoContas,0)+1,H$7),"SEM DADOS")</f>
        <v>0</v>
      </c>
      <c r="H15" s="33"/>
      <c r="I15" s="16">
        <f>IFERROR(INDEX(TBBP[],MATCH($C15,planoContas,0)+1,J$7),"SEM DADOS")</f>
        <v>0</v>
      </c>
      <c r="J15" s="33"/>
      <c r="K15" s="16">
        <f>IFERROR(INDEX(TBBP[],MATCH($C15,planoContas,0)+1,L$7),"SEM DADOS")</f>
        <v>0</v>
      </c>
      <c r="L15" s="33"/>
      <c r="M15" s="16">
        <f>IFERROR(INDEX(TBBP[],MATCH($C15,planoContas,0)+1,N$7),"SEM DADOS")</f>
        <v>0</v>
      </c>
      <c r="N15" s="33"/>
      <c r="O15" s="46"/>
      <c r="P15" s="16">
        <f>INDEX(ACUMULADOATUAL,MATCH(C15,planoContas,0)+4,2)</f>
        <v>8333.3333333333339</v>
      </c>
      <c r="R15" s="16"/>
    </row>
    <row r="16" spans="1:19" x14ac:dyDescent="0.3">
      <c r="C16" t="s">
        <v>126</v>
      </c>
      <c r="F16" s="7" t="s">
        <v>316</v>
      </c>
      <c r="G16" s="16">
        <f>IFERROR(INDEX(TBBP[],MATCH($C16,planoContas,0)+1,H$7),"SEM DADOS")</f>
        <v>219808.32</v>
      </c>
      <c r="H16" s="33"/>
      <c r="I16" s="16">
        <f>IFERROR(INDEX(TBBP[],MATCH($C16,planoContas,0)+1,J$7),"SEM DADOS")</f>
        <v>192892.1</v>
      </c>
      <c r="J16" s="33"/>
      <c r="K16" s="16">
        <f>IFERROR(INDEX(TBBP[],MATCH($C16,planoContas,0)+1,L$7),"SEM DADOS")</f>
        <v>251700.44</v>
      </c>
      <c r="L16" s="33"/>
      <c r="M16" s="16">
        <f>IFERROR(INDEX(TBBP[],MATCH($C16,planoContas,0)+1,N$7),"SEM DADOS")</f>
        <v>534471.17000000004</v>
      </c>
      <c r="N16" s="33"/>
      <c r="O16" s="46"/>
      <c r="P16" s="16">
        <f>INDEX(ACUMULADOATUAL,MATCH(C16,planoContas,0)+4,2)</f>
        <v>808333.33333333337</v>
      </c>
      <c r="R16" s="16"/>
    </row>
    <row r="17" spans="3:19" x14ac:dyDescent="0.3">
      <c r="G17" s="16"/>
      <c r="H17" s="33"/>
      <c r="I17" s="16"/>
      <c r="J17" s="33"/>
      <c r="K17" s="16"/>
      <c r="L17" s="33"/>
      <c r="M17" s="16"/>
      <c r="N17" s="33"/>
      <c r="O17" s="46"/>
      <c r="R17" s="33"/>
    </row>
    <row r="18" spans="3:19" ht="15" thickBot="1" x14ac:dyDescent="0.35">
      <c r="C18" t="s">
        <v>127</v>
      </c>
      <c r="D18" s="6" t="s">
        <v>257</v>
      </c>
      <c r="F18" s="180" t="s">
        <v>99</v>
      </c>
      <c r="G18" s="174">
        <f>IFERROR(INDEX(TBBP[],MATCH($C18,planoContas,0)+1,H$7),"SEM DADOS")</f>
        <v>9478787.379999999</v>
      </c>
      <c r="H18" s="164">
        <f>G18/$G$24</f>
        <v>1.2884059547313287</v>
      </c>
      <c r="I18" s="174">
        <f>INDEX(TBBP[],MATCH($C18,planoContas,0)+1,J$7)</f>
        <v>14484269.509999998</v>
      </c>
      <c r="J18" s="164">
        <f>I18/$I$24</f>
        <v>1.5988409601148321</v>
      </c>
      <c r="K18" s="174">
        <f>INDEX(TBBP[],MATCH($C18,planoContas,0)+1,L$7)</f>
        <v>15628805.589999998</v>
      </c>
      <c r="L18" s="164">
        <f>K18/$K$24</f>
        <v>1.4025921247971407</v>
      </c>
      <c r="M18" s="174">
        <f>IFERROR(INDEX(TBBP[],MATCH($C18,planoContas,0)+1,N$7),"SEM DADOS")</f>
        <v>12399152.1</v>
      </c>
      <c r="N18" s="164">
        <f>M18/$M$24</f>
        <v>1.2478802436611329</v>
      </c>
      <c r="O18" s="176"/>
      <c r="P18" s="174">
        <f>INDEX(ACUMULADOATUAL,MATCH(C18,planoContas,0)+4,2)</f>
        <v>16166666.666666666</v>
      </c>
      <c r="Q18" s="164">
        <f>P18/$P$24</f>
        <v>1.2355136030047691</v>
      </c>
      <c r="R18" s="174"/>
      <c r="S18" s="164"/>
    </row>
    <row r="19" spans="3:19" ht="15" thickTop="1" x14ac:dyDescent="0.3">
      <c r="G19" s="16"/>
      <c r="H19" s="33"/>
      <c r="I19" s="16"/>
      <c r="J19" s="33"/>
      <c r="K19" s="16"/>
      <c r="L19" s="33"/>
      <c r="M19" s="16"/>
      <c r="N19" s="33"/>
      <c r="O19" s="46"/>
      <c r="P19" s="16"/>
      <c r="Q19" s="33"/>
      <c r="R19" s="16"/>
      <c r="S19" s="33"/>
    </row>
    <row r="20" spans="3:19" ht="15" thickBot="1" x14ac:dyDescent="0.35">
      <c r="D20" s="6" t="s">
        <v>258</v>
      </c>
      <c r="F20" s="181" t="s">
        <v>259</v>
      </c>
      <c r="G20" s="175">
        <f>SUM(G21:G22)</f>
        <v>-2121799.2000000002</v>
      </c>
      <c r="H20" s="170">
        <f>G20/$G$24</f>
        <v>-0.28840595473132874</v>
      </c>
      <c r="I20" s="175">
        <f>SUM(I21:I22)</f>
        <v>-5425038.5600000005</v>
      </c>
      <c r="J20" s="170">
        <f>I20/$I$24</f>
        <v>-0.59884096011483201</v>
      </c>
      <c r="K20" s="175">
        <f>SUM(K21:K22)</f>
        <v>-4486004.12</v>
      </c>
      <c r="L20" s="170">
        <f>K20/$K$24</f>
        <v>-0.40259212479714057</v>
      </c>
      <c r="M20" s="175">
        <f>SUM(M21:M22)</f>
        <v>-2462980.61</v>
      </c>
      <c r="N20" s="170">
        <f>M20/$M$24</f>
        <v>-0.24788024366113273</v>
      </c>
      <c r="O20" s="176"/>
      <c r="P20" s="175">
        <f>SUM(P21:P22)</f>
        <v>-3081690</v>
      </c>
      <c r="Q20" s="170">
        <f>P20/$P$24</f>
        <v>-0.23551360300476909</v>
      </c>
      <c r="R20" s="175"/>
      <c r="S20" s="170"/>
    </row>
    <row r="21" spans="3:19" ht="15" thickTop="1" x14ac:dyDescent="0.3">
      <c r="C21" t="s">
        <v>128</v>
      </c>
      <c r="F21" s="7" t="s">
        <v>318</v>
      </c>
      <c r="G21" s="60">
        <f>IFERROR(INDEX(TBBP[],MATCH($C21,planoContas,0)+1,H$7),"SEM DADOS")</f>
        <v>-1699785.51</v>
      </c>
      <c r="H21" s="25">
        <f>G21/$G$24</f>
        <v>-0.23104366466441711</v>
      </c>
      <c r="I21" s="60">
        <f>IFERROR(INDEX(TBBP[],MATCH($C21,planoContas,0)+1,J$7),"SEM DADOS")</f>
        <v>-2548455.5699999998</v>
      </c>
      <c r="J21" s="25">
        <f>I21/$I$24</f>
        <v>-0.28131036553384264</v>
      </c>
      <c r="K21" s="60">
        <f>IFERROR(INDEX(TBBP[],MATCH($C21,planoContas,0)+1,L$7),"SEM DADOS")</f>
        <v>-2674882.65</v>
      </c>
      <c r="L21" s="25">
        <f>K21/$K$24</f>
        <v>-0.24005477053518756</v>
      </c>
      <c r="M21" s="60">
        <f>IFERROR(INDEX(TBBP[],MATCH($C21,planoContas,0)+1,N$7),"SEM DADOS")</f>
        <v>-2078824.0599999998</v>
      </c>
      <c r="N21" s="25">
        <f>M21/$M$24</f>
        <v>-0.20921781212131638</v>
      </c>
      <c r="O21" s="47"/>
      <c r="P21" s="60">
        <f>INDEX(ACUMULADOATUAL,MATCH(C21,planoContas,0)+4,2)</f>
        <v>-2748333.3333333335</v>
      </c>
      <c r="Q21" s="25">
        <f>P21/$P$24</f>
        <v>-0.21003731251081076</v>
      </c>
      <c r="R21" s="60"/>
      <c r="S21" s="25"/>
    </row>
    <row r="22" spans="3:19" x14ac:dyDescent="0.3">
      <c r="C22" t="s">
        <v>129</v>
      </c>
      <c r="F22" s="7" t="s">
        <v>319</v>
      </c>
      <c r="G22" s="60">
        <f>IFERROR(INDEX(TBBP[],MATCH($C22,planoContas,0)+1,H$7),"SEM DADOS")</f>
        <v>-422013.69</v>
      </c>
      <c r="H22" s="25">
        <f>G22/$G$24</f>
        <v>-5.7362290066911605E-2</v>
      </c>
      <c r="I22" s="60">
        <f>IFERROR(INDEX(TBBP[],MATCH($C22,planoContas,0)+1,J$7),"SEM DADOS")</f>
        <v>-2876582.99</v>
      </c>
      <c r="J22" s="25">
        <f>I22/$I$24</f>
        <v>-0.31753059458098937</v>
      </c>
      <c r="K22" s="60">
        <f>IFERROR(INDEX(TBBP[],MATCH($C22,planoContas,0)+1,L$7),"SEM DADOS")</f>
        <v>-1811121.47</v>
      </c>
      <c r="L22" s="25">
        <f>K22/$K$24</f>
        <v>-0.16253735426195298</v>
      </c>
      <c r="M22" s="60">
        <f>IFERROR(INDEX(TBBP[],MATCH($C22,planoContas,0)+1,N$7),"SEM DADOS")</f>
        <v>-384156.55</v>
      </c>
      <c r="N22" s="25">
        <f>M22/$M$24</f>
        <v>-3.8662431539816355E-2</v>
      </c>
      <c r="O22" s="47"/>
      <c r="P22" s="60">
        <f>INDEX(ACUMULADOATUAL,MATCH(C22,planoContas,0)+4,2)</f>
        <v>-333356.66666666669</v>
      </c>
      <c r="Q22" s="25">
        <f>P22/$P$24</f>
        <v>-2.5476290493958342E-2</v>
      </c>
      <c r="R22" s="60"/>
      <c r="S22" s="25"/>
    </row>
    <row r="23" spans="3:19" x14ac:dyDescent="0.3">
      <c r="G23" s="16"/>
      <c r="H23" s="25"/>
      <c r="I23" s="16"/>
      <c r="J23" s="33"/>
      <c r="K23" s="16"/>
      <c r="L23" s="33"/>
      <c r="M23" s="16"/>
      <c r="N23" s="33"/>
      <c r="O23" s="46"/>
      <c r="P23" s="16"/>
      <c r="Q23" s="33"/>
      <c r="R23" s="16"/>
      <c r="S23" s="33"/>
    </row>
    <row r="24" spans="3:19" ht="15" thickBot="1" x14ac:dyDescent="0.35">
      <c r="C24" t="s">
        <v>141</v>
      </c>
      <c r="D24" s="6" t="s">
        <v>260</v>
      </c>
      <c r="F24" s="181" t="s">
        <v>100</v>
      </c>
      <c r="G24" s="175">
        <f>IFERROR(INDEX(TBBP[],MATCH($C24,planoContas,0)+1,H$7),"SEM DADOS")</f>
        <v>7356988.1799999988</v>
      </c>
      <c r="H24" s="170">
        <f>G24/$G$24</f>
        <v>1</v>
      </c>
      <c r="I24" s="175">
        <f>IFERROR(INDEX(TBBP[],MATCH($C24,planoContas,0)+1,J$7),"SEM DADOS")</f>
        <v>9059230.9499999974</v>
      </c>
      <c r="J24" s="170">
        <f>I24/$I$24</f>
        <v>1</v>
      </c>
      <c r="K24" s="175">
        <f>IFERROR(INDEX(TBBP[],MATCH($C24,planoContas,0)+1,L$7),"SEM DADOS")</f>
        <v>11142801.469999997</v>
      </c>
      <c r="L24" s="170">
        <f>K24/$K$24</f>
        <v>1</v>
      </c>
      <c r="M24" s="175">
        <f>IFERROR(INDEX(TBBP[],MATCH($C24,planoContas,0)+1,N$7),"SEM DADOS")</f>
        <v>9936171.4899999984</v>
      </c>
      <c r="N24" s="170">
        <f>M24/$M$24</f>
        <v>1</v>
      </c>
      <c r="O24" s="177"/>
      <c r="P24" s="175">
        <f>INDEX(ACUMULADOATUAL,MATCH(C24,planoContas,0)+4,2)</f>
        <v>13084976.666666666</v>
      </c>
      <c r="Q24" s="170">
        <f>P24/$P$24</f>
        <v>1</v>
      </c>
      <c r="R24" s="175">
        <f>IFERROR(IF(F24="SEM DADOS","SEM DADOS",VLOOKUP($F24,ACUMULADOATUAL,4,FALSE)),)</f>
        <v>0</v>
      </c>
      <c r="S24" s="170" t="e">
        <f>R24/$R$24</f>
        <v>#DIV/0!</v>
      </c>
    </row>
    <row r="25" spans="3:19" ht="15" thickTop="1" x14ac:dyDescent="0.3">
      <c r="G25" s="16"/>
      <c r="H25" s="25"/>
      <c r="I25" s="16"/>
      <c r="J25" s="33"/>
      <c r="K25" s="16"/>
      <c r="L25" s="33"/>
      <c r="M25" s="16"/>
      <c r="N25" s="33"/>
      <c r="O25" s="46"/>
      <c r="P25" s="16"/>
      <c r="Q25" s="33"/>
      <c r="R25" s="16"/>
      <c r="S25" s="33"/>
    </row>
    <row r="26" spans="3:19" ht="15" thickBot="1" x14ac:dyDescent="0.35">
      <c r="C26" t="s">
        <v>368</v>
      </c>
      <c r="D26" s="6" t="s">
        <v>261</v>
      </c>
      <c r="F26" s="181" t="s">
        <v>308</v>
      </c>
      <c r="G26" s="175">
        <f>IFERROR(INDEX(TBBP[],MATCH($C26,planoContas,0)+1,H$7),"SEM DADOS")</f>
        <v>-2862320.3400000003</v>
      </c>
      <c r="H26" s="170" t="e">
        <f>(IFERROR(INDEX(TBBP[],MATCH("C13",planoContas,0)+1,H$7),"SEM DADOS")/IFERROR(INDEX(TBBP[],MATCH("RL10",planoContas,0)+1,H$7),"SEM DADOS"))*-1</f>
        <v>#DIV/0!</v>
      </c>
      <c r="I26" s="175">
        <f>IFERROR(INDEX(TBBP[],MATCH($C26,planoContas,0)+1,J$7),"SEM DADOS")</f>
        <v>-3788143.8100000005</v>
      </c>
      <c r="J26" s="170" t="e">
        <f>(IFERROR(INDEX(TBBP[],MATCH("C13",planoContas,0)+1,J$7),"SEM DADOS")/IFERROR(INDEX(TBBP[],MATCH("RL10",planoContas,0)+1,J$7),"SEM DADOS"))*-1</f>
        <v>#DIV/0!</v>
      </c>
      <c r="K26" s="175">
        <f>IFERROR(INDEX(TBBP[],MATCH($C26,planoContas,0)+1,L$7),"SEM DADOS")</f>
        <v>-4710402.13</v>
      </c>
      <c r="L26" s="170" t="e">
        <f>(IFERROR(INDEX(TBBP[],MATCH("C13",planoContas,0)+1,L$7),"SEM DADOS")/IFERROR(INDEX(TBBP[],MATCH("RL10",planoContas,0)+1,L$7),"SEM DADOS"))*-1</f>
        <v>#DIV/0!</v>
      </c>
      <c r="M26" s="175">
        <f>IFERROR(INDEX(TBBP[],MATCH($C26,planoContas,0)+1,N$7),"SEM DADOS")</f>
        <v>-4695782.0599999996</v>
      </c>
      <c r="N26" s="170" t="e">
        <f>(IFERROR(INDEX(TBBP[],MATCH("C13",planoContas,0)+1,N$7),"SEM DADOS")/IFERROR(INDEX(TBBP[],MATCH("RL10",planoContas,0)+1,N$7),"SEM DADOS"))*-1</f>
        <v>#DIV/0!</v>
      </c>
      <c r="O26" s="177"/>
      <c r="P26" s="175">
        <f>INDEX(ACUMULADOATUAL,MATCH(C26,planoContas,0)+4,2)</f>
        <v>-4773399.487999999</v>
      </c>
      <c r="Q26" s="170">
        <f>(INDEX(ACUMULADOATUAL,MATCH("C13",planoContas,0)+4,2)/INDEX(ACUMULADOATUAL,MATCH("RL10",planoContas,0)+4,2))*-1</f>
        <v>-0.5</v>
      </c>
      <c r="R26" s="175">
        <f>IFERROR(IF(C26="SEM DADOS","SEM DADOS",VLOOKUP($C26,ACUMULADOATUAL,4,FALSE)),)</f>
        <v>0</v>
      </c>
      <c r="S26" s="170" t="e">
        <f>R26/(IFERROR(IF(C26="SEM DADOS","SEM DADOS",VLOOKUP("RL10",ACUMULADOATUAL,4,FALSE)),))</f>
        <v>#DIV/0!</v>
      </c>
    </row>
    <row r="27" spans="3:19" ht="15" thickTop="1" x14ac:dyDescent="0.3">
      <c r="G27" s="16"/>
      <c r="H27" s="33"/>
      <c r="I27" s="16"/>
      <c r="J27" s="33"/>
      <c r="K27" s="16"/>
      <c r="L27" s="33"/>
      <c r="M27" s="16"/>
      <c r="N27" s="33"/>
      <c r="O27" s="46"/>
      <c r="P27" s="16"/>
      <c r="Q27" s="33"/>
      <c r="R27" s="16"/>
      <c r="S27" s="33"/>
    </row>
    <row r="28" spans="3:19" ht="15" thickBot="1" x14ac:dyDescent="0.35">
      <c r="C28" t="s">
        <v>369</v>
      </c>
      <c r="D28" s="6" t="s">
        <v>262</v>
      </c>
      <c r="F28" s="181" t="s">
        <v>309</v>
      </c>
      <c r="G28" s="175">
        <f>IFERROR(INDEX(TBBP[],MATCH($C28,planoContas,0)+1,H$7),"SEM DADOS")</f>
        <v>-919783.5</v>
      </c>
      <c r="H28" s="170" t="e">
        <f>(IFERROR(INDEX(TBBP[],MATCH("C14",planoContas,0)+1,H$7),"SEM DADOS")/IFERROR(INDEX(TBBP[],MATCH("RL11",planoContas,0)+1,H$7),"SEM DADOS"))*-1</f>
        <v>#DIV/0!</v>
      </c>
      <c r="I28" s="175">
        <f>IFERROR(INDEX(TBBP[],MATCH($C28,planoContas,0)+1,J$7),"SEM DADOS")</f>
        <v>-1005950.23</v>
      </c>
      <c r="J28" s="170" t="e">
        <f>(IFERROR(INDEX(TBBP[],MATCH("C14",planoContas,0)+1,J$7),"SEM DADOS")/IFERROR(INDEX(TBBP[],MATCH("RL11",planoContas,0)+1,J$7),"SEM DADOS"))*-1</f>
        <v>#DIV/0!</v>
      </c>
      <c r="K28" s="175">
        <f>IFERROR(INDEX(TBBP[],MATCH($C28,planoContas,0)+1,L$7),"SEM DADOS")</f>
        <v>-1148170.01</v>
      </c>
      <c r="L28" s="170" t="e">
        <f>(IFERROR(INDEX(TBBP[],MATCH("C14",planoContas,0)+1,L$7),"SEM DADOS")/IFERROR(INDEX(TBBP[],MATCH("RL11",planoContas,0)+1,L$7),"SEM DADOS"))*-1</f>
        <v>#DIV/0!</v>
      </c>
      <c r="M28" s="175">
        <f>IFERROR(INDEX(TBBP[],MATCH($C28,planoContas,0)+1,N$7),"SEM DADOS")</f>
        <v>-814841.39</v>
      </c>
      <c r="N28" s="170" t="e">
        <f>(IFERROR(INDEX(TBBP[],MATCH("C14",planoContas,0)+1,N$7),"SEM DADOS")/IFERROR(INDEX(TBBP[],MATCH("RL11",planoContas,0)+1,N$7),"SEM DADOS"))*-1</f>
        <v>#DIV/0!</v>
      </c>
      <c r="O28" s="177"/>
      <c r="P28" s="175">
        <f>INDEX(ACUMULADOATUAL,MATCH(C28,planoContas,0)+4,2)</f>
        <v>-1415271.0762666666</v>
      </c>
      <c r="Q28" s="170">
        <f>(INDEX(ACUMULADOATUAL,MATCH("C14",planoContas,0)+4,2)/INDEX(ACUMULADOATUAL,MATCH("RL11",planoContas,0)+4,2))*-1</f>
        <v>-0.4</v>
      </c>
      <c r="R28" s="175">
        <f>IFERROR(IF(C28="SEM DADOS","SEM DADOS",VLOOKUP($C28,ACUMULADOATUAL,4,FALSE)),)</f>
        <v>0</v>
      </c>
      <c r="S28" s="170" t="e">
        <f>R28/(IFERROR(IF(C28="SEM DADOS","SEM DADOS",VLOOKUP("RL11",ACUMULADOATUAL,4,FALSE)),))</f>
        <v>#DIV/0!</v>
      </c>
    </row>
    <row r="29" spans="3:19" ht="15" thickTop="1" x14ac:dyDescent="0.3">
      <c r="G29" s="16"/>
      <c r="H29" s="33"/>
      <c r="I29" s="16"/>
      <c r="J29" s="33"/>
      <c r="K29" s="16"/>
      <c r="L29" s="33"/>
      <c r="M29" s="16"/>
      <c r="N29" s="33"/>
      <c r="O29" s="46"/>
      <c r="P29" s="16"/>
      <c r="Q29" s="33"/>
      <c r="R29" s="16"/>
      <c r="S29" s="33"/>
    </row>
    <row r="30" spans="3:19" ht="15" thickBot="1" x14ac:dyDescent="0.35">
      <c r="C30" t="s">
        <v>323</v>
      </c>
      <c r="D30" s="6" t="s">
        <v>263</v>
      </c>
      <c r="F30" s="181" t="s">
        <v>310</v>
      </c>
      <c r="G30" s="175">
        <f>IFERROR(INDEX(TBBP[],MATCH($C30,planoContas,0)+1,H$7),"SEM DADOS")</f>
        <v>-945065.08</v>
      </c>
      <c r="H30" s="170">
        <f>G30/$G$24</f>
        <v>-0.12845814848108131</v>
      </c>
      <c r="I30" s="175">
        <f>IFERROR(INDEX(TBBP[],MATCH($C30,planoContas,0)+1,J$7),"SEM DADOS")</f>
        <v>-1047524.88</v>
      </c>
      <c r="J30" s="170">
        <f>I30/$I$24</f>
        <v>-0.11563066288756005</v>
      </c>
      <c r="K30" s="175">
        <f>IFERROR(INDEX(TBBP[],MATCH($C30,planoContas,0)+1,L$7),"SEM DADOS")</f>
        <v>-1129369.44</v>
      </c>
      <c r="L30" s="170">
        <f>K30/$K$24</f>
        <v>-0.10135417408634853</v>
      </c>
      <c r="M30" s="175">
        <f>IFERROR(INDEX(TBBP[],MATCH($C30,planoContas,0)+1,N$7),"SEM DADOS")</f>
        <v>-984344.30999999994</v>
      </c>
      <c r="N30" s="170">
        <f>M30/$M$24</f>
        <v>-9.9066759364073748E-2</v>
      </c>
      <c r="O30" s="177"/>
      <c r="P30" s="175">
        <f>INDEX(ACUMULADOATUAL,MATCH(C30,planoContas,0)+4,2)</f>
        <v>-1046798.13</v>
      </c>
      <c r="Q30" s="170">
        <f>P30/$P$24</f>
        <v>-7.9999999745254929E-2</v>
      </c>
      <c r="R30" s="175">
        <f>IFERROR(IF(F30="SEM DADOS","SEM DADOS",VLOOKUP($C30,ACUMULADOATUAL,4,FALSE)),)</f>
        <v>0</v>
      </c>
      <c r="S30" s="170" t="e">
        <f>R30/$R$24</f>
        <v>#DIV/0!</v>
      </c>
    </row>
    <row r="31" spans="3:19" ht="15" thickTop="1" x14ac:dyDescent="0.3">
      <c r="F31" s="7" t="s">
        <v>264</v>
      </c>
      <c r="G31" s="16" t="str">
        <f>IFERROR(INDEX(TBBP[],MATCH($C31,planoContas,0)+1,H$7),"SEM DADOS")</f>
        <v>SEM DADOS</v>
      </c>
      <c r="H31" s="25" t="str">
        <f>IFERROR(G31/$G$24,"SEM DADOS")</f>
        <v>SEM DADOS</v>
      </c>
      <c r="I31" s="16" t="str">
        <f>IFERROR(INDEX(TBBP[],MATCH($C31,planoContas,0)+1,J$7),"SEM DADOS")</f>
        <v>SEM DADOS</v>
      </c>
      <c r="J31" s="25" t="str">
        <f>IFERROR(I31/$G$24,"SEM DADOS")</f>
        <v>SEM DADOS</v>
      </c>
      <c r="K31" s="16" t="str">
        <f>IFERROR(INDEX(TBBP[],MATCH($C31,planoContas,0)+1,L$7),"SEM DADOS")</f>
        <v>SEM DADOS</v>
      </c>
      <c r="L31" s="25" t="str">
        <f>IFERROR(K31/$G$24,"SEM DADOS")</f>
        <v>SEM DADOS</v>
      </c>
      <c r="M31" s="16" t="str">
        <f>IFERROR(INDEX(TBBP[],MATCH($C31,planoContas,0)+1,N$7),"SEM DADOS")</f>
        <v>SEM DADOS</v>
      </c>
      <c r="N31" s="25" t="str">
        <f>IFERROR(M31/$G$24,"SEM DADOS")</f>
        <v>SEM DADOS</v>
      </c>
      <c r="O31" s="47"/>
      <c r="P31" s="16"/>
      <c r="Q31" s="25"/>
      <c r="R31" s="16"/>
      <c r="S31" s="25"/>
    </row>
    <row r="32" spans="3:19" x14ac:dyDescent="0.3">
      <c r="F32" s="7" t="s">
        <v>265</v>
      </c>
      <c r="G32" s="16" t="str">
        <f>IFERROR(INDEX(TBBP[],MATCH($C32,planoContas,0)+1,H$7),"SEM DADOS")</f>
        <v>SEM DADOS</v>
      </c>
      <c r="H32" s="25" t="str">
        <f>IFERROR(G32/$G$24,"SEM DADOS")</f>
        <v>SEM DADOS</v>
      </c>
      <c r="I32" s="16" t="str">
        <f>IFERROR(INDEX(TBBP[],MATCH($C32,planoContas,0)+1,J$7),"SEM DADOS")</f>
        <v>SEM DADOS</v>
      </c>
      <c r="J32" s="25" t="str">
        <f>IFERROR(I32/$G$24,"SEM DADOS")</f>
        <v>SEM DADOS</v>
      </c>
      <c r="K32" s="16" t="str">
        <f>IFERROR(INDEX(TBBP[],MATCH($C32,planoContas,0)+1,L$7),"SEM DADOS")</f>
        <v>SEM DADOS</v>
      </c>
      <c r="L32" s="25" t="str">
        <f>IFERROR(K32/$G$24,"SEM DADOS")</f>
        <v>SEM DADOS</v>
      </c>
      <c r="M32" s="16" t="str">
        <f>IFERROR(INDEX(TBBP[],MATCH($C32,planoContas,0)+1,N$7),"SEM DADOS")</f>
        <v>SEM DADOS</v>
      </c>
      <c r="N32" s="25" t="str">
        <f>IFERROR(M32/$G$24,"SEM DADOS")</f>
        <v>SEM DADOS</v>
      </c>
      <c r="O32" s="47"/>
      <c r="P32" s="16"/>
      <c r="Q32" s="25"/>
      <c r="R32" s="16"/>
      <c r="S32" s="25"/>
    </row>
    <row r="33" spans="1:19" x14ac:dyDescent="0.3">
      <c r="G33" s="16"/>
      <c r="H33" s="33"/>
      <c r="I33" s="16"/>
      <c r="J33" s="33"/>
      <c r="K33" s="16"/>
      <c r="L33" s="33"/>
      <c r="M33" s="16"/>
      <c r="N33" s="33"/>
      <c r="O33" s="46"/>
      <c r="P33" s="16"/>
      <c r="Q33" s="33"/>
      <c r="R33" s="16"/>
      <c r="S33" s="33"/>
    </row>
    <row r="34" spans="1:19" ht="15" thickBot="1" x14ac:dyDescent="0.35">
      <c r="D34" s="6" t="s">
        <v>266</v>
      </c>
      <c r="F34" s="181" t="s">
        <v>311</v>
      </c>
      <c r="G34" s="175">
        <f>SUM(G35:G46)</f>
        <v>-834477.55999999994</v>
      </c>
      <c r="H34" s="170">
        <f>G34/$G$24</f>
        <v>-0.11342651905687853</v>
      </c>
      <c r="I34" s="175">
        <f>SUM(I35:I46)</f>
        <v>-873339.5</v>
      </c>
      <c r="J34" s="170">
        <f t="shared" ref="J34:J46" si="0">I34/$I$24</f>
        <v>-9.6403271405725702E-2</v>
      </c>
      <c r="K34" s="175">
        <f>SUM(K35:K46)</f>
        <v>-1156526.21</v>
      </c>
      <c r="L34" s="170">
        <f t="shared" ref="L34:L46" si="1">K34/$K$24</f>
        <v>-0.10379133228871934</v>
      </c>
      <c r="M34" s="175">
        <f>SUM(M35:M46)</f>
        <v>-1161820.5299999998</v>
      </c>
      <c r="N34" s="170">
        <f t="shared" ref="N34:N46" si="2">M34/$M$24</f>
        <v>-0.1169283894877704</v>
      </c>
      <c r="O34" s="177"/>
      <c r="P34" s="175">
        <f>SUM(P35:P46)</f>
        <v>-1177291.21</v>
      </c>
      <c r="Q34" s="170">
        <f>P34/$P$24</f>
        <v>-8.9972740493996547E-2</v>
      </c>
      <c r="R34" s="175">
        <f>SUM(R35:R46)</f>
        <v>0</v>
      </c>
      <c r="S34" s="170" t="e">
        <f t="shared" ref="S34:S91" si="3">R34/$R$24</f>
        <v>#DIV/0!</v>
      </c>
    </row>
    <row r="35" spans="1:19" ht="15" thickTop="1" x14ac:dyDescent="0.3">
      <c r="C35" t="s">
        <v>360</v>
      </c>
      <c r="F35" s="7" t="s">
        <v>267</v>
      </c>
      <c r="G35" s="60">
        <f>IFERROR(INDEX(TBBP[],MATCH($C35,planoContas,0)+1,H$7),"SEM DADOS")</f>
        <v>-117017.65</v>
      </c>
      <c r="H35" s="25">
        <f>G35/$G$24</f>
        <v>-1.5905646052023426E-2</v>
      </c>
      <c r="I35" s="60">
        <f>IFERROR(INDEX(TBBP[],MATCH($C35,planoContas,0)+1,J$7),"SEM DADOS")</f>
        <v>-167653.44</v>
      </c>
      <c r="J35" s="25">
        <f t="shared" si="0"/>
        <v>-1.8506365598285144E-2</v>
      </c>
      <c r="K35" s="60">
        <f>IFERROR(INDEX(TBBP[],MATCH($C35,planoContas,0)+1,L$7),"SEM DADOS")</f>
        <v>-183036.04</v>
      </c>
      <c r="L35" s="25">
        <f t="shared" si="1"/>
        <v>-1.6426393352945563E-2</v>
      </c>
      <c r="M35" s="60">
        <f>IFERROR(INDEX(TBBP[],MATCH($C35,planoContas,0)+1,N$7),"SEM DADOS")</f>
        <v>-282670</v>
      </c>
      <c r="N35" s="25">
        <f t="shared" si="2"/>
        <v>-2.8448583066877003E-2</v>
      </c>
      <c r="O35" s="47"/>
      <c r="P35" s="60">
        <f t="shared" ref="P35:P46" si="4">INDEX(ACUMULADOATUAL,MATCH(C35,planoContas,0)+4,2)</f>
        <v>-283943.99</v>
      </c>
      <c r="Q35" s="25">
        <f t="shared" ref="Q35:Q46" si="5">P35/$P$24</f>
        <v>-2.169999971978042E-2</v>
      </c>
      <c r="R35" s="60">
        <f t="shared" ref="R35:R46" si="6">IFERROR(IF(F35="SEM DADOS","SEM DADOS",VLOOKUP($C35,ACUMULADOATUAL,4,FALSE)),)</f>
        <v>0</v>
      </c>
      <c r="S35" s="25" t="e">
        <f>R35/$R$24</f>
        <v>#DIV/0!</v>
      </c>
    </row>
    <row r="36" spans="1:19" x14ac:dyDescent="0.3">
      <c r="C36" t="s">
        <v>341</v>
      </c>
      <c r="F36" s="7" t="s">
        <v>268</v>
      </c>
      <c r="G36" s="60">
        <f>IFERROR(INDEX(TBBP[],MATCH($C36,planoContas,0)+1,H$7),"SEM DADOS")</f>
        <v>-321355.57</v>
      </c>
      <c r="H36" s="25">
        <f>G36/$G$24</f>
        <v>-4.3680316202438167E-2</v>
      </c>
      <c r="I36" s="60">
        <f>IFERROR(INDEX(TBBP[],MATCH($C36,planoContas,0)+1,J$7),"SEM DADOS")</f>
        <v>-211761.25</v>
      </c>
      <c r="J36" s="25">
        <f t="shared" si="0"/>
        <v>-2.3375190583920378E-2</v>
      </c>
      <c r="K36" s="60">
        <f>IFERROR(INDEX(TBBP[],MATCH($C36,planoContas,0)+1,L$7),"SEM DADOS")</f>
        <v>-360029.77</v>
      </c>
      <c r="L36" s="25">
        <f t="shared" si="1"/>
        <v>-3.2310525406857145E-2</v>
      </c>
      <c r="M36" s="60">
        <f>IFERROR(INDEX(TBBP[],MATCH($C36,planoContas,0)+1,N$7),"SEM DADOS")</f>
        <v>-297233.02</v>
      </c>
      <c r="N36" s="25">
        <f t="shared" si="2"/>
        <v>-2.9914240137576376E-2</v>
      </c>
      <c r="O36" s="47"/>
      <c r="P36" s="60">
        <f t="shared" si="4"/>
        <v>-251231.55</v>
      </c>
      <c r="Q36" s="25">
        <f t="shared" si="5"/>
        <v>-1.9199999847152958E-2</v>
      </c>
      <c r="R36" s="60">
        <f t="shared" si="6"/>
        <v>0</v>
      </c>
      <c r="S36" s="25" t="e">
        <f t="shared" si="3"/>
        <v>#DIV/0!</v>
      </c>
    </row>
    <row r="37" spans="1:19" x14ac:dyDescent="0.3">
      <c r="A37" t="s">
        <v>1133</v>
      </c>
      <c r="C37" t="s">
        <v>347</v>
      </c>
      <c r="F37" s="7" t="s">
        <v>269</v>
      </c>
      <c r="G37" s="60">
        <f>IFERROR(INDEX(TBBP[],MATCH($C37,planoContas,0)+1,H$7),"SEM DADOS")</f>
        <v>-39502.920000000006</v>
      </c>
      <c r="H37" s="25">
        <f t="shared" ref="H37:H46" si="7">G37/$G$24</f>
        <v>-5.3694418196006963E-3</v>
      </c>
      <c r="I37" s="60">
        <f>IFERROR(INDEX(TBBP[],MATCH($C37,planoContas,0)+1,J$7),"SEM DADOS")</f>
        <v>-32925.82</v>
      </c>
      <c r="J37" s="25">
        <f t="shared" si="0"/>
        <v>-3.6345049796969809E-3</v>
      </c>
      <c r="K37" s="60">
        <f>IFERROR(INDEX(TBBP[],MATCH($C37,planoContas,0)+1,L$7),"SEM DADOS")</f>
        <v>-51814.71</v>
      </c>
      <c r="L37" s="25">
        <f t="shared" si="1"/>
        <v>-4.650061309940938E-3</v>
      </c>
      <c r="M37" s="60">
        <f>IFERROR(INDEX(TBBP[],MATCH($C37,planoContas,0)+1,N$7),"SEM DADOS")</f>
        <v>-52294.41</v>
      </c>
      <c r="N37" s="25">
        <f t="shared" si="2"/>
        <v>-5.2630341628695067E-3</v>
      </c>
      <c r="O37" s="47"/>
      <c r="P37" s="60">
        <f t="shared" si="4"/>
        <v>-57519.54</v>
      </c>
      <c r="Q37" s="25">
        <f t="shared" si="5"/>
        <v>-4.3958458211490895E-3</v>
      </c>
      <c r="R37" s="60">
        <f t="shared" si="6"/>
        <v>0</v>
      </c>
      <c r="S37" s="25" t="e">
        <f t="shared" si="3"/>
        <v>#DIV/0!</v>
      </c>
    </row>
    <row r="38" spans="1:19" x14ac:dyDescent="0.3">
      <c r="C38" t="s">
        <v>358</v>
      </c>
      <c r="F38" s="7" t="s">
        <v>270</v>
      </c>
      <c r="G38" s="60">
        <f>IFERROR(INDEX(TBBP[],MATCH($C38,planoContas,0)+1,H$7),"SEM DADOS")</f>
        <v>-5801.74</v>
      </c>
      <c r="H38" s="25">
        <f t="shared" si="7"/>
        <v>-7.8860259905976914E-4</v>
      </c>
      <c r="I38" s="60">
        <f>IFERROR(INDEX(TBBP[],MATCH($C38,planoContas,0)+1,J$7),"SEM DADOS")</f>
        <v>-1805.42</v>
      </c>
      <c r="J38" s="25">
        <f t="shared" si="0"/>
        <v>-1.9929064729274845E-4</v>
      </c>
      <c r="K38" s="60">
        <f>IFERROR(INDEX(TBBP[],MATCH($C38,planoContas,0)+1,L$7),"SEM DADOS")</f>
        <v>-194.21</v>
      </c>
      <c r="L38" s="25">
        <f t="shared" si="1"/>
        <v>-1.7429189645249962E-5</v>
      </c>
      <c r="M38" s="60">
        <f>IFERROR(INDEX(TBBP[],MATCH($C38,planoContas,0)+1,N$7),"SEM DADOS")</f>
        <v>-5133.8999999999996</v>
      </c>
      <c r="N38" s="25">
        <f t="shared" si="2"/>
        <v>-5.1668794214822884E-4</v>
      </c>
      <c r="O38" s="47"/>
      <c r="P38" s="60">
        <f t="shared" si="4"/>
        <v>0</v>
      </c>
      <c r="Q38" s="25">
        <f t="shared" si="5"/>
        <v>0</v>
      </c>
      <c r="R38" s="60">
        <f t="shared" si="6"/>
        <v>0</v>
      </c>
      <c r="S38" s="25" t="e">
        <f t="shared" si="3"/>
        <v>#DIV/0!</v>
      </c>
    </row>
    <row r="39" spans="1:19" x14ac:dyDescent="0.3">
      <c r="C39" t="s">
        <v>359</v>
      </c>
      <c r="F39" s="7" t="s">
        <v>634</v>
      </c>
      <c r="G39" s="60">
        <f>IFERROR(INDEX(TBBP[],MATCH($C39,planoContas,0)+1,H$7),"SEM DADOS")</f>
        <v>-15063.22</v>
      </c>
      <c r="H39" s="25">
        <f t="shared" si="7"/>
        <v>-2.0474710073545344E-3</v>
      </c>
      <c r="I39" s="60">
        <f>IFERROR(INDEX(TBBP[],MATCH($C39,planoContas,0)+1,J$7),"SEM DADOS")</f>
        <v>-62815.37</v>
      </c>
      <c r="J39" s="25">
        <f t="shared" si="0"/>
        <v>-6.9338523707688478E-3</v>
      </c>
      <c r="K39" s="60">
        <f>IFERROR(INDEX(TBBP[],MATCH($C39,planoContas,0)+1,L$7),"SEM DADOS")</f>
        <v>-78227.5</v>
      </c>
      <c r="L39" s="25">
        <f t="shared" si="1"/>
        <v>-7.0204517428237032E-3</v>
      </c>
      <c r="M39" s="60">
        <f>IFERROR(INDEX(TBBP[],MATCH($C39,planoContas,0)+1,N$7),"SEM DADOS")</f>
        <v>-33464.6</v>
      </c>
      <c r="N39" s="25">
        <f t="shared" si="2"/>
        <v>-3.3679571687827226E-3</v>
      </c>
      <c r="O39" s="47"/>
      <c r="P39" s="60">
        <f t="shared" si="4"/>
        <v>-80786.899999999994</v>
      </c>
      <c r="Q39" s="25">
        <f t="shared" si="5"/>
        <v>-6.1740194161599574E-3</v>
      </c>
      <c r="R39" s="60">
        <f t="shared" si="6"/>
        <v>0</v>
      </c>
      <c r="S39" s="25" t="e">
        <f t="shared" si="3"/>
        <v>#DIV/0!</v>
      </c>
    </row>
    <row r="40" spans="1:19" x14ac:dyDescent="0.3">
      <c r="C40" t="s">
        <v>355</v>
      </c>
      <c r="F40" s="7" t="s">
        <v>271</v>
      </c>
      <c r="G40" s="60">
        <f>IFERROR(INDEX(TBBP[],MATCH($C40,planoContas,0)+1,H$7),"SEM DADOS")</f>
        <v>-19749.8</v>
      </c>
      <c r="H40" s="25">
        <f t="shared" si="7"/>
        <v>-2.6844952739886016E-3</v>
      </c>
      <c r="I40" s="60">
        <f>IFERROR(INDEX(TBBP[],MATCH($C40,planoContas,0)+1,J$7),"SEM DADOS")</f>
        <v>-35405.18</v>
      </c>
      <c r="J40" s="25">
        <f t="shared" si="0"/>
        <v>-3.9081882552072494E-3</v>
      </c>
      <c r="K40" s="60">
        <f>IFERROR(INDEX(TBBP[],MATCH($C40,planoContas,0)+1,L$7),"SEM DADOS")</f>
        <v>-41204.68</v>
      </c>
      <c r="L40" s="25">
        <f t="shared" si="1"/>
        <v>-3.6978743730592565E-3</v>
      </c>
      <c r="M40" s="60">
        <f>IFERROR(INDEX(TBBP[],MATCH($C40,planoContas,0)+1,N$7),"SEM DADOS")</f>
        <v>-44422.32</v>
      </c>
      <c r="N40" s="25">
        <f t="shared" si="2"/>
        <v>-4.4707682475798342E-3</v>
      </c>
      <c r="O40" s="47"/>
      <c r="P40" s="60">
        <f t="shared" si="4"/>
        <v>-91594.84</v>
      </c>
      <c r="Q40" s="25">
        <f t="shared" si="5"/>
        <v>-7.0000002547450733E-3</v>
      </c>
      <c r="R40" s="60">
        <f t="shared" si="6"/>
        <v>0</v>
      </c>
      <c r="S40" s="25" t="e">
        <f t="shared" si="3"/>
        <v>#DIV/0!</v>
      </c>
    </row>
    <row r="41" spans="1:19" x14ac:dyDescent="0.3">
      <c r="C41" t="s">
        <v>354</v>
      </c>
      <c r="F41" s="7" t="s">
        <v>272</v>
      </c>
      <c r="G41" s="60">
        <f>IFERROR(INDEX(TBBP[],MATCH($C41,planoContas,0)+1,H$7),"SEM DADOS")</f>
        <v>-5484.91</v>
      </c>
      <c r="H41" s="25">
        <f t="shared" si="7"/>
        <v>-7.4553742180947754E-4</v>
      </c>
      <c r="I41" s="60">
        <f>IFERROR(INDEX(TBBP[],MATCH($C41,planoContas,0)+1,J$7),"SEM DADOS")</f>
        <v>-6934.94</v>
      </c>
      <c r="J41" s="25">
        <f t="shared" si="0"/>
        <v>-7.6551089582278526E-4</v>
      </c>
      <c r="K41" s="60">
        <f>IFERROR(INDEX(TBBP[],MATCH($C41,planoContas,0)+1,L$7),"SEM DADOS")</f>
        <v>-6549.28</v>
      </c>
      <c r="L41" s="25">
        <f t="shared" si="1"/>
        <v>-5.8775883404481061E-4</v>
      </c>
      <c r="M41" s="60">
        <f>IFERROR(INDEX(TBBP[],MATCH($C41,planoContas,0)+1,N$7),"SEM DADOS")</f>
        <v>-8202.4699999999993</v>
      </c>
      <c r="N41" s="25">
        <f t="shared" si="2"/>
        <v>-8.2551614656159694E-4</v>
      </c>
      <c r="O41" s="47"/>
      <c r="P41" s="60">
        <f t="shared" si="4"/>
        <v>-3446.89</v>
      </c>
      <c r="Q41" s="25">
        <f t="shared" si="5"/>
        <v>-2.6342347317903766E-4</v>
      </c>
      <c r="R41" s="60">
        <f t="shared" si="6"/>
        <v>0</v>
      </c>
      <c r="S41" s="25" t="e">
        <f t="shared" si="3"/>
        <v>#DIV/0!</v>
      </c>
    </row>
    <row r="42" spans="1:19" x14ac:dyDescent="0.3">
      <c r="C42" t="s">
        <v>362</v>
      </c>
      <c r="F42" s="7" t="s">
        <v>273</v>
      </c>
      <c r="G42" s="60">
        <f>IFERROR(INDEX(TBBP[],MATCH($C42,planoContas,0)+1,H$7),"SEM DADOS")</f>
        <v>-280581.09000000003</v>
      </c>
      <c r="H42" s="25">
        <f t="shared" si="7"/>
        <v>-3.8138037351040037E-2</v>
      </c>
      <c r="I42" s="60">
        <f>IFERROR(INDEX(TBBP[],MATCH($C42,planoContas,0)+1,J$7),"SEM DADOS")</f>
        <v>-323927.03000000003</v>
      </c>
      <c r="J42" s="25">
        <f t="shared" si="0"/>
        <v>-3.5756570484606107E-2</v>
      </c>
      <c r="K42" s="60">
        <f>IFERROR(INDEX(TBBP[],MATCH($C42,planoContas,0)+1,L$7),"SEM DADOS")</f>
        <v>-404433.36</v>
      </c>
      <c r="L42" s="25">
        <f t="shared" si="1"/>
        <v>-3.6295482880931207E-2</v>
      </c>
      <c r="M42" s="60">
        <f>IFERROR(INDEX(TBBP[],MATCH($C42,planoContas,0)+1,N$7),"SEM DADOS")</f>
        <v>-402277.68</v>
      </c>
      <c r="N42" s="25">
        <f t="shared" si="2"/>
        <v>-4.0486185288253318E-2</v>
      </c>
      <c r="O42" s="47"/>
      <c r="P42" s="60">
        <f t="shared" si="4"/>
        <v>-374230.33</v>
      </c>
      <c r="Q42" s="25">
        <f t="shared" si="5"/>
        <v>-2.8599999796203944E-2</v>
      </c>
      <c r="R42" s="60">
        <f t="shared" si="6"/>
        <v>0</v>
      </c>
      <c r="S42" s="25" t="e">
        <f t="shared" si="3"/>
        <v>#DIV/0!</v>
      </c>
    </row>
    <row r="43" spans="1:19" x14ac:dyDescent="0.3">
      <c r="C43" t="s">
        <v>356</v>
      </c>
      <c r="F43" s="7" t="s">
        <v>645</v>
      </c>
      <c r="G43" s="60">
        <f>IFERROR(INDEX(TBBP[],MATCH($C43,planoContas,0)+1,H$7),"SEM DADOS")</f>
        <v>0</v>
      </c>
      <c r="H43" s="25">
        <f t="shared" si="7"/>
        <v>0</v>
      </c>
      <c r="I43" s="60">
        <f>IFERROR(INDEX(TBBP[],MATCH($C43,planoContas,0)+1,J$7),"SEM DADOS")</f>
        <v>0</v>
      </c>
      <c r="J43" s="25">
        <f t="shared" si="0"/>
        <v>0</v>
      </c>
      <c r="K43" s="60">
        <f>IFERROR(INDEX(TBBP[],MATCH($C43,planoContas,0)+1,L$7),"SEM DADOS")</f>
        <v>0</v>
      </c>
      <c r="L43" s="25">
        <f t="shared" si="1"/>
        <v>0</v>
      </c>
      <c r="M43" s="60">
        <f>IFERROR(INDEX(TBBP[],MATCH($C43,planoContas,0)+1,N$7),"SEM DADOS")</f>
        <v>0</v>
      </c>
      <c r="N43" s="25">
        <f t="shared" si="2"/>
        <v>0</v>
      </c>
      <c r="O43" s="47"/>
      <c r="P43" s="60">
        <f t="shared" si="4"/>
        <v>0</v>
      </c>
      <c r="Q43" s="25">
        <f t="shared" si="5"/>
        <v>0</v>
      </c>
      <c r="R43" s="60">
        <f t="shared" si="6"/>
        <v>0</v>
      </c>
      <c r="S43" s="25" t="e">
        <f t="shared" si="3"/>
        <v>#DIV/0!</v>
      </c>
    </row>
    <row r="44" spans="1:19" x14ac:dyDescent="0.3">
      <c r="C44" t="s">
        <v>357</v>
      </c>
      <c r="F44" s="7" t="s">
        <v>646</v>
      </c>
      <c r="G44" s="60">
        <f>IFERROR(INDEX(TBBP[],MATCH($C44,planoContas,0)+1,H$7),"SEM DADOS")</f>
        <v>-770</v>
      </c>
      <c r="H44" s="25">
        <f t="shared" si="7"/>
        <v>-1.0466239460507059E-4</v>
      </c>
      <c r="I44" s="60">
        <f>IFERROR(INDEX(TBBP[],MATCH($C44,planoContas,0)+1,J$7),"SEM DADOS")</f>
        <v>-770</v>
      </c>
      <c r="J44" s="25">
        <f t="shared" si="0"/>
        <v>-8.4996177296926093E-5</v>
      </c>
      <c r="K44" s="60">
        <f>IFERROR(INDEX(TBBP[],MATCH($C44,planoContas,0)+1,L$7),"SEM DADOS")</f>
        <v>-770</v>
      </c>
      <c r="L44" s="25">
        <f t="shared" si="1"/>
        <v>-6.9102909360189854E-5</v>
      </c>
      <c r="M44" s="60">
        <f>IFERROR(INDEX(TBBP[],MATCH($C44,planoContas,0)+1,N$7),"SEM DADOS")</f>
        <v>-770</v>
      </c>
      <c r="N44" s="25">
        <f t="shared" si="2"/>
        <v>-7.7494636719479577E-5</v>
      </c>
      <c r="O44" s="47"/>
      <c r="P44" s="60">
        <f t="shared" si="4"/>
        <v>-6324.44</v>
      </c>
      <c r="Q44" s="25">
        <f t="shared" si="5"/>
        <v>-4.8333597843633905E-4</v>
      </c>
      <c r="R44" s="60">
        <f t="shared" si="6"/>
        <v>0</v>
      </c>
      <c r="S44" s="25" t="e">
        <f t="shared" si="3"/>
        <v>#DIV/0!</v>
      </c>
    </row>
    <row r="45" spans="1:19" x14ac:dyDescent="0.3">
      <c r="C45" t="s">
        <v>361</v>
      </c>
      <c r="F45" s="7" t="s">
        <v>647</v>
      </c>
      <c r="G45" s="60">
        <f>IFERROR(INDEX(TBBP[],MATCH($C45,planoContas,0)+1,H$7),"SEM DADOS")</f>
        <v>-29150.66</v>
      </c>
      <c r="H45" s="25">
        <f t="shared" si="7"/>
        <v>-3.9623089349587626E-3</v>
      </c>
      <c r="I45" s="60">
        <f>IFERROR(INDEX(TBBP[],MATCH($C45,planoContas,0)+1,J$7),"SEM DADOS")</f>
        <v>-29341.05</v>
      </c>
      <c r="J45" s="25">
        <f t="shared" si="0"/>
        <v>-3.2388014128285369E-3</v>
      </c>
      <c r="K45" s="60">
        <f>IFERROR(INDEX(TBBP[],MATCH($C45,planoContas,0)+1,L$7),"SEM DADOS")</f>
        <v>-30266.66</v>
      </c>
      <c r="L45" s="25">
        <f t="shared" si="1"/>
        <v>-2.7162522891112776E-3</v>
      </c>
      <c r="M45" s="60">
        <f>IFERROR(INDEX(TBBP[],MATCH($C45,planoContas,0)+1,N$7),"SEM DADOS")</f>
        <v>-35352.129999999997</v>
      </c>
      <c r="N45" s="25">
        <f t="shared" si="2"/>
        <v>-3.5579226904023575E-3</v>
      </c>
      <c r="O45" s="47"/>
      <c r="P45" s="60">
        <f t="shared" si="4"/>
        <v>-28212.73</v>
      </c>
      <c r="Q45" s="25">
        <f t="shared" si="5"/>
        <v>-2.1561161871897364E-3</v>
      </c>
      <c r="R45" s="60">
        <f t="shared" si="6"/>
        <v>0</v>
      </c>
      <c r="S45" s="25" t="e">
        <f t="shared" si="3"/>
        <v>#DIV/0!</v>
      </c>
    </row>
    <row r="46" spans="1:19" x14ac:dyDescent="0.3">
      <c r="C46" t="s">
        <v>363</v>
      </c>
      <c r="F46" s="7" t="s">
        <v>648</v>
      </c>
      <c r="G46" s="60">
        <f>IFERROR(INDEX(TBBP[],MATCH($C46,planoContas,0)+1,H$7),"SEM DADOS")</f>
        <v>0</v>
      </c>
      <c r="H46" s="25">
        <f t="shared" si="7"/>
        <v>0</v>
      </c>
      <c r="I46" s="60">
        <f>IFERROR(INDEX(TBBP[],MATCH($C46,planoContas,0)+1,J$7),"SEM DADOS")</f>
        <v>0</v>
      </c>
      <c r="J46" s="25">
        <f t="shared" si="0"/>
        <v>0</v>
      </c>
      <c r="K46" s="60">
        <f>IFERROR(INDEX(TBBP[],MATCH($C46,planoContas,0)+1,L$7),"SEM DADOS")</f>
        <v>0</v>
      </c>
      <c r="L46" s="25">
        <f t="shared" si="1"/>
        <v>0</v>
      </c>
      <c r="M46" s="60">
        <f>IFERROR(INDEX(TBBP[],MATCH($C46,planoContas,0)+1,N$7),"SEM DADOS")</f>
        <v>0</v>
      </c>
      <c r="N46" s="25">
        <f t="shared" si="2"/>
        <v>0</v>
      </c>
      <c r="O46" s="47"/>
      <c r="P46" s="60">
        <f t="shared" si="4"/>
        <v>0</v>
      </c>
      <c r="Q46" s="25">
        <f t="shared" si="5"/>
        <v>0</v>
      </c>
      <c r="R46" s="60">
        <f t="shared" si="6"/>
        <v>0</v>
      </c>
      <c r="S46" s="25" t="e">
        <f t="shared" si="3"/>
        <v>#DIV/0!</v>
      </c>
    </row>
    <row r="47" spans="1:19" x14ac:dyDescent="0.3">
      <c r="G47" s="16"/>
      <c r="H47" s="33"/>
      <c r="I47" s="16"/>
      <c r="J47" s="33"/>
      <c r="K47" s="16"/>
      <c r="L47" s="33"/>
      <c r="M47" s="16"/>
      <c r="N47" s="33"/>
      <c r="O47" s="46"/>
      <c r="P47" s="16"/>
      <c r="Q47" s="33"/>
      <c r="R47" s="16"/>
      <c r="S47" s="33"/>
    </row>
    <row r="48" spans="1:19" ht="15" thickBot="1" x14ac:dyDescent="0.35">
      <c r="C48" t="s">
        <v>373</v>
      </c>
      <c r="D48" s="6" t="s">
        <v>274</v>
      </c>
      <c r="F48" s="181" t="s">
        <v>312</v>
      </c>
      <c r="G48" s="175">
        <f>IFERROR(INDEX(TBBP[],MATCH($C48,planoContas,0)+1,H$7),"SEM DADOS")</f>
        <v>496.55</v>
      </c>
      <c r="H48" s="170">
        <f>G48/$G$24</f>
        <v>6.7493652001490652E-5</v>
      </c>
      <c r="I48" s="175">
        <f>IFERROR(INDEX(TBBP[],MATCH($C48,planoContas,0)+1,J$7),"SEM DADOS")</f>
        <v>0</v>
      </c>
      <c r="J48" s="170">
        <f t="shared" ref="J48:J59" si="8">I48/$I$24</f>
        <v>0</v>
      </c>
      <c r="K48" s="175">
        <f>IFERROR(INDEX(TBBP[],MATCH($C48,planoContas,0)+1,L$7),"SEM DADOS")</f>
        <v>3807.02</v>
      </c>
      <c r="L48" s="170">
        <f t="shared" ref="L48:L59" si="9">K48/$K$24</f>
        <v>3.4165734804211681E-4</v>
      </c>
      <c r="M48" s="175">
        <f>IFERROR(INDEX(TBBP[],MATCH($C48,planoContas,0)+1,N$7),"SEM DADOS")</f>
        <v>-18587.04</v>
      </c>
      <c r="N48" s="170">
        <f t="shared" ref="N48:N58" si="10">M48/$M$24</f>
        <v>-1.8706440421953712E-3</v>
      </c>
      <c r="O48" s="177"/>
      <c r="P48" s="175">
        <f>INDEX(ACUMULADOATUAL,MATCH(C48,planoContas,0)+4,2)</f>
        <v>-91594.84</v>
      </c>
      <c r="Q48" s="170">
        <f t="shared" ref="Q48:Q63" si="11">P48/$P$24</f>
        <v>-7.0000002547450733E-3</v>
      </c>
      <c r="R48" s="175">
        <f t="shared" ref="R48:R58" si="12">IFERROR(IF(F48="SEM DADOS","SEM DADOS",VLOOKUP($C48,ACUMULADOATUAL,4,FALSE)),)</f>
        <v>0</v>
      </c>
      <c r="S48" s="170" t="e">
        <f t="shared" si="3"/>
        <v>#DIV/0!</v>
      </c>
    </row>
    <row r="49" spans="3:19" ht="15" thickTop="1" x14ac:dyDescent="0.3">
      <c r="C49" t="s">
        <v>374</v>
      </c>
      <c r="F49" s="7" t="s">
        <v>275</v>
      </c>
      <c r="G49" s="60">
        <f>IFERROR(INDEX(TBBP[],MATCH($C49,planoContas,0)+1,H$7),"SEM DADOS")</f>
        <v>0</v>
      </c>
      <c r="H49" s="25">
        <f t="shared" ref="H49:H59" si="13">G49/$G$24</f>
        <v>0</v>
      </c>
      <c r="I49" s="60">
        <f>IFERROR(INDEX(TBBP[],MATCH($C49,planoContas,0)+1,J$7),"SEM DADOS")</f>
        <v>0</v>
      </c>
      <c r="J49" s="25">
        <f t="shared" si="8"/>
        <v>0</v>
      </c>
      <c r="K49" s="60">
        <f>IFERROR(INDEX(TBBP[],MATCH($C49,planoContas,0)+1,L$7),"SEM DADOS")</f>
        <v>0</v>
      </c>
      <c r="L49" s="25">
        <f t="shared" si="9"/>
        <v>0</v>
      </c>
      <c r="M49" s="60">
        <f>IFERROR(INDEX(TBBP[],MATCH($C49,planoContas,0)+1,N$7),"SEM DADOS")</f>
        <v>0</v>
      </c>
      <c r="N49" s="25">
        <f t="shared" si="10"/>
        <v>0</v>
      </c>
      <c r="O49" s="47"/>
      <c r="P49" s="60">
        <f t="shared" ref="P49:P57" si="14">INDEX(ACUMULADOATUAL,MATCH(C49,planoContas,0)+4,2)</f>
        <v>0</v>
      </c>
      <c r="Q49" s="25">
        <f t="shared" si="11"/>
        <v>0</v>
      </c>
      <c r="R49" s="60">
        <f t="shared" si="12"/>
        <v>0</v>
      </c>
      <c r="S49" s="25" t="e">
        <f t="shared" si="3"/>
        <v>#DIV/0!</v>
      </c>
    </row>
    <row r="50" spans="3:19" x14ac:dyDescent="0.3">
      <c r="C50" t="s">
        <v>390</v>
      </c>
      <c r="F50" s="7" t="s">
        <v>276</v>
      </c>
      <c r="G50" s="60">
        <f>IFERROR(INDEX(TBBP[],MATCH($C50,planoContas,0)+1,H$7),"SEM DADOS")</f>
        <v>0</v>
      </c>
      <c r="H50" s="25">
        <f t="shared" si="13"/>
        <v>0</v>
      </c>
      <c r="I50" s="60">
        <f>IFERROR(INDEX(TBBP[],MATCH($C50,planoContas,0)+1,J$7),"SEM DADOS")</f>
        <v>0</v>
      </c>
      <c r="J50" s="25">
        <f t="shared" si="8"/>
        <v>0</v>
      </c>
      <c r="K50" s="60">
        <f>IFERROR(INDEX(TBBP[],MATCH($C50,planoContas,0)+1,L$7),"SEM DADOS")</f>
        <v>3807.02</v>
      </c>
      <c r="L50" s="25">
        <f t="shared" si="9"/>
        <v>3.4165734804211681E-4</v>
      </c>
      <c r="M50" s="60">
        <f>IFERROR(INDEX(TBBP[],MATCH($C50,planoContas,0)+1,N$7),"SEM DADOS")</f>
        <v>-10812.6</v>
      </c>
      <c r="N50" s="25">
        <f t="shared" si="10"/>
        <v>-1.0882058558351233E-3</v>
      </c>
      <c r="O50" s="47"/>
      <c r="P50" s="60">
        <f t="shared" si="14"/>
        <v>0</v>
      </c>
      <c r="Q50" s="25">
        <f t="shared" si="11"/>
        <v>0</v>
      </c>
      <c r="R50" s="60">
        <f t="shared" si="12"/>
        <v>0</v>
      </c>
      <c r="S50" s="25" t="e">
        <f t="shared" si="3"/>
        <v>#DIV/0!</v>
      </c>
    </row>
    <row r="51" spans="3:19" x14ac:dyDescent="0.3">
      <c r="C51" t="s">
        <v>395</v>
      </c>
      <c r="F51" s="7" t="s">
        <v>277</v>
      </c>
      <c r="G51" s="60">
        <f>IFERROR(INDEX(TBBP[],MATCH($C51,planoContas,0)+1,H$7),"SEM DADOS")</f>
        <v>0</v>
      </c>
      <c r="H51" s="25">
        <f t="shared" si="13"/>
        <v>0</v>
      </c>
      <c r="I51" s="60">
        <f>IFERROR(INDEX(TBBP[],MATCH($C51,planoContas,0)+1,J$7),"SEM DADOS")</f>
        <v>0</v>
      </c>
      <c r="J51" s="25">
        <f t="shared" si="8"/>
        <v>0</v>
      </c>
      <c r="K51" s="60">
        <f>IFERROR(INDEX(TBBP[],MATCH($C51,planoContas,0)+1,L$7),"SEM DADOS")</f>
        <v>0</v>
      </c>
      <c r="L51" s="25">
        <f t="shared" si="9"/>
        <v>0</v>
      </c>
      <c r="M51" s="60">
        <f>IFERROR(INDEX(TBBP[],MATCH($C51,planoContas,0)+1,N$7),"SEM DADOS")</f>
        <v>0</v>
      </c>
      <c r="N51" s="25">
        <f t="shared" si="10"/>
        <v>0</v>
      </c>
      <c r="O51" s="47"/>
      <c r="P51" s="60">
        <f t="shared" si="14"/>
        <v>0</v>
      </c>
      <c r="Q51" s="25">
        <f t="shared" si="11"/>
        <v>0</v>
      </c>
      <c r="R51" s="60">
        <f t="shared" si="12"/>
        <v>0</v>
      </c>
      <c r="S51" s="25" t="e">
        <f t="shared" si="3"/>
        <v>#DIV/0!</v>
      </c>
    </row>
    <row r="52" spans="3:19" x14ac:dyDescent="0.3">
      <c r="C52" t="s">
        <v>393</v>
      </c>
      <c r="F52" s="7" t="s">
        <v>278</v>
      </c>
      <c r="G52" s="60">
        <f>IFERROR(INDEX(TBBP[],MATCH($C52,planoContas,0)+1,H$7),"SEM DADOS")</f>
        <v>0</v>
      </c>
      <c r="H52" s="25">
        <f t="shared" si="13"/>
        <v>0</v>
      </c>
      <c r="I52" s="60">
        <f>IFERROR(INDEX(TBBP[],MATCH($C52,planoContas,0)+1,J$7),"SEM DADOS")</f>
        <v>0</v>
      </c>
      <c r="J52" s="25">
        <f t="shared" si="8"/>
        <v>0</v>
      </c>
      <c r="K52" s="60">
        <f>IFERROR(INDEX(TBBP[],MATCH($C52,planoContas,0)+1,L$7),"SEM DADOS")</f>
        <v>0</v>
      </c>
      <c r="L52" s="25">
        <f t="shared" si="9"/>
        <v>0</v>
      </c>
      <c r="M52" s="60">
        <f>IFERROR(INDEX(TBBP[],MATCH($C52,planoContas,0)+1,N$7),"SEM DADOS")</f>
        <v>0</v>
      </c>
      <c r="N52" s="25">
        <f t="shared" si="10"/>
        <v>0</v>
      </c>
      <c r="O52" s="47"/>
      <c r="P52" s="60">
        <f t="shared" si="14"/>
        <v>0</v>
      </c>
      <c r="Q52" s="25">
        <f t="shared" si="11"/>
        <v>0</v>
      </c>
      <c r="R52" s="60">
        <f t="shared" si="12"/>
        <v>0</v>
      </c>
      <c r="S52" s="25" t="e">
        <f t="shared" si="3"/>
        <v>#DIV/0!</v>
      </c>
    </row>
    <row r="53" spans="3:19" x14ac:dyDescent="0.3">
      <c r="C53" t="s">
        <v>394</v>
      </c>
      <c r="F53" s="7" t="s">
        <v>635</v>
      </c>
      <c r="G53" s="60">
        <f>IFERROR(INDEX(TBBP[],MATCH($C53,planoContas,0)+1,H$7),"SEM DADOS")</f>
        <v>0</v>
      </c>
      <c r="H53" s="25">
        <f t="shared" si="13"/>
        <v>0</v>
      </c>
      <c r="I53" s="60">
        <f>IFERROR(INDEX(TBBP[],MATCH($C53,planoContas,0)+1,J$7),"SEM DADOS")</f>
        <v>0</v>
      </c>
      <c r="J53" s="25">
        <f t="shared" si="8"/>
        <v>0</v>
      </c>
      <c r="K53" s="60">
        <f>IFERROR(INDEX(TBBP[],MATCH($C53,planoContas,0)+1,L$7),"SEM DADOS")</f>
        <v>0</v>
      </c>
      <c r="L53" s="25">
        <f t="shared" si="9"/>
        <v>0</v>
      </c>
      <c r="M53" s="60">
        <f>IFERROR(INDEX(TBBP[],MATCH($C53,planoContas,0)+1,N$7),"SEM DADOS")</f>
        <v>0</v>
      </c>
      <c r="N53" s="25">
        <f t="shared" si="10"/>
        <v>0</v>
      </c>
      <c r="O53" s="47"/>
      <c r="P53" s="60">
        <f t="shared" si="14"/>
        <v>0</v>
      </c>
      <c r="Q53" s="25">
        <f t="shared" si="11"/>
        <v>0</v>
      </c>
      <c r="R53" s="60">
        <f t="shared" si="12"/>
        <v>0</v>
      </c>
      <c r="S53" s="25" t="e">
        <f t="shared" si="3"/>
        <v>#DIV/0!</v>
      </c>
    </row>
    <row r="54" spans="3:19" x14ac:dyDescent="0.3">
      <c r="C54" t="s">
        <v>383</v>
      </c>
      <c r="F54" s="7" t="s">
        <v>279</v>
      </c>
      <c r="G54" s="60">
        <f>IFERROR(INDEX(TBBP[],MATCH($C54,planoContas,0)+1,H$7),"SEM DADOS")</f>
        <v>496.55</v>
      </c>
      <c r="H54" s="25">
        <f t="shared" si="13"/>
        <v>6.7493652001490652E-5</v>
      </c>
      <c r="I54" s="60">
        <f>IFERROR(INDEX(TBBP[],MATCH($C54,planoContas,0)+1,J$7),"SEM DADOS")</f>
        <v>0</v>
      </c>
      <c r="J54" s="25">
        <f t="shared" si="8"/>
        <v>0</v>
      </c>
      <c r="K54" s="60">
        <f>IFERROR(INDEX(TBBP[],MATCH($C54,planoContas,0)+1,L$7),"SEM DADOS")</f>
        <v>0</v>
      </c>
      <c r="L54" s="25">
        <f t="shared" si="9"/>
        <v>0</v>
      </c>
      <c r="M54" s="60">
        <f>IFERROR(INDEX(TBBP[],MATCH($C54,planoContas,0)+1,N$7),"SEM DADOS")</f>
        <v>-5099.63</v>
      </c>
      <c r="N54" s="25">
        <f t="shared" si="10"/>
        <v>-5.132389276022853E-4</v>
      </c>
      <c r="O54" s="47"/>
      <c r="P54" s="60">
        <f t="shared" si="14"/>
        <v>-85183.2</v>
      </c>
      <c r="Q54" s="25">
        <f t="shared" si="11"/>
        <v>-6.5100001452046913E-3</v>
      </c>
      <c r="R54" s="60">
        <f t="shared" si="12"/>
        <v>0</v>
      </c>
      <c r="S54" s="25" t="e">
        <f t="shared" si="3"/>
        <v>#DIV/0!</v>
      </c>
    </row>
    <row r="55" spans="3:19" x14ac:dyDescent="0.3">
      <c r="C55" t="s">
        <v>377</v>
      </c>
      <c r="F55" s="7" t="s">
        <v>280</v>
      </c>
      <c r="G55" s="60">
        <f>IFERROR(INDEX(TBBP[],MATCH($C55,planoContas,0)+1,H$7),"SEM DADOS")</f>
        <v>0</v>
      </c>
      <c r="H55" s="25">
        <f t="shared" si="13"/>
        <v>0</v>
      </c>
      <c r="I55" s="60">
        <f>IFERROR(INDEX(TBBP[],MATCH($C55,planoContas,0)+1,J$7),"SEM DADOS")</f>
        <v>0</v>
      </c>
      <c r="J55" s="25">
        <f t="shared" si="8"/>
        <v>0</v>
      </c>
      <c r="K55" s="60">
        <f>IFERROR(INDEX(TBBP[],MATCH($C55,planoContas,0)+1,L$7),"SEM DADOS")</f>
        <v>0</v>
      </c>
      <c r="L55" s="25">
        <f t="shared" si="9"/>
        <v>0</v>
      </c>
      <c r="M55" s="60">
        <f>IFERROR(INDEX(TBBP[],MATCH($C55,planoContas,0)+1,N$7),"SEM DADOS")</f>
        <v>-2674.81</v>
      </c>
      <c r="N55" s="25">
        <f t="shared" si="10"/>
        <v>-2.6919925875796256E-4</v>
      </c>
      <c r="O55" s="47"/>
      <c r="P55" s="60">
        <f t="shared" si="14"/>
        <v>-6411.64</v>
      </c>
      <c r="Q55" s="25">
        <f t="shared" si="11"/>
        <v>-4.9000010954038131E-4</v>
      </c>
      <c r="R55" s="60">
        <f t="shared" si="12"/>
        <v>0</v>
      </c>
      <c r="S55" s="25" t="e">
        <f t="shared" si="3"/>
        <v>#DIV/0!</v>
      </c>
    </row>
    <row r="56" spans="3:19" x14ac:dyDescent="0.3">
      <c r="C56" t="s">
        <v>389</v>
      </c>
      <c r="F56" s="7" t="s">
        <v>281</v>
      </c>
      <c r="G56" s="60">
        <f>IFERROR(INDEX(TBBP[],MATCH($C56,planoContas,0)+1,H$7),"SEM DADOS")</f>
        <v>0</v>
      </c>
      <c r="H56" s="25">
        <f t="shared" si="13"/>
        <v>0</v>
      </c>
      <c r="I56" s="60">
        <f>IFERROR(INDEX(TBBP[],MATCH($C56,planoContas,0)+1,J$7),"SEM DADOS")</f>
        <v>0</v>
      </c>
      <c r="J56" s="25">
        <f t="shared" si="8"/>
        <v>0</v>
      </c>
      <c r="K56" s="60">
        <f>IFERROR(INDEX(TBBP[],MATCH($C56,planoContas,0)+1,L$7),"SEM DADOS")</f>
        <v>0</v>
      </c>
      <c r="L56" s="25">
        <f t="shared" si="9"/>
        <v>0</v>
      </c>
      <c r="M56" s="60">
        <f>IFERROR(INDEX(TBBP[],MATCH($C56,planoContas,0)+1,N$7),"SEM DADOS")</f>
        <v>0</v>
      </c>
      <c r="N56" s="25">
        <f t="shared" si="10"/>
        <v>0</v>
      </c>
      <c r="O56" s="47"/>
      <c r="P56" s="60">
        <f t="shared" si="14"/>
        <v>0</v>
      </c>
      <c r="Q56" s="25">
        <f t="shared" si="11"/>
        <v>0</v>
      </c>
      <c r="R56" s="60">
        <f t="shared" si="12"/>
        <v>0</v>
      </c>
      <c r="S56" s="25" t="e">
        <f t="shared" si="3"/>
        <v>#DIV/0!</v>
      </c>
    </row>
    <row r="57" spans="3:19" x14ac:dyDescent="0.3">
      <c r="C57" t="s">
        <v>391</v>
      </c>
      <c r="F57" s="7" t="s">
        <v>282</v>
      </c>
      <c r="G57" s="60">
        <f>IFERROR(INDEX(TBBP[],MATCH($C57,planoContas,0)+1,H$7),"SEM DADOS")</f>
        <v>0</v>
      </c>
      <c r="H57" s="25">
        <f t="shared" si="13"/>
        <v>0</v>
      </c>
      <c r="I57" s="60">
        <f>IFERROR(INDEX(TBBP[],MATCH($C57,planoContas,0)+1,J$7),"SEM DADOS")</f>
        <v>0</v>
      </c>
      <c r="J57" s="25">
        <f t="shared" si="8"/>
        <v>0</v>
      </c>
      <c r="K57" s="60">
        <f>IFERROR(INDEX(TBBP[],MATCH($C57,planoContas,0)+1,L$7),"SEM DADOS")</f>
        <v>0</v>
      </c>
      <c r="L57" s="25">
        <f t="shared" si="9"/>
        <v>0</v>
      </c>
      <c r="M57" s="60">
        <f>IFERROR(INDEX(TBBP[],MATCH($C57,planoContas,0)+1,N$7),"SEM DADOS")</f>
        <v>0</v>
      </c>
      <c r="N57" s="25">
        <f t="shared" si="10"/>
        <v>0</v>
      </c>
      <c r="O57" s="47"/>
      <c r="P57" s="60">
        <f t="shared" si="14"/>
        <v>0</v>
      </c>
      <c r="Q57" s="25">
        <f t="shared" si="11"/>
        <v>0</v>
      </c>
      <c r="R57" s="60">
        <f t="shared" si="12"/>
        <v>0</v>
      </c>
      <c r="S57" s="25" t="e">
        <f t="shared" si="3"/>
        <v>#DIV/0!</v>
      </c>
    </row>
    <row r="58" spans="3:19" x14ac:dyDescent="0.3">
      <c r="F58" s="7" t="s">
        <v>283</v>
      </c>
      <c r="G58" s="60">
        <f>G48-G49-G50-G51-G52-G53-G54-G55-G56-G57</f>
        <v>0</v>
      </c>
      <c r="H58" s="25">
        <f t="shared" si="13"/>
        <v>0</v>
      </c>
      <c r="I58" s="60">
        <f>I48-I49-I50-I51-I52-I53-I54-I55-I56-I57</f>
        <v>0</v>
      </c>
      <c r="J58" s="25">
        <f t="shared" si="8"/>
        <v>0</v>
      </c>
      <c r="K58" s="60">
        <f>K48-K49-K50-K51-K52-K53-K54-K55-K56-K57</f>
        <v>0</v>
      </c>
      <c r="L58" s="25">
        <f t="shared" si="9"/>
        <v>0</v>
      </c>
      <c r="M58" s="60">
        <f>M48-M49-M50-M51-M52-M53-M54-M55-M56-M57</f>
        <v>-4.5474735088646412E-13</v>
      </c>
      <c r="N58" s="25">
        <f t="shared" si="10"/>
        <v>-4.5766858124795124E-20</v>
      </c>
      <c r="O58" s="47"/>
      <c r="P58" s="60">
        <f>P48-P49-P50-P51-P52-P53-P54-P55-P56-P57</f>
        <v>9.0949470177292824E-13</v>
      </c>
      <c r="Q58" s="25">
        <f t="shared" si="11"/>
        <v>6.9506788200075376E-20</v>
      </c>
      <c r="R58" s="60">
        <f t="shared" si="12"/>
        <v>0</v>
      </c>
      <c r="S58" s="25" t="e">
        <f t="shared" si="3"/>
        <v>#DIV/0!</v>
      </c>
    </row>
    <row r="59" spans="3:19" ht="15" thickBot="1" x14ac:dyDescent="0.35">
      <c r="D59" s="6" t="s">
        <v>284</v>
      </c>
      <c r="F59" s="181" t="s">
        <v>285</v>
      </c>
      <c r="G59" s="175">
        <f>G26+G28+G30+G34+G48</f>
        <v>-5561149.9299999997</v>
      </c>
      <c r="H59" s="170">
        <f t="shared" si="13"/>
        <v>-0.75590034861249444</v>
      </c>
      <c r="I59" s="175">
        <f>I26+I28+I30+I34+I48</f>
        <v>-6714958.4200000009</v>
      </c>
      <c r="J59" s="170">
        <f t="shared" si="8"/>
        <v>-0.7412283070231257</v>
      </c>
      <c r="K59" s="175">
        <f>K26+K28+K30+K34+K48</f>
        <v>-8140660.7700000005</v>
      </c>
      <c r="L59" s="170">
        <f t="shared" si="9"/>
        <v>-0.73057577054722511</v>
      </c>
      <c r="M59" s="175">
        <f>M26+M28+M30+M34+M48</f>
        <v>-7675375.3299999991</v>
      </c>
      <c r="N59" s="170">
        <f>M59/$M$24</f>
        <v>-0.77246808166753977</v>
      </c>
      <c r="O59" s="177"/>
      <c r="P59" s="175">
        <f>P26+P28+P30+P34+P48</f>
        <v>-8504354.7442666665</v>
      </c>
      <c r="Q59" s="170">
        <f t="shared" si="11"/>
        <v>-0.64993274049399652</v>
      </c>
      <c r="R59" s="175">
        <f>R26+R28+R30+R34+R48</f>
        <v>0</v>
      </c>
      <c r="S59" s="170" t="e">
        <f t="shared" si="3"/>
        <v>#DIV/0!</v>
      </c>
    </row>
    <row r="60" spans="3:19" ht="15" thickTop="1" x14ac:dyDescent="0.3">
      <c r="G60" s="16"/>
      <c r="H60" s="33"/>
      <c r="I60" s="16"/>
      <c r="J60" s="33"/>
      <c r="K60" s="16"/>
      <c r="L60" s="33"/>
      <c r="M60" s="16"/>
      <c r="N60" s="33"/>
      <c r="O60" s="46"/>
      <c r="P60" s="16"/>
      <c r="Q60" s="33"/>
      <c r="R60" s="16"/>
      <c r="S60" s="33"/>
    </row>
    <row r="61" spans="3:19" ht="15" thickBot="1" x14ac:dyDescent="0.35">
      <c r="C61" t="s">
        <v>637</v>
      </c>
      <c r="D61" s="6" t="s">
        <v>286</v>
      </c>
      <c r="F61" s="180" t="s">
        <v>101</v>
      </c>
      <c r="G61" s="174">
        <f>G24+G59</f>
        <v>1795838.2499999991</v>
      </c>
      <c r="H61" s="164">
        <f>G61/$G$24</f>
        <v>0.24409965138750561</v>
      </c>
      <c r="I61" s="174">
        <f>I24+I59</f>
        <v>2344272.5299999965</v>
      </c>
      <c r="J61" s="164">
        <f>I61/$I$24</f>
        <v>0.2587716929768743</v>
      </c>
      <c r="K61" s="174">
        <f>K24+K59</f>
        <v>3002140.6999999965</v>
      </c>
      <c r="L61" s="164">
        <f>K61/$K$24</f>
        <v>0.26942422945277489</v>
      </c>
      <c r="M61" s="174">
        <f>M24+M59</f>
        <v>2260796.1599999992</v>
      </c>
      <c r="N61" s="164">
        <f>M61/$M$24</f>
        <v>0.22753191833246023</v>
      </c>
      <c r="O61" s="176"/>
      <c r="P61" s="174">
        <f>P24+P59</f>
        <v>4580621.9223999996</v>
      </c>
      <c r="Q61" s="170">
        <f t="shared" si="11"/>
        <v>0.35006725950600343</v>
      </c>
      <c r="R61" s="174">
        <f>R24+R59</f>
        <v>0</v>
      </c>
      <c r="S61" s="170" t="e">
        <f t="shared" si="3"/>
        <v>#DIV/0!</v>
      </c>
    </row>
    <row r="62" spans="3:19" ht="15" thickTop="1" x14ac:dyDescent="0.3">
      <c r="G62" s="16"/>
      <c r="H62" s="33"/>
      <c r="I62" s="16"/>
      <c r="J62" s="33"/>
      <c r="K62" s="16"/>
      <c r="L62" s="33"/>
      <c r="M62" s="16"/>
      <c r="N62" s="33"/>
      <c r="O62" s="46"/>
      <c r="P62" s="16"/>
      <c r="Q62" s="33"/>
      <c r="R62" s="16"/>
      <c r="S62" s="33"/>
    </row>
    <row r="63" spans="3:19" ht="15" thickBot="1" x14ac:dyDescent="0.35">
      <c r="D63" s="6" t="s">
        <v>287</v>
      </c>
      <c r="F63" s="181" t="s">
        <v>288</v>
      </c>
      <c r="G63" s="175">
        <f>SUM(G64:G73)</f>
        <v>-838853.15999999992</v>
      </c>
      <c r="H63" s="170">
        <f t="shared" ref="H63:H70" si="15">G63/$G$24</f>
        <v>-0.11402127330861092</v>
      </c>
      <c r="I63" s="175">
        <f>SUM(I64:I73)</f>
        <v>-887347.67000000016</v>
      </c>
      <c r="J63" s="170">
        <f t="shared" ref="J63:J70" si="16">I63/$I$24</f>
        <v>-9.7949558290044522E-2</v>
      </c>
      <c r="K63" s="175">
        <f>SUM(K64:K73)</f>
        <v>-635991.36</v>
      </c>
      <c r="L63" s="170">
        <f t="shared" ref="L63:L70" si="17">K63/$K$24</f>
        <v>-5.707643286226477E-2</v>
      </c>
      <c r="M63" s="175">
        <f>SUM(M64:M73)</f>
        <v>-907238.80999999994</v>
      </c>
      <c r="N63" s="170">
        <f>M63/$M$24</f>
        <v>-9.1306677920471369E-2</v>
      </c>
      <c r="O63" s="177"/>
      <c r="P63" s="175">
        <f>SUM(P64:P73)</f>
        <v>-915948.36</v>
      </c>
      <c r="Q63" s="170">
        <f t="shared" si="11"/>
        <v>-6.9999999490509862E-2</v>
      </c>
      <c r="R63" s="175">
        <f>SUM(R64:R73)</f>
        <v>0</v>
      </c>
      <c r="S63" s="170" t="e">
        <f t="shared" si="3"/>
        <v>#DIV/0!</v>
      </c>
    </row>
    <row r="64" spans="3:19" ht="15" thickTop="1" x14ac:dyDescent="0.3">
      <c r="C64" t="s">
        <v>398</v>
      </c>
      <c r="F64" s="7" t="s">
        <v>289</v>
      </c>
      <c r="G64" s="60">
        <f>IFERROR(INDEX(TBBP[],MATCH($C64,planoContas,0)+1,H$7),"SEM DADOS")</f>
        <v>-103360.81</v>
      </c>
      <c r="H64" s="25">
        <f t="shared" si="15"/>
        <v>-1.4049337510285359E-2</v>
      </c>
      <c r="I64" s="60">
        <f>IFERROR(INDEX(TBBP[],MATCH($C64,planoContas,0)+1,J$7),"SEM DADOS")</f>
        <v>-73958.399999999994</v>
      </c>
      <c r="J64" s="25">
        <f t="shared" si="16"/>
        <v>-8.1638717909051674E-3</v>
      </c>
      <c r="K64" s="60">
        <f>IFERROR(INDEX(TBBP[],MATCH($C64,planoContas,0)+1,L$7),"SEM DADOS")</f>
        <v>-55587.31</v>
      </c>
      <c r="L64" s="25">
        <f t="shared" si="17"/>
        <v>-4.9886296681906162E-3</v>
      </c>
      <c r="M64" s="60">
        <f>IFERROR(INDEX(TBBP[],MATCH($C64,planoContas,0)+1,N$7),"SEM DADOS")</f>
        <v>-59005.5</v>
      </c>
      <c r="N64" s="25">
        <f t="shared" ref="N64:N70" si="18">M64/$M$24</f>
        <v>-5.9384542687678605E-3</v>
      </c>
      <c r="O64" s="47"/>
      <c r="P64" s="60">
        <f t="shared" ref="P64:P70" si="19">INDEX(ACUMULADOATUAL,MATCH(C64,planoContas,0)+4,2)</f>
        <v>-33594.639999999999</v>
      </c>
      <c r="Q64" s="25">
        <f t="shared" ref="Q64:Q70" si="20">P64/$P$24</f>
        <v>-2.5674207035906063E-3</v>
      </c>
      <c r="R64" s="60">
        <f t="shared" ref="R64:R73" si="21">IFERROR(IF(F64="SEM DADOS","SEM DADOS",VLOOKUP($C64,ACUMULADOATUAL,4,FALSE)),)</f>
        <v>0</v>
      </c>
      <c r="S64" s="25" t="e">
        <f t="shared" si="3"/>
        <v>#DIV/0!</v>
      </c>
    </row>
    <row r="65" spans="3:19" x14ac:dyDescent="0.3">
      <c r="C65" t="s">
        <v>404</v>
      </c>
      <c r="F65" s="7" t="s">
        <v>290</v>
      </c>
      <c r="G65" s="60">
        <f>IFERROR(INDEX(TBBP[],MATCH($C65,planoContas,0)+1,H$7),"SEM DADOS")</f>
        <v>-284375.95</v>
      </c>
      <c r="H65" s="25">
        <f t="shared" si="15"/>
        <v>-3.8653854409210167E-2</v>
      </c>
      <c r="I65" s="60">
        <f>IFERROR(INDEX(TBBP[],MATCH($C65,planoContas,0)+1,J$7),"SEM DADOS")</f>
        <v>-227427.35</v>
      </c>
      <c r="J65" s="25">
        <f t="shared" si="16"/>
        <v>-2.5104487484116967E-2</v>
      </c>
      <c r="K65" s="60">
        <f>IFERROR(INDEX(TBBP[],MATCH($C65,planoContas,0)+1,L$7),"SEM DADOS")</f>
        <v>-258207.76</v>
      </c>
      <c r="L65" s="25">
        <f t="shared" si="17"/>
        <v>-2.317260705893202E-2</v>
      </c>
      <c r="M65" s="60">
        <f>IFERROR(INDEX(TBBP[],MATCH($C65,planoContas,0)+1,N$7),"SEM DADOS")</f>
        <v>-243738.77</v>
      </c>
      <c r="N65" s="25">
        <f t="shared" si="18"/>
        <v>-2.4530451215068555E-2</v>
      </c>
      <c r="O65" s="47"/>
      <c r="P65" s="60">
        <f t="shared" si="19"/>
        <v>-266853.63</v>
      </c>
      <c r="Q65" s="25">
        <f t="shared" si="20"/>
        <v>-2.0393894219146488E-2</v>
      </c>
      <c r="R65" s="60">
        <f t="shared" si="21"/>
        <v>0</v>
      </c>
      <c r="S65" s="25" t="e">
        <f t="shared" si="3"/>
        <v>#DIV/0!</v>
      </c>
    </row>
    <row r="66" spans="3:19" x14ac:dyDescent="0.3">
      <c r="C66" t="s">
        <v>401</v>
      </c>
      <c r="F66" s="7" t="s">
        <v>638</v>
      </c>
      <c r="G66" s="60">
        <f>IFERROR(INDEX(TBBP[],MATCH($C66,planoContas,0)+1,H$7),"SEM DADOS")</f>
        <v>-26854.65</v>
      </c>
      <c r="H66" s="25">
        <f t="shared" si="15"/>
        <v>-3.650223344520856E-3</v>
      </c>
      <c r="I66" s="60">
        <f>IFERROR(INDEX(TBBP[],MATCH($C66,planoContas,0)+1,J$7),"SEM DADOS")</f>
        <v>-27455.439999999999</v>
      </c>
      <c r="J66" s="25">
        <f t="shared" si="16"/>
        <v>-3.0306590207858654E-3</v>
      </c>
      <c r="K66" s="60">
        <f>IFERROR(INDEX(TBBP[],MATCH($C66,planoContas,0)+1,L$7),"SEM DADOS")</f>
        <v>-13047.6</v>
      </c>
      <c r="L66" s="25">
        <f t="shared" si="17"/>
        <v>-1.1709443119065105E-3</v>
      </c>
      <c r="M66" s="60">
        <f>IFERROR(INDEX(TBBP[],MATCH($C66,planoContas,0)+1,N$7),"SEM DADOS")</f>
        <v>-29686.41</v>
      </c>
      <c r="N66" s="25">
        <f t="shared" si="18"/>
        <v>-2.9877111148773061E-3</v>
      </c>
      <c r="O66" s="47"/>
      <c r="P66" s="60">
        <f t="shared" si="19"/>
        <v>-14580.77</v>
      </c>
      <c r="Q66" s="25">
        <f t="shared" si="20"/>
        <v>-1.114313794471166E-3</v>
      </c>
      <c r="R66" s="60">
        <f t="shared" si="21"/>
        <v>0</v>
      </c>
      <c r="S66" s="25" t="e">
        <f t="shared" si="3"/>
        <v>#DIV/0!</v>
      </c>
    </row>
    <row r="67" spans="3:19" x14ac:dyDescent="0.3">
      <c r="C67" t="s">
        <v>416</v>
      </c>
      <c r="F67" s="7" t="s">
        <v>639</v>
      </c>
      <c r="G67" s="60">
        <f>IFERROR(INDEX(TBBP[],MATCH($C67,planoContas,0)+1,H$7),"SEM DADOS")</f>
        <v>-33932.22</v>
      </c>
      <c r="H67" s="25">
        <f t="shared" si="15"/>
        <v>-4.6122433759299593E-3</v>
      </c>
      <c r="I67" s="60">
        <f>IFERROR(INDEX(TBBP[],MATCH($C67,planoContas,0)+1,J$7),"SEM DADOS")</f>
        <v>-12742.31</v>
      </c>
      <c r="J67" s="25">
        <f t="shared" si="16"/>
        <v>-1.4065553765355771E-3</v>
      </c>
      <c r="K67" s="60">
        <f>IFERROR(INDEX(TBBP[],MATCH($C67,planoContas,0)+1,L$7),"SEM DADOS")</f>
        <v>-8563.44</v>
      </c>
      <c r="L67" s="25">
        <f t="shared" si="17"/>
        <v>-7.6851768588496647E-4</v>
      </c>
      <c r="M67" s="60">
        <f>IFERROR(INDEX(TBBP[],MATCH($C67,planoContas,0)+1,N$7),"SEM DADOS")</f>
        <v>-26398.52</v>
      </c>
      <c r="N67" s="25">
        <f t="shared" si="18"/>
        <v>-2.656810022508982E-3</v>
      </c>
      <c r="O67" s="47"/>
      <c r="P67" s="60">
        <f t="shared" si="19"/>
        <v>-4872.79</v>
      </c>
      <c r="Q67" s="25">
        <f t="shared" si="20"/>
        <v>-3.7239577296405829E-4</v>
      </c>
      <c r="R67" s="60">
        <f t="shared" si="21"/>
        <v>0</v>
      </c>
      <c r="S67" s="25" t="e">
        <f t="shared" si="3"/>
        <v>#DIV/0!</v>
      </c>
    </row>
    <row r="68" spans="3:19" x14ac:dyDescent="0.3">
      <c r="C68" t="s">
        <v>410</v>
      </c>
      <c r="F68" s="7" t="s">
        <v>291</v>
      </c>
      <c r="G68" s="60">
        <f>IFERROR(INDEX(TBBP[],MATCH($C68,planoContas,0)+1,H$7),"SEM DADOS")</f>
        <v>-196359.55</v>
      </c>
      <c r="H68" s="25">
        <f t="shared" si="15"/>
        <v>-2.6690208709836478E-2</v>
      </c>
      <c r="I68" s="60">
        <f>IFERROR(INDEX(TBBP[],MATCH($C68,planoContas,0)+1,J$7),"SEM DADOS")</f>
        <v>-192900.57</v>
      </c>
      <c r="J68" s="25">
        <f t="shared" si="16"/>
        <v>-2.129326110181572E-2</v>
      </c>
      <c r="K68" s="60">
        <f>IFERROR(INDEX(TBBP[],MATCH($C68,planoContas,0)+1,L$7),"SEM DADOS")</f>
        <v>-154786.91</v>
      </c>
      <c r="L68" s="25">
        <f t="shared" si="17"/>
        <v>-1.389120235308294E-2</v>
      </c>
      <c r="M68" s="60">
        <f>IFERROR(INDEX(TBBP[],MATCH($C68,planoContas,0)+1,N$7),"SEM DADOS")</f>
        <v>-175389.29</v>
      </c>
      <c r="N68" s="25">
        <f t="shared" si="18"/>
        <v>-1.7651596510438253E-2</v>
      </c>
      <c r="O68" s="47"/>
      <c r="P68" s="60">
        <f t="shared" si="19"/>
        <v>-137178.29</v>
      </c>
      <c r="Q68" s="25">
        <f t="shared" si="20"/>
        <v>-1.0483648041150501E-2</v>
      </c>
      <c r="R68" s="60">
        <f t="shared" si="21"/>
        <v>0</v>
      </c>
      <c r="S68" s="25" t="e">
        <f t="shared" si="3"/>
        <v>#DIV/0!</v>
      </c>
    </row>
    <row r="69" spans="3:19" x14ac:dyDescent="0.3">
      <c r="C69" t="s">
        <v>406</v>
      </c>
      <c r="F69" s="7" t="s">
        <v>292</v>
      </c>
      <c r="G69" s="60">
        <f>IFERROR(INDEX(TBBP[],MATCH($C69,planoContas,0)+1,H$7),"SEM DADOS")</f>
        <v>-48151.86</v>
      </c>
      <c r="H69" s="25">
        <f t="shared" si="15"/>
        <v>-6.5450506133611875E-3</v>
      </c>
      <c r="I69" s="60">
        <f>IFERROR(INDEX(TBBP[],MATCH($C69,planoContas,0)+1,J$7),"SEM DADOS")</f>
        <v>-208403.77</v>
      </c>
      <c r="J69" s="25">
        <f t="shared" si="16"/>
        <v>-2.3004576343204942E-2</v>
      </c>
      <c r="K69" s="60">
        <f>IFERROR(INDEX(TBBP[],MATCH($C69,planoContas,0)+1,L$7),"SEM DADOS")</f>
        <v>-7583.05</v>
      </c>
      <c r="L69" s="25">
        <f t="shared" si="17"/>
        <v>-6.8053352834258137E-4</v>
      </c>
      <c r="M69" s="60">
        <f>IFERROR(INDEX(TBBP[],MATCH($C69,planoContas,0)+1,N$7),"SEM DADOS")</f>
        <v>-230984</v>
      </c>
      <c r="N69" s="25">
        <f t="shared" si="18"/>
        <v>-2.3246780737678274E-2</v>
      </c>
      <c r="O69" s="47"/>
      <c r="P69" s="60">
        <f t="shared" si="19"/>
        <v>-333403.78999999998</v>
      </c>
      <c r="Q69" s="25">
        <f t="shared" si="20"/>
        <v>-2.5479891825052291E-2</v>
      </c>
      <c r="R69" s="60">
        <f t="shared" si="21"/>
        <v>0</v>
      </c>
      <c r="S69" s="25" t="e">
        <f t="shared" si="3"/>
        <v>#DIV/0!</v>
      </c>
    </row>
    <row r="70" spans="3:19" x14ac:dyDescent="0.3">
      <c r="C70" t="s">
        <v>421</v>
      </c>
      <c r="F70" s="7" t="s">
        <v>1055</v>
      </c>
      <c r="G70" s="60">
        <f>IFERROR(INDEX(TBBP[],MATCH($C70,planoContas,0)+1,H$7),"SEM DADOS")</f>
        <v>0</v>
      </c>
      <c r="H70" s="25">
        <f t="shared" si="15"/>
        <v>0</v>
      </c>
      <c r="I70" s="60">
        <f>IFERROR(INDEX(TBBP[],MATCH($C70,planoContas,0)+1,J$7),"SEM DADOS")</f>
        <v>0</v>
      </c>
      <c r="J70" s="25">
        <f t="shared" si="16"/>
        <v>0</v>
      </c>
      <c r="K70" s="60">
        <f>IFERROR(INDEX(TBBP[],MATCH($C70,planoContas,0)+1,L$7),"SEM DADOS")</f>
        <v>0</v>
      </c>
      <c r="L70" s="25">
        <f t="shared" si="17"/>
        <v>0</v>
      </c>
      <c r="M70" s="60">
        <f>IFERROR(INDEX(TBBP[],MATCH($C70,planoContas,0)+1,N$7),"SEM DADOS")</f>
        <v>0</v>
      </c>
      <c r="N70" s="25">
        <f t="shared" si="18"/>
        <v>0</v>
      </c>
      <c r="O70" s="47"/>
      <c r="P70" s="60">
        <f t="shared" si="19"/>
        <v>0</v>
      </c>
      <c r="Q70" s="25">
        <f t="shared" si="20"/>
        <v>0</v>
      </c>
      <c r="R70" s="60">
        <f t="shared" si="21"/>
        <v>0</v>
      </c>
      <c r="S70" s="25" t="e">
        <f t="shared" si="3"/>
        <v>#DIV/0!</v>
      </c>
    </row>
    <row r="71" spans="3:19" x14ac:dyDescent="0.3">
      <c r="C71" t="s">
        <v>422</v>
      </c>
      <c r="F71" s="7" t="s">
        <v>1054</v>
      </c>
      <c r="G71" s="60">
        <f>IFERROR(INDEX(TBBP[],MATCH($C71,planoContas,0)+1,H$7),"SEM DADOS")</f>
        <v>-143461.35</v>
      </c>
      <c r="H71" s="25">
        <f>G71/$G$24</f>
        <v>-1.950001094061837E-2</v>
      </c>
      <c r="I71" s="60">
        <f>IFERROR(INDEX(TBBP[],MATCH($C71,planoContas,0)+1,J$7),"SEM DADOS")</f>
        <v>-133338.79</v>
      </c>
      <c r="J71" s="25">
        <f>I71/$I$24</f>
        <v>-1.471855511090597E-2</v>
      </c>
      <c r="K71" s="60">
        <f>IFERROR(INDEX(TBBP[],MATCH($C71,planoContas,0)+1,L$7),"SEM DADOS")</f>
        <v>-126676.46</v>
      </c>
      <c r="L71" s="25">
        <f>K71/$K$24</f>
        <v>-1.1368457056428203E-2</v>
      </c>
      <c r="M71" s="60">
        <f>IFERROR(INDEX(TBBP[],MATCH($C71,planoContas,0)+1,N$7),"SEM DADOS")</f>
        <v>-138626.97</v>
      </c>
      <c r="N71" s="25">
        <f>M71/$M$24</f>
        <v>-1.3951748934639213E-2</v>
      </c>
      <c r="O71" s="47"/>
      <c r="P71" s="60">
        <f>INDEX(ACUMULADOATUAL,MATCH(C71,planoContas,0)+4,2)</f>
        <v>-107120.55</v>
      </c>
      <c r="Q71" s="25">
        <f>P71/$P$24</f>
        <v>-8.1865296919393319E-3</v>
      </c>
      <c r="R71" s="60">
        <f t="shared" si="21"/>
        <v>0</v>
      </c>
      <c r="S71" s="25" t="e">
        <f t="shared" si="3"/>
        <v>#DIV/0!</v>
      </c>
    </row>
    <row r="72" spans="3:19" x14ac:dyDescent="0.3">
      <c r="C72" t="s">
        <v>423</v>
      </c>
      <c r="F72" s="7" t="s">
        <v>1056</v>
      </c>
      <c r="G72" s="60">
        <f>IFERROR(INDEX(TBBP[],MATCH($C72,planoContas,0)+1,H$7),"SEM DADOS")</f>
        <v>-2355.77</v>
      </c>
      <c r="H72" s="25">
        <f>G72/$G$24</f>
        <v>-3.2020847966076255E-4</v>
      </c>
      <c r="I72" s="60">
        <f>IFERROR(INDEX(TBBP[],MATCH($C72,planoContas,0)+1,J$7),"SEM DADOS")</f>
        <v>-11120.04</v>
      </c>
      <c r="J72" s="25">
        <f>I72/$I$24</f>
        <v>-1.2274816771284548E-3</v>
      </c>
      <c r="K72" s="60">
        <f>IFERROR(INDEX(TBBP[],MATCH($C72,planoContas,0)+1,L$7),"SEM DADOS")</f>
        <v>-11537.83</v>
      </c>
      <c r="L72" s="25">
        <f>K72/$K$24</f>
        <v>-1.0354514554588043E-3</v>
      </c>
      <c r="M72" s="60">
        <f>IFERROR(INDEX(TBBP[],MATCH($C72,planoContas,0)+1,N$7),"SEM DADOS")</f>
        <v>-3408.35</v>
      </c>
      <c r="N72" s="25">
        <f>M72/$M$24</f>
        <v>-3.4302447410758212E-4</v>
      </c>
      <c r="O72" s="47"/>
      <c r="P72" s="60">
        <f>INDEX(ACUMULADOATUAL,MATCH(C72,planoContas,0)+4,2)</f>
        <v>-18343.009999999998</v>
      </c>
      <c r="Q72" s="25">
        <f>P72/$P$24</f>
        <v>-1.4018374252609798E-3</v>
      </c>
      <c r="R72" s="60">
        <f t="shared" si="21"/>
        <v>0</v>
      </c>
      <c r="S72" s="25" t="e">
        <f t="shared" si="3"/>
        <v>#DIV/0!</v>
      </c>
    </row>
    <row r="73" spans="3:19" x14ac:dyDescent="0.3">
      <c r="C73" t="s">
        <v>424</v>
      </c>
      <c r="F73" s="7" t="s">
        <v>1057</v>
      </c>
      <c r="G73" s="60">
        <f>IFERROR(INDEX(TBBP[],MATCH($C73,planoContas,0)+1,H$7),"SEM DADOS")</f>
        <v>-1</v>
      </c>
      <c r="H73" s="25">
        <f>G73/$G$24</f>
        <v>-1.3592518779879298E-7</v>
      </c>
      <c r="I73" s="60">
        <f>IFERROR(INDEX(TBBP[],MATCH($C73,planoContas,0)+1,J$7),"SEM DADOS")</f>
        <v>-1</v>
      </c>
      <c r="J73" s="25">
        <f>I73/$I$24</f>
        <v>-1.1038464584016376E-7</v>
      </c>
      <c r="K73" s="60">
        <f>IFERROR(INDEX(TBBP[],MATCH($C73,planoContas,0)+1,L$7),"SEM DADOS")</f>
        <v>-1</v>
      </c>
      <c r="L73" s="25">
        <f>K73/$K$24</f>
        <v>-8.9744038130116693E-8</v>
      </c>
      <c r="M73" s="60">
        <f>IFERROR(INDEX(TBBP[],MATCH($C73,planoContas,0)+1,N$7),"SEM DADOS")</f>
        <v>-1</v>
      </c>
      <c r="N73" s="25">
        <f>M73/$M$24</f>
        <v>-1.0064238534997348E-7</v>
      </c>
      <c r="O73" s="47"/>
      <c r="P73" s="60">
        <f>INDEX(ACUMULADOATUAL,MATCH(C73,planoContas,0)+4,2)</f>
        <v>-0.89</v>
      </c>
      <c r="Q73" s="25">
        <f>P73/$P$24</f>
        <v>-6.8016934433458422E-8</v>
      </c>
      <c r="R73" s="60">
        <f t="shared" si="21"/>
        <v>0</v>
      </c>
      <c r="S73" s="25" t="e">
        <f t="shared" si="3"/>
        <v>#DIV/0!</v>
      </c>
    </row>
    <row r="74" spans="3:19" x14ac:dyDescent="0.3">
      <c r="G74" s="16"/>
      <c r="H74" s="33"/>
      <c r="I74" s="16"/>
      <c r="J74" s="33"/>
      <c r="K74" s="16"/>
      <c r="L74" s="33"/>
      <c r="M74" s="16"/>
      <c r="N74" s="33"/>
      <c r="O74" s="46"/>
      <c r="P74" s="16"/>
      <c r="Q74" s="33"/>
      <c r="R74" s="16"/>
      <c r="S74" s="33"/>
    </row>
    <row r="75" spans="3:19" ht="15" thickBot="1" x14ac:dyDescent="0.35">
      <c r="D75" s="6" t="s">
        <v>293</v>
      </c>
      <c r="F75" s="181" t="s">
        <v>294</v>
      </c>
      <c r="G75" s="175">
        <f>SUM(G76:G87)</f>
        <v>-502484.5199999999</v>
      </c>
      <c r="H75" s="170">
        <f t="shared" ref="H75:H89" si="22">G75/$G$24</f>
        <v>-6.8300302746986327E-2</v>
      </c>
      <c r="I75" s="175">
        <f>SUM(I76:I87)</f>
        <v>-597597.19999999995</v>
      </c>
      <c r="J75" s="170">
        <f t="shared" ref="J75:J89" si="23">I75/$I$24</f>
        <v>-6.5965555277073512E-2</v>
      </c>
      <c r="K75" s="175">
        <f>SUM(K76:K87)</f>
        <v>-629900.68000000005</v>
      </c>
      <c r="L75" s="170">
        <f t="shared" ref="L75:L89" si="24">K75/$K$24</f>
        <v>-5.6529830644106431E-2</v>
      </c>
      <c r="M75" s="175">
        <f>SUM(M76:M87)</f>
        <v>-563621.83000000007</v>
      </c>
      <c r="N75" s="170">
        <f t="shared" ref="N75:N89" si="25">M75/$M$24</f>
        <v>-5.672424540651725E-2</v>
      </c>
      <c r="O75" s="177"/>
      <c r="P75" s="175">
        <f>SUM(P76:P87)</f>
        <v>255232.44333333336</v>
      </c>
      <c r="Q75" s="170">
        <f t="shared" ref="Q75:Q89" si="26">P75/$P$24</f>
        <v>1.9505762206173852E-2</v>
      </c>
      <c r="R75" s="175">
        <f>SUM(R76:R87)</f>
        <v>5233.333333333333</v>
      </c>
      <c r="S75" s="170" t="e">
        <f t="shared" si="3"/>
        <v>#DIV/0!</v>
      </c>
    </row>
    <row r="76" spans="3:19" ht="15" thickTop="1" x14ac:dyDescent="0.3">
      <c r="C76" t="s">
        <v>426</v>
      </c>
      <c r="F76" s="7" t="s">
        <v>295</v>
      </c>
      <c r="G76" s="60">
        <f>IFERROR(INDEX(TBBP[],MATCH($C76,planoContas,0)+1,H$7),"SEM DADOS")</f>
        <v>-142545.57</v>
      </c>
      <c r="H76" s="25">
        <f t="shared" si="22"/>
        <v>-1.9375533372135992E-2</v>
      </c>
      <c r="I76" s="60">
        <f>IFERROR(INDEX(TBBP[],MATCH($C76,planoContas,0)+1,J$7),"SEM DADOS")</f>
        <v>-193381.19</v>
      </c>
      <c r="J76" s="25">
        <f t="shared" si="23"/>
        <v>-2.1346314170299419E-2</v>
      </c>
      <c r="K76" s="60">
        <f>IFERROR(INDEX(TBBP[],MATCH($C76,planoContas,0)+1,L$7),"SEM DADOS")</f>
        <v>-181887.58</v>
      </c>
      <c r="L76" s="25">
        <f t="shared" si="24"/>
        <v>-1.6323325914914647E-2</v>
      </c>
      <c r="M76" s="60">
        <f>IFERROR(INDEX(TBBP[],MATCH($C76,planoContas,0)+1,N$7),"SEM DADOS")</f>
        <v>-153958.21</v>
      </c>
      <c r="N76" s="25">
        <f t="shared" si="25"/>
        <v>-1.5494721498612139E-2</v>
      </c>
      <c r="O76" s="47"/>
      <c r="P76" s="60">
        <f t="shared" ref="P76:P86" si="27">INDEX(ACUMULADOATUAL,MATCH(C76,planoContas,0)+4,2)</f>
        <v>-181292.11</v>
      </c>
      <c r="Q76" s="25">
        <f t="shared" si="26"/>
        <v>-1.3854981527161046E-2</v>
      </c>
      <c r="R76" s="60">
        <f t="shared" ref="R76:R86" si="28">IFERROR(IF(F76="SEM DADOS","SEM DADOS",VLOOKUP($C76,ACUMULADOATUAL,4,FALSE)),)</f>
        <v>0</v>
      </c>
      <c r="S76" s="25" t="e">
        <f t="shared" si="3"/>
        <v>#DIV/0!</v>
      </c>
    </row>
    <row r="77" spans="3:19" x14ac:dyDescent="0.3">
      <c r="C77" t="s">
        <v>428</v>
      </c>
      <c r="F77" s="7" t="s">
        <v>296</v>
      </c>
      <c r="G77" s="60">
        <f>IFERROR(INDEX(TBBP[],MATCH($C77,planoContas,0)+1,H$7),"SEM DADOS")</f>
        <v>-96726.13</v>
      </c>
      <c r="H77" s="25">
        <f t="shared" si="22"/>
        <v>-1.3147517385300464E-2</v>
      </c>
      <c r="I77" s="60">
        <f>IFERROR(INDEX(TBBP[],MATCH($C77,planoContas,0)+1,J$7),"SEM DADOS")</f>
        <v>-112236.15</v>
      </c>
      <c r="J77" s="25">
        <f t="shared" si="23"/>
        <v>-1.2389147668213495E-2</v>
      </c>
      <c r="K77" s="60">
        <f>IFERROR(INDEX(TBBP[],MATCH($C77,planoContas,0)+1,L$7),"SEM DADOS")</f>
        <v>-158959.59</v>
      </c>
      <c r="L77" s="25">
        <f t="shared" si="24"/>
        <v>-1.4265675506107715E-2</v>
      </c>
      <c r="M77" s="60">
        <f>IFERROR(INDEX(TBBP[],MATCH($C77,planoContas,0)+1,N$7),"SEM DADOS")</f>
        <v>-115433.43</v>
      </c>
      <c r="N77" s="25">
        <f t="shared" si="25"/>
        <v>-1.1617495744329189E-2</v>
      </c>
      <c r="O77" s="47"/>
      <c r="P77" s="60">
        <f t="shared" si="27"/>
        <v>-159415.57999999999</v>
      </c>
      <c r="Q77" s="25">
        <f t="shared" si="26"/>
        <v>-1.2183100059024433E-2</v>
      </c>
      <c r="R77" s="60">
        <f t="shared" si="28"/>
        <v>0</v>
      </c>
      <c r="S77" s="25" t="e">
        <f t="shared" si="3"/>
        <v>#DIV/0!</v>
      </c>
    </row>
    <row r="78" spans="3:19" x14ac:dyDescent="0.3">
      <c r="C78" t="s">
        <v>444</v>
      </c>
      <c r="F78" s="7" t="s">
        <v>640</v>
      </c>
      <c r="G78" s="60">
        <f>IFERROR(INDEX(TBBP[],MATCH($C78,planoContas,0)+1,H$7),"SEM DADOS")</f>
        <v>-150.97999999999999</v>
      </c>
      <c r="H78" s="25">
        <f t="shared" si="22"/>
        <v>-2.0521984853861761E-5</v>
      </c>
      <c r="I78" s="60">
        <f>IFERROR(INDEX(TBBP[],MATCH($C78,planoContas,0)+1,J$7),"SEM DADOS")</f>
        <v>-100</v>
      </c>
      <c r="J78" s="25">
        <f t="shared" si="23"/>
        <v>-1.1038464584016375E-5</v>
      </c>
      <c r="K78" s="60">
        <f>IFERROR(INDEX(TBBP[],MATCH($C78,planoContas,0)+1,L$7),"SEM DADOS")</f>
        <v>-153.1</v>
      </c>
      <c r="L78" s="25">
        <f t="shared" si="24"/>
        <v>-1.3739812237720864E-5</v>
      </c>
      <c r="M78" s="60">
        <f>IFERROR(INDEX(TBBP[],MATCH($C78,planoContas,0)+1,N$7),"SEM DADOS")</f>
        <v>-331.89</v>
      </c>
      <c r="N78" s="25">
        <f t="shared" si="25"/>
        <v>-3.3402201273802695E-5</v>
      </c>
      <c r="O78" s="47"/>
      <c r="P78" s="60">
        <f t="shared" si="27"/>
        <v>-316.37</v>
      </c>
      <c r="Q78" s="25">
        <f t="shared" si="26"/>
        <v>-2.4178109603048586E-5</v>
      </c>
      <c r="R78" s="60">
        <f t="shared" si="28"/>
        <v>0</v>
      </c>
      <c r="S78" s="25" t="e">
        <f t="shared" si="3"/>
        <v>#DIV/0!</v>
      </c>
    </row>
    <row r="79" spans="3:19" x14ac:dyDescent="0.3">
      <c r="C79" t="s">
        <v>465</v>
      </c>
      <c r="F79" s="7" t="s">
        <v>641</v>
      </c>
      <c r="G79" s="60">
        <f>IFERROR(INDEX(TBBP[],MATCH($C79,planoContas,0)+1,H$7),"SEM DADOS")</f>
        <v>-868.3</v>
      </c>
      <c r="H79" s="25">
        <f t="shared" si="22"/>
        <v>-1.1802384056569194E-4</v>
      </c>
      <c r="I79" s="60">
        <f>IFERROR(INDEX(TBBP[],MATCH($C79,planoContas,0)+1,J$7),"SEM DADOS")</f>
        <v>-86.94</v>
      </c>
      <c r="J79" s="25">
        <f t="shared" si="23"/>
        <v>-9.596841109343837E-6</v>
      </c>
      <c r="K79" s="60">
        <f>IFERROR(INDEX(TBBP[],MATCH($C79,planoContas,0)+1,L$7),"SEM DADOS")</f>
        <v>-317.88</v>
      </c>
      <c r="L79" s="25">
        <f t="shared" si="24"/>
        <v>-2.8527834840801493E-5</v>
      </c>
      <c r="M79" s="60">
        <f>IFERROR(INDEX(TBBP[],MATCH($C79,planoContas,0)+1,N$7),"SEM DADOS")</f>
        <v>-138.29</v>
      </c>
      <c r="N79" s="25">
        <f t="shared" si="25"/>
        <v>-1.3917835470047832E-5</v>
      </c>
      <c r="O79" s="47"/>
      <c r="P79" s="60">
        <f t="shared" si="27"/>
        <v>-137.71</v>
      </c>
      <c r="Q79" s="25">
        <f t="shared" si="26"/>
        <v>-1.0524283191945574E-5</v>
      </c>
      <c r="R79" s="60">
        <f t="shared" si="28"/>
        <v>0</v>
      </c>
      <c r="S79" s="25" t="e">
        <f t="shared" si="3"/>
        <v>#DIV/0!</v>
      </c>
    </row>
    <row r="80" spans="3:19" x14ac:dyDescent="0.3">
      <c r="C80" t="s">
        <v>451</v>
      </c>
      <c r="F80" s="7" t="s">
        <v>642</v>
      </c>
      <c r="G80" s="60">
        <f>IFERROR(INDEX(TBBP[],MATCH($C80,planoContas,0)+1,H$7),"SEM DADOS")</f>
        <v>-2714.9</v>
      </c>
      <c r="H80" s="25">
        <f t="shared" si="22"/>
        <v>-3.6902329235494305E-4</v>
      </c>
      <c r="I80" s="60">
        <f>IFERROR(INDEX(TBBP[],MATCH($C80,planoContas,0)+1,J$7),"SEM DADOS")</f>
        <v>-4401.1000000000004</v>
      </c>
      <c r="J80" s="25">
        <f t="shared" si="23"/>
        <v>-4.8581386480714477E-4</v>
      </c>
      <c r="K80" s="60">
        <f>IFERROR(INDEX(TBBP[],MATCH($C80,planoContas,0)+1,L$7),"SEM DADOS")</f>
        <v>-5397.58</v>
      </c>
      <c r="L80" s="25">
        <f t="shared" si="24"/>
        <v>-4.8440062533035522E-4</v>
      </c>
      <c r="M80" s="60">
        <f>IFERROR(INDEX(TBBP[],MATCH($C80,planoContas,0)+1,N$7),"SEM DADOS")</f>
        <v>-5013.25</v>
      </c>
      <c r="N80" s="25">
        <f t="shared" si="25"/>
        <v>-5.045454383557546E-4</v>
      </c>
      <c r="O80" s="47"/>
      <c r="P80" s="60">
        <f t="shared" si="27"/>
        <v>-4162.88</v>
      </c>
      <c r="Q80" s="25">
        <f t="shared" si="26"/>
        <v>-3.1814195057792744E-4</v>
      </c>
      <c r="R80" s="60">
        <f t="shared" si="28"/>
        <v>0</v>
      </c>
      <c r="S80" s="25" t="e">
        <f t="shared" si="3"/>
        <v>#DIV/0!</v>
      </c>
    </row>
    <row r="81" spans="3:19" x14ac:dyDescent="0.3">
      <c r="C81" t="s">
        <v>438</v>
      </c>
      <c r="F81" s="7" t="s">
        <v>297</v>
      </c>
      <c r="G81" s="60">
        <f>IFERROR(INDEX(TBBP[],MATCH($C81,planoContas,0)+1,H$7),"SEM DADOS")</f>
        <v>-193611.29</v>
      </c>
      <c r="H81" s="25">
        <f t="shared" si="22"/>
        <v>-2.6316650953216569E-2</v>
      </c>
      <c r="I81" s="60">
        <f>IFERROR(INDEX(TBBP[],MATCH($C81,planoContas,0)+1,J$7),"SEM DADOS")</f>
        <v>-213810.96000000002</v>
      </c>
      <c r="J81" s="25">
        <f t="shared" si="23"/>
        <v>-2.3601447096345422E-2</v>
      </c>
      <c r="K81" s="60">
        <f>IFERROR(INDEX(TBBP[],MATCH($C81,planoContas,0)+1,L$7),"SEM DADOS")</f>
        <v>-204082.83000000002</v>
      </c>
      <c r="L81" s="25">
        <f t="shared" si="24"/>
        <v>-1.8315217277222122E-2</v>
      </c>
      <c r="M81" s="60">
        <f>IFERROR(INDEX(TBBP[],MATCH($C81,planoContas,0)+1,N$7),"SEM DADOS")</f>
        <v>-202013.28999999998</v>
      </c>
      <c r="N81" s="25">
        <f t="shared" si="25"/>
        <v>-2.0331099377995942E-2</v>
      </c>
      <c r="O81" s="47"/>
      <c r="P81" s="60">
        <f t="shared" si="27"/>
        <v>-206633.77</v>
      </c>
      <c r="Q81" s="25">
        <f t="shared" si="26"/>
        <v>-1.5791680433514976E-2</v>
      </c>
      <c r="R81" s="60">
        <f t="shared" si="28"/>
        <v>0</v>
      </c>
      <c r="S81" s="25" t="e">
        <f t="shared" si="3"/>
        <v>#DIV/0!</v>
      </c>
    </row>
    <row r="82" spans="3:19" x14ac:dyDescent="0.3">
      <c r="C82" t="s">
        <v>461</v>
      </c>
      <c r="F82" s="7" t="s">
        <v>643</v>
      </c>
      <c r="G82" s="60">
        <f>IFERROR(INDEX(TBBP[],MATCH($C82,planoContas,0)+1,H$7),"SEM DADOS")</f>
        <v>-1484.82</v>
      </c>
      <c r="H82" s="25">
        <f t="shared" si="22"/>
        <v>-2.0182443734740379E-4</v>
      </c>
      <c r="I82" s="60">
        <f>IFERROR(INDEX(TBBP[],MATCH($C82,planoContas,0)+1,J$7),"SEM DADOS")</f>
        <v>-900</v>
      </c>
      <c r="J82" s="25">
        <f t="shared" si="23"/>
        <v>-9.9346181256147387E-5</v>
      </c>
      <c r="K82" s="60">
        <f>IFERROR(INDEX(TBBP[],MATCH($C82,planoContas,0)+1,L$7),"SEM DADOS")</f>
        <v>-1332.48</v>
      </c>
      <c r="L82" s="25">
        <f t="shared" si="24"/>
        <v>-1.1958213592761788E-4</v>
      </c>
      <c r="M82" s="60">
        <f>IFERROR(INDEX(TBBP[],MATCH($C82,planoContas,0)+1,N$7),"SEM DADOS")</f>
        <v>-5857.39</v>
      </c>
      <c r="N82" s="25">
        <f t="shared" si="25"/>
        <v>-5.8950170152508117E-4</v>
      </c>
      <c r="O82" s="47"/>
      <c r="P82" s="60">
        <f t="shared" si="27"/>
        <v>-2055.1999999999998</v>
      </c>
      <c r="Q82" s="25">
        <f t="shared" si="26"/>
        <v>-1.5706562207600419E-4</v>
      </c>
      <c r="R82" s="60">
        <f t="shared" si="28"/>
        <v>0</v>
      </c>
      <c r="S82" s="25" t="e">
        <f t="shared" si="3"/>
        <v>#DIV/0!</v>
      </c>
    </row>
    <row r="83" spans="3:19" x14ac:dyDescent="0.3">
      <c r="C83" t="s">
        <v>454</v>
      </c>
      <c r="F83" s="7" t="s">
        <v>298</v>
      </c>
      <c r="G83" s="60">
        <f>IFERROR(INDEX(TBBP[],MATCH($C83,planoContas,0)+1,H$7),"SEM DADOS")</f>
        <v>-3495.05</v>
      </c>
      <c r="H83" s="25">
        <f t="shared" si="22"/>
        <v>-4.7506532761617143E-4</v>
      </c>
      <c r="I83" s="60">
        <f>IFERROR(INDEX(TBBP[],MATCH($C83,planoContas,0)+1,J$7),"SEM DADOS")</f>
        <v>-2794.56</v>
      </c>
      <c r="J83" s="25">
        <f t="shared" si="23"/>
        <v>-3.0847651587908806E-4</v>
      </c>
      <c r="K83" s="60">
        <f>IFERROR(INDEX(TBBP[],MATCH($C83,planoContas,0)+1,L$7),"SEM DADOS")</f>
        <v>-8092.98</v>
      </c>
      <c r="L83" s="25">
        <f t="shared" si="24"/>
        <v>-7.2629670570627171E-4</v>
      </c>
      <c r="M83" s="60">
        <f>IFERROR(INDEX(TBBP[],MATCH($C83,planoContas,0)+1,N$7),"SEM DADOS")</f>
        <v>-6148.5</v>
      </c>
      <c r="N83" s="25">
        <f t="shared" si="25"/>
        <v>-6.1879970632431193E-4</v>
      </c>
      <c r="O83" s="47"/>
      <c r="P83" s="60">
        <f t="shared" si="27"/>
        <v>-3392.85</v>
      </c>
      <c r="Q83" s="25">
        <f t="shared" si="26"/>
        <v>-2.5929354605905552E-4</v>
      </c>
      <c r="R83" s="60">
        <f t="shared" si="28"/>
        <v>0</v>
      </c>
      <c r="S83" s="25" t="e">
        <f t="shared" si="3"/>
        <v>#DIV/0!</v>
      </c>
    </row>
    <row r="84" spans="3:19" x14ac:dyDescent="0.3">
      <c r="C84" t="s">
        <v>443</v>
      </c>
      <c r="F84" s="7" t="s">
        <v>722</v>
      </c>
      <c r="G84" s="60">
        <f>IFERROR(INDEX(TBBP[],MATCH($C84,planoContas,0)+1,H$7),"SEM DADOS")</f>
        <v>-1965.43</v>
      </c>
      <c r="H84" s="25">
        <f t="shared" si="22"/>
        <v>-2.6715144185538169E-4</v>
      </c>
      <c r="I84" s="60">
        <f>IFERROR(INDEX(TBBP[],MATCH($C84,planoContas,0)+1,J$7),"SEM DADOS")</f>
        <v>-852.58</v>
      </c>
      <c r="J84" s="25">
        <f t="shared" si="23"/>
        <v>-9.4111741350406825E-5</v>
      </c>
      <c r="K84" s="60">
        <f>IFERROR(INDEX(TBBP[],MATCH($C84,planoContas,0)+1,L$7),"SEM DADOS")</f>
        <v>-2129.3200000000002</v>
      </c>
      <c r="L84" s="25">
        <f t="shared" si="24"/>
        <v>-1.9109377527122009E-4</v>
      </c>
      <c r="M84" s="60">
        <f>IFERROR(INDEX(TBBP[],MATCH($C84,planoContas,0)+1,N$7),"SEM DADOS")</f>
        <v>-1207.6300000000001</v>
      </c>
      <c r="N84" s="25">
        <f t="shared" si="25"/>
        <v>-1.2153876382018848E-4</v>
      </c>
      <c r="O84" s="47"/>
      <c r="P84" s="60">
        <f t="shared" si="27"/>
        <v>-2012.15</v>
      </c>
      <c r="Q84" s="25">
        <f t="shared" si="26"/>
        <v>-1.5377558946099256E-4</v>
      </c>
      <c r="R84" s="60">
        <f t="shared" si="28"/>
        <v>0</v>
      </c>
      <c r="S84" s="25" t="e">
        <f t="shared" si="3"/>
        <v>#DIV/0!</v>
      </c>
    </row>
    <row r="85" spans="3:19" x14ac:dyDescent="0.3">
      <c r="C85" t="s">
        <v>445</v>
      </c>
      <c r="F85" s="7" t="s">
        <v>644</v>
      </c>
      <c r="G85" s="60">
        <f>IFERROR(INDEX(TBBP[],MATCH($C85,planoContas,0)+1,H$7),"SEM DADOS")</f>
        <v>-27405.11</v>
      </c>
      <c r="H85" s="25">
        <f t="shared" si="22"/>
        <v>-3.7250447233965795E-3</v>
      </c>
      <c r="I85" s="60">
        <f>IFERROR(INDEX(TBBP[],MATCH($C85,planoContas,0)+1,J$7),"SEM DADOS")</f>
        <v>-30111.190000000002</v>
      </c>
      <c r="J85" s="25">
        <f t="shared" si="23"/>
        <v>-3.3238130439758808E-3</v>
      </c>
      <c r="K85" s="60">
        <f>IFERROR(INDEX(TBBP[],MATCH($C85,planoContas,0)+1,L$7),"SEM DADOS")</f>
        <v>-30437.84</v>
      </c>
      <c r="L85" s="25">
        <f t="shared" si="24"/>
        <v>-2.7316146735583908E-3</v>
      </c>
      <c r="M85" s="60">
        <f>IFERROR(INDEX(TBBP[],MATCH($C85,planoContas,0)+1,N$7),"SEM DADOS")</f>
        <v>-30197.8</v>
      </c>
      <c r="N85" s="25">
        <f t="shared" si="25"/>
        <v>-3.0391786243214292E-3</v>
      </c>
      <c r="O85" s="47"/>
      <c r="P85" s="60">
        <f t="shared" si="27"/>
        <v>-49173.01</v>
      </c>
      <c r="Q85" s="25">
        <f t="shared" si="26"/>
        <v>-3.7579746034447142E-3</v>
      </c>
      <c r="R85" s="60">
        <f t="shared" si="28"/>
        <v>0</v>
      </c>
      <c r="S85" s="25" t="e">
        <f t="shared" si="3"/>
        <v>#DIV/0!</v>
      </c>
    </row>
    <row r="86" spans="3:19" x14ac:dyDescent="0.3">
      <c r="C86" t="s">
        <v>447</v>
      </c>
      <c r="F86" s="7" t="s">
        <v>299</v>
      </c>
      <c r="G86" s="60">
        <f>IFERROR(INDEX(TBBP[],MATCH($C86,planoContas,0)+1,H$7),"SEM DADOS")</f>
        <v>-8173.24</v>
      </c>
      <c r="H86" s="25">
        <f t="shared" si="22"/>
        <v>-1.1109491819246066E-3</v>
      </c>
      <c r="I86" s="60">
        <f>IFERROR(INDEX(TBBP[],MATCH($C86,planoContas,0)+1,J$7),"SEM DADOS")</f>
        <v>-5122.83</v>
      </c>
      <c r="J86" s="25">
        <f t="shared" si="23"/>
        <v>-5.6548177524936606E-4</v>
      </c>
      <c r="K86" s="60">
        <f>IFERROR(INDEX(TBBP[],MATCH($C86,planoContas,0)+1,L$7),"SEM DADOS")</f>
        <v>-12203.87</v>
      </c>
      <c r="L86" s="25">
        <f t="shared" si="24"/>
        <v>-1.0952245746149872E-3</v>
      </c>
      <c r="M86" s="60">
        <f>IFERROR(INDEX(TBBP[],MATCH($C86,planoContas,0)+1,N$7),"SEM DADOS")</f>
        <v>-8808.69</v>
      </c>
      <c r="N86" s="25">
        <f t="shared" si="25"/>
        <v>-8.86527573408458E-4</v>
      </c>
      <c r="O86" s="47"/>
      <c r="P86" s="60">
        <f t="shared" si="27"/>
        <v>-10134.67</v>
      </c>
      <c r="Q86" s="25">
        <f t="shared" si="26"/>
        <v>-7.7452717403903156E-4</v>
      </c>
      <c r="R86" s="60">
        <f t="shared" si="28"/>
        <v>0</v>
      </c>
      <c r="S86" s="25" t="e">
        <f t="shared" si="3"/>
        <v>#DIV/0!</v>
      </c>
    </row>
    <row r="87" spans="3:19" x14ac:dyDescent="0.3">
      <c r="F87" s="7" t="s">
        <v>300</v>
      </c>
      <c r="G87" s="60">
        <f>IFERROR((INDEX(TBBP[],MATCH("4.2.1.2",planoContas,0)+1,H$7))-SUM(G76:G86)-G91-G89,"SEM DADOS")</f>
        <v>-23343.699999999917</v>
      </c>
      <c r="H87" s="25">
        <f t="shared" si="22"/>
        <v>-3.1729968064186723E-3</v>
      </c>
      <c r="I87" s="60">
        <f>IFERROR((INDEX(TBBP[],MATCH("4.2.1.2",planoContas,0)+1,J$7))-SUM(I76:I86)-I91-I89,"SEM DADOS")</f>
        <v>-33799.700000000026</v>
      </c>
      <c r="J87" s="25">
        <f t="shared" si="23"/>
        <v>-3.7309679140037858E-3</v>
      </c>
      <c r="K87" s="60">
        <f>IFERROR((INDEX(TBBP[],MATCH("4.2.1.2",planoContas,0)+1,L$7))-SUM(K76:K86)-K91-K89,"SEM DADOS")</f>
        <v>-24905.630000000103</v>
      </c>
      <c r="L87" s="25">
        <f t="shared" si="24"/>
        <v>-2.2351318083745873E-3</v>
      </c>
      <c r="M87" s="60">
        <f>IFERROR((INDEX(TBBP[],MATCH("4.2.1.2",planoContas,0)+1,N$7))-SUM(M76:M86)-M91-M89,"SEM DADOS")</f>
        <v>-34513.460000000036</v>
      </c>
      <c r="N87" s="25">
        <f t="shared" si="25"/>
        <v>-3.4735169410808992E-3</v>
      </c>
      <c r="O87" s="47"/>
      <c r="P87" s="60">
        <f>INDEX(ACUMULADOATUAL,239,2)-SUM(P76:P86)-P89-P91</f>
        <v>873958.74333333329</v>
      </c>
      <c r="Q87" s="25">
        <f t="shared" si="26"/>
        <v>6.679100510432702E-2</v>
      </c>
      <c r="R87" s="60">
        <f>INDEX(ACUMULADOATUAL,239,4)-SUM(R76:R86)-R89-R91</f>
        <v>5233.333333333333</v>
      </c>
      <c r="S87" s="25" t="e">
        <f t="shared" si="3"/>
        <v>#DIV/0!</v>
      </c>
    </row>
    <row r="88" spans="3:19" x14ac:dyDescent="0.3">
      <c r="G88" s="60"/>
      <c r="H88" s="25"/>
      <c r="I88" s="60"/>
      <c r="J88" s="25"/>
      <c r="K88" s="60"/>
      <c r="L88" s="25"/>
      <c r="M88" s="60"/>
      <c r="N88" s="25"/>
      <c r="O88" s="47"/>
      <c r="P88" s="60"/>
      <c r="Q88" s="25"/>
      <c r="R88" s="60"/>
      <c r="S88" s="25"/>
    </row>
    <row r="89" spans="3:19" ht="15" thickBot="1" x14ac:dyDescent="0.35">
      <c r="C89" t="s">
        <v>133</v>
      </c>
      <c r="D89" s="6" t="s">
        <v>301</v>
      </c>
      <c r="F89" s="181" t="s">
        <v>302</v>
      </c>
      <c r="G89" s="175">
        <f>IFERROR(INDEX(TBBP[],MATCH($C89,planoContas,0)+1,H$7),"SEM DADOS")</f>
        <v>-123.4</v>
      </c>
      <c r="H89" s="170">
        <f t="shared" si="22"/>
        <v>-1.6773168174371056E-5</v>
      </c>
      <c r="I89" s="175">
        <f>IFERROR(INDEX(TBBP[],MATCH($C89,planoContas,0)+1,J$7),"SEM DADOS")</f>
        <v>-50.08</v>
      </c>
      <c r="J89" s="170">
        <f t="shared" si="23"/>
        <v>-5.5280630636754012E-6</v>
      </c>
      <c r="K89" s="175">
        <f>IFERROR(INDEX(TBBP[],MATCH($C89,planoContas,0)+1,L$7),"SEM DADOS")</f>
        <v>-2536.73</v>
      </c>
      <c r="L89" s="170">
        <f t="shared" si="24"/>
        <v>-2.2765639384581091E-4</v>
      </c>
      <c r="M89" s="175">
        <f>IFERROR(INDEX(TBBP[],MATCH($C89,planoContas,0)+1,N$7),"SEM DADOS")</f>
        <v>-12370.609999999999</v>
      </c>
      <c r="N89" s="170">
        <f t="shared" si="25"/>
        <v>-1.2450076986342353E-3</v>
      </c>
      <c r="O89" s="177"/>
      <c r="P89" s="175">
        <f>INDEX(ACUMULADOATUAL,MATCH(C89,planoContas,0)+4,2)</f>
        <v>-5233.333333333333</v>
      </c>
      <c r="Q89" s="170">
        <f t="shared" si="26"/>
        <v>-3.9994976427164692E-4</v>
      </c>
      <c r="R89" s="175">
        <f>INDEX(ACUMULADOATUAL,MATCH(C89,planoContas,0)+4,2)</f>
        <v>-5233.333333333333</v>
      </c>
      <c r="S89" s="170" t="e">
        <f t="shared" si="3"/>
        <v>#DIV/0!</v>
      </c>
    </row>
    <row r="90" spans="3:19" ht="15" thickTop="1" x14ac:dyDescent="0.3">
      <c r="G90" s="16"/>
      <c r="H90" s="33"/>
      <c r="I90" s="16"/>
      <c r="J90" s="33"/>
      <c r="K90" s="16"/>
      <c r="L90" s="33"/>
      <c r="M90" s="16"/>
      <c r="N90" s="33"/>
      <c r="O90" s="46"/>
      <c r="P90" s="16"/>
      <c r="Q90" s="33"/>
      <c r="R90" s="16"/>
      <c r="S90" s="33"/>
    </row>
    <row r="91" spans="3:19" ht="15" thickBot="1" x14ac:dyDescent="0.35">
      <c r="C91" t="s">
        <v>134</v>
      </c>
      <c r="D91" s="6" t="s">
        <v>303</v>
      </c>
      <c r="F91" s="181" t="s">
        <v>304</v>
      </c>
      <c r="G91" s="175">
        <f>IFERROR(INDEX(TBBP[],MATCH($C91,planoContas,0)+1,H$7),"SEM DADOS")</f>
        <v>-243756.74</v>
      </c>
      <c r="H91" s="170">
        <f>G91/$G$24</f>
        <v>-3.313268066172155E-2</v>
      </c>
      <c r="I91" s="175">
        <f>IFERROR(INDEX(TBBP[],MATCH($C91,planoContas,0)+1,J$7),"SEM DADOS")</f>
        <v>-242817.01</v>
      </c>
      <c r="J91" s="170">
        <f>I91/$I$24</f>
        <v>-2.6803269652817503E-2</v>
      </c>
      <c r="K91" s="175">
        <f>IFERROR(INDEX(TBBP[],MATCH($C91,planoContas,0)+1,L$7),"SEM DADOS")</f>
        <v>-242817.01</v>
      </c>
      <c r="L91" s="170">
        <f>K91/$K$24</f>
        <v>-2.1791379004080926E-2</v>
      </c>
      <c r="M91" s="175">
        <f>IFERROR(INDEX(TBBP[],MATCH($C91,planoContas,0)+1,N$7),"SEM DADOS")</f>
        <v>-245155.72</v>
      </c>
      <c r="N91" s="170">
        <f>M91/$M$24</f>
        <v>-2.4673056442990202E-2</v>
      </c>
      <c r="O91" s="177"/>
      <c r="P91" s="175">
        <f>INDEX(ACUMULADOATUAL,MATCH(C91,planoContas,0)+4,2)</f>
        <v>-250000</v>
      </c>
      <c r="Q91" s="170">
        <f>P91/$P$24</f>
        <v>-1.9105880458836638E-2</v>
      </c>
      <c r="R91" s="175">
        <f>IFERROR(IF(F91="SEM DADOS","SEM DADOS",VLOOKUP($C91,ACUMULADOATUAL,4,FALSE)),)</f>
        <v>0</v>
      </c>
      <c r="S91" s="170" t="e">
        <f t="shared" si="3"/>
        <v>#DIV/0!</v>
      </c>
    </row>
    <row r="92" spans="3:19" ht="15" thickTop="1" x14ac:dyDescent="0.3">
      <c r="G92" s="16"/>
      <c r="H92" s="33"/>
      <c r="I92" s="16"/>
      <c r="J92" s="33"/>
      <c r="K92" s="16"/>
      <c r="L92" s="33"/>
      <c r="M92" s="16"/>
      <c r="N92" s="33"/>
      <c r="O92" s="46"/>
      <c r="P92" s="16"/>
      <c r="Q92" s="33"/>
      <c r="R92" s="16"/>
      <c r="S92" s="33"/>
    </row>
    <row r="93" spans="3:19" ht="15" thickBot="1" x14ac:dyDescent="0.35">
      <c r="C93" t="s">
        <v>636</v>
      </c>
      <c r="D93" s="6" t="s">
        <v>305</v>
      </c>
      <c r="F93" s="180" t="s">
        <v>306</v>
      </c>
      <c r="G93" s="174">
        <f>G61+G63+G75+G89+G91</f>
        <v>210620.42999999924</v>
      </c>
      <c r="H93" s="164">
        <f>G93/$G$24</f>
        <v>2.8628621502012428E-2</v>
      </c>
      <c r="I93" s="174">
        <f>I61+I63+I75+I89+I91</f>
        <v>616460.56999999646</v>
      </c>
      <c r="J93" s="164">
        <f>I93/$I$24</f>
        <v>6.8047781693875084E-2</v>
      </c>
      <c r="K93" s="174">
        <f>K61+K63+K75+K89+K91</f>
        <v>1490894.9199999964</v>
      </c>
      <c r="L93" s="164">
        <f>K93/$K$24</f>
        <v>0.13379893054847694</v>
      </c>
      <c r="M93" s="174">
        <f>M61+M63+M75+M89+M91</f>
        <v>532409.18999999913</v>
      </c>
      <c r="N93" s="164">
        <f>M93/$M$24</f>
        <v>5.3582930863847161E-2</v>
      </c>
      <c r="O93" s="176"/>
      <c r="P93" s="174">
        <f>P61+P63+P75+P89+P91</f>
        <v>3664672.6723999996</v>
      </c>
      <c r="Q93" s="170">
        <f>P93/$P$24</f>
        <v>0.28006719199855912</v>
      </c>
      <c r="R93" s="174">
        <f>R61+R63+R75+R89+R91</f>
        <v>0</v>
      </c>
      <c r="S93" s="170" t="e">
        <f>R93/$R$24</f>
        <v>#DIV/0!</v>
      </c>
    </row>
    <row r="94" spans="3:19" ht="15" thickTop="1" x14ac:dyDescent="0.3">
      <c r="G94" s="16"/>
      <c r="H94" s="33"/>
      <c r="I94" s="16"/>
      <c r="J94" s="33"/>
      <c r="K94" s="16"/>
      <c r="L94" s="33"/>
      <c r="M94" s="16"/>
      <c r="N94" s="33"/>
      <c r="O94" s="46"/>
      <c r="P94" s="16"/>
      <c r="Q94" s="33"/>
      <c r="R94" s="16"/>
      <c r="S94" s="33"/>
    </row>
    <row r="95" spans="3:19" ht="15" thickBot="1" x14ac:dyDescent="0.35">
      <c r="C95" t="s">
        <v>636</v>
      </c>
      <c r="F95" s="180" t="s">
        <v>307</v>
      </c>
      <c r="G95" s="174">
        <f>G76+G64+G49+G30</f>
        <v>-1190971.46</v>
      </c>
      <c r="H95" s="164">
        <f>G95/$G$24</f>
        <v>-0.16188301936350266</v>
      </c>
      <c r="I95" s="174">
        <f>I76+I64+I49+I30</f>
        <v>-1314864.47</v>
      </c>
      <c r="J95" s="164">
        <f>I95/$I$24</f>
        <v>-0.14514084884876463</v>
      </c>
      <c r="K95" s="174">
        <f>K76+K64+K49+K30</f>
        <v>-1366844.3299999998</v>
      </c>
      <c r="L95" s="164">
        <f>K95/$K$24</f>
        <v>-0.12266612966945378</v>
      </c>
      <c r="M95" s="174">
        <f>M76+M64+M49+M30</f>
        <v>-1197308.02</v>
      </c>
      <c r="N95" s="164">
        <f>M95/$M$24</f>
        <v>-0.12049993513145375</v>
      </c>
      <c r="O95" s="176"/>
      <c r="P95" s="174">
        <f>P76+P64+P49+P30</f>
        <v>-1261684.8799999999</v>
      </c>
      <c r="Q95" s="170">
        <f>P95/$P$24</f>
        <v>-9.6422401976006572E-2</v>
      </c>
      <c r="R95" s="174">
        <f>R76+R64+R49+R30</f>
        <v>0</v>
      </c>
      <c r="S95" s="170" t="e">
        <f>R95/$R$24</f>
        <v>#DIV/0!</v>
      </c>
    </row>
    <row r="96" spans="3:19" ht="15" thickTop="1" x14ac:dyDescent="0.3"/>
    <row r="97" spans="6:23" ht="15" thickBot="1" x14ac:dyDescent="0.35">
      <c r="F97" s="263" t="s">
        <v>714</v>
      </c>
      <c r="G97" s="263"/>
      <c r="H97" s="263"/>
      <c r="I97" s="263"/>
      <c r="J97" s="263"/>
      <c r="K97" s="263"/>
      <c r="L97" s="263"/>
      <c r="M97" s="263"/>
      <c r="N97" s="263"/>
      <c r="O97" s="263"/>
      <c r="P97" s="263"/>
      <c r="Q97" s="263"/>
      <c r="R97" s="263"/>
      <c r="S97" s="263"/>
    </row>
    <row r="98" spans="6:23" ht="15" thickTop="1" x14ac:dyDescent="0.3"/>
    <row r="99" spans="6:23" x14ac:dyDescent="0.3">
      <c r="F99" s="7" t="s">
        <v>109</v>
      </c>
      <c r="G99" s="60">
        <f>IFERROR(IF(G9="SEM DADOS","SEM DADOS",VLOOKUP($F99,SELECDB,H$7-1,FALSE)),0)</f>
        <v>6430702.3799999999</v>
      </c>
      <c r="H99" s="25">
        <f t="shared" ref="H99:H106" si="29">G99/$G$107</f>
        <v>0.87409442867964493</v>
      </c>
      <c r="I99" s="60">
        <f>IFERROR(IF(I9="SEM DADOS","SEM DADOS",VLOOKUP($F99,SELECDB,J$7-1,FALSE)),0)</f>
        <v>11354977.689999999</v>
      </c>
      <c r="J99" s="25">
        <f>I99/$I$107</f>
        <v>1.2534151908336106</v>
      </c>
      <c r="K99" s="60">
        <f>IFERROR(IF(K9="SEM DADOS","SEM DADOS",VLOOKUP($F99,SELECDB,L$7-1,FALSE)),0)</f>
        <v>12361715.74</v>
      </c>
      <c r="L99" s="25">
        <f>K99/$K$107</f>
        <v>1.1093902887242237</v>
      </c>
      <c r="M99" s="60">
        <f>IFERROR(IF(M9="SEM DADOS","SEM DADOS",VLOOKUP($F99,SELECDB,N$7-1,FALSE)),0)</f>
        <v>9337342.0800000001</v>
      </c>
      <c r="N99" s="25">
        <f>M99/$M$107</f>
        <v>0.93973237975988289</v>
      </c>
      <c r="O99" s="178"/>
      <c r="P99" s="60">
        <f>IFERROR(IF(P9="SEM DADOS","SEM DADOS",VLOOKUP($F99,ACUMULADOATUAL,2,FALSE)),0)</f>
        <v>0</v>
      </c>
      <c r="Q99" s="25" t="e">
        <f t="shared" ref="Q99:S103" si="30">P99/$P$107</f>
        <v>#DIV/0!</v>
      </c>
      <c r="R99" s="60">
        <f>IFERROR(IF(R9="SEM DADOS","SEM DADOS",VLOOKUP($F99,ACUMULADOATUAL,4,FALSE)),0)</f>
        <v>0</v>
      </c>
      <c r="S99" s="25" t="e">
        <f t="shared" si="30"/>
        <v>#DIV/0!</v>
      </c>
      <c r="V99" s="9"/>
      <c r="W99" s="9"/>
    </row>
    <row r="100" spans="6:23" x14ac:dyDescent="0.3">
      <c r="F100" s="7" t="s">
        <v>110</v>
      </c>
      <c r="G100" s="60">
        <f t="shared" ref="G100:G121" si="31">IFERROR(IF(G9="SEM DADOS","SEM DADOS",VLOOKUP($F100,SELECDB,H$7-1,FALSE)),0)</f>
        <v>2782382.09</v>
      </c>
      <c r="H100" s="25">
        <f t="shared" si="29"/>
        <v>0.37819580811124809</v>
      </c>
      <c r="I100" s="60">
        <f>IFERROR(IF(G9="SEM DADOS","SEM DADOS",VLOOKUP($F100,SELECDB,J$7-1,FALSE)),0)</f>
        <v>2867237.93</v>
      </c>
      <c r="J100" s="25">
        <f>I100/$I$107</f>
        <v>0.31649904344253427</v>
      </c>
      <c r="K100" s="60">
        <f>IFERROR(IF(G9="SEM DADOS","SEM DADOS",VLOOKUP($F100,SELECDB,L$7-1,FALSE)),0)</f>
        <v>2969464.46</v>
      </c>
      <c r="L100" s="25">
        <f>K100/$K$107</f>
        <v>0.26649173172426638</v>
      </c>
      <c r="M100" s="60">
        <f>IFERROR(IF(G9="SEM DADOS","SEM DADOS",VLOOKUP($F100,SELECDB,N$7-1,FALSE)),0)</f>
        <v>2456759.44</v>
      </c>
      <c r="N100" s="25">
        <f>M100/$M$107</f>
        <v>0.24725413027266505</v>
      </c>
      <c r="O100" s="178"/>
      <c r="P100" s="60">
        <f>IFERROR(IF(G9="SEM DADOS","SEM DADOS",VLOOKUP($F100,ACUMULADOATUAL,2,FALSE)),0)</f>
        <v>0</v>
      </c>
      <c r="Q100" s="25" t="e">
        <f t="shared" si="30"/>
        <v>#DIV/0!</v>
      </c>
      <c r="R100" s="60">
        <f>IFERROR(IF(G9="SEM DADOS","SEM DADOS",VLOOKUP($F100,ACUMULADOATUAL,4,FALSE)),0)</f>
        <v>0</v>
      </c>
      <c r="S100" s="25" t="e">
        <f t="shared" si="30"/>
        <v>#DIV/0!</v>
      </c>
      <c r="V100" s="9"/>
      <c r="W100" s="9"/>
    </row>
    <row r="101" spans="6:23" x14ac:dyDescent="0.3">
      <c r="F101" s="7" t="s">
        <v>111</v>
      </c>
      <c r="G101" s="60">
        <f t="shared" si="31"/>
        <v>45894.59</v>
      </c>
      <c r="H101" s="25">
        <f t="shared" si="29"/>
        <v>6.2382307646986056E-3</v>
      </c>
      <c r="I101" s="60">
        <f t="shared" ref="I101:I121" si="32">IFERROR(IF(I10="SEM DADOS","SEM DADOS",VLOOKUP($F101,SELECDB,J$7-1,FALSE)),0)</f>
        <v>69161.789999999994</v>
      </c>
      <c r="J101" s="25">
        <f>I101/$I$107</f>
        <v>7.6343996948217792E-3</v>
      </c>
      <c r="K101" s="60">
        <f t="shared" ref="K101:K121" si="33">IFERROR(IF(K10="SEM DADOS","SEM DADOS",VLOOKUP($F101,SELECDB,L$7-1,FALSE)),0)</f>
        <v>45924.95</v>
      </c>
      <c r="L101" s="25">
        <f>K101/$K$107</f>
        <v>4.1214904639237018E-3</v>
      </c>
      <c r="M101" s="60">
        <f t="shared" ref="M101:M121" si="34">IFERROR(IF(M10="SEM DADOS","SEM DADOS",VLOOKUP($F101,SELECDB,N$7-1,FALSE)),0)</f>
        <v>70579.41</v>
      </c>
      <c r="N101" s="25">
        <f>M101/$M$107</f>
        <v>7.1032801789937721E-3</v>
      </c>
      <c r="O101" s="178"/>
      <c r="P101" s="60">
        <f t="shared" ref="P101:P129" si="35">IFERROR(IF(P10="SEM DADOS","SEM DADOS",VLOOKUP($F101,ACUMULADOATUAL,2,FALSE)),0)</f>
        <v>0</v>
      </c>
      <c r="Q101" s="25" t="e">
        <f t="shared" si="30"/>
        <v>#DIV/0!</v>
      </c>
      <c r="R101" s="60">
        <f t="shared" ref="R101:R129" si="36">IFERROR(IF(R10="SEM DADOS","SEM DADOS",VLOOKUP($F101,ACUMULADOATUAL,4,FALSE)),0)</f>
        <v>0</v>
      </c>
      <c r="S101" s="25" t="e">
        <f t="shared" si="30"/>
        <v>#DIV/0!</v>
      </c>
      <c r="V101" s="9"/>
      <c r="W101" s="9"/>
    </row>
    <row r="102" spans="6:23" x14ac:dyDescent="0.3">
      <c r="F102" s="7" t="s">
        <v>112</v>
      </c>
      <c r="G102" s="60">
        <f t="shared" si="31"/>
        <v>0</v>
      </c>
      <c r="H102" s="25">
        <f t="shared" si="29"/>
        <v>0</v>
      </c>
      <c r="I102" s="60">
        <f t="shared" si="32"/>
        <v>0</v>
      </c>
      <c r="J102" s="25">
        <f>I102/$I$107</f>
        <v>0</v>
      </c>
      <c r="K102" s="60">
        <f t="shared" si="33"/>
        <v>0</v>
      </c>
      <c r="L102" s="25">
        <f>K102/$K$107</f>
        <v>0</v>
      </c>
      <c r="M102" s="60">
        <f t="shared" si="34"/>
        <v>0</v>
      </c>
      <c r="N102" s="25">
        <f>M102/$M$107</f>
        <v>0</v>
      </c>
      <c r="O102" s="178"/>
      <c r="P102" s="60">
        <f t="shared" si="35"/>
        <v>0</v>
      </c>
      <c r="Q102" s="25" t="e">
        <f t="shared" si="30"/>
        <v>#DIV/0!</v>
      </c>
      <c r="R102" s="60">
        <f t="shared" si="36"/>
        <v>0</v>
      </c>
      <c r="S102" s="25" t="e">
        <f t="shared" si="30"/>
        <v>#DIV/0!</v>
      </c>
      <c r="V102" s="9"/>
      <c r="W102" s="9"/>
    </row>
    <row r="103" spans="6:23" x14ac:dyDescent="0.3">
      <c r="F103" s="7" t="s">
        <v>113</v>
      </c>
      <c r="G103" s="60">
        <f t="shared" si="31"/>
        <v>219808.32</v>
      </c>
      <c r="H103" s="25">
        <f t="shared" si="29"/>
        <v>2.9877487175737183E-2</v>
      </c>
      <c r="I103" s="60">
        <f t="shared" si="32"/>
        <v>192892.1</v>
      </c>
      <c r="J103" s="25">
        <f>I103/$G$107</f>
        <v>2.6218894917403555E-2</v>
      </c>
      <c r="K103" s="60">
        <f t="shared" si="33"/>
        <v>251700.44</v>
      </c>
      <c r="L103" s="25">
        <f>K103/$G$107</f>
        <v>3.4212429576038823E-2</v>
      </c>
      <c r="M103" s="60">
        <f t="shared" si="34"/>
        <v>534471.17000000004</v>
      </c>
      <c r="N103" s="25">
        <f>M103/$G$107</f>
        <v>7.264809415529061E-2</v>
      </c>
      <c r="O103" s="178"/>
      <c r="P103" s="60">
        <f t="shared" si="35"/>
        <v>0</v>
      </c>
      <c r="Q103" s="25" t="e">
        <f t="shared" si="30"/>
        <v>#DIV/0!</v>
      </c>
      <c r="R103" s="60">
        <f t="shared" si="36"/>
        <v>0</v>
      </c>
      <c r="S103" s="25" t="e">
        <f t="shared" si="30"/>
        <v>#DIV/0!</v>
      </c>
      <c r="V103" s="9"/>
      <c r="W103" s="9"/>
    </row>
    <row r="104" spans="6:23" ht="15" thickBot="1" x14ac:dyDescent="0.35">
      <c r="F104" s="180" t="s">
        <v>99</v>
      </c>
      <c r="G104" s="174">
        <f t="shared" si="31"/>
        <v>9478787.379999999</v>
      </c>
      <c r="H104" s="164">
        <f t="shared" si="29"/>
        <v>1.2884059547313287</v>
      </c>
      <c r="I104" s="174">
        <f t="shared" si="32"/>
        <v>14484269.509999998</v>
      </c>
      <c r="J104" s="164">
        <f>I104/$I$107</f>
        <v>1.5988409601148321</v>
      </c>
      <c r="K104" s="174">
        <f t="shared" si="33"/>
        <v>15628805.589999998</v>
      </c>
      <c r="L104" s="164">
        <f>K104/$K$107</f>
        <v>1.4025921247971407</v>
      </c>
      <c r="M104" s="174">
        <f t="shared" si="34"/>
        <v>12399152.1</v>
      </c>
      <c r="N104" s="164">
        <f>M104/$M$107</f>
        <v>1.2478802436611329</v>
      </c>
      <c r="O104" s="178"/>
      <c r="P104" s="174">
        <f t="shared" si="35"/>
        <v>0</v>
      </c>
      <c r="Q104" s="164" t="e">
        <f t="shared" ref="Q104:S106" si="37">P104/$P$107</f>
        <v>#DIV/0!</v>
      </c>
      <c r="R104" s="174">
        <f t="shared" si="36"/>
        <v>0</v>
      </c>
      <c r="S104" s="164" t="e">
        <f t="shared" si="37"/>
        <v>#DIV/0!</v>
      </c>
      <c r="V104" s="9"/>
      <c r="W104" s="9"/>
    </row>
    <row r="105" spans="6:23" ht="15" thickTop="1" x14ac:dyDescent="0.3">
      <c r="F105" s="7" t="s">
        <v>114</v>
      </c>
      <c r="G105" s="60">
        <f t="shared" si="31"/>
        <v>-1699785.51</v>
      </c>
      <c r="H105" s="25">
        <f t="shared" si="29"/>
        <v>-0.23104366466441711</v>
      </c>
      <c r="I105" s="60">
        <f t="shared" si="32"/>
        <v>-2548455.5699999998</v>
      </c>
      <c r="J105" s="25">
        <f>I105/$I$107</f>
        <v>-0.28131036553384264</v>
      </c>
      <c r="K105" s="60">
        <f t="shared" si="33"/>
        <v>-2674882.65</v>
      </c>
      <c r="L105" s="25">
        <f>K105/$K$107</f>
        <v>-0.24005477053518756</v>
      </c>
      <c r="M105" s="60">
        <f t="shared" si="34"/>
        <v>-2078824.0599999998</v>
      </c>
      <c r="N105" s="25">
        <f>M105/$M$107</f>
        <v>-0.20921781212131638</v>
      </c>
      <c r="O105" s="178"/>
      <c r="P105" s="60">
        <f t="shared" si="35"/>
        <v>0</v>
      </c>
      <c r="Q105" s="25" t="e">
        <f t="shared" si="37"/>
        <v>#DIV/0!</v>
      </c>
      <c r="R105" s="60">
        <f t="shared" si="36"/>
        <v>0</v>
      </c>
      <c r="S105" s="25" t="e">
        <f>R105/$P$107</f>
        <v>#DIV/0!</v>
      </c>
      <c r="V105" s="9"/>
      <c r="W105" s="9"/>
    </row>
    <row r="106" spans="6:23" x14ac:dyDescent="0.3">
      <c r="F106" s="7" t="s">
        <v>115</v>
      </c>
      <c r="G106" s="60">
        <f t="shared" si="31"/>
        <v>-422013.69</v>
      </c>
      <c r="H106" s="25">
        <f t="shared" si="29"/>
        <v>-5.7362290066911605E-2</v>
      </c>
      <c r="I106" s="60">
        <f t="shared" si="32"/>
        <v>-2876582.99</v>
      </c>
      <c r="J106" s="25">
        <f>I106/$I$107</f>
        <v>-0.31753059458098937</v>
      </c>
      <c r="K106" s="60">
        <f t="shared" si="33"/>
        <v>-1811121.47</v>
      </c>
      <c r="L106" s="25">
        <f>K106/$K$107</f>
        <v>-0.16253735426195298</v>
      </c>
      <c r="M106" s="60">
        <f t="shared" si="34"/>
        <v>-384156.55</v>
      </c>
      <c r="N106" s="25">
        <f>M106/$M$107</f>
        <v>-3.8662431539816355E-2</v>
      </c>
      <c r="O106" s="178"/>
      <c r="P106" s="60">
        <f t="shared" si="35"/>
        <v>0</v>
      </c>
      <c r="Q106" s="25" t="e">
        <f t="shared" si="37"/>
        <v>#DIV/0!</v>
      </c>
      <c r="R106" s="60">
        <f t="shared" si="36"/>
        <v>0</v>
      </c>
      <c r="S106" s="25" t="e">
        <f>R106/$P$107</f>
        <v>#DIV/0!</v>
      </c>
      <c r="V106" s="9"/>
      <c r="W106" s="9"/>
    </row>
    <row r="107" spans="6:23" ht="15" thickBot="1" x14ac:dyDescent="0.35">
      <c r="F107" s="180" t="s">
        <v>100</v>
      </c>
      <c r="G107" s="174">
        <f t="shared" si="31"/>
        <v>7356988.1799999988</v>
      </c>
      <c r="H107" s="164">
        <f>G107/$G107</f>
        <v>1</v>
      </c>
      <c r="I107" s="174">
        <f t="shared" si="32"/>
        <v>9059230.9499999974</v>
      </c>
      <c r="J107" s="164">
        <f>I107/$I$107</f>
        <v>1</v>
      </c>
      <c r="K107" s="174">
        <f t="shared" si="33"/>
        <v>11142801.469999997</v>
      </c>
      <c r="L107" s="164">
        <f>K107/$K$107</f>
        <v>1</v>
      </c>
      <c r="M107" s="174">
        <f t="shared" si="34"/>
        <v>9936171.4899999984</v>
      </c>
      <c r="N107" s="164">
        <f>M107/$M$107</f>
        <v>1</v>
      </c>
      <c r="O107" s="178"/>
      <c r="P107" s="174">
        <f t="shared" si="35"/>
        <v>0</v>
      </c>
      <c r="Q107" s="164" t="e">
        <f>P107/$P$107</f>
        <v>#DIV/0!</v>
      </c>
      <c r="R107" s="174">
        <f t="shared" si="36"/>
        <v>0</v>
      </c>
      <c r="S107" s="164" t="e">
        <f>R107/$R$107</f>
        <v>#DIV/0!</v>
      </c>
      <c r="V107" s="9"/>
      <c r="W107" s="9"/>
    </row>
    <row r="108" spans="6:23" ht="15" thickTop="1" x14ac:dyDescent="0.3">
      <c r="F108" s="7" t="s">
        <v>116</v>
      </c>
      <c r="G108" s="60">
        <f t="shared" si="31"/>
        <v>-5561149.9300000006</v>
      </c>
      <c r="H108" s="25">
        <f t="shared" ref="H108:H127" si="38">G108/$G$107</f>
        <v>-0.75590034861249455</v>
      </c>
      <c r="I108" s="60">
        <f t="shared" si="32"/>
        <v>-6714958.4199999999</v>
      </c>
      <c r="J108" s="25">
        <f t="shared" ref="J108:J127" si="39">I108/$I$107</f>
        <v>-0.74122830702312559</v>
      </c>
      <c r="K108" s="60">
        <f t="shared" si="33"/>
        <v>-8140660.7699999996</v>
      </c>
      <c r="L108" s="25">
        <f t="shared" ref="L108:L127" si="40">K108/$K$107</f>
        <v>-0.730575770547225</v>
      </c>
      <c r="M108" s="60">
        <f t="shared" si="34"/>
        <v>-7671485.2800000003</v>
      </c>
      <c r="N108" s="25">
        <f t="shared" ref="N108:N127" si="41">M108/$M$107</f>
        <v>-0.77207657775640925</v>
      </c>
      <c r="O108" s="178"/>
      <c r="P108" s="60">
        <f t="shared" si="35"/>
        <v>0</v>
      </c>
      <c r="Q108" s="25" t="e">
        <f t="shared" ref="Q108:Q127" si="42">P108/$P$107</f>
        <v>#DIV/0!</v>
      </c>
      <c r="R108" s="60">
        <f t="shared" si="36"/>
        <v>0</v>
      </c>
      <c r="S108" s="25" t="e">
        <f t="shared" ref="S108:S127" si="43">R108/$R$107</f>
        <v>#DIV/0!</v>
      </c>
      <c r="V108" s="9"/>
      <c r="W108" s="9"/>
    </row>
    <row r="109" spans="6:23" ht="15" thickBot="1" x14ac:dyDescent="0.35">
      <c r="F109" s="180" t="s">
        <v>101</v>
      </c>
      <c r="G109" s="174">
        <f t="shared" si="31"/>
        <v>1795838.2499999981</v>
      </c>
      <c r="H109" s="164">
        <f t="shared" si="38"/>
        <v>0.24409965138750547</v>
      </c>
      <c r="I109" s="174">
        <f t="shared" si="32"/>
        <v>2344272.5299999975</v>
      </c>
      <c r="J109" s="164">
        <f t="shared" si="39"/>
        <v>0.25877169297687441</v>
      </c>
      <c r="K109" s="174">
        <f t="shared" si="33"/>
        <v>3002140.6999999974</v>
      </c>
      <c r="L109" s="164">
        <f t="shared" si="40"/>
        <v>0.26942422945277494</v>
      </c>
      <c r="M109" s="174">
        <f t="shared" si="34"/>
        <v>2264686.2099999981</v>
      </c>
      <c r="N109" s="164">
        <f t="shared" si="41"/>
        <v>0.22792342224359077</v>
      </c>
      <c r="O109" s="178"/>
      <c r="P109" s="174">
        <f t="shared" si="35"/>
        <v>0</v>
      </c>
      <c r="Q109" s="164" t="e">
        <f t="shared" si="42"/>
        <v>#DIV/0!</v>
      </c>
      <c r="R109" s="174">
        <f t="shared" si="36"/>
        <v>0</v>
      </c>
      <c r="S109" s="164" t="e">
        <f t="shared" si="43"/>
        <v>#DIV/0!</v>
      </c>
      <c r="V109" s="9"/>
      <c r="W109" s="9"/>
    </row>
    <row r="110" spans="6:23" ht="15" thickTop="1" x14ac:dyDescent="0.3">
      <c r="F110" s="7" t="s">
        <v>117</v>
      </c>
      <c r="G110" s="60">
        <f t="shared" si="31"/>
        <v>-838853.16</v>
      </c>
      <c r="H110" s="25">
        <f t="shared" si="38"/>
        <v>-0.11402127330861093</v>
      </c>
      <c r="I110" s="60">
        <f t="shared" si="32"/>
        <v>-887347.66999999993</v>
      </c>
      <c r="J110" s="25">
        <f t="shared" si="39"/>
        <v>-9.7949558290044494E-2</v>
      </c>
      <c r="K110" s="60">
        <f t="shared" si="33"/>
        <v>-635991.36</v>
      </c>
      <c r="L110" s="25">
        <f t="shared" si="40"/>
        <v>-5.707643286226477E-2</v>
      </c>
      <c r="M110" s="60">
        <f t="shared" si="34"/>
        <v>-907238.80999999994</v>
      </c>
      <c r="N110" s="25">
        <f t="shared" si="41"/>
        <v>-9.1306677920471369E-2</v>
      </c>
      <c r="O110" s="178"/>
      <c r="P110" s="60">
        <f t="shared" si="35"/>
        <v>0</v>
      </c>
      <c r="Q110" s="25" t="e">
        <f t="shared" si="42"/>
        <v>#DIV/0!</v>
      </c>
      <c r="R110" s="60">
        <f t="shared" si="36"/>
        <v>0</v>
      </c>
      <c r="S110" s="25" t="e">
        <f t="shared" si="43"/>
        <v>#DIV/0!</v>
      </c>
      <c r="V110" s="9"/>
      <c r="W110" s="9"/>
    </row>
    <row r="111" spans="6:23" x14ac:dyDescent="0.3">
      <c r="F111" s="7" t="s">
        <v>118</v>
      </c>
      <c r="G111" s="60">
        <f t="shared" si="31"/>
        <v>-502484.52</v>
      </c>
      <c r="H111" s="25">
        <f t="shared" si="38"/>
        <v>-6.8300302746986355E-2</v>
      </c>
      <c r="I111" s="60">
        <f t="shared" si="32"/>
        <v>-597597.19999999995</v>
      </c>
      <c r="J111" s="25">
        <f t="shared" si="39"/>
        <v>-6.5965555277073512E-2</v>
      </c>
      <c r="K111" s="60">
        <f t="shared" si="33"/>
        <v>-629900.67999999993</v>
      </c>
      <c r="L111" s="25">
        <f t="shared" si="40"/>
        <v>-5.6529830644106424E-2</v>
      </c>
      <c r="M111" s="60">
        <f t="shared" si="34"/>
        <v>-563621.82999999996</v>
      </c>
      <c r="N111" s="25">
        <f t="shared" si="41"/>
        <v>-5.6724245406517236E-2</v>
      </c>
      <c r="O111" s="178"/>
      <c r="P111" s="60">
        <f t="shared" si="35"/>
        <v>0</v>
      </c>
      <c r="Q111" s="25" t="e">
        <f t="shared" si="42"/>
        <v>#DIV/0!</v>
      </c>
      <c r="R111" s="60">
        <f t="shared" si="36"/>
        <v>0</v>
      </c>
      <c r="S111" s="25" t="e">
        <f t="shared" si="43"/>
        <v>#DIV/0!</v>
      </c>
      <c r="V111" s="9"/>
      <c r="W111" s="9"/>
    </row>
    <row r="112" spans="6:23" x14ac:dyDescent="0.3">
      <c r="F112" s="7" t="s">
        <v>119</v>
      </c>
      <c r="G112" s="60">
        <f t="shared" si="31"/>
        <v>-123.4</v>
      </c>
      <c r="H112" s="25">
        <f t="shared" si="38"/>
        <v>-1.6773168174371056E-5</v>
      </c>
      <c r="I112" s="60">
        <f t="shared" si="32"/>
        <v>-50.08</v>
      </c>
      <c r="J112" s="25">
        <f t="shared" si="39"/>
        <v>-5.5280630636754012E-6</v>
      </c>
      <c r="K112" s="60">
        <f t="shared" si="33"/>
        <v>-2536.73</v>
      </c>
      <c r="L112" s="25">
        <f t="shared" si="40"/>
        <v>-2.2765639384581091E-4</v>
      </c>
      <c r="M112" s="60">
        <f t="shared" si="34"/>
        <v>-12370.609999999999</v>
      </c>
      <c r="N112" s="25">
        <f t="shared" si="41"/>
        <v>-1.2450076986342353E-3</v>
      </c>
      <c r="O112" s="178"/>
      <c r="P112" s="60">
        <f t="shared" si="35"/>
        <v>0</v>
      </c>
      <c r="Q112" s="25" t="e">
        <f t="shared" si="42"/>
        <v>#DIV/0!</v>
      </c>
      <c r="R112" s="60">
        <f t="shared" si="36"/>
        <v>0</v>
      </c>
      <c r="S112" s="25" t="e">
        <f t="shared" si="43"/>
        <v>#DIV/0!</v>
      </c>
      <c r="V112" s="9"/>
      <c r="W112" s="9"/>
    </row>
    <row r="113" spans="6:23" x14ac:dyDescent="0.3">
      <c r="F113" s="7" t="s">
        <v>120</v>
      </c>
      <c r="G113" s="60">
        <f t="shared" si="31"/>
        <v>-243756.74</v>
      </c>
      <c r="H113" s="25">
        <f t="shared" si="38"/>
        <v>-3.313268066172155E-2</v>
      </c>
      <c r="I113" s="60">
        <f t="shared" si="32"/>
        <v>-242817.01</v>
      </c>
      <c r="J113" s="25">
        <f t="shared" si="39"/>
        <v>-2.6803269652817503E-2</v>
      </c>
      <c r="K113" s="60">
        <f t="shared" si="33"/>
        <v>-242817.01</v>
      </c>
      <c r="L113" s="25">
        <f t="shared" si="40"/>
        <v>-2.1791379004080926E-2</v>
      </c>
      <c r="M113" s="60">
        <f t="shared" si="34"/>
        <v>-245155.72</v>
      </c>
      <c r="N113" s="25">
        <f t="shared" si="41"/>
        <v>-2.4673056442990202E-2</v>
      </c>
      <c r="O113" s="178"/>
      <c r="P113" s="60">
        <f t="shared" si="35"/>
        <v>0</v>
      </c>
      <c r="Q113" s="25" t="e">
        <f t="shared" si="42"/>
        <v>#DIV/0!</v>
      </c>
      <c r="R113" s="60">
        <f t="shared" si="36"/>
        <v>0</v>
      </c>
      <c r="S113" s="25" t="e">
        <f t="shared" si="43"/>
        <v>#DIV/0!</v>
      </c>
      <c r="V113" s="9"/>
      <c r="W113" s="9"/>
    </row>
    <row r="114" spans="6:23" ht="15" thickBot="1" x14ac:dyDescent="0.35">
      <c r="F114" s="180" t="s">
        <v>102</v>
      </c>
      <c r="G114" s="174">
        <f t="shared" si="31"/>
        <v>-1585217.82</v>
      </c>
      <c r="H114" s="164">
        <f t="shared" si="38"/>
        <v>-0.21547102988549321</v>
      </c>
      <c r="I114" s="174">
        <f t="shared" si="32"/>
        <v>-1727811.96</v>
      </c>
      <c r="J114" s="164">
        <f t="shared" si="39"/>
        <v>-0.19072391128299918</v>
      </c>
      <c r="K114" s="174">
        <f t="shared" si="33"/>
        <v>-1511245.78</v>
      </c>
      <c r="L114" s="164">
        <f t="shared" si="40"/>
        <v>-0.13562529890429795</v>
      </c>
      <c r="M114" s="174">
        <f t="shared" si="34"/>
        <v>-1728386.97</v>
      </c>
      <c r="N114" s="164">
        <f t="shared" si="41"/>
        <v>-0.17394898746861304</v>
      </c>
      <c r="O114" s="178"/>
      <c r="P114" s="174">
        <f t="shared" si="35"/>
        <v>0</v>
      </c>
      <c r="Q114" s="164" t="e">
        <f t="shared" si="42"/>
        <v>#DIV/0!</v>
      </c>
      <c r="R114" s="174">
        <f t="shared" si="36"/>
        <v>0</v>
      </c>
      <c r="S114" s="164" t="e">
        <f t="shared" si="43"/>
        <v>#DIV/0!</v>
      </c>
      <c r="V114" s="9"/>
      <c r="W114" s="9"/>
    </row>
    <row r="115" spans="6:23" ht="15.6" thickTop="1" thickBot="1" x14ac:dyDescent="0.35">
      <c r="F115" s="180" t="s">
        <v>103</v>
      </c>
      <c r="G115" s="174">
        <f t="shared" si="31"/>
        <v>210620.42999999807</v>
      </c>
      <c r="H115" s="164">
        <f t="shared" si="38"/>
        <v>2.8628621502012268E-2</v>
      </c>
      <c r="I115" s="174">
        <f t="shared" si="32"/>
        <v>616460.5699999975</v>
      </c>
      <c r="J115" s="164">
        <f t="shared" si="39"/>
        <v>6.8047781693875209E-2</v>
      </c>
      <c r="K115" s="174">
        <f t="shared" si="33"/>
        <v>1490894.9199999974</v>
      </c>
      <c r="L115" s="164">
        <f t="shared" si="40"/>
        <v>0.13379893054847702</v>
      </c>
      <c r="M115" s="174">
        <f t="shared" si="34"/>
        <v>536299.23999999813</v>
      </c>
      <c r="N115" s="164">
        <f t="shared" si="41"/>
        <v>5.3974434774977723E-2</v>
      </c>
      <c r="O115" s="178"/>
      <c r="P115" s="174">
        <f t="shared" si="35"/>
        <v>0</v>
      </c>
      <c r="Q115" s="164" t="e">
        <f t="shared" si="42"/>
        <v>#DIV/0!</v>
      </c>
      <c r="R115" s="174">
        <f t="shared" si="36"/>
        <v>0</v>
      </c>
      <c r="S115" s="164" t="e">
        <f t="shared" si="43"/>
        <v>#DIV/0!</v>
      </c>
      <c r="V115" s="9"/>
      <c r="W115" s="9"/>
    </row>
    <row r="116" spans="6:23" ht="15" thickTop="1" x14ac:dyDescent="0.3">
      <c r="F116" s="7" t="s">
        <v>121</v>
      </c>
      <c r="G116" s="60">
        <f t="shared" si="31"/>
        <v>172136.82</v>
      </c>
      <c r="H116" s="25">
        <f t="shared" si="38"/>
        <v>2.3397729585587026E-2</v>
      </c>
      <c r="I116" s="60">
        <f t="shared" si="32"/>
        <v>189940.51</v>
      </c>
      <c r="J116" s="25">
        <f t="shared" si="39"/>
        <v>2.0966515927050084E-2</v>
      </c>
      <c r="K116" s="60">
        <f t="shared" si="33"/>
        <v>183729.27</v>
      </c>
      <c r="L116" s="25">
        <f t="shared" si="40"/>
        <v>1.6488606612498503E-2</v>
      </c>
      <c r="M116" s="60">
        <f t="shared" si="34"/>
        <v>154394.82</v>
      </c>
      <c r="N116" s="25">
        <f t="shared" si="41"/>
        <v>1.5538662970479794E-2</v>
      </c>
      <c r="O116" s="178"/>
      <c r="P116" s="60">
        <f t="shared" si="35"/>
        <v>0</v>
      </c>
      <c r="Q116" s="25" t="e">
        <f t="shared" si="42"/>
        <v>#DIV/0!</v>
      </c>
      <c r="R116" s="60">
        <f t="shared" si="36"/>
        <v>0</v>
      </c>
      <c r="S116" s="25" t="e">
        <f t="shared" si="43"/>
        <v>#DIV/0!</v>
      </c>
      <c r="V116" s="9"/>
      <c r="W116" s="9"/>
    </row>
    <row r="117" spans="6:23" x14ac:dyDescent="0.3">
      <c r="F117" s="7" t="s">
        <v>122</v>
      </c>
      <c r="G117" s="60">
        <f t="shared" si="31"/>
        <v>-198620.03</v>
      </c>
      <c r="H117" s="25">
        <f t="shared" si="38"/>
        <v>-2.6997464878351897E-2</v>
      </c>
      <c r="I117" s="60">
        <f t="shared" si="32"/>
        <v>-197147.96</v>
      </c>
      <c r="J117" s="25">
        <f t="shared" si="39"/>
        <v>-2.1762107742710771E-2</v>
      </c>
      <c r="K117" s="60">
        <f t="shared" si="33"/>
        <v>-186339.94</v>
      </c>
      <c r="L117" s="25">
        <f t="shared" si="40"/>
        <v>-1.6722898680523655E-2</v>
      </c>
      <c r="M117" s="60">
        <f t="shared" si="34"/>
        <v>-196572.93000000002</v>
      </c>
      <c r="N117" s="25">
        <f t="shared" si="41"/>
        <v>-1.9783568570433365E-2</v>
      </c>
      <c r="O117" s="178"/>
      <c r="P117" s="60">
        <f t="shared" si="35"/>
        <v>0</v>
      </c>
      <c r="Q117" s="25" t="e">
        <f t="shared" si="42"/>
        <v>#DIV/0!</v>
      </c>
      <c r="R117" s="60">
        <f t="shared" si="36"/>
        <v>0</v>
      </c>
      <c r="S117" s="25" t="e">
        <f t="shared" si="43"/>
        <v>#DIV/0!</v>
      </c>
      <c r="V117" s="9"/>
      <c r="W117" s="9"/>
    </row>
    <row r="118" spans="6:23" x14ac:dyDescent="0.3">
      <c r="F118" s="7" t="s">
        <v>123</v>
      </c>
      <c r="G118" s="60">
        <f t="shared" si="31"/>
        <v>171963.77</v>
      </c>
      <c r="H118" s="25">
        <f t="shared" si="38"/>
        <v>2.3374207731838442E-2</v>
      </c>
      <c r="I118" s="60">
        <f t="shared" si="32"/>
        <v>-186237.55</v>
      </c>
      <c r="J118" s="25">
        <f t="shared" si="39"/>
        <v>-2.0557765998889789E-2</v>
      </c>
      <c r="K118" s="60">
        <f t="shared" si="33"/>
        <v>837498.4800000001</v>
      </c>
      <c r="L118" s="25">
        <f t="shared" si="40"/>
        <v>7.5160495523034776E-2</v>
      </c>
      <c r="M118" s="60">
        <f t="shared" si="34"/>
        <v>-173271.43</v>
      </c>
      <c r="N118" s="25">
        <f t="shared" si="41"/>
        <v>-1.7438450028200953E-2</v>
      </c>
      <c r="O118" s="178"/>
      <c r="P118" s="60">
        <f t="shared" si="35"/>
        <v>0</v>
      </c>
      <c r="Q118" s="25" t="e">
        <f t="shared" si="42"/>
        <v>#DIV/0!</v>
      </c>
      <c r="R118" s="60">
        <f t="shared" si="36"/>
        <v>0</v>
      </c>
      <c r="S118" s="25" t="e">
        <f t="shared" si="43"/>
        <v>#DIV/0!</v>
      </c>
      <c r="V118" s="9"/>
      <c r="W118" s="9"/>
    </row>
    <row r="119" spans="6:23" x14ac:dyDescent="0.3">
      <c r="F119" s="7" t="s">
        <v>166</v>
      </c>
      <c r="G119" s="16">
        <f t="shared" si="31"/>
        <v>0</v>
      </c>
      <c r="H119" s="25">
        <f t="shared" si="38"/>
        <v>0</v>
      </c>
      <c r="I119" s="60">
        <f t="shared" si="32"/>
        <v>0</v>
      </c>
      <c r="J119" s="25">
        <f t="shared" si="39"/>
        <v>0</v>
      </c>
      <c r="K119" s="60">
        <f t="shared" si="33"/>
        <v>0</v>
      </c>
      <c r="L119" s="25">
        <f t="shared" si="40"/>
        <v>0</v>
      </c>
      <c r="M119" s="60">
        <f t="shared" si="34"/>
        <v>0</v>
      </c>
      <c r="N119" s="25">
        <f t="shared" si="41"/>
        <v>0</v>
      </c>
      <c r="O119" s="178"/>
      <c r="P119" s="60">
        <f t="shared" si="35"/>
        <v>0</v>
      </c>
      <c r="Q119" s="25" t="e">
        <f t="shared" si="42"/>
        <v>#DIV/0!</v>
      </c>
      <c r="R119" s="60">
        <f t="shared" si="36"/>
        <v>0</v>
      </c>
      <c r="S119" s="25" t="e">
        <f t="shared" si="43"/>
        <v>#DIV/0!</v>
      </c>
      <c r="V119" s="9"/>
      <c r="W119" s="9"/>
    </row>
    <row r="120" spans="6:23" ht="15" thickBot="1" x14ac:dyDescent="0.35">
      <c r="F120" s="180" t="s">
        <v>104</v>
      </c>
      <c r="G120" s="174">
        <f t="shared" si="31"/>
        <v>145480.56</v>
      </c>
      <c r="H120" s="164">
        <f t="shared" si="38"/>
        <v>1.977447243907357E-2</v>
      </c>
      <c r="I120" s="174">
        <f t="shared" si="32"/>
        <v>-193444.99999999997</v>
      </c>
      <c r="J120" s="164">
        <f t="shared" si="39"/>
        <v>-2.1353357814550476E-2</v>
      </c>
      <c r="K120" s="174">
        <f t="shared" si="33"/>
        <v>834887.81</v>
      </c>
      <c r="L120" s="164">
        <f t="shared" si="40"/>
        <v>7.4926203455009624E-2</v>
      </c>
      <c r="M120" s="174">
        <f t="shared" si="34"/>
        <v>-215449.54</v>
      </c>
      <c r="N120" s="164">
        <f t="shared" si="41"/>
        <v>-2.1683355628154526E-2</v>
      </c>
      <c r="O120" s="178"/>
      <c r="P120" s="174">
        <f t="shared" si="35"/>
        <v>0</v>
      </c>
      <c r="Q120" s="164" t="e">
        <f t="shared" si="42"/>
        <v>#DIV/0!</v>
      </c>
      <c r="R120" s="174">
        <f t="shared" si="36"/>
        <v>0</v>
      </c>
      <c r="S120" s="164" t="e">
        <f t="shared" si="43"/>
        <v>#DIV/0!</v>
      </c>
      <c r="V120" s="9"/>
      <c r="W120" s="9"/>
    </row>
    <row r="121" spans="6:23" ht="15.6" thickTop="1" thickBot="1" x14ac:dyDescent="0.35">
      <c r="F121" s="180" t="s">
        <v>105</v>
      </c>
      <c r="G121" s="174">
        <f t="shared" si="31"/>
        <v>0</v>
      </c>
      <c r="H121" s="164">
        <f t="shared" si="38"/>
        <v>0</v>
      </c>
      <c r="I121" s="174">
        <f t="shared" si="32"/>
        <v>0</v>
      </c>
      <c r="J121" s="164">
        <f t="shared" si="39"/>
        <v>0</v>
      </c>
      <c r="K121" s="174">
        <f t="shared" si="33"/>
        <v>0</v>
      </c>
      <c r="L121" s="164">
        <f t="shared" si="40"/>
        <v>0</v>
      </c>
      <c r="M121" s="174">
        <f t="shared" si="34"/>
        <v>0</v>
      </c>
      <c r="N121" s="164">
        <f t="shared" si="41"/>
        <v>0</v>
      </c>
      <c r="O121" s="178"/>
      <c r="P121" s="174">
        <f t="shared" si="35"/>
        <v>0</v>
      </c>
      <c r="Q121" s="164" t="e">
        <f t="shared" si="42"/>
        <v>#DIV/0!</v>
      </c>
      <c r="R121" s="174">
        <f t="shared" si="36"/>
        <v>0</v>
      </c>
      <c r="S121" s="164" t="e">
        <f t="shared" si="43"/>
        <v>#DIV/0!</v>
      </c>
      <c r="V121" s="9"/>
      <c r="W121" s="9"/>
    </row>
    <row r="122" spans="6:23" ht="15.6" thickTop="1" thickBot="1" x14ac:dyDescent="0.35">
      <c r="F122" s="180" t="s">
        <v>106</v>
      </c>
      <c r="G122" s="174">
        <f>G115+G120+G121</f>
        <v>356100.98999999807</v>
      </c>
      <c r="H122" s="164">
        <f t="shared" si="38"/>
        <v>4.8403093941085835E-2</v>
      </c>
      <c r="I122" s="174">
        <f>I115+I120+I121</f>
        <v>423015.5699999975</v>
      </c>
      <c r="J122" s="164">
        <f t="shared" si="39"/>
        <v>4.6694423879324723E-2</v>
      </c>
      <c r="K122" s="174">
        <f>K115+K120+K121</f>
        <v>2325782.7299999977</v>
      </c>
      <c r="L122" s="164">
        <f t="shared" si="40"/>
        <v>0.20872513400348666</v>
      </c>
      <c r="M122" s="174">
        <f>M115+M120+M121</f>
        <v>320849.69999999809</v>
      </c>
      <c r="N122" s="164">
        <f t="shared" si="41"/>
        <v>3.2291079146823193E-2</v>
      </c>
      <c r="O122" s="178"/>
      <c r="P122" s="174">
        <f t="shared" si="35"/>
        <v>0</v>
      </c>
      <c r="Q122" s="164" t="e">
        <f t="shared" si="42"/>
        <v>#DIV/0!</v>
      </c>
      <c r="R122" s="174">
        <f t="shared" si="36"/>
        <v>0</v>
      </c>
      <c r="S122" s="164" t="e">
        <f t="shared" si="43"/>
        <v>#DIV/0!</v>
      </c>
      <c r="V122" s="9"/>
      <c r="W122" s="9"/>
    </row>
    <row r="123" spans="6:23" ht="15" thickTop="1" x14ac:dyDescent="0.3">
      <c r="F123" s="7" t="s">
        <v>107</v>
      </c>
      <c r="G123" s="60">
        <f>IFERROR(VLOOKUP($F123,SELECDB,H$7-1,FALSE),0)</f>
        <v>10532</v>
      </c>
      <c r="H123" s="25">
        <f t="shared" si="38"/>
        <v>1.4315640778968877E-3</v>
      </c>
      <c r="I123" s="60">
        <f>IFERROR(VLOOKUP($F123,SELECDB,J$7-1,FALSE),0)</f>
        <v>85532</v>
      </c>
      <c r="J123" s="25">
        <f t="shared" si="39"/>
        <v>9.4414195280008873E-3</v>
      </c>
      <c r="K123" s="60">
        <f>IFERROR(VLOOKUP($F123,SELECDB,L$7-1,FALSE),0)</f>
        <v>9532</v>
      </c>
      <c r="L123" s="25">
        <f t="shared" si="40"/>
        <v>8.5544017145627231E-4</v>
      </c>
      <c r="M123" s="60">
        <f>IFERROR(VLOOKUP($F123,SELECDB,N$7-1,FALSE),0)</f>
        <v>10352.9</v>
      </c>
      <c r="N123" s="25">
        <f t="shared" si="41"/>
        <v>1.0419405512897403E-3</v>
      </c>
      <c r="O123" s="178"/>
      <c r="P123" s="60">
        <f t="shared" si="35"/>
        <v>0</v>
      </c>
      <c r="Q123" s="25" t="e">
        <f t="shared" si="42"/>
        <v>#DIV/0!</v>
      </c>
      <c r="R123" s="60">
        <f t="shared" si="36"/>
        <v>0</v>
      </c>
      <c r="S123" s="25" t="e">
        <f t="shared" si="43"/>
        <v>#DIV/0!</v>
      </c>
      <c r="V123" s="9"/>
      <c r="W123" s="9"/>
    </row>
    <row r="124" spans="6:23" ht="15" thickBot="1" x14ac:dyDescent="0.35">
      <c r="F124" s="180" t="s">
        <v>108</v>
      </c>
      <c r="G124" s="174">
        <f t="shared" ref="G124:G129" si="44">IFERROR(IF(G33="SEM DADOS","SEM DADOS",VLOOKUP($F124,SELECDB,H$7-1,FALSE)),0)</f>
        <v>366632.98999999807</v>
      </c>
      <c r="H124" s="164">
        <f t="shared" si="38"/>
        <v>4.9834658018982729E-2</v>
      </c>
      <c r="I124" s="174">
        <f t="shared" ref="I124:I129" si="45">IFERROR(IF(I33="SEM DADOS","SEM DADOS",VLOOKUP($F124,SELECDB,J$7-1,FALSE)),0)</f>
        <v>508547.5699999975</v>
      </c>
      <c r="J124" s="164">
        <f t="shared" si="39"/>
        <v>5.6135843407325615E-2</v>
      </c>
      <c r="K124" s="174">
        <f t="shared" ref="K124:K129" si="46">IFERROR(IF(K33="SEM DADOS","SEM DADOS",VLOOKUP($F124,SELECDB,L$7-1,FALSE)),0)</f>
        <v>2335314.7299999977</v>
      </c>
      <c r="L124" s="164">
        <f t="shared" si="40"/>
        <v>0.20958057417494294</v>
      </c>
      <c r="M124" s="174">
        <f t="shared" ref="M124:M129" si="47">IFERROR(IF(M33="SEM DADOS","SEM DADOS",VLOOKUP($F124,SELECDB,N$7-1,FALSE)),0)</f>
        <v>331202.59999999811</v>
      </c>
      <c r="N124" s="164">
        <f t="shared" si="41"/>
        <v>3.3333019698112934E-2</v>
      </c>
      <c r="O124" s="178"/>
      <c r="P124" s="174">
        <f t="shared" si="35"/>
        <v>0</v>
      </c>
      <c r="Q124" s="164" t="e">
        <f t="shared" si="42"/>
        <v>#DIV/0!</v>
      </c>
      <c r="R124" s="174">
        <f t="shared" si="36"/>
        <v>0</v>
      </c>
      <c r="S124" s="164" t="e">
        <f t="shared" si="43"/>
        <v>#DIV/0!</v>
      </c>
      <c r="V124" s="9"/>
      <c r="W124" s="9"/>
    </row>
    <row r="125" spans="6:23" ht="15" thickTop="1" x14ac:dyDescent="0.3">
      <c r="F125" s="7" t="s">
        <v>142</v>
      </c>
      <c r="G125" s="60">
        <f t="shared" si="44"/>
        <v>-37852.287499999518</v>
      </c>
      <c r="H125" s="25">
        <f t="shared" si="38"/>
        <v>-5.1450792870513387E-3</v>
      </c>
      <c r="I125" s="60">
        <f t="shared" si="45"/>
        <v>-183814.3224999994</v>
      </c>
      <c r="J125" s="25">
        <f t="shared" si="39"/>
        <v>-2.0290278889512077E-2</v>
      </c>
      <c r="K125" s="60">
        <f t="shared" si="46"/>
        <v>-392130.81249999942</v>
      </c>
      <c r="L125" s="25">
        <f t="shared" si="40"/>
        <v>-3.5191402588993587E-2</v>
      </c>
      <c r="M125" s="60">
        <f t="shared" si="47"/>
        <v>-142043.46999999956</v>
      </c>
      <c r="N125" s="25">
        <f t="shared" si="41"/>
        <v>-1.4295593644187353E-2</v>
      </c>
      <c r="O125" s="178"/>
      <c r="P125" s="60">
        <f>IFERROR(IF(P34="SEM DADOS","SEM DADOS",VLOOKUP($F125,ACUMULADOATUAL,2,FALSE)),0)</f>
        <v>0</v>
      </c>
      <c r="Q125" s="25" t="e">
        <f t="shared" si="42"/>
        <v>#DIV/0!</v>
      </c>
      <c r="R125" s="60">
        <f>IFERROR(IF(R34="SEM DADOS","SEM DADOS",VLOOKUP($F125,ACUMULADOATUAL,4,FALSE)),0)</f>
        <v>0</v>
      </c>
      <c r="S125" s="25" t="e">
        <f t="shared" si="43"/>
        <v>#DIV/0!</v>
      </c>
      <c r="V125" s="9"/>
      <c r="W125" s="9"/>
    </row>
    <row r="126" spans="6:23" x14ac:dyDescent="0.3">
      <c r="F126" s="7" t="s">
        <v>143</v>
      </c>
      <c r="G126" s="60">
        <f t="shared" si="44"/>
        <v>-14346.823499999826</v>
      </c>
      <c r="H126" s="25">
        <f t="shared" si="38"/>
        <v>-1.9500946785536127E-3</v>
      </c>
      <c r="I126" s="60">
        <f t="shared" si="45"/>
        <v>-66893.156099999775</v>
      </c>
      <c r="J126" s="25">
        <f t="shared" si="39"/>
        <v>-7.3839773452292652E-3</v>
      </c>
      <c r="K126" s="60">
        <f t="shared" si="46"/>
        <v>-141887.0924999998</v>
      </c>
      <c r="L126" s="25">
        <f t="shared" si="40"/>
        <v>-1.2733520639491375E-2</v>
      </c>
      <c r="M126" s="60">
        <f t="shared" si="47"/>
        <v>-51855.64919999984</v>
      </c>
      <c r="N126" s="25">
        <f t="shared" si="41"/>
        <v>-5.218876229359428E-3</v>
      </c>
      <c r="O126" s="178"/>
      <c r="P126" s="60">
        <f>IFERROR(IF(P35="SEM DADOS","SEM DADOS",VLOOKUP($F126,ACUMULADOATUAL,2,FALSE)),0)</f>
        <v>0</v>
      </c>
      <c r="Q126" s="25" t="e">
        <f t="shared" si="42"/>
        <v>#DIV/0!</v>
      </c>
      <c r="R126" s="60">
        <f>IFERROR(IF(R35="SEM DADOS","SEM DADOS",VLOOKUP($F126,ACUMULADOATUAL,4,FALSE)),0)</f>
        <v>0</v>
      </c>
      <c r="S126" s="25" t="e">
        <f t="shared" si="43"/>
        <v>#DIV/0!</v>
      </c>
      <c r="V126" s="9"/>
      <c r="W126" s="9"/>
    </row>
    <row r="127" spans="6:23" ht="15" thickBot="1" x14ac:dyDescent="0.35">
      <c r="F127" s="180" t="s">
        <v>144</v>
      </c>
      <c r="G127" s="174">
        <f t="shared" si="44"/>
        <v>314433.87899999873</v>
      </c>
      <c r="H127" s="164">
        <f t="shared" si="38"/>
        <v>4.2739484053377776E-2</v>
      </c>
      <c r="I127" s="174">
        <f t="shared" si="45"/>
        <v>257840.09139999832</v>
      </c>
      <c r="J127" s="164">
        <f t="shared" si="39"/>
        <v>2.8461587172584266E-2</v>
      </c>
      <c r="K127" s="174">
        <f t="shared" si="46"/>
        <v>1801296.8249999983</v>
      </c>
      <c r="L127" s="164">
        <f t="shared" si="40"/>
        <v>0.16165565094645798</v>
      </c>
      <c r="M127" s="174">
        <f t="shared" si="47"/>
        <v>137303.48079999868</v>
      </c>
      <c r="N127" s="164">
        <f t="shared" si="41"/>
        <v>1.3818549824566153E-2</v>
      </c>
      <c r="O127" s="178"/>
      <c r="P127" s="174">
        <f t="shared" si="35"/>
        <v>0</v>
      </c>
      <c r="Q127" s="164" t="e">
        <f t="shared" si="42"/>
        <v>#DIV/0!</v>
      </c>
      <c r="R127" s="174">
        <f t="shared" si="36"/>
        <v>0</v>
      </c>
      <c r="S127" s="164" t="e">
        <f t="shared" si="43"/>
        <v>#DIV/0!</v>
      </c>
      <c r="V127" s="9"/>
      <c r="W127" s="9"/>
    </row>
    <row r="128" spans="6:23" ht="15" thickTop="1" x14ac:dyDescent="0.3">
      <c r="F128" s="7" t="s">
        <v>843</v>
      </c>
      <c r="G128" s="60">
        <f t="shared" si="44"/>
        <v>0</v>
      </c>
      <c r="H128" s="25">
        <f>G128/$G$107</f>
        <v>0</v>
      </c>
      <c r="I128" s="60">
        <f t="shared" si="45"/>
        <v>0</v>
      </c>
      <c r="J128" s="25">
        <f>I128/$I$107</f>
        <v>0</v>
      </c>
      <c r="K128" s="60">
        <f t="shared" si="46"/>
        <v>0</v>
      </c>
      <c r="L128" s="25">
        <f>K128/$K$107</f>
        <v>0</v>
      </c>
      <c r="M128" s="60">
        <f t="shared" si="47"/>
        <v>0</v>
      </c>
      <c r="N128" s="25">
        <f>M128/$M$107</f>
        <v>0</v>
      </c>
      <c r="O128" s="178"/>
      <c r="P128" s="60">
        <f t="shared" si="35"/>
        <v>0</v>
      </c>
      <c r="Q128" s="25" t="e">
        <f>P128/$P$107</f>
        <v>#DIV/0!</v>
      </c>
      <c r="R128" s="60">
        <f t="shared" si="36"/>
        <v>0</v>
      </c>
      <c r="S128" s="25" t="e">
        <f>R128/$R$107</f>
        <v>#DIV/0!</v>
      </c>
      <c r="V128" s="9"/>
      <c r="W128" s="9"/>
    </row>
    <row r="129" spans="6:23" ht="15" thickBot="1" x14ac:dyDescent="0.35">
      <c r="F129" s="180" t="s">
        <v>835</v>
      </c>
      <c r="G129" s="174">
        <f t="shared" si="44"/>
        <v>314433.87899999873</v>
      </c>
      <c r="H129" s="164">
        <f>G129/$G$107</f>
        <v>4.2739484053377776E-2</v>
      </c>
      <c r="I129" s="174">
        <f t="shared" si="45"/>
        <v>257840.09139999832</v>
      </c>
      <c r="J129" s="164">
        <f>I129/$I$107</f>
        <v>2.8461587172584266E-2</v>
      </c>
      <c r="K129" s="174">
        <f t="shared" si="46"/>
        <v>1801296.8249999983</v>
      </c>
      <c r="L129" s="164">
        <f>K129/$K$107</f>
        <v>0.16165565094645798</v>
      </c>
      <c r="M129" s="174">
        <f t="shared" si="47"/>
        <v>137303.48079999868</v>
      </c>
      <c r="N129" s="164">
        <f>M129/$M$107</f>
        <v>1.3818549824566153E-2</v>
      </c>
      <c r="O129" s="178"/>
      <c r="P129" s="174">
        <f t="shared" si="35"/>
        <v>0</v>
      </c>
      <c r="Q129" s="164" t="e">
        <f>P129/$P$107</f>
        <v>#DIV/0!</v>
      </c>
      <c r="R129" s="174">
        <f t="shared" si="36"/>
        <v>0</v>
      </c>
      <c r="S129" s="164" t="e">
        <f>R129/$R$107</f>
        <v>#DIV/0!</v>
      </c>
      <c r="V129" s="9"/>
      <c r="W129" s="9"/>
    </row>
    <row r="130" spans="6:23" ht="15" thickTop="1" x14ac:dyDescent="0.3"/>
  </sheetData>
  <sheetProtection selectLockedCells="1" selectUnlockedCells="1"/>
  <mergeCells count="3">
    <mergeCell ref="F5:S6"/>
    <mergeCell ref="F10:S10"/>
    <mergeCell ref="F97:S97"/>
  </mergeCells>
  <conditionalFormatting sqref="H18 J18 L18 N18">
    <cfRule type="cellIs" dxfId="1496" priority="24" operator="equal">
      <formula>MAX($H$18,$J$18,$L$18,$N$18)</formula>
    </cfRule>
  </conditionalFormatting>
  <conditionalFormatting sqref="H20 J20 L20 N20">
    <cfRule type="cellIs" dxfId="1495" priority="23" operator="equal">
      <formula>MIN($H$20,$J$20,$L$20,$N$20)</formula>
    </cfRule>
  </conditionalFormatting>
  <conditionalFormatting sqref="H30 J30 L30 N30">
    <cfRule type="cellIs" dxfId="1494" priority="18" operator="equal">
      <formula>MIN($H$30,$J$30,$L$30,$N$30)</formula>
    </cfRule>
  </conditionalFormatting>
  <conditionalFormatting sqref="H34 J34 L34 N34">
    <cfRule type="cellIs" dxfId="1493" priority="17" operator="equal">
      <formula>MIN($H$34,$J$34,$L$34,$N$34)</formula>
    </cfRule>
  </conditionalFormatting>
  <conditionalFormatting sqref="H48 J48 L48 N48">
    <cfRule type="cellIs" dxfId="1492" priority="16" operator="equal">
      <formula>MIN($H$48,$J$48,$L$48,$N$48)</formula>
    </cfRule>
  </conditionalFormatting>
  <conditionalFormatting sqref="H59 J59 L59 N59">
    <cfRule type="cellIs" dxfId="1491" priority="15" operator="equal">
      <formula>MIN($H$59,$J$59,$L$59,$N$59)</formula>
    </cfRule>
  </conditionalFormatting>
  <conditionalFormatting sqref="H61 J61 L61 N61">
    <cfRule type="cellIs" dxfId="1490" priority="14" operator="equal">
      <formula>MAX($H$61,$J$61,$L$61,$N$61)</formula>
    </cfRule>
  </conditionalFormatting>
  <conditionalFormatting sqref="H63 J63 L63 N63">
    <cfRule type="cellIs" dxfId="1489" priority="13" operator="equal">
      <formula>MIN($H$63,$J$63,$L$63,$N$63)</formula>
    </cfRule>
  </conditionalFormatting>
  <conditionalFormatting sqref="H75 J75 L75 N75">
    <cfRule type="cellIs" dxfId="1488" priority="12" operator="equal">
      <formula>MIN($H$75,$J$75,$L$75,$N$75)</formula>
    </cfRule>
  </conditionalFormatting>
  <conditionalFormatting sqref="N89 L89 J89 H89">
    <cfRule type="cellIs" dxfId="1487" priority="11" operator="equal">
      <formula>MIN($H$89,$J$89,$L$89,$N$89)</formula>
    </cfRule>
  </conditionalFormatting>
  <conditionalFormatting sqref="H91 J91 L91 N91">
    <cfRule type="cellIs" dxfId="1486" priority="10" operator="equal">
      <formula>MIN($H$91,$J$91,$L$91,$N$91)</formula>
    </cfRule>
  </conditionalFormatting>
  <conditionalFormatting sqref="H93 J93 L93 N93">
    <cfRule type="cellIs" dxfId="1485" priority="9" operator="equal">
      <formula>MAX($H$93,$J$93,$L$93,$N$93)</formula>
    </cfRule>
  </conditionalFormatting>
  <conditionalFormatting sqref="H95 J95 L95 N95">
    <cfRule type="cellIs" dxfId="1484" priority="8" operator="equal">
      <formula>MIN($H$95,$J$95,$L$95,$N$95)</formula>
    </cfRule>
  </conditionalFormatting>
  <conditionalFormatting sqref="H26 J26 L26 N26">
    <cfRule type="cellIs" dxfId="1483" priority="2" operator="equal">
      <formula>MIN($H$26,$J$26,$L$26,$N$26)</formula>
    </cfRule>
  </conditionalFormatting>
  <conditionalFormatting sqref="H28 J28 L28 N28">
    <cfRule type="cellIs" dxfId="1482" priority="1" operator="equal">
      <formula>MIN($H$28,$J$28,$L$28,$N$28)</formula>
    </cfRule>
  </conditionalFormatting>
  <pageMargins left="0.25" right="0.25" top="0.75" bottom="0.75" header="0.3" footer="0.3"/>
  <pageSetup paperSize="9" scale="84" fitToHeight="0" orientation="portrait" r:id="rId1"/>
  <ignoredErrors>
    <ignoredError sqref="J18 H18 H34:H46 H48:H59 H61:H70 H89:H93 H95 H99:H102 H20:H25 J20:J25 J89:J95 J99:J102 L99:L102 J33:J46 L89 L91:L95 H31:K32 M31:M32 L18:L25 J48:J70 L74:L87 J74:J87 H75:H87 H104:H127 J104:J127 L104:L127 L26:L70 J26:J30 H26:H3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croll Bar 1">
              <controlPr defaultSize="0" autoPict="0">
                <anchor moveWithCells="1">
                  <from>
                    <xdr:col>5</xdr:col>
                    <xdr:colOff>22860</xdr:colOff>
                    <xdr:row>6</xdr:row>
                    <xdr:rowOff>60960</xdr:rowOff>
                  </from>
                  <to>
                    <xdr:col>13</xdr:col>
                    <xdr:colOff>906780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DB6A-B14D-4854-B073-2A1FA5D930F6}">
  <sheetPr codeName="Planilha14">
    <pageSetUpPr autoPageBreaks="0" fitToPage="1"/>
  </sheetPr>
  <dimension ref="A1:U130"/>
  <sheetViews>
    <sheetView showGridLines="0" showRowColHeaders="0" topLeftCell="F1" zoomScale="64" zoomScaleNormal="64" workbookViewId="0">
      <pane ySplit="9" topLeftCell="A10" activePane="bottomLeft" state="frozen"/>
      <selection activeCell="F1" sqref="F1"/>
      <selection pane="bottomLeft"/>
    </sheetView>
  </sheetViews>
  <sheetFormatPr defaultRowHeight="14.4" x14ac:dyDescent="0.3"/>
  <cols>
    <col min="1" max="2" width="9.109375" hidden="1" customWidth="1"/>
    <col min="3" max="3" width="15" hidden="1" customWidth="1"/>
    <col min="4" max="4" width="0.6640625" style="6" hidden="1" customWidth="1"/>
    <col min="5" max="5" width="8.33203125" style="6" hidden="1" customWidth="1"/>
    <col min="6" max="6" width="46.5546875" style="7" bestFit="1" customWidth="1"/>
    <col min="7" max="7" width="24.109375" style="2" customWidth="1"/>
    <col min="8" max="8" width="10.109375" style="2" bestFit="1" customWidth="1"/>
    <col min="9" max="9" width="23.44140625" style="33" customWidth="1"/>
    <col min="10" max="10" width="10.109375" style="2" bestFit="1" customWidth="1"/>
    <col min="11" max="11" width="22.88671875" style="33" customWidth="1"/>
    <col min="12" max="12" width="10.109375" style="2" bestFit="1" customWidth="1"/>
    <col min="13" max="13" width="22.109375" style="33" customWidth="1"/>
    <col min="14" max="14" width="10.109375" style="2" bestFit="1" customWidth="1"/>
    <col min="15" max="15" width="0.33203125" style="2" customWidth="1"/>
    <col min="16" max="16" width="21.33203125" style="33" bestFit="1" customWidth="1"/>
    <col min="17" max="17" width="15.6640625" style="2" customWidth="1"/>
    <col min="18" max="18" width="16.88671875" style="2" bestFit="1" customWidth="1"/>
    <col min="21" max="21" width="9.88671875" customWidth="1"/>
  </cols>
  <sheetData>
    <row r="1" spans="3:21" ht="7.5" customHeight="1" x14ac:dyDescent="0.3">
      <c r="I1" s="141"/>
      <c r="K1" s="141"/>
      <c r="M1" s="141"/>
      <c r="P1" s="141"/>
    </row>
    <row r="2" spans="3:21" s="48" customFormat="1" ht="37.5" customHeight="1" x14ac:dyDescent="0.3">
      <c r="D2" s="50"/>
      <c r="E2" s="50"/>
      <c r="F2" s="51"/>
      <c r="G2" s="52"/>
      <c r="H2" s="52"/>
      <c r="I2" s="53"/>
      <c r="J2" s="52"/>
      <c r="K2" s="53"/>
      <c r="L2" s="52"/>
      <c r="M2" s="53"/>
      <c r="N2" s="52"/>
      <c r="O2" s="52"/>
      <c r="P2" s="53"/>
      <c r="Q2" s="52"/>
      <c r="R2" s="52"/>
    </row>
    <row r="3" spans="3:21" x14ac:dyDescent="0.3">
      <c r="I3" s="141"/>
      <c r="K3" s="141"/>
      <c r="M3" s="141"/>
      <c r="P3" s="141"/>
      <c r="U3" s="142">
        <f ca="1">NOW()</f>
        <v>46240.707701736108</v>
      </c>
    </row>
    <row r="5" spans="3:21" ht="15" customHeight="1" x14ac:dyDescent="0.3">
      <c r="F5" s="261" t="s">
        <v>954</v>
      </c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</row>
    <row r="6" spans="3:21" ht="15" customHeight="1" x14ac:dyDescent="0.3"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</row>
    <row r="7" spans="3:21" s="6" customFormat="1" x14ac:dyDescent="0.3">
      <c r="C7"/>
      <c r="F7" s="179">
        <v>88</v>
      </c>
      <c r="G7" s="39"/>
      <c r="H7" s="39">
        <f>F7</f>
        <v>88</v>
      </c>
      <c r="I7" s="40"/>
      <c r="J7" s="39">
        <f>H7+13</f>
        <v>101</v>
      </c>
      <c r="K7" s="40"/>
      <c r="L7" s="39">
        <f>J7+13</f>
        <v>114</v>
      </c>
      <c r="M7" s="40"/>
      <c r="N7" s="39">
        <f>L7+13</f>
        <v>127</v>
      </c>
      <c r="O7" s="39"/>
      <c r="P7" s="40"/>
      <c r="Q7" s="39"/>
      <c r="R7" s="39"/>
    </row>
    <row r="9" spans="3:21" ht="15" thickBot="1" x14ac:dyDescent="0.35">
      <c r="D9" s="6" t="s">
        <v>698</v>
      </c>
      <c r="F9" s="61" t="s">
        <v>69</v>
      </c>
      <c r="G9" s="21" t="str">
        <f>IFERROR(VLOOKUP(MONTH(INDEX(TBBP[],1,H$7)),LISTATRIMESTRE,2,0)&amp;"º TRIMESTRE "&amp;YEAR(INDEX(TBBP[],1,H$7)),"SEM DADOS")</f>
        <v>1º TRIMESTRE 2024</v>
      </c>
      <c r="H9" s="28" t="s">
        <v>248</v>
      </c>
      <c r="I9" s="21" t="str">
        <f>IFERROR(VLOOKUP(MONTH(INDEX(TBBP[],1,J$7)),LISTATRIMESTRE,2,0)&amp;"º TRIMESTRE "&amp;YEAR(INDEX(TBBP[],1,J$7)),"SEM DADOS")</f>
        <v>1º TRIMESTRE 2025</v>
      </c>
      <c r="J9" s="28" t="s">
        <v>248</v>
      </c>
      <c r="K9" s="21" t="str">
        <f>IFERROR(VLOOKUP(MONTH(INDEX(TBBP[],1,L$7)),LISTATRIMESTRE,2,0)&amp;"º TRIMESTRE "&amp;YEAR(INDEX(TBBP[],1,L$7)),"SEM DADOS")</f>
        <v>1º TRIMESTRE 2026</v>
      </c>
      <c r="L9" s="28" t="s">
        <v>248</v>
      </c>
      <c r="M9" s="21" t="str">
        <f>IFERROR(VLOOKUP(MONTH(INDEX(TBBP[],1,N$7)),LISTATRIMESTRE,2,0)&amp;"º TRIMESTRE "&amp;YEAR(INDEX(TBBP[],1,N$7)),"SEM DADOS")</f>
        <v>SEM DADOS</v>
      </c>
      <c r="N9" s="28" t="s">
        <v>248</v>
      </c>
      <c r="O9" s="46"/>
      <c r="P9" s="172" t="str">
        <f>IFERROR(VLOOKUP(MONTH(INDEX(TBBP[],1,H$7)),LISTATRIMESTRE,2,0)&amp;"T "&amp;YEAR(INDEX(TBBP[],1,H$7))&amp;" - "&amp;YEAR(INDEX(TBBP[],1,J$7)),"SEM DADOS")</f>
        <v>1T 2024 - 2025</v>
      </c>
      <c r="Q9" s="172" t="str">
        <f>IFERROR(VLOOKUP(MONTH(INDEX(TBBP[],1,H$7)),LISTATRIMESTRE,2,0)&amp;"T "&amp;YEAR(INDEX(TBBP[],1,J$7))&amp;" - "&amp;YEAR(INDEX(TBBP[],1,L$7)),"SEM DADOS")</f>
        <v>1T 2025 - 2026</v>
      </c>
      <c r="R9" s="172" t="str">
        <f>IFERROR(VLOOKUP(MONTH(INDEX(TBBP[],1,H$7)),LISTATRIMESTRE,2,0)&amp;"T "&amp;YEAR(INDEX(TBBP[],1,L$7))&amp;" - "&amp;YEAR(INDEX(TBBP[],1,N$7)),"SEM DADOS")</f>
        <v>SEM DADOS</v>
      </c>
    </row>
    <row r="10" spans="3:21" ht="15.6" thickTop="1" thickBot="1" x14ac:dyDescent="0.35">
      <c r="F10" s="173" t="s">
        <v>715</v>
      </c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</row>
    <row r="11" spans="3:21" ht="15" thickTop="1" x14ac:dyDescent="0.3">
      <c r="F11" s="61"/>
      <c r="G11" s="21"/>
      <c r="H11" s="28"/>
      <c r="I11" s="21"/>
      <c r="J11" s="28"/>
      <c r="K11" s="21"/>
      <c r="L11" s="28"/>
      <c r="M11" s="21"/>
      <c r="N11" s="28"/>
      <c r="O11" s="33"/>
    </row>
    <row r="12" spans="3:21" x14ac:dyDescent="0.3">
      <c r="C12" t="s">
        <v>148</v>
      </c>
      <c r="F12" s="7" t="s">
        <v>317</v>
      </c>
      <c r="G12" s="16">
        <f>IFERROR(INDEX(TBBP[],MATCH($C12,planoContas,0)+1,H$7)+INDEX(TBBP[],MATCH($C12,planoContas,0)+1,H$7-1)+INDEX(TBBP[],MATCH($C12,planoContas,0)+1,H$7-2),"SEM DADOS")</f>
        <v>20607619.060000002</v>
      </c>
      <c r="H12" s="33"/>
      <c r="I12" s="16">
        <f>IFERROR(INDEX(TBBP[],MATCH($C12,planoContas,0)+1,J$7)+INDEX(TBBP[],MATCH($C12,planoContas,0)+1,J$7-1)+INDEX(TBBP[],MATCH($C12,planoContas,0)+1,J$7-2),"SEM DADOS")</f>
        <v>22095284.66</v>
      </c>
      <c r="J12" s="33"/>
      <c r="K12" s="16">
        <f>IFERROR(INDEX(TBBP[],MATCH($C12,planoContas,0)+1,L$7)+INDEX(TBBP[],MATCH($C12,planoContas,0)+1,L$7-1)+INDEX(TBBP[],MATCH($C12,planoContas,0)+1,L$7-2),"SEM DADOS")</f>
        <v>26016920.710000001</v>
      </c>
      <c r="L12" s="33"/>
      <c r="M12" s="16" t="str">
        <f>IFERROR(INDEX(TBBP[],MATCH($C12,planoContas,0)+1,N$7)+INDEX(TBBP[],MATCH($C12,planoContas,0)+1,N$7-1)+INDEX(TBBP[],MATCH($C12,planoContas,0)+1,N$7-2),"SEM DADOS")</f>
        <v>SEM DADOS</v>
      </c>
      <c r="N12" s="33"/>
      <c r="O12" s="46"/>
      <c r="P12" s="90">
        <f>IFERROR(IF(AND(G12=0,I12&lt;&gt;0),0,(I12/G12)-1),0)</f>
        <v>7.2190076673515513E-2</v>
      </c>
      <c r="Q12" s="90">
        <f>IFERROR(IF(AND(I12=0,K12&lt;&gt;0),0,(K12/I12)-1),0)</f>
        <v>0.17748746442264673</v>
      </c>
      <c r="R12" s="90">
        <f>IFERROR(IF(AND(K12=0,M12&lt;&gt;0),0,(M12/K12)-1),0)</f>
        <v>0</v>
      </c>
    </row>
    <row r="13" spans="3:21" x14ac:dyDescent="0.3">
      <c r="C13" t="s">
        <v>147</v>
      </c>
      <c r="F13" s="7" t="s">
        <v>313</v>
      </c>
      <c r="G13" s="16">
        <f>IFERROR(INDEX(TBBP[],MATCH($C13,planoContas,0)+1,H$7)+INDEX(TBBP[],MATCH($C13,planoContas,0)+1,H$7-1)+INDEX(TBBP[],MATCH($C13,planoContas,0)+1,H$7-2),"SEM DADOS")</f>
        <v>8332286.8200000003</v>
      </c>
      <c r="H13" s="33"/>
      <c r="I13" s="16">
        <f>IFERROR(INDEX(TBBP[],MATCH($C13,planoContas,0)+1,J$7)+INDEX(TBBP[],MATCH($C13,planoContas,0)+1,J$7-1)+INDEX(TBBP[],MATCH($C13,planoContas,0)+1,J$7-2),"SEM DADOS")</f>
        <v>12147700.390000001</v>
      </c>
      <c r="J13" s="33"/>
      <c r="K13" s="16">
        <f>IFERROR(INDEX(TBBP[],MATCH($C13,planoContas,0)+1,L$7)+INDEX(TBBP[],MATCH($C13,planoContas,0)+1,L$7-1)+INDEX(TBBP[],MATCH($C13,planoContas,0)+1,L$7-2),"SEM DADOS")</f>
        <v>8786439.9699999988</v>
      </c>
      <c r="L13" s="33"/>
      <c r="M13" s="16" t="str">
        <f>IFERROR(INDEX(TBBP[],MATCH($C13,planoContas,0)+1,N$7)+INDEX(TBBP[],MATCH($C13,planoContas,0)+1,N$7-1)+INDEX(TBBP[],MATCH($C13,planoContas,0)+1,N$7-2),"SEM DADOS")</f>
        <v>SEM DADOS</v>
      </c>
      <c r="N13" s="33"/>
      <c r="O13" s="46"/>
      <c r="P13" s="90">
        <f>IFERROR(IF(AND(G13=0,I13&lt;&gt;0),0,(I13/G13)-1),0)</f>
        <v>0.45790713311042741</v>
      </c>
      <c r="Q13" s="90">
        <f t="shared" ref="Q13:Q80" si="0">IFERROR(IF(AND(I13=0,K13&lt;&gt;0),0,(K13/I13)-1),0)</f>
        <v>-0.27669931856131347</v>
      </c>
      <c r="R13" s="90">
        <f t="shared" ref="R13:R80" si="1">IFERROR(IF(AND(K13=0,M13&lt;&gt;0),0,(M13/K13)-1),0)</f>
        <v>0</v>
      </c>
    </row>
    <row r="14" spans="3:21" x14ac:dyDescent="0.3">
      <c r="C14" t="s">
        <v>124</v>
      </c>
      <c r="F14" s="7" t="s">
        <v>314</v>
      </c>
      <c r="G14" s="16">
        <f>IFERROR(INDEX(TBBP[],MATCH($C14,planoContas,0)+1,H$7)+INDEX(TBBP[],MATCH($C14,planoContas,0)+1,H$7-1)+INDEX(TBBP[],MATCH($C14,planoContas,0)+1,H$7-2),"SEM DADOS")</f>
        <v>233043.64</v>
      </c>
      <c r="H14" s="33"/>
      <c r="I14" s="16">
        <f>IFERROR(INDEX(TBBP[],MATCH($C14,planoContas,0)+1,J$7)+INDEX(TBBP[],MATCH($C14,planoContas,0)+1,J$7-1)+INDEX(TBBP[],MATCH($C14,planoContas,0)+1,J$7-2),"SEM DADOS")</f>
        <v>173832.35</v>
      </c>
      <c r="J14" s="33"/>
      <c r="K14" s="16">
        <f>IFERROR(INDEX(TBBP[],MATCH($C14,planoContas,0)+1,L$7)+INDEX(TBBP[],MATCH($C14,planoContas,0)+1,L$7-1)+INDEX(TBBP[],MATCH($C14,planoContas,0)+1,L$7-2),"SEM DADOS")</f>
        <v>142165.5</v>
      </c>
      <c r="L14" s="33"/>
      <c r="M14" s="16" t="str">
        <f>IFERROR(INDEX(TBBP[],MATCH($C14,planoContas,0)+1,N$7)+INDEX(TBBP[],MATCH($C14,planoContas,0)+1,N$7-1)+INDEX(TBBP[],MATCH($C14,planoContas,0)+1,N$7-2),"SEM DADOS")</f>
        <v>SEM DADOS</v>
      </c>
      <c r="N14" s="33"/>
      <c r="O14" s="46"/>
      <c r="P14" s="90">
        <f>IFERROR(IF(AND(G14=0,I14&lt;&gt;0),0,(I14/G14)-1),0)</f>
        <v>-0.25407812030399113</v>
      </c>
      <c r="Q14" s="90">
        <f t="shared" si="0"/>
        <v>-0.18216891159787008</v>
      </c>
      <c r="R14" s="90">
        <f t="shared" si="1"/>
        <v>0</v>
      </c>
    </row>
    <row r="15" spans="3:21" x14ac:dyDescent="0.3">
      <c r="C15" t="s">
        <v>125</v>
      </c>
      <c r="F15" s="7" t="s">
        <v>315</v>
      </c>
      <c r="G15" s="16">
        <f>IFERROR(INDEX(TBBP[],MATCH($C15,planoContas,0)+1,H$7)+INDEX(TBBP[],MATCH($C15,planoContas,0)+1,H$7-1)+INDEX(TBBP[],MATCH($C15,planoContas,0)+1,H$7-2),"SEM DADOS")</f>
        <v>18000</v>
      </c>
      <c r="H15" s="33"/>
      <c r="I15" s="16">
        <f>IFERROR(INDEX(TBBP[],MATCH($C15,planoContas,0)+1,J$7)+INDEX(TBBP[],MATCH($C15,planoContas,0)+1,J$7-1)+INDEX(TBBP[],MATCH($C15,planoContas,0)+1,J$7-2),"SEM DADOS")</f>
        <v>0</v>
      </c>
      <c r="J15" s="33"/>
      <c r="K15" s="16">
        <f>IFERROR(INDEX(TBBP[],MATCH($C15,planoContas,0)+1,L$7)+INDEX(TBBP[],MATCH($C15,planoContas,0)+1,L$7-1)+INDEX(TBBP[],MATCH($C15,planoContas,0)+1,L$7-2),"SEM DADOS")</f>
        <v>0</v>
      </c>
      <c r="L15" s="33"/>
      <c r="M15" s="16" t="str">
        <f>IFERROR(INDEX(TBBP[],MATCH($C15,planoContas,0)+1,N$7)+INDEX(TBBP[],MATCH($C15,planoContas,0)+1,N$7-1)+INDEX(TBBP[],MATCH($C15,planoContas,0)+1,N$7-2),"SEM DADOS")</f>
        <v>SEM DADOS</v>
      </c>
      <c r="N15" s="33"/>
      <c r="O15" s="46"/>
      <c r="P15" s="90">
        <f>IFERROR(IF(AND(G15=0,I15&lt;&gt;0),0,(I15/G15)-1),0)</f>
        <v>-1</v>
      </c>
      <c r="Q15" s="90">
        <f t="shared" si="0"/>
        <v>0</v>
      </c>
      <c r="R15" s="90">
        <f t="shared" si="1"/>
        <v>0</v>
      </c>
    </row>
    <row r="16" spans="3:21" x14ac:dyDescent="0.3">
      <c r="C16" t="s">
        <v>126</v>
      </c>
      <c r="F16" s="7" t="s">
        <v>316</v>
      </c>
      <c r="G16" s="16">
        <f>IFERROR(INDEX(TBBP[],MATCH($C16,planoContas,0)+1,H$7)+INDEX(TBBP[],MATCH($C16,planoContas,0)+1,H$7-1)+INDEX(TBBP[],MATCH($C16,planoContas,0)+1,H$7-2),"SEM DADOS")</f>
        <v>0</v>
      </c>
      <c r="H16" s="33"/>
      <c r="I16" s="16">
        <f>IFERROR(INDEX(TBBP[],MATCH($C16,planoContas,0)+1,J$7)+INDEX(TBBP[],MATCH($C16,planoContas,0)+1,J$7-1)+INDEX(TBBP[],MATCH($C16,planoContas,0)+1,J$7-2),"SEM DADOS")</f>
        <v>206379.03</v>
      </c>
      <c r="J16" s="33"/>
      <c r="K16" s="16">
        <f>IFERROR(INDEX(TBBP[],MATCH($C16,planoContas,0)+1,L$7)+INDEX(TBBP[],MATCH($C16,planoContas,0)+1,L$7-1)+INDEX(TBBP[],MATCH($C16,planoContas,0)+1,L$7-2),"SEM DADOS")</f>
        <v>447206.02</v>
      </c>
      <c r="L16" s="33"/>
      <c r="M16" s="16" t="str">
        <f>IFERROR(INDEX(TBBP[],MATCH($C16,planoContas,0)+1,N$7)+INDEX(TBBP[],MATCH($C16,planoContas,0)+1,N$7-1)+INDEX(TBBP[],MATCH($C16,planoContas,0)+1,N$7-2),"SEM DADOS")</f>
        <v>SEM DADOS</v>
      </c>
      <c r="N16" s="33"/>
      <c r="O16" s="46"/>
      <c r="P16" s="90">
        <f>IFERROR(IF(AND(G16=0,I16&lt;&gt;0),0,(I16/G16)-1),0)</f>
        <v>0</v>
      </c>
      <c r="Q16" s="90">
        <f t="shared" si="0"/>
        <v>1.1669159894781949</v>
      </c>
      <c r="R16" s="90">
        <f t="shared" si="1"/>
        <v>0</v>
      </c>
    </row>
    <row r="17" spans="3:18" x14ac:dyDescent="0.3">
      <c r="G17" s="16"/>
      <c r="H17" s="33"/>
      <c r="I17" s="16"/>
      <c r="J17" s="33"/>
      <c r="K17" s="16"/>
      <c r="L17" s="33"/>
      <c r="M17" s="16"/>
      <c r="N17" s="33"/>
      <c r="O17" s="46"/>
      <c r="Q17" s="33"/>
    </row>
    <row r="18" spans="3:18" ht="15" thickBot="1" x14ac:dyDescent="0.35">
      <c r="C18" t="s">
        <v>127</v>
      </c>
      <c r="D18" s="6" t="s">
        <v>257</v>
      </c>
      <c r="F18" s="180" t="s">
        <v>99</v>
      </c>
      <c r="G18" s="174">
        <f>IFERROR(INDEX(TBBP[],MATCH($C18,planoContas,0)+1,H$7)+INDEX(TBBP[],MATCH($C18,planoContas,0)+1,H$7-1)+INDEX(TBBP[],MATCH($C18,planoContas,0)+1,H$7-2),"SEM DADOS")</f>
        <v>29190949.519999996</v>
      </c>
      <c r="H18" s="164">
        <f>G18/$G$24</f>
        <v>1.238965154702002</v>
      </c>
      <c r="I18" s="174">
        <f>IFERROR(INDEX(TBBP[],MATCH($C18,planoContas,0)+1,J$7)+INDEX(TBBP[],MATCH($C18,planoContas,0)+1,J$7-1)+INDEX(TBBP[],MATCH($C18,planoContas,0)+1,J$7-2),"SEM DADOS")</f>
        <v>34623196.429999992</v>
      </c>
      <c r="J18" s="164">
        <f>I18/$I$24</f>
        <v>1.2999856971596324</v>
      </c>
      <c r="K18" s="174">
        <f>IFERROR(INDEX(TBBP[],MATCH($C18,planoContas,0)+1,L$7)+INDEX(TBBP[],MATCH($C18,planoContas,0)+1,L$7-1)+INDEX(TBBP[],MATCH($C18,planoContas,0)+1,L$7-2),"SEM DADOS")</f>
        <v>35392732.199999996</v>
      </c>
      <c r="L18" s="164">
        <f>K18/$K$24</f>
        <v>1.3972135705252533</v>
      </c>
      <c r="M18" s="174" t="str">
        <f>IFERROR(INDEX(TBBP[],MATCH($C18,planoContas,0)+1,N$7)+INDEX(TBBP[],MATCH($C18,planoContas,0)+1,N$7-1)+INDEX(TBBP[],MATCH($C18,planoContas,0)+1,N$7-2),"SEM DADOS")</f>
        <v>SEM DADOS</v>
      </c>
      <c r="N18" s="164" t="e">
        <f>M18/$M$24</f>
        <v>#VALUE!</v>
      </c>
      <c r="O18" s="176"/>
      <c r="P18" s="164">
        <f>IFERROR(IF(AND(G18=0,I18&lt;&gt;0),0,(I18/G18)-1),0)</f>
        <v>0.18609353239017201</v>
      </c>
      <c r="Q18" s="164">
        <f t="shared" si="0"/>
        <v>2.2226017506957296E-2</v>
      </c>
      <c r="R18" s="164">
        <f t="shared" si="1"/>
        <v>0</v>
      </c>
    </row>
    <row r="19" spans="3:18" ht="15" thickTop="1" x14ac:dyDescent="0.3">
      <c r="G19" s="16"/>
      <c r="H19" s="33"/>
      <c r="I19" s="16"/>
      <c r="J19" s="33"/>
      <c r="K19" s="16"/>
      <c r="L19" s="33"/>
      <c r="M19" s="16"/>
      <c r="N19" s="33"/>
      <c r="O19" s="46"/>
      <c r="P19" s="16"/>
      <c r="Q19" s="16"/>
    </row>
    <row r="20" spans="3:18" ht="15" thickBot="1" x14ac:dyDescent="0.35">
      <c r="D20" s="6" t="s">
        <v>258</v>
      </c>
      <c r="F20" s="181" t="s">
        <v>259</v>
      </c>
      <c r="G20" s="175">
        <f>IFERROR(G21+G22,"SEM DADOS")</f>
        <v>-5630198.5099999998</v>
      </c>
      <c r="H20" s="170">
        <f>G20/$G$24</f>
        <v>-0.23896515470200203</v>
      </c>
      <c r="I20" s="175">
        <f>IFERROR(I21+I22,"SEM DADOS")</f>
        <v>-7989675.3799999999</v>
      </c>
      <c r="J20" s="170">
        <f>I20/$I$24</f>
        <v>-0.29998569715963264</v>
      </c>
      <c r="K20" s="175">
        <f>IFERROR(K21+K22,"SEM DADOS")</f>
        <v>-10061792.859999999</v>
      </c>
      <c r="L20" s="170">
        <f>K20/$K$24</f>
        <v>-0.39721357052525319</v>
      </c>
      <c r="M20" s="175" t="str">
        <f>IFERROR(M21+M22,"SEM DADOS")</f>
        <v>SEM DADOS</v>
      </c>
      <c r="N20" s="170" t="e">
        <f>M20/$M$24</f>
        <v>#VALUE!</v>
      </c>
      <c r="O20" s="176"/>
      <c r="P20" s="170">
        <f>IFERROR(IF(AND(G20=0,I20&lt;&gt;0),0,(I20/G20)-1),0)</f>
        <v>0.41907525388478706</v>
      </c>
      <c r="Q20" s="170">
        <f t="shared" si="0"/>
        <v>0.25934939549446367</v>
      </c>
      <c r="R20" s="164">
        <f t="shared" si="1"/>
        <v>0</v>
      </c>
    </row>
    <row r="21" spans="3:18" ht="15" thickTop="1" x14ac:dyDescent="0.3">
      <c r="C21" t="s">
        <v>128</v>
      </c>
      <c r="F21" s="7" t="s">
        <v>318</v>
      </c>
      <c r="G21" s="60">
        <f>IFERROR(INDEX(TBBP[],MATCH($C21,planoContas,0)+1,H$7)+INDEX(TBBP[],MATCH($C21,planoContas,0)+1,H$7-1)+INDEX(TBBP[],MATCH($C21,planoContas,0)+1,H$7-2),"SEM DADOS")</f>
        <v>-5200031.0599999996</v>
      </c>
      <c r="H21" s="25">
        <f>G21/$G$24</f>
        <v>-0.22070735596640897</v>
      </c>
      <c r="I21" s="60">
        <f>IFERROR(INDEX(TBBP[],MATCH($C21,planoContas,0)+1,J$7)+INDEX(TBBP[],MATCH($C21,planoContas,0)+1,J$7-1)+INDEX(TBBP[],MATCH($C21,planoContas,0)+1,J$7-2),"SEM DADOS")</f>
        <v>-6098802.6699999999</v>
      </c>
      <c r="J21" s="25">
        <f>I21/$I$24</f>
        <v>-0.22898972533712364</v>
      </c>
      <c r="K21" s="60">
        <f>IFERROR(INDEX(TBBP[],MATCH($C21,planoContas,0)+1,L$7)+INDEX(TBBP[],MATCH($C21,planoContas,0)+1,L$7-1)+INDEX(TBBP[],MATCH($C21,planoContas,0)+1,L$7-2),"SEM DADOS")</f>
        <v>-6191655.3300000001</v>
      </c>
      <c r="L21" s="25">
        <f>K21/$K$24</f>
        <v>-0.24443054585910201</v>
      </c>
      <c r="M21" s="60" t="str">
        <f>IFERROR(INDEX(TBBP[],MATCH($C21,planoContas,0)+1,N$7)+INDEX(TBBP[],MATCH($C21,planoContas,0)+1,N$7-1)+INDEX(TBBP[],MATCH($C21,planoContas,0)+1,N$7-2),"SEM DADOS")</f>
        <v>SEM DADOS</v>
      </c>
      <c r="N21" s="25" t="e">
        <f>M21/$M$24</f>
        <v>#VALUE!</v>
      </c>
      <c r="O21" s="47"/>
      <c r="P21" s="91">
        <f>IFERROR(IF(AND(G21=0,I21&lt;&gt;0),0,(I21/G21)-1),0)</f>
        <v>0.17283966184617383</v>
      </c>
      <c r="Q21" s="91">
        <f t="shared" si="0"/>
        <v>1.5224735907056308E-2</v>
      </c>
      <c r="R21" s="90">
        <f t="shared" si="1"/>
        <v>0</v>
      </c>
    </row>
    <row r="22" spans="3:18" x14ac:dyDescent="0.3">
      <c r="C22" t="s">
        <v>129</v>
      </c>
      <c r="F22" s="7" t="s">
        <v>319</v>
      </c>
      <c r="G22" s="60">
        <f>IFERROR(INDEX(TBBP[],MATCH($C22,planoContas,0)+1,H$7)+INDEX(TBBP[],MATCH($C22,planoContas,0)+1,H$7-1)+INDEX(TBBP[],MATCH($C22,planoContas,0)+1,H$7-2),"SEM DADOS")</f>
        <v>-430167.44999999995</v>
      </c>
      <c r="H22" s="25">
        <f>G22/$G$24</f>
        <v>-1.8257798735593023E-2</v>
      </c>
      <c r="I22" s="60">
        <f>IFERROR(INDEX(TBBP[],MATCH($C22,planoContas,0)+1,J$7)+INDEX(TBBP[],MATCH($C22,planoContas,0)+1,J$7-1)+INDEX(TBBP[],MATCH($C22,planoContas,0)+1,J$7-2),"SEM DADOS")</f>
        <v>-1890872.71</v>
      </c>
      <c r="J22" s="25">
        <f>I22/$I$24</f>
        <v>-7.0995971822508996E-2</v>
      </c>
      <c r="K22" s="60">
        <f>IFERROR(INDEX(TBBP[],MATCH($C22,planoContas,0)+1,L$7)+INDEX(TBBP[],MATCH($C22,planoContas,0)+1,L$7-1)+INDEX(TBBP[],MATCH($C22,planoContas,0)+1,L$7-2),"SEM DADOS")</f>
        <v>-3870137.5300000003</v>
      </c>
      <c r="L22" s="25">
        <f>K22/$K$24</f>
        <v>-0.15278302466615123</v>
      </c>
      <c r="M22" s="60" t="str">
        <f>IFERROR(INDEX(TBBP[],MATCH($C22,planoContas,0)+1,N$7)+INDEX(TBBP[],MATCH($C22,planoContas,0)+1,N$7-1)+INDEX(TBBP[],MATCH($C22,planoContas,0)+1,N$7-2),"SEM DADOS")</f>
        <v>SEM DADOS</v>
      </c>
      <c r="N22" s="25" t="e">
        <f>M22/$M$24</f>
        <v>#VALUE!</v>
      </c>
      <c r="O22" s="47"/>
      <c r="P22" s="91">
        <f>IFERROR(IF(AND(G22=0,I22&lt;&gt;0),0,(I22/G22)-1),0)</f>
        <v>3.3956666409789955</v>
      </c>
      <c r="Q22" s="91">
        <f t="shared" si="0"/>
        <v>1.0467467268063753</v>
      </c>
      <c r="R22" s="90">
        <f t="shared" si="1"/>
        <v>0</v>
      </c>
    </row>
    <row r="23" spans="3:18" x14ac:dyDescent="0.3">
      <c r="G23" s="16"/>
      <c r="H23" s="25"/>
      <c r="I23" s="16"/>
      <c r="J23" s="33"/>
      <c r="K23" s="16"/>
      <c r="L23" s="33"/>
      <c r="M23" s="16"/>
      <c r="N23" s="33"/>
      <c r="O23" s="46"/>
      <c r="P23" s="16"/>
      <c r="Q23" s="16"/>
    </row>
    <row r="24" spans="3:18" ht="15" thickBot="1" x14ac:dyDescent="0.35">
      <c r="C24" t="s">
        <v>141</v>
      </c>
      <c r="D24" s="6" t="s">
        <v>260</v>
      </c>
      <c r="F24" s="181" t="s">
        <v>100</v>
      </c>
      <c r="G24" s="175">
        <f>IFERROR(INDEX(TBBP[],MATCH($C24,planoContas,0)+1,H$7)+INDEX(TBBP[],MATCH($C24,planoContas,0)+1,H$7-1)+INDEX(TBBP[],MATCH($C24,planoContas,0)+1,H$7-2),"SEM DADOS")</f>
        <v>23560751.009999998</v>
      </c>
      <c r="H24" s="170">
        <f>G24/$G$24</f>
        <v>1</v>
      </c>
      <c r="I24" s="175">
        <f>IFERROR(INDEX(TBBP[],MATCH($C24,planoContas,0)+1,J$7)+INDEX(TBBP[],MATCH($C24,planoContas,0)+1,J$7-1)+INDEX(TBBP[],MATCH($C24,planoContas,0)+1,J$7-2),"SEM DADOS")</f>
        <v>26633521.049999997</v>
      </c>
      <c r="J24" s="170">
        <f>I24/$I$24</f>
        <v>1</v>
      </c>
      <c r="K24" s="175">
        <f>IFERROR(INDEX(TBBP[],MATCH($C24,planoContas,0)+1,L$7)+INDEX(TBBP[],MATCH($C24,planoContas,0)+1,L$7-1)+INDEX(TBBP[],MATCH($C24,planoContas,0)+1,L$7-2),"SEM DADOS")</f>
        <v>25330939.339999996</v>
      </c>
      <c r="L24" s="170">
        <f>K24/$K$24</f>
        <v>1</v>
      </c>
      <c r="M24" s="175" t="str">
        <f>IFERROR(INDEX(TBBP[],MATCH($C24,planoContas,0)+1,N$7)+INDEX(TBBP[],MATCH($C24,planoContas,0)+1,N$7-1)+INDEX(TBBP[],MATCH($C24,planoContas,0)+1,N$7-2),"SEM DADOS")</f>
        <v>SEM DADOS</v>
      </c>
      <c r="N24" s="170" t="e">
        <f>M24/$M$24</f>
        <v>#VALUE!</v>
      </c>
      <c r="O24" s="177"/>
      <c r="P24" s="170">
        <f>IFERROR(IF(AND(G24=0,I24&lt;&gt;0),0,(I24/G24)-1),0)</f>
        <v>0.13041901927047261</v>
      </c>
      <c r="Q24" s="170">
        <f t="shared" si="0"/>
        <v>-4.8907604351472012E-2</v>
      </c>
      <c r="R24" s="164">
        <f t="shared" si="1"/>
        <v>0</v>
      </c>
    </row>
    <row r="25" spans="3:18" ht="15" thickTop="1" x14ac:dyDescent="0.3">
      <c r="G25" s="16"/>
      <c r="H25" s="25"/>
      <c r="I25" s="16"/>
      <c r="J25" s="33"/>
      <c r="K25" s="16"/>
      <c r="L25" s="33"/>
      <c r="M25" s="16"/>
      <c r="N25" s="33"/>
      <c r="O25" s="46"/>
      <c r="P25" s="16"/>
      <c r="Q25" s="16"/>
    </row>
    <row r="26" spans="3:18" ht="15" thickBot="1" x14ac:dyDescent="0.35">
      <c r="C26" t="s">
        <v>368</v>
      </c>
      <c r="D26" s="6" t="s">
        <v>261</v>
      </c>
      <c r="F26" s="181" t="s">
        <v>308</v>
      </c>
      <c r="G26" s="175">
        <f>IFERROR(INDEX(TBBP[],MATCH($C26,planoContas,0)+1,H$7)+INDEX(TBBP[],MATCH($C26,planoContas,0)+1,H$7-1)+INDEX(TBBP[],MATCH($C26,planoContas,0)+1,H$7-2),"SEM DADOS")</f>
        <v>-8963156.4600000009</v>
      </c>
      <c r="H26" s="170">
        <f>G26/$G$24</f>
        <v>-0.3804274514083073</v>
      </c>
      <c r="I26" s="175">
        <f>IFERROR(INDEX(TBBP[],MATCH($C26,planoContas,0)+1,J$7)+INDEX(TBBP[],MATCH($C26,planoContas,0)+1,J$7-1)+INDEX(TBBP[],MATCH($C26,planoContas,0)+1,J$7-2),"SEM DADOS")</f>
        <v>-8663219.5099999998</v>
      </c>
      <c r="J26" s="170">
        <f>I26/$I$24</f>
        <v>-0.325275035686654</v>
      </c>
      <c r="K26" s="175">
        <f>IFERROR(INDEX(TBBP[],MATCH($C26,planoContas,0)+1,L$7)+INDEX(TBBP[],MATCH($C26,planoContas,0)+1,L$7-1)+INDEX(TBBP[],MATCH($C26,planoContas,0)+1,L$7-2),"SEM DADOS")</f>
        <v>-10319716.949999999</v>
      </c>
      <c r="L26" s="170">
        <f>K26/$K$24</f>
        <v>-0.40739574681718066</v>
      </c>
      <c r="M26" s="175" t="str">
        <f>IFERROR(INDEX(TBBP[],MATCH($C26,planoContas,0)+1,N$7)+INDEX(TBBP[],MATCH($C26,planoContas,0)+1,N$7-1)+INDEX(TBBP[],MATCH($C26,planoContas,0)+1,N$7-2),"SEM DADOS")</f>
        <v>SEM DADOS</v>
      </c>
      <c r="N26" s="170" t="e">
        <f>M26/$M$24</f>
        <v>#VALUE!</v>
      </c>
      <c r="O26" s="177"/>
      <c r="P26" s="170">
        <f>IFERROR(IF(AND(G26=0,I26&lt;&gt;0),0,(I26/G26)-1),0)</f>
        <v>-3.3463317452789521E-2</v>
      </c>
      <c r="Q26" s="170">
        <f t="shared" si="0"/>
        <v>0.19121037370551397</v>
      </c>
      <c r="R26" s="164">
        <f t="shared" si="1"/>
        <v>0</v>
      </c>
    </row>
    <row r="27" spans="3:18" ht="15" thickTop="1" x14ac:dyDescent="0.3">
      <c r="G27" s="16"/>
      <c r="H27" s="33"/>
      <c r="I27" s="16"/>
      <c r="J27" s="33"/>
      <c r="K27" s="16"/>
      <c r="L27" s="33"/>
      <c r="M27" s="16"/>
      <c r="N27" s="33"/>
      <c r="O27" s="46"/>
      <c r="P27" s="16"/>
      <c r="Q27" s="16"/>
    </row>
    <row r="28" spans="3:18" ht="15" thickBot="1" x14ac:dyDescent="0.35">
      <c r="C28" t="s">
        <v>369</v>
      </c>
      <c r="D28" s="6" t="s">
        <v>262</v>
      </c>
      <c r="F28" s="181" t="s">
        <v>309</v>
      </c>
      <c r="G28" s="175">
        <f>IFERROR(INDEX(TBBP[],MATCH($C28,planoContas,0)+1,H$7)+INDEX(TBBP[],MATCH($C28,planoContas,0)+1,H$7-1)+INDEX(TBBP[],MATCH($C28,planoContas,0)+1,H$7-2),"SEM DADOS")</f>
        <v>-1994934.55</v>
      </c>
      <c r="H28" s="170">
        <f>G28/$G$24</f>
        <v>-8.4671942297309663E-2</v>
      </c>
      <c r="I28" s="175">
        <f>IFERROR(INDEX(TBBP[],MATCH($C28,planoContas,0)+1,J$7)+INDEX(TBBP[],MATCH($C28,planoContas,0)+1,J$7-1)+INDEX(TBBP[],MATCH($C28,planoContas,0)+1,J$7-2),"SEM DADOS")</f>
        <v>-3494732.0599999996</v>
      </c>
      <c r="J28" s="170">
        <f>I28/$I$24</f>
        <v>-0.13121554800956367</v>
      </c>
      <c r="K28" s="175">
        <f>IFERROR(INDEX(TBBP[],MATCH($C28,planoContas,0)+1,L$7)+INDEX(TBBP[],MATCH($C28,planoContas,0)+1,L$7-1)+INDEX(TBBP[],MATCH($C28,planoContas,0)+1,L$7-2),"SEM DADOS")</f>
        <v>-2794263.42</v>
      </c>
      <c r="L28" s="170">
        <f>K28/$K$24</f>
        <v>-0.11031029613606111</v>
      </c>
      <c r="M28" s="175" t="str">
        <f>IFERROR(INDEX(TBBP[],MATCH($C28,planoContas,0)+1,N$7)+INDEX(TBBP[],MATCH($C28,planoContas,0)+1,N$7-1)+INDEX(TBBP[],MATCH($C28,planoContas,0)+1,N$7-2),"SEM DADOS")</f>
        <v>SEM DADOS</v>
      </c>
      <c r="N28" s="170" t="e">
        <f>M28/$M$24</f>
        <v>#VALUE!</v>
      </c>
      <c r="O28" s="177"/>
      <c r="P28" s="170">
        <f>IFERROR(IF(AND(G28=0,I28&lt;&gt;0),0,(I28/G28)-1),0)</f>
        <v>0.75180286491103154</v>
      </c>
      <c r="Q28" s="170">
        <f t="shared" si="0"/>
        <v>-0.20043557788518984</v>
      </c>
      <c r="R28" s="164">
        <f t="shared" si="1"/>
        <v>0</v>
      </c>
    </row>
    <row r="29" spans="3:18" ht="15" thickTop="1" x14ac:dyDescent="0.3">
      <c r="G29" s="16"/>
      <c r="H29" s="33"/>
      <c r="I29" s="16"/>
      <c r="J29" s="33"/>
      <c r="K29" s="16"/>
      <c r="L29" s="33"/>
      <c r="M29" s="16"/>
      <c r="N29" s="33"/>
      <c r="O29" s="46"/>
      <c r="P29" s="16"/>
      <c r="Q29" s="16"/>
    </row>
    <row r="30" spans="3:18" ht="15" thickBot="1" x14ac:dyDescent="0.35">
      <c r="C30" t="s">
        <v>323</v>
      </c>
      <c r="D30" s="6" t="s">
        <v>263</v>
      </c>
      <c r="F30" s="181" t="s">
        <v>310</v>
      </c>
      <c r="G30" s="175">
        <f>IFERROR(INDEX(TBBP[],MATCH($C30,planoContas,0)+1,H$7)+INDEX(TBBP[],MATCH($C30,planoContas,0)+1,H$7-1)+INDEX(TBBP[],MATCH($C30,planoContas,0)+1,H$7-2),"SEM DADOS")</f>
        <v>-2563353.6000000001</v>
      </c>
      <c r="H30" s="170">
        <f>G30/$G$24</f>
        <v>-0.10879761850172026</v>
      </c>
      <c r="I30" s="175">
        <f>IFERROR(INDEX(TBBP[],MATCH($C30,planoContas,0)+1,J$7)+INDEX(TBBP[],MATCH($C30,planoContas,0)+1,J$7-1)+INDEX(TBBP[],MATCH($C30,planoContas,0)+1,J$7-2),"SEM DADOS")</f>
        <v>-2927556.71</v>
      </c>
      <c r="J30" s="170">
        <f>I30/$I$24</f>
        <v>-0.10992000286045545</v>
      </c>
      <c r="K30" s="175">
        <f>IFERROR(INDEX(TBBP[],MATCH($C30,planoContas,0)+1,L$7)+INDEX(TBBP[],MATCH($C30,planoContas,0)+1,L$7-1)+INDEX(TBBP[],MATCH($C30,planoContas,0)+1,L$7-2),"SEM DADOS")</f>
        <v>-2854858.1</v>
      </c>
      <c r="L30" s="170">
        <f>K30/$K$24</f>
        <v>-0.11270241745405406</v>
      </c>
      <c r="M30" s="175" t="str">
        <f>IFERROR(INDEX(TBBP[],MATCH($C30,planoContas,0)+1,N$7)+INDEX(TBBP[],MATCH($C30,planoContas,0)+1,N$7-1)+INDEX(TBBP[],MATCH($C30,planoContas,0)+1,N$7-2),"SEM DADOS")</f>
        <v>SEM DADOS</v>
      </c>
      <c r="N30" s="170" t="e">
        <f>M30/$M$24</f>
        <v>#VALUE!</v>
      </c>
      <c r="O30" s="177"/>
      <c r="P30" s="170">
        <f>IFERROR(IF(AND(G30=0,I30&lt;&gt;0),0,(I30/G30)-1),0)</f>
        <v>0.14208071410826806</v>
      </c>
      <c r="Q30" s="170">
        <f t="shared" si="0"/>
        <v>-2.4832519811375353E-2</v>
      </c>
      <c r="R30" s="164">
        <f t="shared" si="1"/>
        <v>0</v>
      </c>
    </row>
    <row r="31" spans="3:18" ht="15" thickTop="1" x14ac:dyDescent="0.3">
      <c r="F31" s="7" t="s">
        <v>264</v>
      </c>
      <c r="G31" s="16" t="str">
        <f>IFERROR(INDEX(TBBP[],MATCH($C31,planoContas,0)+1,H$7)+INDEX(TBBP[],MATCH($C31,planoContas,0)+1,H$7-1)+INDEX(TBBP[],MATCH($C31,planoContas,0)+1,H$7-2),"SEM DADOS")</f>
        <v>SEM DADOS</v>
      </c>
      <c r="H31" s="25" t="str">
        <f>IFERROR(G31/$G$24,"SEM DADOS")</f>
        <v>SEM DADOS</v>
      </c>
      <c r="I31" s="16" t="str">
        <f>IFERROR(INDEX(TBBP[],MATCH($C31,planoContas,0)+1,J$7)+INDEX(TBBP[],MATCH($C31,planoContas,0)+1,J$7-1)+INDEX(TBBP[],MATCH($C31,planoContas,0)+1,J$7-2),"SEM DADOS")</f>
        <v>SEM DADOS</v>
      </c>
      <c r="J31" s="25" t="str">
        <f>IFERROR(I31/$G$24,"SEM DADOS")</f>
        <v>SEM DADOS</v>
      </c>
      <c r="K31" s="16" t="str">
        <f>IFERROR(INDEX(TBBP[],MATCH($C31,planoContas,0)+1,L$7)+INDEX(TBBP[],MATCH($C31,planoContas,0)+1,L$7-1)+INDEX(TBBP[],MATCH($C31,planoContas,0)+1,L$7-2),"SEM DADOS")</f>
        <v>SEM DADOS</v>
      </c>
      <c r="L31" s="25" t="str">
        <f>IFERROR(K31/$G$24,"SEM DADOS")</f>
        <v>SEM DADOS</v>
      </c>
      <c r="M31" s="16" t="str">
        <f>IFERROR(INDEX(TBBP[],MATCH($C31,planoContas,0)+1,N$7)+INDEX(TBBP[],MATCH($C31,planoContas,0)+1,N$7-1)+INDEX(TBBP[],MATCH($C31,planoContas,0)+1,N$7-2),"SEM DADOS")</f>
        <v>SEM DADOS</v>
      </c>
      <c r="N31" s="25" t="str">
        <f>IFERROR(M31/$G$24,"SEM DADOS")</f>
        <v>SEM DADOS</v>
      </c>
      <c r="O31" s="47"/>
      <c r="P31" s="90">
        <f>IFERROR(IF(AND(G31=0,I31&lt;&gt;0),0,(I31/G31)-1),0)</f>
        <v>0</v>
      </c>
      <c r="Q31" s="90">
        <f t="shared" si="0"/>
        <v>0</v>
      </c>
      <c r="R31" s="90">
        <f t="shared" si="1"/>
        <v>0</v>
      </c>
    </row>
    <row r="32" spans="3:18" x14ac:dyDescent="0.3">
      <c r="F32" s="7" t="s">
        <v>265</v>
      </c>
      <c r="G32" s="89" t="str">
        <f>IFERROR(INDEX(TBBP[],MATCH($C32,planoContas,0)+1,H$7)+INDEX(TBBP[],MATCH($C32,planoContas,0)+1,H$7-1)+INDEX(TBBP[],MATCH($C32,planoContas,0)+1,H$7-2),"SEM DADOS")</f>
        <v>SEM DADOS</v>
      </c>
      <c r="H32" s="25" t="str">
        <f>IFERROR(G32/$G$24,"SEM DADOS")</f>
        <v>SEM DADOS</v>
      </c>
      <c r="I32" s="16" t="str">
        <f>IFERROR(INDEX(TBBP[],MATCH($C32,planoContas,0)+1,J$7)+INDEX(TBBP[],MATCH($C32,planoContas,0)+1,J$7-1)+INDEX(TBBP[],MATCH($C32,planoContas,0)+1,J$7-2),"SEM DADOS")</f>
        <v>SEM DADOS</v>
      </c>
      <c r="J32" s="25" t="str">
        <f>IFERROR(I32/$G$24,"SEM DADOS")</f>
        <v>SEM DADOS</v>
      </c>
      <c r="K32" s="16" t="str">
        <f>IFERROR(INDEX(TBBP[],MATCH($C32,planoContas,0)+1,L$7)+INDEX(TBBP[],MATCH($C32,planoContas,0)+1,L$7-1)+INDEX(TBBP[],MATCH($C32,planoContas,0)+1,L$7-2),"SEM DADOS")</f>
        <v>SEM DADOS</v>
      </c>
      <c r="L32" s="25" t="str">
        <f>IFERROR(K32/$G$24,"SEM DADOS")</f>
        <v>SEM DADOS</v>
      </c>
      <c r="M32" s="16" t="str">
        <f>IFERROR(INDEX(TBBP[],MATCH($C32,planoContas,0)+1,N$7)+INDEX(TBBP[],MATCH($C32,planoContas,0)+1,N$7-1)+INDEX(TBBP[],MATCH($C32,planoContas,0)+1,N$7-2),"SEM DADOS")</f>
        <v>SEM DADOS</v>
      </c>
      <c r="N32" s="25" t="str">
        <f>IFERROR(M32/$G$24,"SEM DADOS")</f>
        <v>SEM DADOS</v>
      </c>
      <c r="O32" s="47"/>
      <c r="P32" s="90">
        <f>IFERROR(IF(AND(G32=0,I32&lt;&gt;0),0,(I32/G32)-1),0)</f>
        <v>0</v>
      </c>
      <c r="Q32" s="90">
        <f t="shared" si="0"/>
        <v>0</v>
      </c>
      <c r="R32" s="90">
        <f t="shared" si="1"/>
        <v>0</v>
      </c>
    </row>
    <row r="33" spans="3:18" x14ac:dyDescent="0.3">
      <c r="G33" s="16"/>
      <c r="H33" s="33"/>
      <c r="I33" s="16"/>
      <c r="J33" s="33"/>
      <c r="K33" s="16"/>
      <c r="L33" s="33"/>
      <c r="M33" s="16"/>
      <c r="N33" s="33"/>
      <c r="O33" s="46"/>
      <c r="P33" s="16"/>
      <c r="Q33" s="16"/>
    </row>
    <row r="34" spans="3:18" ht="15" thickBot="1" x14ac:dyDescent="0.35">
      <c r="D34" s="6" t="s">
        <v>266</v>
      </c>
      <c r="F34" s="181" t="s">
        <v>311</v>
      </c>
      <c r="G34" s="175">
        <f>IFERROR(G35+G36+G37+G38+G39+G40+G41+G42+G43+G44+G45+G46,"SEM DADOS")</f>
        <v>-2529566.6999999997</v>
      </c>
      <c r="H34" s="170">
        <f>G34/$G$24</f>
        <v>-0.10736358526629156</v>
      </c>
      <c r="I34" s="175">
        <f>IFERROR(I35+I36+I37+I38+I39+I40+I41+I42+I43+I44+I45+I46,"SEM DADOS")</f>
        <v>-2817060.43</v>
      </c>
      <c r="J34" s="170">
        <f t="shared" ref="J34:J46" si="2">I34/$I$24</f>
        <v>-0.10577123560611602</v>
      </c>
      <c r="K34" s="175">
        <f>IFERROR(K35+K36+K37+K38+K39+K40+K41+K42+K43+K44+K45+K46,"SEM DADOS")</f>
        <v>-2532690.8300000005</v>
      </c>
      <c r="L34" s="170">
        <f t="shared" ref="L34:L46" si="3">K34/$K$24</f>
        <v>-9.9984086496178112E-2</v>
      </c>
      <c r="M34" s="175" t="str">
        <f>IFERROR(M35+M36+M37+M38+M39+M40+M41+M42+M43+M44+M45+M46,"SEM DADOS")</f>
        <v>SEM DADOS</v>
      </c>
      <c r="N34" s="170" t="e">
        <f t="shared" ref="N34:N46" si="4">M34/$M$24</f>
        <v>#VALUE!</v>
      </c>
      <c r="O34" s="177"/>
      <c r="P34" s="170">
        <f t="shared" ref="P34:P46" si="5">IFERROR(IF(AND(G34=0,I34&lt;&gt;0),0,(I34/G34)-1),0)</f>
        <v>0.11365335019630063</v>
      </c>
      <c r="Q34" s="170">
        <f t="shared" si="0"/>
        <v>-0.100945509358491</v>
      </c>
      <c r="R34" s="164">
        <f t="shared" si="1"/>
        <v>0</v>
      </c>
    </row>
    <row r="35" spans="3:18" ht="15" thickTop="1" x14ac:dyDescent="0.3">
      <c r="C35" t="s">
        <v>360</v>
      </c>
      <c r="F35" s="7" t="s">
        <v>267</v>
      </c>
      <c r="G35" s="60">
        <f>IFERROR(INDEX(TBBP[],MATCH($C35,planoContas,0)+1,H$7)+INDEX(TBBP[],MATCH($C35,planoContas,0)+1,H$7-1)+INDEX(TBBP[],MATCH($C35,planoContas,0)+1,H$7-2),"SEM DADOS")</f>
        <v>-468094.32</v>
      </c>
      <c r="H35" s="25">
        <f>G35/$G$24</f>
        <v>-1.9867546658479798E-2</v>
      </c>
      <c r="I35" s="60">
        <f>IFERROR(INDEX(TBBP[],MATCH($C35,planoContas,0)+1,J$7)+INDEX(TBBP[],MATCH($C35,planoContas,0)+1,J$7-1)+INDEX(TBBP[],MATCH($C35,planoContas,0)+1,J$7-2),"SEM DADOS")</f>
        <v>-623788.68000000005</v>
      </c>
      <c r="J35" s="25">
        <f t="shared" si="2"/>
        <v>-2.3421187113372686E-2</v>
      </c>
      <c r="K35" s="60">
        <f>IFERROR(INDEX(TBBP[],MATCH($C35,planoContas,0)+1,L$7)+INDEX(TBBP[],MATCH($C35,planoContas,0)+1,L$7-1)+INDEX(TBBP[],MATCH($C35,planoContas,0)+1,L$7-2),"SEM DADOS")</f>
        <v>-404518.72</v>
      </c>
      <c r="L35" s="25">
        <f t="shared" si="3"/>
        <v>-1.5969353310211671E-2</v>
      </c>
      <c r="M35" s="60" t="str">
        <f>IFERROR(INDEX(TBBP[],MATCH($C35,planoContas,0)+1,N$7)+INDEX(TBBP[],MATCH($C35,planoContas,0)+1,N$7-1)+INDEX(TBBP[],MATCH($C35,planoContas,0)+1,N$7-2),"SEM DADOS")</f>
        <v>SEM DADOS</v>
      </c>
      <c r="N35" s="25" t="e">
        <f t="shared" si="4"/>
        <v>#VALUE!</v>
      </c>
      <c r="O35" s="47"/>
      <c r="P35" s="91">
        <f t="shared" si="5"/>
        <v>0.33261322205319654</v>
      </c>
      <c r="Q35" s="91">
        <f t="shared" si="0"/>
        <v>-0.35151320796651853</v>
      </c>
      <c r="R35" s="90">
        <f t="shared" si="1"/>
        <v>0</v>
      </c>
    </row>
    <row r="36" spans="3:18" x14ac:dyDescent="0.3">
      <c r="C36" t="s">
        <v>341</v>
      </c>
      <c r="F36" s="7" t="s">
        <v>268</v>
      </c>
      <c r="G36" s="60">
        <f>IFERROR(INDEX(TBBP[],MATCH($C36,planoContas,0)+1,H$7)+INDEX(TBBP[],MATCH($C36,planoContas,0)+1,H$7-1)+INDEX(TBBP[],MATCH($C36,planoContas,0)+1,H$7-2),"SEM DADOS")</f>
        <v>-822778.3</v>
      </c>
      <c r="H36" s="25">
        <f>G36/$G$24</f>
        <v>-3.4921565091485599E-2</v>
      </c>
      <c r="I36" s="60">
        <f>IFERROR(INDEX(TBBP[],MATCH($C36,planoContas,0)+1,J$7)+INDEX(TBBP[],MATCH($C36,planoContas,0)+1,J$7-1)+INDEX(TBBP[],MATCH($C36,planoContas,0)+1,J$7-2),"SEM DADOS")</f>
        <v>-676234.72</v>
      </c>
      <c r="J36" s="25">
        <f t="shared" si="2"/>
        <v>-2.5390361219250056E-2</v>
      </c>
      <c r="K36" s="60">
        <f>IFERROR(INDEX(TBBP[],MATCH($C36,planoContas,0)+1,L$7)+INDEX(TBBP[],MATCH($C36,planoContas,0)+1,L$7-1)+INDEX(TBBP[],MATCH($C36,planoContas,0)+1,L$7-2),"SEM DADOS")</f>
        <v>-700251.59000000008</v>
      </c>
      <c r="L36" s="25">
        <f t="shared" si="3"/>
        <v>-2.7644122493879857E-2</v>
      </c>
      <c r="M36" s="60" t="str">
        <f>IFERROR(INDEX(TBBP[],MATCH($C36,planoContas,0)+1,N$7)+INDEX(TBBP[],MATCH($C36,planoContas,0)+1,N$7-1)+INDEX(TBBP[],MATCH($C36,planoContas,0)+1,N$7-2),"SEM DADOS")</f>
        <v>SEM DADOS</v>
      </c>
      <c r="N36" s="25" t="e">
        <f t="shared" si="4"/>
        <v>#VALUE!</v>
      </c>
      <c r="O36" s="47"/>
      <c r="P36" s="91">
        <f t="shared" si="5"/>
        <v>-0.17810822186243858</v>
      </c>
      <c r="Q36" s="91">
        <f t="shared" si="0"/>
        <v>3.5515582518448774E-2</v>
      </c>
      <c r="R36" s="90">
        <f t="shared" si="1"/>
        <v>0</v>
      </c>
    </row>
    <row r="37" spans="3:18" x14ac:dyDescent="0.3">
      <c r="C37" t="s">
        <v>347</v>
      </c>
      <c r="F37" s="7" t="s">
        <v>269</v>
      </c>
      <c r="G37" s="60">
        <f>IFERROR(INDEX(TBBP[],MATCH($C37,planoContas,0)+1,H$7)+INDEX(TBBP[],MATCH($C37,planoContas,0)+1,H$7-1)+INDEX(TBBP[],MATCH($C37,planoContas,0)+1,H$7-2),"SEM DADOS")</f>
        <v>-78201.920000000013</v>
      </c>
      <c r="H37" s="25">
        <f t="shared" ref="H37:H46" si="6">G37/$G$24</f>
        <v>-3.3191607503007189E-3</v>
      </c>
      <c r="I37" s="60">
        <f>IFERROR(INDEX(TBBP[],MATCH($C37,planoContas,0)+1,J$7)+INDEX(TBBP[],MATCH($C37,planoContas,0)+1,J$7-1)+INDEX(TBBP[],MATCH($C37,planoContas,0)+1,J$7-2),"SEM DADOS")</f>
        <v>-132357.94</v>
      </c>
      <c r="J37" s="25">
        <f t="shared" si="2"/>
        <v>-4.9695997668321818E-3</v>
      </c>
      <c r="K37" s="60">
        <f>IFERROR(INDEX(TBBP[],MATCH($C37,planoContas,0)+1,L$7)+INDEX(TBBP[],MATCH($C37,planoContas,0)+1,L$7-1)+INDEX(TBBP[],MATCH($C37,planoContas,0)+1,L$7-2),"SEM DADOS")</f>
        <v>-112597.04000000001</v>
      </c>
      <c r="L37" s="25">
        <f t="shared" si="3"/>
        <v>-4.4450400551154616E-3</v>
      </c>
      <c r="M37" s="60" t="str">
        <f>IFERROR(INDEX(TBBP[],MATCH($C37,planoContas,0)+1,N$7)+INDEX(TBBP[],MATCH($C37,planoContas,0)+1,N$7-1)+INDEX(TBBP[],MATCH($C37,planoContas,0)+1,N$7-2),"SEM DADOS")</f>
        <v>SEM DADOS</v>
      </c>
      <c r="N37" s="25" t="e">
        <f t="shared" si="4"/>
        <v>#VALUE!</v>
      </c>
      <c r="O37" s="47"/>
      <c r="P37" s="91">
        <f t="shared" si="5"/>
        <v>0.69251522213265337</v>
      </c>
      <c r="Q37" s="91">
        <f t="shared" si="0"/>
        <v>-0.14929893892274237</v>
      </c>
      <c r="R37" s="90">
        <f t="shared" si="1"/>
        <v>0</v>
      </c>
    </row>
    <row r="38" spans="3:18" x14ac:dyDescent="0.3">
      <c r="C38" t="s">
        <v>358</v>
      </c>
      <c r="F38" s="7" t="s">
        <v>270</v>
      </c>
      <c r="G38" s="60">
        <f>IFERROR(INDEX(TBBP[],MATCH($C38,planoContas,0)+1,H$7)+INDEX(TBBP[],MATCH($C38,planoContas,0)+1,H$7-1)+INDEX(TBBP[],MATCH($C38,planoContas,0)+1,H$7-2),"SEM DADOS")</f>
        <v>-10165.459999999999</v>
      </c>
      <c r="H38" s="25">
        <f t="shared" si="6"/>
        <v>-4.3145738417614218E-4</v>
      </c>
      <c r="I38" s="60">
        <f>IFERROR(INDEX(TBBP[],MATCH($C38,planoContas,0)+1,J$7)+INDEX(TBBP[],MATCH($C38,planoContas,0)+1,J$7-1)+INDEX(TBBP[],MATCH($C38,planoContas,0)+1,J$7-2),"SEM DADOS")</f>
        <v>0</v>
      </c>
      <c r="J38" s="25">
        <f t="shared" si="2"/>
        <v>0</v>
      </c>
      <c r="K38" s="60">
        <f>IFERROR(INDEX(TBBP[],MATCH($C38,planoContas,0)+1,L$7)+INDEX(TBBP[],MATCH($C38,planoContas,0)+1,L$7-1)+INDEX(TBBP[],MATCH($C38,planoContas,0)+1,L$7-2),"SEM DADOS")</f>
        <v>-9661.11</v>
      </c>
      <c r="L38" s="25">
        <f t="shared" si="3"/>
        <v>-3.8139564705143704E-4</v>
      </c>
      <c r="M38" s="60" t="str">
        <f>IFERROR(INDEX(TBBP[],MATCH($C38,planoContas,0)+1,N$7)+INDEX(TBBP[],MATCH($C38,planoContas,0)+1,N$7-1)+INDEX(TBBP[],MATCH($C38,planoContas,0)+1,N$7-2),"SEM DADOS")</f>
        <v>SEM DADOS</v>
      </c>
      <c r="N38" s="25" t="e">
        <f t="shared" si="4"/>
        <v>#VALUE!</v>
      </c>
      <c r="O38" s="47"/>
      <c r="P38" s="91">
        <f t="shared" si="5"/>
        <v>-1</v>
      </c>
      <c r="Q38" s="91">
        <f t="shared" si="0"/>
        <v>0</v>
      </c>
      <c r="R38" s="90">
        <f t="shared" si="1"/>
        <v>0</v>
      </c>
    </row>
    <row r="39" spans="3:18" x14ac:dyDescent="0.3">
      <c r="C39" t="s">
        <v>359</v>
      </c>
      <c r="F39" s="7" t="s">
        <v>634</v>
      </c>
      <c r="G39" s="60">
        <f>IFERROR(INDEX(TBBP[],MATCH($C39,planoContas,0)+1,H$7)+INDEX(TBBP[],MATCH($C39,planoContas,0)+1,H$7-1)+INDEX(TBBP[],MATCH($C39,planoContas,0)+1,H$7-2),"SEM DADOS")</f>
        <v>-93418.85</v>
      </c>
      <c r="H39" s="25">
        <f t="shared" si="6"/>
        <v>-3.9650200437307713E-3</v>
      </c>
      <c r="I39" s="60">
        <f>IFERROR(INDEX(TBBP[],MATCH($C39,planoContas,0)+1,J$7)+INDEX(TBBP[],MATCH($C39,planoContas,0)+1,J$7-1)+INDEX(TBBP[],MATCH($C39,planoContas,0)+1,J$7-2),"SEM DADOS")</f>
        <v>-127833.5</v>
      </c>
      <c r="J39" s="25">
        <f t="shared" si="2"/>
        <v>-4.7997221156006334E-3</v>
      </c>
      <c r="K39" s="60">
        <f>IFERROR(INDEX(TBBP[],MATCH($C39,planoContas,0)+1,L$7)+INDEX(TBBP[],MATCH($C39,planoContas,0)+1,L$7-1)+INDEX(TBBP[],MATCH($C39,planoContas,0)+1,L$7-2),"SEM DADOS")</f>
        <v>-104059.95</v>
      </c>
      <c r="L39" s="25">
        <f t="shared" si="3"/>
        <v>-4.1080178118653226E-3</v>
      </c>
      <c r="M39" s="60" t="str">
        <f>IFERROR(INDEX(TBBP[],MATCH($C39,planoContas,0)+1,N$7)+INDEX(TBBP[],MATCH($C39,planoContas,0)+1,N$7-1)+INDEX(TBBP[],MATCH($C39,planoContas,0)+1,N$7-2),"SEM DADOS")</f>
        <v>SEM DADOS</v>
      </c>
      <c r="N39" s="25" t="e">
        <f t="shared" si="4"/>
        <v>#VALUE!</v>
      </c>
      <c r="O39" s="47"/>
      <c r="P39" s="91">
        <f t="shared" si="5"/>
        <v>0.36839085473649047</v>
      </c>
      <c r="Q39" s="91">
        <f t="shared" si="0"/>
        <v>-0.18597276926627215</v>
      </c>
      <c r="R39" s="90">
        <f t="shared" si="1"/>
        <v>0</v>
      </c>
    </row>
    <row r="40" spans="3:18" x14ac:dyDescent="0.3">
      <c r="C40" t="s">
        <v>355</v>
      </c>
      <c r="F40" s="7" t="s">
        <v>271</v>
      </c>
      <c r="G40" s="60">
        <f>IFERROR(INDEX(TBBP[],MATCH($C40,planoContas,0)+1,H$7)+INDEX(TBBP[],MATCH($C40,planoContas,0)+1,H$7-1)+INDEX(TBBP[],MATCH($C40,planoContas,0)+1,H$7-2),"SEM DADOS")</f>
        <v>-136436.75</v>
      </c>
      <c r="H40" s="25">
        <f t="shared" si="6"/>
        <v>-5.7908489394965183E-3</v>
      </c>
      <c r="I40" s="60">
        <f>IFERROR(INDEX(TBBP[],MATCH($C40,planoContas,0)+1,J$7)+INDEX(TBBP[],MATCH($C40,planoContas,0)+1,J$7-1)+INDEX(TBBP[],MATCH($C40,planoContas,0)+1,J$7-2),"SEM DADOS")</f>
        <v>-154676.28</v>
      </c>
      <c r="J40" s="25">
        <f t="shared" si="2"/>
        <v>-5.8075790921381012E-3</v>
      </c>
      <c r="K40" s="60">
        <f>IFERROR(INDEX(TBBP[],MATCH($C40,planoContas,0)+1,L$7)+INDEX(TBBP[],MATCH($C40,planoContas,0)+1,L$7-1)+INDEX(TBBP[],MATCH($C40,planoContas,0)+1,L$7-2),"SEM DADOS")</f>
        <v>-77446.61</v>
      </c>
      <c r="L40" s="25">
        <f t="shared" si="3"/>
        <v>-3.0573919490503986E-3</v>
      </c>
      <c r="M40" s="60" t="str">
        <f>IFERROR(INDEX(TBBP[],MATCH($C40,planoContas,0)+1,N$7)+INDEX(TBBP[],MATCH($C40,planoContas,0)+1,N$7-1)+INDEX(TBBP[],MATCH($C40,planoContas,0)+1,N$7-2),"SEM DADOS")</f>
        <v>SEM DADOS</v>
      </c>
      <c r="N40" s="25" t="e">
        <f t="shared" si="4"/>
        <v>#VALUE!</v>
      </c>
      <c r="O40" s="47"/>
      <c r="P40" s="91">
        <f t="shared" si="5"/>
        <v>0.13368487595900658</v>
      </c>
      <c r="Q40" s="91">
        <f t="shared" si="0"/>
        <v>-0.49929872893245164</v>
      </c>
      <c r="R40" s="90">
        <f t="shared" si="1"/>
        <v>0</v>
      </c>
    </row>
    <row r="41" spans="3:18" x14ac:dyDescent="0.3">
      <c r="C41" t="s">
        <v>354</v>
      </c>
      <c r="F41" s="7" t="s">
        <v>272</v>
      </c>
      <c r="G41" s="60">
        <f>IFERROR(INDEX(TBBP[],MATCH($C41,planoContas,0)+1,H$7)+INDEX(TBBP[],MATCH($C41,planoContas,0)+1,H$7-1)+INDEX(TBBP[],MATCH($C41,planoContas,0)+1,H$7-2),"SEM DADOS")</f>
        <v>-3992.75</v>
      </c>
      <c r="H41" s="25">
        <f t="shared" si="6"/>
        <v>-1.6946615998383662E-4</v>
      </c>
      <c r="I41" s="60">
        <f>IFERROR(INDEX(TBBP[],MATCH($C41,planoContas,0)+1,J$7)+INDEX(TBBP[],MATCH($C41,planoContas,0)+1,J$7-1)+INDEX(TBBP[],MATCH($C41,planoContas,0)+1,J$7-2),"SEM DADOS")</f>
        <v>-8608.61</v>
      </c>
      <c r="J41" s="25">
        <f t="shared" si="2"/>
        <v>-3.2322463048872774E-4</v>
      </c>
      <c r="K41" s="60">
        <f>IFERROR(INDEX(TBBP[],MATCH($C41,planoContas,0)+1,L$7)+INDEX(TBBP[],MATCH($C41,planoContas,0)+1,L$7-1)+INDEX(TBBP[],MATCH($C41,planoContas,0)+1,L$7-2),"SEM DADOS")</f>
        <v>-19120.759999999998</v>
      </c>
      <c r="L41" s="25">
        <f t="shared" si="3"/>
        <v>-7.5483817411407534E-4</v>
      </c>
      <c r="M41" s="60" t="str">
        <f>IFERROR(INDEX(TBBP[],MATCH($C41,planoContas,0)+1,N$7)+INDEX(TBBP[],MATCH($C41,planoContas,0)+1,N$7-1)+INDEX(TBBP[],MATCH($C41,planoContas,0)+1,N$7-2),"SEM DADOS")</f>
        <v>SEM DADOS</v>
      </c>
      <c r="N41" s="25" t="e">
        <f t="shared" si="4"/>
        <v>#VALUE!</v>
      </c>
      <c r="O41" s="47"/>
      <c r="P41" s="91">
        <f t="shared" si="5"/>
        <v>1.1560603594014154</v>
      </c>
      <c r="Q41" s="91">
        <f t="shared" si="0"/>
        <v>1.2211204828654099</v>
      </c>
      <c r="R41" s="90">
        <f t="shared" si="1"/>
        <v>0</v>
      </c>
    </row>
    <row r="42" spans="3:18" x14ac:dyDescent="0.3">
      <c r="C42" t="s">
        <v>362</v>
      </c>
      <c r="F42" s="7" t="s">
        <v>273</v>
      </c>
      <c r="G42" s="60">
        <f>IFERROR(INDEX(TBBP[],MATCH($C42,planoContas,0)+1,H$7)+INDEX(TBBP[],MATCH($C42,planoContas,0)+1,H$7-1)+INDEX(TBBP[],MATCH($C42,planoContas,0)+1,H$7-2),"SEM DADOS")</f>
        <v>-846556.75</v>
      </c>
      <c r="H42" s="25">
        <f t="shared" si="6"/>
        <v>-3.5930804991771779E-2</v>
      </c>
      <c r="I42" s="60">
        <f>IFERROR(INDEX(TBBP[],MATCH($C42,planoContas,0)+1,J$7)+INDEX(TBBP[],MATCH($C42,planoContas,0)+1,J$7-1)+INDEX(TBBP[],MATCH($C42,planoContas,0)+1,J$7-2),"SEM DADOS")</f>
        <v>-1015276.8</v>
      </c>
      <c r="J42" s="25">
        <f t="shared" si="2"/>
        <v>-3.8120261984661626E-2</v>
      </c>
      <c r="K42" s="60">
        <f>IFERROR(INDEX(TBBP[],MATCH($C42,planoContas,0)+1,L$7)+INDEX(TBBP[],MATCH($C42,planoContas,0)+1,L$7-1)+INDEX(TBBP[],MATCH($C42,planoContas,0)+1,L$7-2),"SEM DADOS")</f>
        <v>-1028659.6600000001</v>
      </c>
      <c r="L42" s="25">
        <f t="shared" si="3"/>
        <v>-4.0608824102138501E-2</v>
      </c>
      <c r="M42" s="60" t="str">
        <f>IFERROR(INDEX(TBBP[],MATCH($C42,planoContas,0)+1,N$7)+INDEX(TBBP[],MATCH($C42,planoContas,0)+1,N$7-1)+INDEX(TBBP[],MATCH($C42,planoContas,0)+1,N$7-2),"SEM DADOS")</f>
        <v>SEM DADOS</v>
      </c>
      <c r="N42" s="25" t="e">
        <f t="shared" si="4"/>
        <v>#VALUE!</v>
      </c>
      <c r="O42" s="47"/>
      <c r="P42" s="91">
        <f t="shared" si="5"/>
        <v>0.19930152349502861</v>
      </c>
      <c r="Q42" s="91">
        <f t="shared" si="0"/>
        <v>1.3181489028410764E-2</v>
      </c>
      <c r="R42" s="90">
        <f t="shared" si="1"/>
        <v>0</v>
      </c>
    </row>
    <row r="43" spans="3:18" x14ac:dyDescent="0.3">
      <c r="C43" t="s">
        <v>356</v>
      </c>
      <c r="F43" s="7" t="s">
        <v>645</v>
      </c>
      <c r="G43" s="60">
        <f>IFERROR(INDEX(TBBP[],MATCH($C43,planoContas,0)+1,H$7)+INDEX(TBBP[],MATCH($C43,planoContas,0)+1,H$7-1)+INDEX(TBBP[],MATCH($C43,planoContas,0)+1,H$7-2),"SEM DADOS")</f>
        <v>0</v>
      </c>
      <c r="H43" s="25">
        <f t="shared" si="6"/>
        <v>0</v>
      </c>
      <c r="I43" s="60">
        <f>IFERROR(INDEX(TBBP[],MATCH($C43,planoContas,0)+1,J$7)+INDEX(TBBP[],MATCH($C43,planoContas,0)+1,J$7-1)+INDEX(TBBP[],MATCH($C43,planoContas,0)+1,J$7-2),"SEM DADOS")</f>
        <v>0</v>
      </c>
      <c r="J43" s="25">
        <f t="shared" si="2"/>
        <v>0</v>
      </c>
      <c r="K43" s="60">
        <f>IFERROR(INDEX(TBBP[],MATCH($C43,planoContas,0)+1,L$7)+INDEX(TBBP[],MATCH($C43,planoContas,0)+1,L$7-1)+INDEX(TBBP[],MATCH($C43,planoContas,0)+1,L$7-2),"SEM DADOS")</f>
        <v>0</v>
      </c>
      <c r="L43" s="25">
        <f t="shared" si="3"/>
        <v>0</v>
      </c>
      <c r="M43" s="60" t="str">
        <f>IFERROR(INDEX(TBBP[],MATCH($C43,planoContas,0)+1,N$7)+INDEX(TBBP[],MATCH($C43,planoContas,0)+1,N$7-1)+INDEX(TBBP[],MATCH($C43,planoContas,0)+1,N$7-2),"SEM DADOS")</f>
        <v>SEM DADOS</v>
      </c>
      <c r="N43" s="25" t="e">
        <f t="shared" si="4"/>
        <v>#VALUE!</v>
      </c>
      <c r="O43" s="47"/>
      <c r="P43" s="91">
        <f t="shared" si="5"/>
        <v>0</v>
      </c>
      <c r="Q43" s="91">
        <f t="shared" si="0"/>
        <v>0</v>
      </c>
      <c r="R43" s="90">
        <f t="shared" si="1"/>
        <v>0</v>
      </c>
    </row>
    <row r="44" spans="3:18" x14ac:dyDescent="0.3">
      <c r="C44" t="s">
        <v>357</v>
      </c>
      <c r="F44" s="7" t="s">
        <v>646</v>
      </c>
      <c r="G44" s="60">
        <f>IFERROR(INDEX(TBBP[],MATCH($C44,planoContas,0)+1,H$7)+INDEX(TBBP[],MATCH($C44,planoContas,0)+1,H$7-1)+INDEX(TBBP[],MATCH($C44,planoContas,0)+1,H$7-2),"SEM DADOS")</f>
        <v>-18125.510000000002</v>
      </c>
      <c r="H44" s="25">
        <f t="shared" si="6"/>
        <v>-7.6930951786328495E-4</v>
      </c>
      <c r="I44" s="60">
        <f>IFERROR(INDEX(TBBP[],MATCH($C44,planoContas,0)+1,J$7)+INDEX(TBBP[],MATCH($C44,planoContas,0)+1,J$7-1)+INDEX(TBBP[],MATCH($C44,planoContas,0)+1,J$7-2),"SEM DADOS")</f>
        <v>-3650</v>
      </c>
      <c r="J44" s="25">
        <f t="shared" si="2"/>
        <v>-1.370453419639008E-4</v>
      </c>
      <c r="K44" s="60">
        <f>IFERROR(INDEX(TBBP[],MATCH($C44,planoContas,0)+1,L$7)+INDEX(TBBP[],MATCH($C44,planoContas,0)+1,L$7-1)+INDEX(TBBP[],MATCH($C44,planoContas,0)+1,L$7-2),"SEM DADOS")</f>
        <v>-2510</v>
      </c>
      <c r="L44" s="25">
        <f t="shared" si="3"/>
        <v>-9.9088311187752444E-5</v>
      </c>
      <c r="M44" s="60" t="str">
        <f>IFERROR(INDEX(TBBP[],MATCH($C44,planoContas,0)+1,N$7)+INDEX(TBBP[],MATCH($C44,planoContas,0)+1,N$7-1)+INDEX(TBBP[],MATCH($C44,planoContas,0)+1,N$7-2),"SEM DADOS")</f>
        <v>SEM DADOS</v>
      </c>
      <c r="N44" s="25" t="e">
        <f t="shared" si="4"/>
        <v>#VALUE!</v>
      </c>
      <c r="O44" s="47"/>
      <c r="P44" s="91">
        <f t="shared" si="5"/>
        <v>-0.79862635589288244</v>
      </c>
      <c r="Q44" s="91">
        <f t="shared" si="0"/>
        <v>-0.31232876712328772</v>
      </c>
      <c r="R44" s="90">
        <f t="shared" si="1"/>
        <v>0</v>
      </c>
    </row>
    <row r="45" spans="3:18" x14ac:dyDescent="0.3">
      <c r="C45" t="s">
        <v>361</v>
      </c>
      <c r="F45" s="7" t="s">
        <v>647</v>
      </c>
      <c r="G45" s="60">
        <f>IFERROR(INDEX(TBBP[],MATCH($C45,planoContas,0)+1,H$7)+INDEX(TBBP[],MATCH($C45,planoContas,0)+1,H$7-1)+INDEX(TBBP[],MATCH($C45,planoContas,0)+1,H$7-2),"SEM DADOS")</f>
        <v>-51796.09</v>
      </c>
      <c r="H45" s="25">
        <f t="shared" si="6"/>
        <v>-2.1984057290031179E-3</v>
      </c>
      <c r="I45" s="60">
        <f>IFERROR(INDEX(TBBP[],MATCH($C45,planoContas,0)+1,J$7)+INDEX(TBBP[],MATCH($C45,planoContas,0)+1,J$7-1)+INDEX(TBBP[],MATCH($C45,planoContas,0)+1,J$7-2),"SEM DADOS")</f>
        <v>-74633.899999999994</v>
      </c>
      <c r="J45" s="25">
        <f t="shared" si="2"/>
        <v>-2.8022543418081028E-3</v>
      </c>
      <c r="K45" s="60">
        <f>IFERROR(INDEX(TBBP[],MATCH($C45,planoContas,0)+1,L$7)+INDEX(TBBP[],MATCH($C45,planoContas,0)+1,L$7-1)+INDEX(TBBP[],MATCH($C45,planoContas,0)+1,L$7-2),"SEM DADOS")</f>
        <v>-73865.39</v>
      </c>
      <c r="L45" s="25">
        <f t="shared" si="3"/>
        <v>-2.9160146415636245E-3</v>
      </c>
      <c r="M45" s="60" t="str">
        <f>IFERROR(INDEX(TBBP[],MATCH($C45,planoContas,0)+1,N$7)+INDEX(TBBP[],MATCH($C45,planoContas,0)+1,N$7-1)+INDEX(TBBP[],MATCH($C45,planoContas,0)+1,N$7-2),"SEM DADOS")</f>
        <v>SEM DADOS</v>
      </c>
      <c r="N45" s="25" t="e">
        <f t="shared" si="4"/>
        <v>#VALUE!</v>
      </c>
      <c r="O45" s="47"/>
      <c r="P45" s="91">
        <f t="shared" si="5"/>
        <v>0.44091764455579563</v>
      </c>
      <c r="Q45" s="91">
        <f t="shared" si="0"/>
        <v>-1.0297063398803985E-2</v>
      </c>
      <c r="R45" s="90">
        <f t="shared" si="1"/>
        <v>0</v>
      </c>
    </row>
    <row r="46" spans="3:18" x14ac:dyDescent="0.3">
      <c r="C46" t="s">
        <v>363</v>
      </c>
      <c r="F46" s="7" t="s">
        <v>648</v>
      </c>
      <c r="G46" s="60">
        <f>IFERROR(INDEX(TBBP[],MATCH($C46,planoContas,0)+1,H$7)+INDEX(TBBP[],MATCH($C46,planoContas,0)+1,H$7-1)+INDEX(TBBP[],MATCH($C46,planoContas,0)+1,H$7-2),"SEM DADOS")</f>
        <v>0</v>
      </c>
      <c r="H46" s="25">
        <f t="shared" si="6"/>
        <v>0</v>
      </c>
      <c r="I46" s="60">
        <f>IFERROR(INDEX(TBBP[],MATCH($C46,planoContas,0)+1,J$7)+INDEX(TBBP[],MATCH($C46,planoContas,0)+1,J$7-1)+INDEX(TBBP[],MATCH($C46,planoContas,0)+1,J$7-2),"SEM DADOS")</f>
        <v>0</v>
      </c>
      <c r="J46" s="25">
        <f t="shared" si="2"/>
        <v>0</v>
      </c>
      <c r="K46" s="60">
        <f>IFERROR(INDEX(TBBP[],MATCH($C46,planoContas,0)+1,L$7)+INDEX(TBBP[],MATCH($C46,planoContas,0)+1,L$7-1)+INDEX(TBBP[],MATCH($C46,planoContas,0)+1,L$7-2),"SEM DADOS")</f>
        <v>0</v>
      </c>
      <c r="L46" s="25">
        <f t="shared" si="3"/>
        <v>0</v>
      </c>
      <c r="M46" s="60" t="str">
        <f>IFERROR(INDEX(TBBP[],MATCH($C46,planoContas,0)+1,N$7)+INDEX(TBBP[],MATCH($C46,planoContas,0)+1,N$7-1)+INDEX(TBBP[],MATCH($C46,planoContas,0)+1,N$7-2),"SEM DADOS")</f>
        <v>SEM DADOS</v>
      </c>
      <c r="N46" s="25" t="e">
        <f t="shared" si="4"/>
        <v>#VALUE!</v>
      </c>
      <c r="O46" s="47"/>
      <c r="P46" s="91">
        <f t="shared" si="5"/>
        <v>0</v>
      </c>
      <c r="Q46" s="91">
        <f t="shared" si="0"/>
        <v>0</v>
      </c>
      <c r="R46" s="90">
        <f t="shared" si="1"/>
        <v>0</v>
      </c>
    </row>
    <row r="47" spans="3:18" x14ac:dyDescent="0.3">
      <c r="G47" s="16"/>
      <c r="H47" s="33"/>
      <c r="I47" s="16"/>
      <c r="J47" s="33"/>
      <c r="K47" s="16"/>
      <c r="L47" s="33"/>
      <c r="M47" s="16"/>
      <c r="N47" s="33"/>
      <c r="O47" s="46"/>
      <c r="P47" s="16"/>
      <c r="Q47" s="16"/>
    </row>
    <row r="48" spans="3:18" ht="15" thickBot="1" x14ac:dyDescent="0.35">
      <c r="C48" t="s">
        <v>373</v>
      </c>
      <c r="D48" s="6" t="s">
        <v>274</v>
      </c>
      <c r="F48" s="181" t="s">
        <v>312</v>
      </c>
      <c r="G48" s="175">
        <f>IFERROR(INDEX(TBBP[],MATCH($C48,planoContas,0)+1,H$7)+INDEX(TBBP[],MATCH($C48,planoContas,0)+1,H$7-1)+INDEX(TBBP[],MATCH($C48,planoContas,0)+1,H$7-2),"SEM DADOS")</f>
        <v>-13440.25</v>
      </c>
      <c r="H48" s="170">
        <f>G48/$G$24</f>
        <v>-5.7045083131244381E-4</v>
      </c>
      <c r="I48" s="175">
        <f>IFERROR(INDEX(TBBP[],MATCH($C48,planoContas,0)+1,J$7)+INDEX(TBBP[],MATCH($C48,planoContas,0)+1,J$7-1)+INDEX(TBBP[],MATCH($C48,planoContas,0)+1,J$7-2),"SEM DADOS")</f>
        <v>-3681.68</v>
      </c>
      <c r="J48" s="170">
        <f t="shared" ref="J48:J59" si="7">I48/$I$24</f>
        <v>-1.3823482043880938E-4</v>
      </c>
      <c r="K48" s="175">
        <f>IFERROR(INDEX(TBBP[],MATCH($C48,planoContas,0)+1,L$7)+INDEX(TBBP[],MATCH($C48,planoContas,0)+1,L$7-1)+INDEX(TBBP[],MATCH($C48,planoContas,0)+1,L$7-2),"SEM DADOS")</f>
        <v>720.41000000000008</v>
      </c>
      <c r="L48" s="170">
        <f t="shared" ref="L48:L59" si="8">K48/$K$24</f>
        <v>2.8439924407477587E-5</v>
      </c>
      <c r="M48" s="175" t="str">
        <f>IFERROR(INDEX(TBBP[],MATCH($C48,planoContas,0)+1,N$7)+INDEX(TBBP[],MATCH($C48,planoContas,0)+1,N$7-1)+INDEX(TBBP[],MATCH($C48,planoContas,0)+1,N$7-2),"SEM DADOS")</f>
        <v>SEM DADOS</v>
      </c>
      <c r="N48" s="170" t="e">
        <f t="shared" ref="N48:N59" si="9">M48/$M$24</f>
        <v>#VALUE!</v>
      </c>
      <c r="O48" s="177"/>
      <c r="P48" s="170">
        <f>IFERROR(IF(AND(G48=0,I48&lt;&gt;0),0,(I48/G48)-1),0)</f>
        <v>-0.72607057160395083</v>
      </c>
      <c r="Q48" s="170">
        <f t="shared" si="0"/>
        <v>-1.1956742574042285</v>
      </c>
      <c r="R48" s="164">
        <f t="shared" si="1"/>
        <v>0</v>
      </c>
    </row>
    <row r="49" spans="3:18" ht="15" thickTop="1" x14ac:dyDescent="0.3">
      <c r="C49" t="s">
        <v>374</v>
      </c>
      <c r="F49" s="7" t="s">
        <v>275</v>
      </c>
      <c r="G49" s="60">
        <f>IFERROR(INDEX(TBBP[],MATCH($C49,planoContas,0)+1,H$7)+INDEX(TBBP[],MATCH($C49,planoContas,0)+1,H$7-1)+INDEX(TBBP[],MATCH($C49,planoContas,0)+1,H$7-2),"SEM DADOS")</f>
        <v>0</v>
      </c>
      <c r="H49" s="25">
        <f t="shared" ref="H49:H59" si="10">G49/$G$24</f>
        <v>0</v>
      </c>
      <c r="I49" s="60">
        <f>IFERROR(INDEX(TBBP[],MATCH($C49,planoContas,0)+1,J$7)+INDEX(TBBP[],MATCH($C49,planoContas,0)+1,J$7-1)+INDEX(TBBP[],MATCH($C49,planoContas,0)+1,J$7-2),"SEM DADOS")</f>
        <v>0</v>
      </c>
      <c r="J49" s="25">
        <f t="shared" si="7"/>
        <v>0</v>
      </c>
      <c r="K49" s="60">
        <f>IFERROR(INDEX(TBBP[],MATCH($C49,planoContas,0)+1,L$7)+INDEX(TBBP[],MATCH($C49,planoContas,0)+1,L$7-1)+INDEX(TBBP[],MATCH($C49,planoContas,0)+1,L$7-2),"SEM DADOS")</f>
        <v>0</v>
      </c>
      <c r="L49" s="25">
        <f t="shared" si="8"/>
        <v>0</v>
      </c>
      <c r="M49" s="60" t="str">
        <f>IFERROR(INDEX(TBBP[],MATCH($C49,planoContas,0)+1,N$7)+INDEX(TBBP[],MATCH($C49,planoContas,0)+1,N$7-1)+INDEX(TBBP[],MATCH($C49,planoContas,0)+1,N$7-2),"SEM DADOS")</f>
        <v>SEM DADOS</v>
      </c>
      <c r="N49" s="25" t="e">
        <f t="shared" si="9"/>
        <v>#VALUE!</v>
      </c>
      <c r="O49" s="47"/>
      <c r="P49" s="91">
        <f t="shared" ref="P49:P59" si="11">IFERROR(IF(AND(G49=0,I49&lt;&gt;0),0,(I49/G49)-1),0)</f>
        <v>0</v>
      </c>
      <c r="Q49" s="91">
        <f t="shared" si="0"/>
        <v>0</v>
      </c>
      <c r="R49" s="90">
        <f t="shared" si="1"/>
        <v>0</v>
      </c>
    </row>
    <row r="50" spans="3:18" x14ac:dyDescent="0.3">
      <c r="C50" t="s">
        <v>390</v>
      </c>
      <c r="F50" s="7" t="s">
        <v>276</v>
      </c>
      <c r="G50" s="60">
        <f>IFERROR(INDEX(TBBP[],MATCH($C50,planoContas,0)+1,H$7)+INDEX(TBBP[],MATCH($C50,planoContas,0)+1,H$7-1)+INDEX(TBBP[],MATCH($C50,planoContas,0)+1,H$7-2),"SEM DADOS")</f>
        <v>0</v>
      </c>
      <c r="H50" s="25">
        <f t="shared" si="10"/>
        <v>0</v>
      </c>
      <c r="I50" s="60">
        <f>IFERROR(INDEX(TBBP[],MATCH($C50,planoContas,0)+1,J$7)+INDEX(TBBP[],MATCH($C50,planoContas,0)+1,J$7-1)+INDEX(TBBP[],MATCH($C50,planoContas,0)+1,J$7-2),"SEM DADOS")</f>
        <v>0</v>
      </c>
      <c r="J50" s="25">
        <f t="shared" si="7"/>
        <v>0</v>
      </c>
      <c r="K50" s="60">
        <f>IFERROR(INDEX(TBBP[],MATCH($C50,planoContas,0)+1,L$7)+INDEX(TBBP[],MATCH($C50,planoContas,0)+1,L$7-1)+INDEX(TBBP[],MATCH($C50,planoContas,0)+1,L$7-2),"SEM DADOS")</f>
        <v>0</v>
      </c>
      <c r="L50" s="25">
        <f t="shared" si="8"/>
        <v>0</v>
      </c>
      <c r="M50" s="60" t="str">
        <f>IFERROR(INDEX(TBBP[],MATCH($C50,planoContas,0)+1,N$7)+INDEX(TBBP[],MATCH($C50,planoContas,0)+1,N$7-1)+INDEX(TBBP[],MATCH($C50,planoContas,0)+1,N$7-2),"SEM DADOS")</f>
        <v>SEM DADOS</v>
      </c>
      <c r="N50" s="25" t="e">
        <f t="shared" si="9"/>
        <v>#VALUE!</v>
      </c>
      <c r="O50" s="47"/>
      <c r="P50" s="91">
        <f t="shared" si="11"/>
        <v>0</v>
      </c>
      <c r="Q50" s="91">
        <f t="shared" si="0"/>
        <v>0</v>
      </c>
      <c r="R50" s="90">
        <f t="shared" si="1"/>
        <v>0</v>
      </c>
    </row>
    <row r="51" spans="3:18" x14ac:dyDescent="0.3">
      <c r="C51" t="s">
        <v>395</v>
      </c>
      <c r="F51" s="7" t="s">
        <v>277</v>
      </c>
      <c r="G51" s="60">
        <f>IFERROR(INDEX(TBBP[],MATCH($C51,planoContas,0)+1,H$7)+INDEX(TBBP[],MATCH($C51,planoContas,0)+1,H$7-1)+INDEX(TBBP[],MATCH($C51,planoContas,0)+1,H$7-2),"SEM DADOS")</f>
        <v>0</v>
      </c>
      <c r="H51" s="25">
        <f t="shared" si="10"/>
        <v>0</v>
      </c>
      <c r="I51" s="60">
        <f>IFERROR(INDEX(TBBP[],MATCH($C51,planoContas,0)+1,J$7)+INDEX(TBBP[],MATCH($C51,planoContas,0)+1,J$7-1)+INDEX(TBBP[],MATCH($C51,planoContas,0)+1,J$7-2),"SEM DADOS")</f>
        <v>0</v>
      </c>
      <c r="J51" s="25">
        <f t="shared" si="7"/>
        <v>0</v>
      </c>
      <c r="K51" s="60">
        <f>IFERROR(INDEX(TBBP[],MATCH($C51,planoContas,0)+1,L$7)+INDEX(TBBP[],MATCH($C51,planoContas,0)+1,L$7-1)+INDEX(TBBP[],MATCH($C51,planoContas,0)+1,L$7-2),"SEM DADOS")</f>
        <v>0</v>
      </c>
      <c r="L51" s="25">
        <f t="shared" si="8"/>
        <v>0</v>
      </c>
      <c r="M51" s="60" t="str">
        <f>IFERROR(INDEX(TBBP[],MATCH($C51,planoContas,0)+1,N$7)+INDEX(TBBP[],MATCH($C51,planoContas,0)+1,N$7-1)+INDEX(TBBP[],MATCH($C51,planoContas,0)+1,N$7-2),"SEM DADOS")</f>
        <v>SEM DADOS</v>
      </c>
      <c r="N51" s="25" t="e">
        <f t="shared" si="9"/>
        <v>#VALUE!</v>
      </c>
      <c r="O51" s="47"/>
      <c r="P51" s="91">
        <f t="shared" si="11"/>
        <v>0</v>
      </c>
      <c r="Q51" s="91">
        <f t="shared" si="0"/>
        <v>0</v>
      </c>
      <c r="R51" s="90">
        <f t="shared" si="1"/>
        <v>0</v>
      </c>
    </row>
    <row r="52" spans="3:18" x14ac:dyDescent="0.3">
      <c r="C52" t="s">
        <v>393</v>
      </c>
      <c r="F52" s="7" t="s">
        <v>278</v>
      </c>
      <c r="G52" s="60">
        <f>IFERROR(INDEX(TBBP[],MATCH($C52,planoContas,0)+1,H$7)+INDEX(TBBP[],MATCH($C52,planoContas,0)+1,H$7-1)+INDEX(TBBP[],MATCH($C52,planoContas,0)+1,H$7-2),"SEM DADOS")</f>
        <v>0</v>
      </c>
      <c r="H52" s="25">
        <f t="shared" si="10"/>
        <v>0</v>
      </c>
      <c r="I52" s="60">
        <f>IFERROR(INDEX(TBBP[],MATCH($C52,planoContas,0)+1,J$7)+INDEX(TBBP[],MATCH($C52,planoContas,0)+1,J$7-1)+INDEX(TBBP[],MATCH($C52,planoContas,0)+1,J$7-2),"SEM DADOS")</f>
        <v>0</v>
      </c>
      <c r="J52" s="25">
        <f t="shared" si="7"/>
        <v>0</v>
      </c>
      <c r="K52" s="60">
        <f>IFERROR(INDEX(TBBP[],MATCH($C52,planoContas,0)+1,L$7)+INDEX(TBBP[],MATCH($C52,planoContas,0)+1,L$7-1)+INDEX(TBBP[],MATCH($C52,planoContas,0)+1,L$7-2),"SEM DADOS")</f>
        <v>0</v>
      </c>
      <c r="L52" s="25">
        <f t="shared" si="8"/>
        <v>0</v>
      </c>
      <c r="M52" s="60" t="str">
        <f>IFERROR(INDEX(TBBP[],MATCH($C52,planoContas,0)+1,N$7)+INDEX(TBBP[],MATCH($C52,planoContas,0)+1,N$7-1)+INDEX(TBBP[],MATCH($C52,planoContas,0)+1,N$7-2),"SEM DADOS")</f>
        <v>SEM DADOS</v>
      </c>
      <c r="N52" s="25" t="e">
        <f t="shared" si="9"/>
        <v>#VALUE!</v>
      </c>
      <c r="O52" s="47"/>
      <c r="P52" s="91">
        <f t="shared" si="11"/>
        <v>0</v>
      </c>
      <c r="Q52" s="91">
        <f t="shared" si="0"/>
        <v>0</v>
      </c>
      <c r="R52" s="90">
        <f t="shared" si="1"/>
        <v>0</v>
      </c>
    </row>
    <row r="53" spans="3:18" x14ac:dyDescent="0.3">
      <c r="C53" t="s">
        <v>394</v>
      </c>
      <c r="F53" s="7" t="s">
        <v>635</v>
      </c>
      <c r="G53" s="60">
        <f>IFERROR(INDEX(TBBP[],MATCH($C53,planoContas,0)+1,H$7)+INDEX(TBBP[],MATCH($C53,planoContas,0)+1,H$7-1)+INDEX(TBBP[],MATCH($C53,planoContas,0)+1,H$7-2),"SEM DADOS")</f>
        <v>0</v>
      </c>
      <c r="H53" s="25">
        <f t="shared" si="10"/>
        <v>0</v>
      </c>
      <c r="I53" s="60">
        <f>IFERROR(INDEX(TBBP[],MATCH($C53,planoContas,0)+1,J$7)+INDEX(TBBP[],MATCH($C53,planoContas,0)+1,J$7-1)+INDEX(TBBP[],MATCH($C53,planoContas,0)+1,J$7-2),"SEM DADOS")</f>
        <v>0</v>
      </c>
      <c r="J53" s="25">
        <f t="shared" si="7"/>
        <v>0</v>
      </c>
      <c r="K53" s="60">
        <f>IFERROR(INDEX(TBBP[],MATCH($C53,planoContas,0)+1,L$7)+INDEX(TBBP[],MATCH($C53,planoContas,0)+1,L$7-1)+INDEX(TBBP[],MATCH($C53,planoContas,0)+1,L$7-2),"SEM DADOS")</f>
        <v>0</v>
      </c>
      <c r="L53" s="25">
        <f t="shared" si="8"/>
        <v>0</v>
      </c>
      <c r="M53" s="60" t="str">
        <f>IFERROR(INDEX(TBBP[],MATCH($C53,planoContas,0)+1,N$7)+INDEX(TBBP[],MATCH($C53,planoContas,0)+1,N$7-1)+INDEX(TBBP[],MATCH($C53,planoContas,0)+1,N$7-2),"SEM DADOS")</f>
        <v>SEM DADOS</v>
      </c>
      <c r="N53" s="25" t="e">
        <f t="shared" si="9"/>
        <v>#VALUE!</v>
      </c>
      <c r="O53" s="47"/>
      <c r="P53" s="91">
        <f t="shared" si="11"/>
        <v>0</v>
      </c>
      <c r="Q53" s="91">
        <f t="shared" si="0"/>
        <v>0</v>
      </c>
      <c r="R53" s="90">
        <f t="shared" si="1"/>
        <v>0</v>
      </c>
    </row>
    <row r="54" spans="3:18" x14ac:dyDescent="0.3">
      <c r="C54" t="s">
        <v>383</v>
      </c>
      <c r="F54" s="7" t="s">
        <v>279</v>
      </c>
      <c r="G54" s="60">
        <f>IFERROR(INDEX(TBBP[],MATCH($C54,planoContas,0)+1,H$7)+INDEX(TBBP[],MATCH($C54,planoContas,0)+1,H$7-1)+INDEX(TBBP[],MATCH($C54,planoContas,0)+1,H$7-2),"SEM DADOS")</f>
        <v>-10369.18</v>
      </c>
      <c r="H54" s="25">
        <f t="shared" si="10"/>
        <v>-4.4010396763664118E-4</v>
      </c>
      <c r="I54" s="60">
        <f>IFERROR(INDEX(TBBP[],MATCH($C54,planoContas,0)+1,J$7)+INDEX(TBBP[],MATCH($C54,planoContas,0)+1,J$7-1)+INDEX(TBBP[],MATCH($C54,planoContas,0)+1,J$7-2),"SEM DADOS")</f>
        <v>-894</v>
      </c>
      <c r="J54" s="25">
        <f t="shared" si="7"/>
        <v>-3.3566722113897896E-5</v>
      </c>
      <c r="K54" s="60">
        <f>IFERROR(INDEX(TBBP[],MATCH($C54,planoContas,0)+1,L$7)+INDEX(TBBP[],MATCH($C54,planoContas,0)+1,L$7-1)+INDEX(TBBP[],MATCH($C54,planoContas,0)+1,L$7-2),"SEM DADOS")</f>
        <v>720.41000000000008</v>
      </c>
      <c r="L54" s="25">
        <f t="shared" si="8"/>
        <v>2.8439924407477587E-5</v>
      </c>
      <c r="M54" s="60" t="str">
        <f>IFERROR(INDEX(TBBP[],MATCH($C54,planoContas,0)+1,N$7)+INDEX(TBBP[],MATCH($C54,planoContas,0)+1,N$7-1)+INDEX(TBBP[],MATCH($C54,planoContas,0)+1,N$7-2),"SEM DADOS")</f>
        <v>SEM DADOS</v>
      </c>
      <c r="N54" s="25" t="e">
        <f t="shared" si="9"/>
        <v>#VALUE!</v>
      </c>
      <c r="O54" s="47"/>
      <c r="P54" s="91">
        <f t="shared" si="11"/>
        <v>-0.91378296065841269</v>
      </c>
      <c r="Q54" s="91">
        <f t="shared" si="0"/>
        <v>-1.8058277404921701</v>
      </c>
      <c r="R54" s="90">
        <f t="shared" si="1"/>
        <v>0</v>
      </c>
    </row>
    <row r="55" spans="3:18" x14ac:dyDescent="0.3">
      <c r="C55" t="s">
        <v>377</v>
      </c>
      <c r="F55" s="7" t="s">
        <v>280</v>
      </c>
      <c r="G55" s="60">
        <f>IFERROR(INDEX(TBBP[],MATCH($C55,planoContas,0)+1,H$7)+INDEX(TBBP[],MATCH($C55,planoContas,0)+1,H$7-1)+INDEX(TBBP[],MATCH($C55,planoContas,0)+1,H$7-2),"SEM DADOS")</f>
        <v>-3071.07</v>
      </c>
      <c r="H55" s="25">
        <f t="shared" si="10"/>
        <v>-1.3034686367580268E-4</v>
      </c>
      <c r="I55" s="60">
        <f>IFERROR(INDEX(TBBP[],MATCH($C55,planoContas,0)+1,J$7)+INDEX(TBBP[],MATCH($C55,planoContas,0)+1,J$7-1)+INDEX(TBBP[],MATCH($C55,planoContas,0)+1,J$7-2),"SEM DADOS")</f>
        <v>-2787.68</v>
      </c>
      <c r="J55" s="25">
        <f t="shared" si="7"/>
        <v>-1.0466809832491149E-4</v>
      </c>
      <c r="K55" s="60">
        <f>IFERROR(INDEX(TBBP[],MATCH($C55,planoContas,0)+1,L$7)+INDEX(TBBP[],MATCH($C55,planoContas,0)+1,L$7-1)+INDEX(TBBP[],MATCH($C55,planoContas,0)+1,L$7-2),"SEM DADOS")</f>
        <v>0</v>
      </c>
      <c r="L55" s="25">
        <f t="shared" si="8"/>
        <v>0</v>
      </c>
      <c r="M55" s="60" t="str">
        <f>IFERROR(INDEX(TBBP[],MATCH($C55,planoContas,0)+1,N$7)+INDEX(TBBP[],MATCH($C55,planoContas,0)+1,N$7-1)+INDEX(TBBP[],MATCH($C55,planoContas,0)+1,N$7-2),"SEM DADOS")</f>
        <v>SEM DADOS</v>
      </c>
      <c r="N55" s="25" t="e">
        <f t="shared" si="9"/>
        <v>#VALUE!</v>
      </c>
      <c r="O55" s="47"/>
      <c r="P55" s="91">
        <f t="shared" si="11"/>
        <v>-9.2277284464372444E-2</v>
      </c>
      <c r="Q55" s="91">
        <f t="shared" si="0"/>
        <v>-1</v>
      </c>
      <c r="R55" s="90">
        <f t="shared" si="1"/>
        <v>0</v>
      </c>
    </row>
    <row r="56" spans="3:18" x14ac:dyDescent="0.3">
      <c r="C56" t="s">
        <v>389</v>
      </c>
      <c r="F56" s="7" t="s">
        <v>281</v>
      </c>
      <c r="G56" s="60">
        <f>IFERROR(INDEX(TBBP[],MATCH($C56,planoContas,0)+1,H$7)+INDEX(TBBP[],MATCH($C56,planoContas,0)+1,H$7-1)+INDEX(TBBP[],MATCH($C56,planoContas,0)+1,H$7-2),"SEM DADOS")</f>
        <v>0</v>
      </c>
      <c r="H56" s="25">
        <f t="shared" si="10"/>
        <v>0</v>
      </c>
      <c r="I56" s="60">
        <f>IFERROR(INDEX(TBBP[],MATCH($C56,planoContas,0)+1,J$7)+INDEX(TBBP[],MATCH($C56,planoContas,0)+1,J$7-1)+INDEX(TBBP[],MATCH($C56,planoContas,0)+1,J$7-2),"SEM DADOS")</f>
        <v>0</v>
      </c>
      <c r="J56" s="25">
        <f t="shared" si="7"/>
        <v>0</v>
      </c>
      <c r="K56" s="60">
        <f>IFERROR(INDEX(TBBP[],MATCH($C56,planoContas,0)+1,L$7)+INDEX(TBBP[],MATCH($C56,planoContas,0)+1,L$7-1)+INDEX(TBBP[],MATCH($C56,planoContas,0)+1,L$7-2),"SEM DADOS")</f>
        <v>0</v>
      </c>
      <c r="L56" s="25">
        <f t="shared" si="8"/>
        <v>0</v>
      </c>
      <c r="M56" s="60" t="str">
        <f>IFERROR(INDEX(TBBP[],MATCH($C56,planoContas,0)+1,N$7)+INDEX(TBBP[],MATCH($C56,planoContas,0)+1,N$7-1)+INDEX(TBBP[],MATCH($C56,planoContas,0)+1,N$7-2),"SEM DADOS")</f>
        <v>SEM DADOS</v>
      </c>
      <c r="N56" s="25" t="e">
        <f t="shared" si="9"/>
        <v>#VALUE!</v>
      </c>
      <c r="O56" s="47"/>
      <c r="P56" s="91">
        <f t="shared" si="11"/>
        <v>0</v>
      </c>
      <c r="Q56" s="91">
        <f t="shared" si="0"/>
        <v>0</v>
      </c>
      <c r="R56" s="90">
        <f t="shared" si="1"/>
        <v>0</v>
      </c>
    </row>
    <row r="57" spans="3:18" x14ac:dyDescent="0.3">
      <c r="C57" t="s">
        <v>391</v>
      </c>
      <c r="F57" s="7" t="s">
        <v>282</v>
      </c>
      <c r="G57" s="60">
        <f>IFERROR(INDEX(TBBP[],MATCH($C57,planoContas,0)+1,H$7)+INDEX(TBBP[],MATCH($C57,planoContas,0)+1,H$7-1)+INDEX(TBBP[],MATCH($C57,planoContas,0)+1,H$7-2),"SEM DADOS")</f>
        <v>0</v>
      </c>
      <c r="H57" s="25">
        <f t="shared" si="10"/>
        <v>0</v>
      </c>
      <c r="I57" s="60">
        <f>IFERROR(INDEX(TBBP[],MATCH($C57,planoContas,0)+1,J$7)+INDEX(TBBP[],MATCH($C57,planoContas,0)+1,J$7-1)+INDEX(TBBP[],MATCH($C57,planoContas,0)+1,J$7-2),"SEM DADOS")</f>
        <v>0</v>
      </c>
      <c r="J57" s="25">
        <f t="shared" si="7"/>
        <v>0</v>
      </c>
      <c r="K57" s="60">
        <f>IFERROR(INDEX(TBBP[],MATCH($C57,planoContas,0)+1,L$7)+INDEX(TBBP[],MATCH($C57,planoContas,0)+1,L$7-1)+INDEX(TBBP[],MATCH($C57,planoContas,0)+1,L$7-2),"SEM DADOS")</f>
        <v>0</v>
      </c>
      <c r="L57" s="25">
        <f t="shared" si="8"/>
        <v>0</v>
      </c>
      <c r="M57" s="60" t="str">
        <f>IFERROR(INDEX(TBBP[],MATCH($C57,planoContas,0)+1,N$7),"SEM DADOS")</f>
        <v>SEM DADOS</v>
      </c>
      <c r="N57" s="25" t="e">
        <f t="shared" si="9"/>
        <v>#VALUE!</v>
      </c>
      <c r="O57" s="47"/>
      <c r="P57" s="91">
        <f t="shared" si="11"/>
        <v>0</v>
      </c>
      <c r="Q57" s="91">
        <f t="shared" si="0"/>
        <v>0</v>
      </c>
      <c r="R57" s="90">
        <f t="shared" si="1"/>
        <v>0</v>
      </c>
    </row>
    <row r="58" spans="3:18" x14ac:dyDescent="0.3">
      <c r="F58" s="7" t="s">
        <v>283</v>
      </c>
      <c r="G58" s="60">
        <f>G48-G49-G50-G51-G52-G53-G54-G55-G56-G57</f>
        <v>4.5474735088646412E-13</v>
      </c>
      <c r="H58" s="25">
        <f t="shared" si="10"/>
        <v>1.9301054991560056E-20</v>
      </c>
      <c r="I58" s="60">
        <f>I48-I49-I50-I51-I52-I53-I54-I55-I56-I57</f>
        <v>0</v>
      </c>
      <c r="J58" s="25">
        <f t="shared" si="7"/>
        <v>0</v>
      </c>
      <c r="K58" s="60">
        <f>K48-K49-K50-K51-K52-K53-K54-K55-K56-K57</f>
        <v>0</v>
      </c>
      <c r="L58" s="25">
        <f t="shared" si="8"/>
        <v>0</v>
      </c>
      <c r="M58" s="60" t="e">
        <f>M48-M49-M50-M51-M52-M53-M54-M55-M56-M57</f>
        <v>#VALUE!</v>
      </c>
      <c r="N58" s="25" t="e">
        <f t="shared" si="9"/>
        <v>#VALUE!</v>
      </c>
      <c r="O58" s="47"/>
      <c r="P58" s="91">
        <f t="shared" si="11"/>
        <v>-1</v>
      </c>
      <c r="Q58" s="91">
        <f t="shared" si="0"/>
        <v>0</v>
      </c>
      <c r="R58" s="90">
        <f t="shared" si="1"/>
        <v>0</v>
      </c>
    </row>
    <row r="59" spans="3:18" ht="15" thickBot="1" x14ac:dyDescent="0.35">
      <c r="D59" s="6" t="s">
        <v>284</v>
      </c>
      <c r="F59" s="181" t="s">
        <v>285</v>
      </c>
      <c r="G59" s="175">
        <f>G26+G28+G30+G34+G48</f>
        <v>-16064451.560000001</v>
      </c>
      <c r="H59" s="170">
        <f t="shared" si="10"/>
        <v>-0.68183104830494123</v>
      </c>
      <c r="I59" s="175">
        <f>I26+I28+I30+I34+I48</f>
        <v>-17906250.390000001</v>
      </c>
      <c r="J59" s="170">
        <f t="shared" si="7"/>
        <v>-0.67232005698322805</v>
      </c>
      <c r="K59" s="175">
        <f>K26+K28+K30+K34+K48</f>
        <v>-18500808.890000001</v>
      </c>
      <c r="L59" s="170">
        <f t="shared" si="8"/>
        <v>-0.73036410697906651</v>
      </c>
      <c r="M59" s="175" t="e">
        <f>M26+M28+M30+M34+M48</f>
        <v>#VALUE!</v>
      </c>
      <c r="N59" s="170" t="e">
        <f t="shared" si="9"/>
        <v>#VALUE!</v>
      </c>
      <c r="O59" s="177"/>
      <c r="P59" s="170">
        <f t="shared" si="11"/>
        <v>0.11465058879358336</v>
      </c>
      <c r="Q59" s="170">
        <f t="shared" si="0"/>
        <v>3.3203964372800154E-2</v>
      </c>
      <c r="R59" s="164">
        <f t="shared" si="1"/>
        <v>0</v>
      </c>
    </row>
    <row r="60" spans="3:18" ht="15" thickTop="1" x14ac:dyDescent="0.3">
      <c r="G60" s="16"/>
      <c r="H60" s="33"/>
      <c r="I60" s="16"/>
      <c r="J60" s="33"/>
      <c r="K60" s="16"/>
      <c r="L60" s="33"/>
      <c r="M60" s="16"/>
      <c r="N60" s="33"/>
      <c r="O60" s="46"/>
      <c r="P60" s="16"/>
      <c r="Q60" s="16"/>
    </row>
    <row r="61" spans="3:18" ht="15" thickBot="1" x14ac:dyDescent="0.35">
      <c r="C61" t="s">
        <v>637</v>
      </c>
      <c r="D61" s="6" t="s">
        <v>286</v>
      </c>
      <c r="F61" s="180" t="s">
        <v>101</v>
      </c>
      <c r="G61" s="174">
        <f>G24+G59</f>
        <v>7496299.4499999974</v>
      </c>
      <c r="H61" s="164">
        <f>G61/$G$24</f>
        <v>0.31816895169505882</v>
      </c>
      <c r="I61" s="174">
        <f>I24+I59</f>
        <v>8727270.6599999964</v>
      </c>
      <c r="J61" s="164">
        <f>I61/$I$24</f>
        <v>0.327679943016772</v>
      </c>
      <c r="K61" s="174">
        <f>K24+K59</f>
        <v>6830130.4499999955</v>
      </c>
      <c r="L61" s="164">
        <f>K61/$K$24</f>
        <v>0.26963589302093355</v>
      </c>
      <c r="M61" s="174" t="e">
        <f>M24+M59</f>
        <v>#VALUE!</v>
      </c>
      <c r="N61" s="164" t="e">
        <f>M61/$M$24</f>
        <v>#VALUE!</v>
      </c>
      <c r="O61" s="176"/>
      <c r="P61" s="164">
        <f>IFERROR(IF(AND(G61=0,I61&lt;&gt;0),0,(I61/G61)-1),0)</f>
        <v>0.16421051723060498</v>
      </c>
      <c r="Q61" s="164">
        <f t="shared" si="0"/>
        <v>-0.21738070055455361</v>
      </c>
      <c r="R61" s="164">
        <f t="shared" si="1"/>
        <v>0</v>
      </c>
    </row>
    <row r="62" spans="3:18" ht="15" thickTop="1" x14ac:dyDescent="0.3">
      <c r="G62" s="16"/>
      <c r="H62" s="33"/>
      <c r="I62" s="16"/>
      <c r="J62" s="33"/>
      <c r="K62" s="16"/>
      <c r="L62" s="33"/>
      <c r="M62" s="16"/>
      <c r="N62" s="33"/>
      <c r="O62" s="46"/>
      <c r="P62" s="16"/>
      <c r="Q62" s="16"/>
    </row>
    <row r="63" spans="3:18" ht="15" thickBot="1" x14ac:dyDescent="0.35">
      <c r="D63" s="6" t="s">
        <v>287</v>
      </c>
      <c r="F63" s="181" t="s">
        <v>288</v>
      </c>
      <c r="G63" s="175">
        <f>SUM(G64:G70)</f>
        <v>-1572952.63</v>
      </c>
      <c r="H63" s="170">
        <f t="shared" ref="H63:H70" si="12">G63/$G$24</f>
        <v>-6.6761565848744986E-2</v>
      </c>
      <c r="I63" s="175">
        <f>SUM(I64:I70)</f>
        <v>-1780529.2300000002</v>
      </c>
      <c r="J63" s="170">
        <f t="shared" ref="J63:J70" si="13">I63/$I$24</f>
        <v>-6.6852941699197532E-2</v>
      </c>
      <c r="K63" s="175">
        <f>SUM(K64:K70)</f>
        <v>-1927194.79</v>
      </c>
      <c r="L63" s="170">
        <f t="shared" ref="L63:L70" si="14">K63/$K$24</f>
        <v>-7.6080668155751083E-2</v>
      </c>
      <c r="M63" s="175">
        <f>SUM(M64:M70)</f>
        <v>0</v>
      </c>
      <c r="N63" s="170" t="e">
        <f>M63/$M$24</f>
        <v>#VALUE!</v>
      </c>
      <c r="O63" s="177"/>
      <c r="P63" s="170">
        <f t="shared" ref="P63:P69" si="15">IFERROR(IF(AND(G63=0,I63&lt;&gt;0),0,(I63/G63)-1),0)</f>
        <v>0.13196621184962209</v>
      </c>
      <c r="Q63" s="170">
        <f t="shared" si="0"/>
        <v>8.2371891193271596E-2</v>
      </c>
      <c r="R63" s="164">
        <f t="shared" si="1"/>
        <v>-1</v>
      </c>
    </row>
    <row r="64" spans="3:18" ht="15" thickTop="1" x14ac:dyDescent="0.3">
      <c r="C64" t="s">
        <v>398</v>
      </c>
      <c r="F64" s="7" t="s">
        <v>289</v>
      </c>
      <c r="G64" s="60">
        <f>IFERROR(INDEX(TBBP[],MATCH($C64,planoContas,0)+1,H$7)+INDEX(TBBP[],MATCH($C64,planoContas,0)+1,H$7-1)+INDEX(TBBP[],MATCH($C64,planoContas,0)+1,H$7-2),"SEM DADOS")</f>
        <v>-93930.95</v>
      </c>
      <c r="H64" s="25">
        <f t="shared" si="12"/>
        <v>-3.9867553440946111E-3</v>
      </c>
      <c r="I64" s="60">
        <f>IFERROR(INDEX(TBBP[],MATCH($C64,planoContas,0)+1,J$7)+INDEX(TBBP[],MATCH($C64,planoContas,0)+1,J$7-1)+INDEX(TBBP[],MATCH($C64,planoContas,0)+1,J$7-2),"SEM DADOS")</f>
        <v>-128478.72</v>
      </c>
      <c r="J64" s="25">
        <f t="shared" si="13"/>
        <v>-4.8239479773929481E-3</v>
      </c>
      <c r="K64" s="60">
        <f>IFERROR(INDEX(TBBP[],MATCH($C64,planoContas,0)+1,L$7)+INDEX(TBBP[],MATCH($C64,planoContas,0)+1,L$7-1)+INDEX(TBBP[],MATCH($C64,planoContas,0)+1,L$7-2),"SEM DADOS")</f>
        <v>-225497.77</v>
      </c>
      <c r="L64" s="25">
        <f t="shared" si="14"/>
        <v>-8.9020690063363449E-3</v>
      </c>
      <c r="M64" s="60" t="str">
        <f>IFERROR(INDEX(TBBP[],MATCH($C64,planoContas,0)+1,N$7)+INDEX(TBBP[],MATCH($C64,planoContas,0)+1,N$7-1)+INDEX(TBBP[],MATCH($C64,planoContas,0)+1,N$7-2),"SEM DADOS")</f>
        <v>SEM DADOS</v>
      </c>
      <c r="N64" s="25" t="e">
        <f t="shared" ref="N64:N70" si="16">M64/$M$24</f>
        <v>#VALUE!</v>
      </c>
      <c r="O64" s="47"/>
      <c r="P64" s="91">
        <f t="shared" si="15"/>
        <v>0.36779964431318968</v>
      </c>
      <c r="Q64" s="91">
        <f t="shared" si="0"/>
        <v>0.75513711531372651</v>
      </c>
      <c r="R64" s="90">
        <f t="shared" si="1"/>
        <v>0</v>
      </c>
    </row>
    <row r="65" spans="3:18" x14ac:dyDescent="0.3">
      <c r="C65" t="s">
        <v>404</v>
      </c>
      <c r="F65" s="7" t="s">
        <v>290</v>
      </c>
      <c r="G65" s="60">
        <f>IFERROR(INDEX(TBBP[],MATCH($C65,planoContas,0)+1,H$7)+INDEX(TBBP[],MATCH($C65,planoContas,0)+1,H$7-1)+INDEX(TBBP[],MATCH($C65,planoContas,0)+1,H$7-2),"SEM DADOS")</f>
        <v>-551751.79</v>
      </c>
      <c r="H65" s="25">
        <f t="shared" si="12"/>
        <v>-2.3418259874900316E-2</v>
      </c>
      <c r="I65" s="60">
        <f>IFERROR(INDEX(TBBP[],MATCH($C65,planoContas,0)+1,J$7)+INDEX(TBBP[],MATCH($C65,planoContas,0)+1,J$7-1)+INDEX(TBBP[],MATCH($C65,planoContas,0)+1,J$7-2),"SEM DADOS")</f>
        <v>-824445.79</v>
      </c>
      <c r="J65" s="25">
        <f t="shared" si="13"/>
        <v>-3.095519321130092E-2</v>
      </c>
      <c r="K65" s="60">
        <f>IFERROR(INDEX(TBBP[],MATCH($C65,planoContas,0)+1,L$7)+INDEX(TBBP[],MATCH($C65,planoContas,0)+1,L$7-1)+INDEX(TBBP[],MATCH($C65,planoContas,0)+1,L$7-2),"SEM DADOS")</f>
        <v>-784435.41</v>
      </c>
      <c r="L65" s="25">
        <f t="shared" si="14"/>
        <v>-3.0967482076801663E-2</v>
      </c>
      <c r="M65" s="60" t="str">
        <f>IFERROR(INDEX(TBBP[],MATCH($C65,planoContas,0)+1,N$7)+INDEX(TBBP[],MATCH($C65,planoContas,0)+1,N$7-1)+INDEX(TBBP[],MATCH($C65,planoContas,0)+1,N$7-2),"SEM DADOS")</f>
        <v>SEM DADOS</v>
      </c>
      <c r="N65" s="25" t="e">
        <f t="shared" si="16"/>
        <v>#VALUE!</v>
      </c>
      <c r="O65" s="47"/>
      <c r="P65" s="91">
        <f t="shared" si="15"/>
        <v>0.49423310434570578</v>
      </c>
      <c r="Q65" s="91">
        <f t="shared" si="0"/>
        <v>-4.8530031307455701E-2</v>
      </c>
      <c r="R65" s="90">
        <f t="shared" si="1"/>
        <v>0</v>
      </c>
    </row>
    <row r="66" spans="3:18" x14ac:dyDescent="0.3">
      <c r="C66" t="s">
        <v>401</v>
      </c>
      <c r="F66" s="7" t="s">
        <v>638</v>
      </c>
      <c r="G66" s="60">
        <f>IFERROR(INDEX(TBBP[],MATCH($C66,planoContas,0)+1,H$7)+INDEX(TBBP[],MATCH($C66,planoContas,0)+1,H$7-1)+INDEX(TBBP[],MATCH($C66,planoContas,0)+1,H$7-2),"SEM DADOS")</f>
        <v>-115254.73000000001</v>
      </c>
      <c r="H66" s="25">
        <f t="shared" si="12"/>
        <v>-4.8918105348629134E-3</v>
      </c>
      <c r="I66" s="60">
        <f>IFERROR(INDEX(TBBP[],MATCH($C66,planoContas,0)+1,J$7)+INDEX(TBBP[],MATCH($C66,planoContas,0)+1,J$7-1)+INDEX(TBBP[],MATCH($C66,planoContas,0)+1,J$7-2),"SEM DADOS")</f>
        <v>-60132.460000000006</v>
      </c>
      <c r="J66" s="25">
        <f t="shared" si="13"/>
        <v>-2.2577735736522158E-3</v>
      </c>
      <c r="K66" s="60">
        <f>IFERROR(INDEX(TBBP[],MATCH($C66,planoContas,0)+1,L$7)+INDEX(TBBP[],MATCH($C66,planoContas,0)+1,L$7-1)+INDEX(TBBP[],MATCH($C66,planoContas,0)+1,L$7-2),"SEM DADOS")</f>
        <v>-75909.95</v>
      </c>
      <c r="L66" s="25">
        <f t="shared" si="14"/>
        <v>-2.9967285847994933E-3</v>
      </c>
      <c r="M66" s="60" t="str">
        <f>IFERROR(INDEX(TBBP[],MATCH($C66,planoContas,0)+1,N$7)+INDEX(TBBP[],MATCH($C66,planoContas,0)+1,N$7-1)+INDEX(TBBP[],MATCH($C66,planoContas,0)+1,N$7-2),"SEM DADOS")</f>
        <v>SEM DADOS</v>
      </c>
      <c r="N66" s="25" t="e">
        <f t="shared" si="16"/>
        <v>#VALUE!</v>
      </c>
      <c r="O66" s="47"/>
      <c r="P66" s="91">
        <f t="shared" si="15"/>
        <v>-0.47826470983013014</v>
      </c>
      <c r="Q66" s="91">
        <f t="shared" si="0"/>
        <v>0.26237892146770636</v>
      </c>
      <c r="R66" s="90">
        <f t="shared" si="1"/>
        <v>0</v>
      </c>
    </row>
    <row r="67" spans="3:18" x14ac:dyDescent="0.3">
      <c r="C67" t="s">
        <v>416</v>
      </c>
      <c r="F67" s="7" t="s">
        <v>1058</v>
      </c>
      <c r="G67" s="60">
        <f>IFERROR(INDEX(TBBP[],MATCH($C67,planoContas,0)+1,H$7)+INDEX(TBBP[],MATCH($C67,planoContas,0)+1,H$7-1)+INDEX(TBBP[],MATCH($C67,planoContas,0)+1,H$7-2),"SEM DADOS")</f>
        <v>-12662.669999999998</v>
      </c>
      <c r="H67" s="25">
        <f t="shared" si="12"/>
        <v>-5.3744763885605869E-4</v>
      </c>
      <c r="I67" s="60">
        <f>IFERROR(INDEX(TBBP[],MATCH($C67,planoContas,0)+1,J$7)+INDEX(TBBP[],MATCH($C67,planoContas,0)+1,J$7-1)+INDEX(TBBP[],MATCH($C67,planoContas,0)+1,J$7-2),"SEM DADOS")</f>
        <v>-165664.57999999999</v>
      </c>
      <c r="J67" s="25">
        <f t="shared" si="13"/>
        <v>-6.2201531554536985E-3</v>
      </c>
      <c r="K67" s="60">
        <f>IFERROR(INDEX(TBBP[],MATCH($C67,planoContas,0)+1,L$7)+INDEX(TBBP[],MATCH($C67,planoContas,0)+1,L$7-1)+INDEX(TBBP[],MATCH($C67,planoContas,0)+1,L$7-2),"SEM DADOS")</f>
        <v>-62833.3</v>
      </c>
      <c r="L67" s="25">
        <f t="shared" si="14"/>
        <v>-2.4804962483479702E-3</v>
      </c>
      <c r="M67" s="60" t="str">
        <f>IFERROR(INDEX(TBBP[],MATCH($C67,planoContas,0)+1,N$7)+INDEX(TBBP[],MATCH($C67,planoContas,0)+1,N$7-1)+INDEX(TBBP[],MATCH($C67,planoContas,0)+1,N$7-2),"SEM DADOS")</f>
        <v>SEM DADOS</v>
      </c>
      <c r="N67" s="25" t="e">
        <f t="shared" si="16"/>
        <v>#VALUE!</v>
      </c>
      <c r="O67" s="47"/>
      <c r="P67" s="91">
        <f t="shared" si="15"/>
        <v>12.082910634171151</v>
      </c>
      <c r="Q67" s="91">
        <f t="shared" si="0"/>
        <v>-0.62071977003171108</v>
      </c>
      <c r="R67" s="90">
        <f t="shared" si="1"/>
        <v>0</v>
      </c>
    </row>
    <row r="68" spans="3:18" x14ac:dyDescent="0.3">
      <c r="C68" t="s">
        <v>410</v>
      </c>
      <c r="F68" s="7" t="s">
        <v>1059</v>
      </c>
      <c r="G68" s="60">
        <f>IFERROR(INDEX(TBBP[],MATCH($C68,planoContas,0)+1,H$7)+INDEX(TBBP[],MATCH($C68,planoContas,0)+1,H$7-1)+INDEX(TBBP[],MATCH($C68,planoContas,0)+1,H$7-2),"SEM DADOS")</f>
        <v>-352552.08999999997</v>
      </c>
      <c r="H68" s="25">
        <f t="shared" si="12"/>
        <v>-1.4963533626341735E-2</v>
      </c>
      <c r="I68" s="60">
        <f>IFERROR(INDEX(TBBP[],MATCH($C68,planoContas,0)+1,J$7)+INDEX(TBBP[],MATCH($C68,planoContas,0)+1,J$7-1)+INDEX(TBBP[],MATCH($C68,planoContas,0)+1,J$7-2),"SEM DADOS")</f>
        <v>-367988.34</v>
      </c>
      <c r="J68" s="25">
        <f t="shared" si="13"/>
        <v>-1.3816736409322794E-2</v>
      </c>
      <c r="K68" s="60">
        <f>IFERROR(INDEX(TBBP[],MATCH($C68,planoContas,0)+1,L$7)+INDEX(TBBP[],MATCH($C68,planoContas,0)+1,L$7-1)+INDEX(TBBP[],MATCH($C68,planoContas,0)+1,L$7-2),"SEM DADOS")</f>
        <v>-484542.73</v>
      </c>
      <c r="L68" s="25">
        <f t="shared" si="14"/>
        <v>-1.9128494348208409E-2</v>
      </c>
      <c r="M68" s="60" t="str">
        <f>IFERROR(INDEX(TBBP[],MATCH($C68,planoContas,0)+1,N$7)+INDEX(TBBP[],MATCH($C68,planoContas,0)+1,N$7-1)+INDEX(TBBP[],MATCH($C68,planoContas,0)+1,N$7-2),"SEM DADOS")</f>
        <v>SEM DADOS</v>
      </c>
      <c r="N68" s="25" t="e">
        <f t="shared" si="16"/>
        <v>#VALUE!</v>
      </c>
      <c r="O68" s="47"/>
      <c r="P68" s="91">
        <f t="shared" si="15"/>
        <v>4.3784310000828608E-2</v>
      </c>
      <c r="Q68" s="91">
        <f t="shared" si="0"/>
        <v>0.31673392151501312</v>
      </c>
      <c r="R68" s="90">
        <f t="shared" si="1"/>
        <v>0</v>
      </c>
    </row>
    <row r="69" spans="3:18" x14ac:dyDescent="0.3">
      <c r="C69" t="s">
        <v>406</v>
      </c>
      <c r="F69" s="7" t="s">
        <v>1060</v>
      </c>
      <c r="G69" s="60">
        <f>IFERROR(INDEX(TBBP[],MATCH($C69,planoContas,0)+1,H$7)+INDEX(TBBP[],MATCH($C69,planoContas,0)+1,H$7-1)+INDEX(TBBP[],MATCH($C69,planoContas,0)+1,H$7-2),"SEM DADOS")</f>
        <v>-446800.39999999997</v>
      </c>
      <c r="H69" s="25">
        <f t="shared" si="12"/>
        <v>-1.896375882968936E-2</v>
      </c>
      <c r="I69" s="60">
        <f>IFERROR(INDEX(TBBP[],MATCH($C69,planoContas,0)+1,J$7)+INDEX(TBBP[],MATCH($C69,planoContas,0)+1,J$7-1)+INDEX(TBBP[],MATCH($C69,planoContas,0)+1,J$7-2),"SEM DADOS")</f>
        <v>-233819.34</v>
      </c>
      <c r="J69" s="25">
        <f t="shared" si="13"/>
        <v>-8.7791373720749553E-3</v>
      </c>
      <c r="K69" s="60">
        <f>IFERROR(INDEX(TBBP[],MATCH($C69,planoContas,0)+1,L$7)+INDEX(TBBP[],MATCH($C69,planoContas,0)+1,L$7-1)+INDEX(TBBP[],MATCH($C69,planoContas,0)+1,L$7-2),"SEM DADOS")</f>
        <v>-293975.63</v>
      </c>
      <c r="L69" s="25">
        <f t="shared" si="14"/>
        <v>-1.16053978912572E-2</v>
      </c>
      <c r="M69" s="60" t="str">
        <f>IFERROR(INDEX(TBBP[],MATCH($C69,planoContas,0)+1,N$7)+INDEX(TBBP[],MATCH($C69,planoContas,0)+1,N$7-1)+INDEX(TBBP[],MATCH($C69,planoContas,0)+1,N$7-2),"SEM DADOS")</f>
        <v>SEM DADOS</v>
      </c>
      <c r="N69" s="25" t="e">
        <f t="shared" si="16"/>
        <v>#VALUE!</v>
      </c>
      <c r="O69" s="47"/>
      <c r="P69" s="91">
        <f t="shared" si="15"/>
        <v>-0.47668054907739565</v>
      </c>
      <c r="Q69" s="91">
        <f t="shared" si="0"/>
        <v>0.25727679327124964</v>
      </c>
      <c r="R69" s="90">
        <f t="shared" si="1"/>
        <v>0</v>
      </c>
    </row>
    <row r="70" spans="3:18" x14ac:dyDescent="0.3">
      <c r="C70" t="s">
        <v>421</v>
      </c>
      <c r="F70" s="7" t="s">
        <v>1061</v>
      </c>
      <c r="G70" s="60">
        <f>IFERROR(INDEX(TBBP[],MATCH($C70,planoContas,0)+1,H$7)+INDEX(TBBP[],MATCH($C70,planoContas,0)+1,H$7-1)+INDEX(TBBP[],MATCH($C70,planoContas,0)+1,H$7-2),"SEM DADOS")</f>
        <v>0</v>
      </c>
      <c r="H70" s="25">
        <f t="shared" si="12"/>
        <v>0</v>
      </c>
      <c r="I70" s="60">
        <f>IFERROR(INDEX(TBBP[],MATCH($C70,planoContas,0)+1,J$7)+INDEX(TBBP[],MATCH($C70,planoContas,0)+1,J$7-1)+INDEX(TBBP[],MATCH($C70,planoContas,0)+1,J$7-2),"SEM DADOS")</f>
        <v>0</v>
      </c>
      <c r="J70" s="25">
        <f t="shared" si="13"/>
        <v>0</v>
      </c>
      <c r="K70" s="60">
        <f>IFERROR(INDEX(TBBP[],MATCH($C70,planoContas,0)+1,L$7)+INDEX(TBBP[],MATCH($C70,planoContas,0)+1,L$7-1)+INDEX(TBBP[],MATCH($C70,planoContas,0)+1,L$7-2),"SEM DADOS")</f>
        <v>0</v>
      </c>
      <c r="L70" s="25">
        <f t="shared" si="14"/>
        <v>0</v>
      </c>
      <c r="M70" s="60" t="str">
        <f>IFERROR(INDEX(TBBP[],MATCH($C70,planoContas,0)+1,N$7)+INDEX(TBBP[],MATCH($C70,planoContas,0)+1,N$7-1)+INDEX(TBBP[],MATCH($C70,planoContas,0)+1,N$7-2),"SEM DADOS")</f>
        <v>SEM DADOS</v>
      </c>
      <c r="N70" s="25" t="e">
        <f t="shared" si="16"/>
        <v>#VALUE!</v>
      </c>
      <c r="O70" s="47"/>
      <c r="P70" s="91">
        <f>IFERROR(IF(AND(G70=0,I70&lt;&gt;0),0,(I70/G70)-1),0)</f>
        <v>0</v>
      </c>
      <c r="Q70" s="91">
        <f t="shared" si="0"/>
        <v>0</v>
      </c>
      <c r="R70" s="90">
        <f t="shared" si="1"/>
        <v>0</v>
      </c>
    </row>
    <row r="71" spans="3:18" x14ac:dyDescent="0.3">
      <c r="C71" t="s">
        <v>422</v>
      </c>
      <c r="F71" s="7" t="s">
        <v>1062</v>
      </c>
      <c r="G71" s="60">
        <f>IFERROR(INDEX(TBBP[],MATCH($C71,planoContas,0)+1,H$7)+INDEX(TBBP[],MATCH($C71,planoContas,0)+1,H$7-1)+INDEX(TBBP[],MATCH($C71,planoContas,0)+1,H$7-2),"SEM DADOS")</f>
        <v>-364060.55</v>
      </c>
      <c r="H71" s="25">
        <f>G71/$G$24</f>
        <v>-1.5451992589093621E-2</v>
      </c>
      <c r="I71" s="60">
        <f>IFERROR(INDEX(TBBP[],MATCH($C71,planoContas,0)+1,J$7)+INDEX(TBBP[],MATCH($C71,planoContas,0)+1,J$7-1)+INDEX(TBBP[],MATCH($C71,planoContas,0)+1,J$7-2),"SEM DADOS")</f>
        <v>-524313.3600000001</v>
      </c>
      <c r="J71" s="25">
        <f>I71/$I$24</f>
        <v>-1.9686220196559408E-2</v>
      </c>
      <c r="K71" s="60">
        <f>IFERROR(INDEX(TBBP[],MATCH($C71,planoContas,0)+1,L$7)+INDEX(TBBP[],MATCH($C71,planoContas,0)+1,L$7-1)+INDEX(TBBP[],MATCH($C71,planoContas,0)+1,L$7-2),"SEM DADOS")</f>
        <v>-467600.98</v>
      </c>
      <c r="L71" s="25">
        <f>K71/$K$24</f>
        <v>-1.8459677855752192E-2</v>
      </c>
      <c r="M71" s="60" t="str">
        <f>IFERROR(INDEX(TBBP[],MATCH($C71,planoContas,0)+1,N$7)+INDEX(TBBP[],MATCH($C71,planoContas,0)+1,N$7-1)+INDEX(TBBP[],MATCH($C71,planoContas,0)+1,N$7-2),"SEM DADOS")</f>
        <v>SEM DADOS</v>
      </c>
      <c r="N71" s="25" t="e">
        <f>M71/$M$24</f>
        <v>#VALUE!</v>
      </c>
      <c r="O71" s="47"/>
      <c r="P71" s="91">
        <f>IFERROR(IF(AND(G71=0,I71&lt;&gt;0),0,(I71/G71)-1),0)</f>
        <v>0.44018174998636939</v>
      </c>
      <c r="Q71" s="91">
        <f>IFERROR(IF(AND(I71=0,K71&lt;&gt;0),0,(K71/I71)-1),0)</f>
        <v>-0.10816504847406538</v>
      </c>
      <c r="R71" s="90">
        <f>IFERROR(IF(AND(K71=0,M71&lt;&gt;0),0,(M71/K71)-1),0)</f>
        <v>0</v>
      </c>
    </row>
    <row r="72" spans="3:18" x14ac:dyDescent="0.3">
      <c r="C72" t="s">
        <v>423</v>
      </c>
      <c r="F72" s="7" t="s">
        <v>1063</v>
      </c>
      <c r="G72" s="60">
        <f>IFERROR(INDEX(TBBP[],MATCH($C72,planoContas,0)+1,H$7)+INDEX(TBBP[],MATCH($C72,planoContas,0)+1,H$7-1)+INDEX(TBBP[],MATCH($C72,planoContas,0)+1,H$7-2),"SEM DADOS")</f>
        <v>-70578.929999999993</v>
      </c>
      <c r="H72" s="25">
        <f>G72/$G$24</f>
        <v>-2.9956146122016168E-3</v>
      </c>
      <c r="I72" s="60">
        <f>IFERROR(INDEX(TBBP[],MATCH($C72,planoContas,0)+1,J$7)+INDEX(TBBP[],MATCH($C72,planoContas,0)+1,J$7-1)+INDEX(TBBP[],MATCH($C72,planoContas,0)+1,J$7-2),"SEM DADOS")</f>
        <v>-72984.78</v>
      </c>
      <c r="J72" s="25">
        <f>I72/$I$24</f>
        <v>-2.7403353789753611E-3</v>
      </c>
      <c r="K72" s="60">
        <f>IFERROR(INDEX(TBBP[],MATCH($C72,planoContas,0)+1,L$7)+INDEX(TBBP[],MATCH($C72,planoContas,0)+1,L$7-1)+INDEX(TBBP[],MATCH($C72,planoContas,0)+1,L$7-2),"SEM DADOS")</f>
        <v>-46351.710000000006</v>
      </c>
      <c r="L72" s="25">
        <f>K72/$K$24</f>
        <v>-1.8298456830934092E-3</v>
      </c>
      <c r="M72" s="60" t="str">
        <f>IFERROR(INDEX(TBBP[],MATCH($C72,planoContas,0)+1,N$7)+INDEX(TBBP[],MATCH($C72,planoContas,0)+1,N$7-1)+INDEX(TBBP[],MATCH($C72,planoContas,0)+1,N$7-2),"SEM DADOS")</f>
        <v>SEM DADOS</v>
      </c>
      <c r="N72" s="25" t="e">
        <f>M72/$M$24</f>
        <v>#VALUE!</v>
      </c>
      <c r="O72" s="47"/>
      <c r="P72" s="91">
        <f>IFERROR(IF(AND(G72=0,I72&lt;&gt;0),0,(I72/G72)-1),0)</f>
        <v>3.4087368567361498E-2</v>
      </c>
      <c r="Q72" s="91">
        <f>IFERROR(IF(AND(I72=0,K72&lt;&gt;0),0,(K72/I72)-1),0)</f>
        <v>-0.36491265713207588</v>
      </c>
      <c r="R72" s="90">
        <f>IFERROR(IF(AND(K72=0,M72&lt;&gt;0),0,(M72/K72)-1),0)</f>
        <v>0</v>
      </c>
    </row>
    <row r="73" spans="3:18" x14ac:dyDescent="0.3">
      <c r="C73" t="s">
        <v>424</v>
      </c>
      <c r="F73" s="7" t="s">
        <v>1064</v>
      </c>
      <c r="G73" s="60">
        <f>IFERROR(INDEX(TBBP[],MATCH($C73,planoContas,0)+1,H$7)+INDEX(TBBP[],MATCH($C73,planoContas,0)+1,H$7-1)+INDEX(TBBP[],MATCH($C73,planoContas,0)+1,H$7-2),"SEM DADOS")</f>
        <v>-3</v>
      </c>
      <c r="H73" s="25">
        <f>G73/$G$24</f>
        <v>-1.2733040634938572E-7</v>
      </c>
      <c r="I73" s="60">
        <f>IFERROR(INDEX(TBBP[],MATCH($C73,planoContas,0)+1,J$7)+INDEX(TBBP[],MATCH($C73,planoContas,0)+1,J$7-1)+INDEX(TBBP[],MATCH($C73,planoContas,0)+1,J$7-2),"SEM DADOS")</f>
        <v>-3</v>
      </c>
      <c r="J73" s="25">
        <f>I73/$I$24</f>
        <v>-1.1264000709361711E-7</v>
      </c>
      <c r="K73" s="60">
        <f>IFERROR(INDEX(TBBP[],MATCH($C73,planoContas,0)+1,L$7)+INDEX(TBBP[],MATCH($C73,planoContas,0)+1,L$7-1)+INDEX(TBBP[],MATCH($C73,planoContas,0)+1,L$7-2),"SEM DADOS")</f>
        <v>-3</v>
      </c>
      <c r="L73" s="25">
        <f>K73/$K$24</f>
        <v>-1.1843224444751287E-7</v>
      </c>
      <c r="M73" s="60" t="str">
        <f>IFERROR(INDEX(TBBP[],MATCH($C73,planoContas,0)+1,N$7)+INDEX(TBBP[],MATCH($C73,planoContas,0)+1,N$7-1)+INDEX(TBBP[],MATCH($C73,planoContas,0)+1,N$7-2),"SEM DADOS")</f>
        <v>SEM DADOS</v>
      </c>
      <c r="N73" s="25" t="e">
        <f>M73/$M$24</f>
        <v>#VALUE!</v>
      </c>
      <c r="O73" s="47"/>
      <c r="P73" s="91">
        <f>IFERROR(IF(AND(G73=0,I73&lt;&gt;0),0,(I73/G73)-1),0)</f>
        <v>0</v>
      </c>
      <c r="Q73" s="91">
        <f>IFERROR(IF(AND(I73=0,K73&lt;&gt;0),0,(K73/I73)-1),0)</f>
        <v>0</v>
      </c>
      <c r="R73" s="90">
        <f>IFERROR(IF(AND(K73=0,M73&lt;&gt;0),0,(M73/K73)-1),0)</f>
        <v>0</v>
      </c>
    </row>
    <row r="74" spans="3:18" x14ac:dyDescent="0.3">
      <c r="G74" s="60"/>
      <c r="H74" s="25"/>
      <c r="I74" s="60"/>
      <c r="J74" s="25"/>
      <c r="K74" s="60"/>
      <c r="L74" s="25"/>
      <c r="M74" s="60"/>
      <c r="N74" s="25"/>
      <c r="O74" s="47"/>
      <c r="P74" s="91"/>
      <c r="Q74" s="91"/>
      <c r="R74" s="90"/>
    </row>
    <row r="75" spans="3:18" x14ac:dyDescent="0.3">
      <c r="G75" s="16"/>
      <c r="H75" s="33"/>
      <c r="I75" s="16"/>
      <c r="J75" s="33"/>
      <c r="K75" s="16"/>
      <c r="L75" s="33"/>
      <c r="M75" s="16"/>
      <c r="N75" s="33"/>
      <c r="O75" s="46"/>
      <c r="P75" s="16"/>
      <c r="Q75" s="16"/>
    </row>
    <row r="76" spans="3:18" ht="15" thickBot="1" x14ac:dyDescent="0.35">
      <c r="D76" s="6" t="s">
        <v>293</v>
      </c>
      <c r="F76" s="181" t="s">
        <v>294</v>
      </c>
      <c r="G76" s="175">
        <f>SUM(G77:G88)</f>
        <v>-1159234.6299999999</v>
      </c>
      <c r="H76" s="170">
        <f t="shared" ref="H76:H89" si="17">G76/$G$24</f>
        <v>-4.9201938830726599E-2</v>
      </c>
      <c r="I76" s="175">
        <f>SUM(I77:I88)</f>
        <v>-1666851.09</v>
      </c>
      <c r="J76" s="170">
        <f t="shared" ref="J76:J89" si="18">I76/$I$24</f>
        <v>-6.2584706200534468E-2</v>
      </c>
      <c r="K76" s="175">
        <f>SUM(K77:K88)</f>
        <v>-1612163.0599999996</v>
      </c>
      <c r="L76" s="170">
        <f t="shared" ref="L76:L89" si="19">K76/$K$24</f>
        <v>-6.3644029870390112E-2</v>
      </c>
      <c r="M76" s="175">
        <f>SUM(M77:M88)</f>
        <v>0</v>
      </c>
      <c r="N76" s="170" t="e">
        <f t="shared" ref="N76:N89" si="20">M76/$M$24</f>
        <v>#VALUE!</v>
      </c>
      <c r="O76" s="177"/>
      <c r="P76" s="170">
        <f t="shared" ref="P76:P89" si="21">IFERROR(IF(AND(G76=0,I76&lt;&gt;0),0,(I76/G76)-1),0)</f>
        <v>0.43788931667784992</v>
      </c>
      <c r="Q76" s="170">
        <f t="shared" si="0"/>
        <v>-3.2809187532163109E-2</v>
      </c>
      <c r="R76" s="164">
        <f t="shared" si="1"/>
        <v>-1</v>
      </c>
    </row>
    <row r="77" spans="3:18" ht="15" thickTop="1" x14ac:dyDescent="0.3">
      <c r="C77" t="s">
        <v>426</v>
      </c>
      <c r="F77" s="7" t="s">
        <v>295</v>
      </c>
      <c r="G77" s="60">
        <f>IFERROR(INDEX(TBBP[],MATCH($C77,planoContas,0)+1,H$7)+INDEX(TBBP[],MATCH($C77,planoContas,0)+1,H$7-1)+INDEX(TBBP[],MATCH($C77,planoContas,0)+1,H$7-2),"SEM DADOS")</f>
        <v>-239525.63</v>
      </c>
      <c r="H77" s="25">
        <f t="shared" si="17"/>
        <v>-1.0166298599664206E-2</v>
      </c>
      <c r="I77" s="60">
        <f>IFERROR(INDEX(TBBP[],MATCH($C77,planoContas,0)+1,J$7)+INDEX(TBBP[],MATCH($C77,planoContas,0)+1,J$7-1)+INDEX(TBBP[],MATCH($C77,planoContas,0)+1,J$7-2),"SEM DADOS")</f>
        <v>-416625.50999999995</v>
      </c>
      <c r="J77" s="25">
        <f t="shared" si="18"/>
        <v>-1.564290013392728E-2</v>
      </c>
      <c r="K77" s="60">
        <f>IFERROR(INDEX(TBBP[],MATCH($C77,planoContas,0)+1,L$7)+INDEX(TBBP[],MATCH($C77,planoContas,0)+1,L$7-1)+INDEX(TBBP[],MATCH($C77,planoContas,0)+1,L$7-2),"SEM DADOS")</f>
        <v>-481973.77</v>
      </c>
      <c r="L77" s="25">
        <f t="shared" si="19"/>
        <v>-1.9027078448643115E-2</v>
      </c>
      <c r="M77" s="60" t="str">
        <f>IFERROR(INDEX(TBBP[],MATCH($C77,planoContas,0)+1,N$7)+INDEX(TBBP[],MATCH($C77,planoContas,0)+1,N$7-1)+INDEX(TBBP[],MATCH($C77,planoContas,0)+1,N$7-2),"SEM DADOS")</f>
        <v>SEM DADOS</v>
      </c>
      <c r="N77" s="25" t="e">
        <f t="shared" si="20"/>
        <v>#VALUE!</v>
      </c>
      <c r="O77" s="47"/>
      <c r="P77" s="91">
        <f t="shared" si="21"/>
        <v>0.7393775772555109</v>
      </c>
      <c r="Q77" s="91">
        <f t="shared" si="0"/>
        <v>0.15685131714570266</v>
      </c>
      <c r="R77" s="90">
        <f t="shared" si="1"/>
        <v>0</v>
      </c>
    </row>
    <row r="78" spans="3:18" x14ac:dyDescent="0.3">
      <c r="C78" t="s">
        <v>428</v>
      </c>
      <c r="F78" s="7" t="s">
        <v>296</v>
      </c>
      <c r="G78" s="60">
        <f>IFERROR(INDEX(TBBP[],MATCH($C78,planoContas,0)+1,H$7)+INDEX(TBBP[],MATCH($C78,planoContas,0)+1,H$7-1)+INDEX(TBBP[],MATCH($C78,planoContas,0)+1,H$7-2),"SEM DADOS")</f>
        <v>-349520.42</v>
      </c>
      <c r="H78" s="25">
        <f t="shared" si="17"/>
        <v>-1.4834859035335988E-2</v>
      </c>
      <c r="I78" s="60">
        <f>IFERROR(INDEX(TBBP[],MATCH($C78,planoContas,0)+1,J$7)+INDEX(TBBP[],MATCH($C78,planoContas,0)+1,J$7-1)+INDEX(TBBP[],MATCH($C78,planoContas,0)+1,J$7-2),"SEM DADOS")</f>
        <v>-453990.10000000003</v>
      </c>
      <c r="J78" s="25">
        <f t="shared" si="18"/>
        <v>-1.7045816028143979E-2</v>
      </c>
      <c r="K78" s="60">
        <f>IFERROR(INDEX(TBBP[],MATCH($C78,planoContas,0)+1,L$7)+INDEX(TBBP[],MATCH($C78,planoContas,0)+1,L$7-1)+INDEX(TBBP[],MATCH($C78,planoContas,0)+1,L$7-2),"SEM DADOS")</f>
        <v>-314951.75</v>
      </c>
      <c r="L78" s="25">
        <f t="shared" si="19"/>
        <v>-1.2433480881723987E-2</v>
      </c>
      <c r="M78" s="60" t="str">
        <f>IFERROR(INDEX(TBBP[],MATCH($C78,planoContas,0)+1,N$7)+INDEX(TBBP[],MATCH($C78,planoContas,0)+1,N$7-1)+INDEX(TBBP[],MATCH($C78,planoContas,0)+1,N$7-2),"SEM DADOS")</f>
        <v>SEM DADOS</v>
      </c>
      <c r="N78" s="25" t="e">
        <f t="shared" si="20"/>
        <v>#VALUE!</v>
      </c>
      <c r="O78" s="47"/>
      <c r="P78" s="91">
        <f t="shared" si="21"/>
        <v>0.29889435358311833</v>
      </c>
      <c r="Q78" s="91">
        <f t="shared" si="0"/>
        <v>-0.30625855057191786</v>
      </c>
      <c r="R78" s="90">
        <f t="shared" si="1"/>
        <v>0</v>
      </c>
    </row>
    <row r="79" spans="3:18" x14ac:dyDescent="0.3">
      <c r="C79" t="s">
        <v>444</v>
      </c>
      <c r="F79" s="7" t="s">
        <v>640</v>
      </c>
      <c r="G79" s="60">
        <f>IFERROR(INDEX(TBBP[],MATCH($C79,planoContas,0)+1,H$7)+INDEX(TBBP[],MATCH($C79,planoContas,0)+1,H$7-1)+INDEX(TBBP[],MATCH($C79,planoContas,0)+1,H$7-2),"SEM DADOS")</f>
        <v>-1608</v>
      </c>
      <c r="H79" s="25">
        <f t="shared" si="17"/>
        <v>-6.8249097803270748E-5</v>
      </c>
      <c r="I79" s="60">
        <f>IFERROR(INDEX(TBBP[],MATCH($C79,planoContas,0)+1,J$7)+INDEX(TBBP[],MATCH($C79,planoContas,0)+1,J$7-1)+INDEX(TBBP[],MATCH($C79,planoContas,0)+1,J$7-2),"SEM DADOS")</f>
        <v>-1449.42</v>
      </c>
      <c r="J79" s="25">
        <f t="shared" si="18"/>
        <v>-5.4420893027210168E-5</v>
      </c>
      <c r="K79" s="60">
        <f>IFERROR(INDEX(TBBP[],MATCH($C79,planoContas,0)+1,L$7)+INDEX(TBBP[],MATCH($C79,planoContas,0)+1,L$7-1)+INDEX(TBBP[],MATCH($C79,planoContas,0)+1,L$7-2),"SEM DADOS")</f>
        <v>-1846.42</v>
      </c>
      <c r="L79" s="25">
        <f t="shared" si="19"/>
        <v>-7.2891888264258904E-5</v>
      </c>
      <c r="M79" s="60" t="str">
        <f>IFERROR(INDEX(TBBP[],MATCH($C79,planoContas,0)+1,N$7)+INDEX(TBBP[],MATCH($C79,planoContas,0)+1,N$7-1)+INDEX(TBBP[],MATCH($C79,planoContas,0)+1,N$7-2),"SEM DADOS")</f>
        <v>SEM DADOS</v>
      </c>
      <c r="N79" s="25" t="e">
        <f t="shared" si="20"/>
        <v>#VALUE!</v>
      </c>
      <c r="O79" s="47"/>
      <c r="P79" s="91">
        <f t="shared" si="21"/>
        <v>-9.8619402985074545E-2</v>
      </c>
      <c r="Q79" s="91">
        <f t="shared" si="0"/>
        <v>0.27390266451408141</v>
      </c>
      <c r="R79" s="90">
        <f t="shared" si="1"/>
        <v>0</v>
      </c>
    </row>
    <row r="80" spans="3:18" x14ac:dyDescent="0.3">
      <c r="C80" t="s">
        <v>465</v>
      </c>
      <c r="F80" s="7" t="s">
        <v>641</v>
      </c>
      <c r="G80" s="60">
        <f>IFERROR(INDEX(TBBP[],MATCH($C80,planoContas,0)+1,H$7)+INDEX(TBBP[],MATCH($C80,planoContas,0)+1,H$7-1)+INDEX(TBBP[],MATCH($C80,planoContas,0)+1,H$7-2),"SEM DADOS")</f>
        <v>-1436.9099999999999</v>
      </c>
      <c r="H80" s="25">
        <f t="shared" si="17"/>
        <v>-6.0987444729165275E-5</v>
      </c>
      <c r="I80" s="60">
        <f>IFERROR(INDEX(TBBP[],MATCH($C80,planoContas,0)+1,J$7)+INDEX(TBBP[],MATCH($C80,planoContas,0)+1,J$7-1)+INDEX(TBBP[],MATCH($C80,planoContas,0)+1,J$7-2),"SEM DADOS")</f>
        <v>-3268.09</v>
      </c>
      <c r="J80" s="25">
        <f t="shared" si="18"/>
        <v>-1.2270589359419305E-4</v>
      </c>
      <c r="K80" s="60">
        <f>IFERROR(INDEX(TBBP[],MATCH($C80,planoContas,0)+1,L$7)+INDEX(TBBP[],MATCH($C80,planoContas,0)+1,L$7-1)+INDEX(TBBP[],MATCH($C80,planoContas,0)+1,L$7-2),"SEM DADOS")</f>
        <v>-1061.47</v>
      </c>
      <c r="L80" s="25">
        <f t="shared" si="19"/>
        <v>-4.1904091504567165E-5</v>
      </c>
      <c r="M80" s="60" t="str">
        <f>IFERROR(INDEX(TBBP[],MATCH($C80,planoContas,0)+1,N$7)+INDEX(TBBP[],MATCH($C80,planoContas,0)+1,N$7-1)+INDEX(TBBP[],MATCH($C80,planoContas,0)+1,N$7-2),"SEM DADOS")</f>
        <v>SEM DADOS</v>
      </c>
      <c r="N80" s="25" t="e">
        <f t="shared" si="20"/>
        <v>#VALUE!</v>
      </c>
      <c r="O80" s="47"/>
      <c r="P80" s="91">
        <f t="shared" si="21"/>
        <v>1.2743874007418698</v>
      </c>
      <c r="Q80" s="91">
        <f t="shared" si="0"/>
        <v>-0.67520172333075279</v>
      </c>
      <c r="R80" s="90">
        <f t="shared" si="1"/>
        <v>0</v>
      </c>
    </row>
    <row r="81" spans="3:18" x14ac:dyDescent="0.3">
      <c r="C81" t="s">
        <v>451</v>
      </c>
      <c r="F81" s="7" t="s">
        <v>642</v>
      </c>
      <c r="G81" s="60">
        <f>IFERROR(INDEX(TBBP[],MATCH($C81,planoContas,0)+1,H$7)+INDEX(TBBP[],MATCH($C81,planoContas,0)+1,H$7-1)+INDEX(TBBP[],MATCH($C81,planoContas,0)+1,H$7-2),"SEM DADOS")</f>
        <v>-16516.02</v>
      </c>
      <c r="H81" s="25">
        <f t="shared" si="17"/>
        <v>-7.0099717929152723E-4</v>
      </c>
      <c r="I81" s="60">
        <f>IFERROR(INDEX(TBBP[],MATCH($C81,planoContas,0)+1,J$7)+INDEX(TBBP[],MATCH($C81,planoContas,0)+1,J$7-1)+INDEX(TBBP[],MATCH($C81,planoContas,0)+1,J$7-2),"SEM DADOS")</f>
        <v>-12418.25</v>
      </c>
      <c r="J81" s="25">
        <f t="shared" si="18"/>
        <v>-4.6626392269677019E-4</v>
      </c>
      <c r="K81" s="60">
        <f>IFERROR(INDEX(TBBP[],MATCH($C81,planoContas,0)+1,L$7)+INDEX(TBBP[],MATCH($C81,planoContas,0)+1,L$7-1)+INDEX(TBBP[],MATCH($C81,planoContas,0)+1,L$7-2),"SEM DADOS")</f>
        <v>-11848.58</v>
      </c>
      <c r="L81" s="25">
        <f t="shared" si="19"/>
        <v>-4.6775130763863736E-4</v>
      </c>
      <c r="M81" s="60" t="str">
        <f>IFERROR(INDEX(TBBP[],MATCH($C81,planoContas,0)+1,N$7)+INDEX(TBBP[],MATCH($C81,planoContas,0)+1,N$7-1)+INDEX(TBBP[],MATCH($C81,planoContas,0)+1,N$7-2),"SEM DADOS")</f>
        <v>SEM DADOS</v>
      </c>
      <c r="N81" s="25" t="e">
        <f t="shared" si="20"/>
        <v>#VALUE!</v>
      </c>
      <c r="O81" s="47"/>
      <c r="P81" s="91">
        <f t="shared" si="21"/>
        <v>-0.24810880587453876</v>
      </c>
      <c r="Q81" s="91">
        <f t="shared" ref="Q81:Q89" si="22">IFERROR(IF(AND(I81=0,K81&lt;&gt;0),0,(K81/I81)-1),0)</f>
        <v>-4.5873613431844262E-2</v>
      </c>
      <c r="R81" s="90">
        <f t="shared" ref="R81:R89" si="23">IFERROR(IF(AND(K81=0,M81&lt;&gt;0),0,(M81/K81)-1),0)</f>
        <v>0</v>
      </c>
    </row>
    <row r="82" spans="3:18" x14ac:dyDescent="0.3">
      <c r="C82" t="s">
        <v>438</v>
      </c>
      <c r="F82" s="7" t="s">
        <v>297</v>
      </c>
      <c r="G82" s="60">
        <f>IFERROR(INDEX(TBBP[],MATCH($C82,planoContas,0)+1,H$7)+INDEX(TBBP[],MATCH($C82,planoContas,0)+1,H$7-1)+INDEX(TBBP[],MATCH($C82,planoContas,0)+1,H$7-2),"SEM DADOS")</f>
        <v>-332265.95</v>
      </c>
      <c r="H82" s="25">
        <f t="shared" si="17"/>
        <v>-1.4102519476521561E-2</v>
      </c>
      <c r="I82" s="60">
        <f>IFERROR(INDEX(TBBP[],MATCH($C82,planoContas,0)+1,J$7)+INDEX(TBBP[],MATCH($C82,planoContas,0)+1,J$7-1)+INDEX(TBBP[],MATCH($C82,planoContas,0)+1,J$7-2),"SEM DADOS")</f>
        <v>-430069.20000000007</v>
      </c>
      <c r="J82" s="25">
        <f t="shared" si="18"/>
        <v>-1.6147665912915412E-2</v>
      </c>
      <c r="K82" s="60">
        <f>IFERROR(INDEX(TBBP[],MATCH($C82,planoContas,0)+1,L$7)+INDEX(TBBP[],MATCH($C82,planoContas,0)+1,L$7-1)+INDEX(TBBP[],MATCH($C82,planoContas,0)+1,L$7-2),"SEM DADOS")</f>
        <v>-605538.82000000007</v>
      </c>
      <c r="L82" s="25">
        <f t="shared" si="19"/>
        <v>-2.3905107184232836E-2</v>
      </c>
      <c r="M82" s="60" t="str">
        <f>IFERROR(INDEX(TBBP[],MATCH($C82,planoContas,0)+1,N$7)+INDEX(TBBP[],MATCH($C82,planoContas,0)+1,N$7-1)+INDEX(TBBP[],MATCH($C82,planoContas,0)+1,N$7-2),"SEM DADOS")</f>
        <v>SEM DADOS</v>
      </c>
      <c r="N82" s="25" t="e">
        <f t="shared" si="20"/>
        <v>#VALUE!</v>
      </c>
      <c r="O82" s="47"/>
      <c r="P82" s="91">
        <f t="shared" si="21"/>
        <v>0.29435231025026809</v>
      </c>
      <c r="Q82" s="91">
        <f t="shared" si="22"/>
        <v>0.40800322366726083</v>
      </c>
      <c r="R82" s="90">
        <f t="shared" si="23"/>
        <v>0</v>
      </c>
    </row>
    <row r="83" spans="3:18" x14ac:dyDescent="0.3">
      <c r="C83" t="s">
        <v>461</v>
      </c>
      <c r="F83" s="7" t="s">
        <v>643</v>
      </c>
      <c r="G83" s="60">
        <f>IFERROR(INDEX(TBBP[],MATCH($C83,planoContas,0)+1,H$7)+INDEX(TBBP[],MATCH($C83,planoContas,0)+1,H$7-1)+INDEX(TBBP[],MATCH($C83,planoContas,0)+1,H$7-2),"SEM DADOS")</f>
        <v>-4614.8599999999997</v>
      </c>
      <c r="H83" s="25">
        <f t="shared" si="17"/>
        <v>-1.9587066634850874E-4</v>
      </c>
      <c r="I83" s="60">
        <f>IFERROR(INDEX(TBBP[],MATCH($C83,planoContas,0)+1,J$7)+INDEX(TBBP[],MATCH($C83,planoContas,0)+1,J$7-1)+INDEX(TBBP[],MATCH($C83,planoContas,0)+1,J$7-2),"SEM DADOS")</f>
        <v>-3628.71</v>
      </c>
      <c r="J83" s="25">
        <f t="shared" si="18"/>
        <v>-1.3624597338022644E-4</v>
      </c>
      <c r="K83" s="60">
        <f>IFERROR(INDEX(TBBP[],MATCH($C83,planoContas,0)+1,L$7)+INDEX(TBBP[],MATCH($C83,planoContas,0)+1,L$7-1)+INDEX(TBBP[],MATCH($C83,planoContas,0)+1,L$7-2),"SEM DADOS")</f>
        <v>-3284.8199999999997</v>
      </c>
      <c r="L83" s="25">
        <f t="shared" si="19"/>
        <v>-1.2967620173535974E-4</v>
      </c>
      <c r="M83" s="60" t="str">
        <f>IFERROR(INDEX(TBBP[],MATCH($C83,planoContas,0)+1,N$7)+INDEX(TBBP[],MATCH($C83,planoContas,0)+1,N$7-1)+INDEX(TBBP[],MATCH($C83,planoContas,0)+1,N$7-2),"SEM DADOS")</f>
        <v>SEM DADOS</v>
      </c>
      <c r="N83" s="25" t="e">
        <f t="shared" si="20"/>
        <v>#VALUE!</v>
      </c>
      <c r="O83" s="47"/>
      <c r="P83" s="91">
        <f t="shared" si="21"/>
        <v>-0.21369012277728894</v>
      </c>
      <c r="Q83" s="91">
        <f t="shared" si="22"/>
        <v>-9.4769215506337101E-2</v>
      </c>
      <c r="R83" s="90">
        <f t="shared" si="23"/>
        <v>0</v>
      </c>
    </row>
    <row r="84" spans="3:18" x14ac:dyDescent="0.3">
      <c r="C84" t="s">
        <v>454</v>
      </c>
      <c r="F84" s="7" t="s">
        <v>298</v>
      </c>
      <c r="G84" s="60">
        <f>IFERROR(INDEX(TBBP[],MATCH($C84,planoContas,0)+1,H$7)+INDEX(TBBP[],MATCH($C84,planoContas,0)+1,H$7-1)+INDEX(TBBP[],MATCH($C84,planoContas,0)+1,H$7-2),"SEM DADOS")</f>
        <v>-21056.29</v>
      </c>
      <c r="H84" s="25">
        <f t="shared" si="17"/>
        <v>-8.9370198730350241E-4</v>
      </c>
      <c r="I84" s="60">
        <f>IFERROR(INDEX(TBBP[],MATCH($C84,planoContas,0)+1,J$7)+INDEX(TBBP[],MATCH($C84,planoContas,0)+1,J$7-1)+INDEX(TBBP[],MATCH($C84,planoContas,0)+1,J$7-2),"SEM DADOS")</f>
        <v>-28066.07</v>
      </c>
      <c r="J84" s="25">
        <f t="shared" si="18"/>
        <v>-1.0537874412966514E-3</v>
      </c>
      <c r="K84" s="60">
        <f>IFERROR(INDEX(TBBP[],MATCH($C84,planoContas,0)+1,L$7)+INDEX(TBBP[],MATCH($C84,planoContas,0)+1,L$7-1)+INDEX(TBBP[],MATCH($C84,planoContas,0)+1,L$7-2),"SEM DADOS")</f>
        <v>-9854.8100000000013</v>
      </c>
      <c r="L84" s="25">
        <f t="shared" si="19"/>
        <v>-3.8904242230126485E-4</v>
      </c>
      <c r="M84" s="60" t="str">
        <f>IFERROR(INDEX(TBBP[],MATCH($C84,planoContas,0)+1,N$7)+INDEX(TBBP[],MATCH($C84,planoContas,0)+1,N$7-1)+INDEX(TBBP[],MATCH($C84,planoContas,0)+1,N$7-2),"SEM DADOS")</f>
        <v>SEM DADOS</v>
      </c>
      <c r="N84" s="25" t="e">
        <f t="shared" si="20"/>
        <v>#VALUE!</v>
      </c>
      <c r="O84" s="47"/>
      <c r="P84" s="91">
        <f t="shared" si="21"/>
        <v>0.33290669913835713</v>
      </c>
      <c r="Q84" s="91">
        <f t="shared" si="22"/>
        <v>-0.64887103894488962</v>
      </c>
      <c r="R84" s="90">
        <f t="shared" si="23"/>
        <v>0</v>
      </c>
    </row>
    <row r="85" spans="3:18" x14ac:dyDescent="0.3">
      <c r="C85" t="s">
        <v>443</v>
      </c>
      <c r="F85" s="7" t="s">
        <v>722</v>
      </c>
      <c r="G85" s="60">
        <f>IFERROR(INDEX(TBBP[],MATCH($C85,planoContas,0)+1,H$7)+INDEX(TBBP[],MATCH($C85,planoContas,0)+1,H$7-1)+INDEX(TBBP[],MATCH($C85,planoContas,0)+1,H$7-2),"SEM DADOS")</f>
        <v>-967.04</v>
      </c>
      <c r="H85" s="25">
        <f t="shared" si="17"/>
        <v>-4.104453205203666E-5</v>
      </c>
      <c r="I85" s="60">
        <f>IFERROR(INDEX(TBBP[],MATCH($C85,planoContas,0)+1,J$7)+INDEX(TBBP[],MATCH($C85,planoContas,0)+1,J$7-1)+INDEX(TBBP[],MATCH($C85,planoContas,0)+1,J$7-2),"SEM DADOS")</f>
        <v>-2470.4</v>
      </c>
      <c r="J85" s="25">
        <f t="shared" si="18"/>
        <v>-9.2755291174690562E-5</v>
      </c>
      <c r="K85" s="60">
        <f>IFERROR(INDEX(TBBP[],MATCH($C85,planoContas,0)+1,L$7)+INDEX(TBBP[],MATCH($C85,planoContas,0)+1,L$7-1)+INDEX(TBBP[],MATCH($C85,planoContas,0)+1,L$7-2),"SEM DADOS")</f>
        <v>-4976.0200000000004</v>
      </c>
      <c r="L85" s="25">
        <f t="shared" si="19"/>
        <v>-1.9644040567190436E-4</v>
      </c>
      <c r="M85" s="60" t="str">
        <f>IFERROR(INDEX(TBBP[],MATCH($C85,planoContas,0)+1,N$7)+INDEX(TBBP[],MATCH($C85,planoContas,0)+1,N$7-1)+INDEX(TBBP[],MATCH($C85,planoContas,0)+1,N$7-2),"SEM DADOS")</f>
        <v>SEM DADOS</v>
      </c>
      <c r="N85" s="25" t="e">
        <f t="shared" si="20"/>
        <v>#VALUE!</v>
      </c>
      <c r="O85" s="47"/>
      <c r="P85" s="91">
        <f t="shared" si="21"/>
        <v>1.5545996029119791</v>
      </c>
      <c r="Q85" s="91">
        <f t="shared" si="22"/>
        <v>1.0142568005181349</v>
      </c>
      <c r="R85" s="90">
        <f t="shared" si="23"/>
        <v>0</v>
      </c>
    </row>
    <row r="86" spans="3:18" x14ac:dyDescent="0.3">
      <c r="C86" t="s">
        <v>445</v>
      </c>
      <c r="F86" s="7" t="s">
        <v>644</v>
      </c>
      <c r="G86" s="60">
        <f>IFERROR(INDEX(TBBP[],MATCH($C86,planoContas,0)+1,H$7)+INDEX(TBBP[],MATCH($C86,planoContas,0)+1,H$7-1)+INDEX(TBBP[],MATCH($C86,planoContas,0)+1,H$7-2),"SEM DADOS")</f>
        <v>-71002.399999999994</v>
      </c>
      <c r="H86" s="25">
        <f t="shared" si="17"/>
        <v>-3.013588147927208E-3</v>
      </c>
      <c r="I86" s="60">
        <f>IFERROR(INDEX(TBBP[],MATCH($C86,planoContas,0)+1,J$7)+INDEX(TBBP[],MATCH($C86,planoContas,0)+1,J$7-1)+INDEX(TBBP[],MATCH($C86,planoContas,0)+1,J$7-2),"SEM DADOS")</f>
        <v>-146231.22</v>
      </c>
      <c r="J86" s="25">
        <f t="shared" si="18"/>
        <v>-5.4904952193694278E-3</v>
      </c>
      <c r="K86" s="60">
        <f>IFERROR(INDEX(TBBP[],MATCH($C86,planoContas,0)+1,L$7)+INDEX(TBBP[],MATCH($C86,planoContas,0)+1,L$7-1)+INDEX(TBBP[],MATCH($C86,planoContas,0)+1,L$7-2),"SEM DADOS")</f>
        <v>-81209.02</v>
      </c>
      <c r="L86" s="25">
        <f t="shared" si="19"/>
        <v>-3.2059221693276543E-3</v>
      </c>
      <c r="M86" s="60" t="str">
        <f>IFERROR(INDEX(TBBP[],MATCH($C86,planoContas,0)+1,N$7)+INDEX(TBBP[],MATCH($C86,planoContas,0)+1,N$7-1)+INDEX(TBBP[],MATCH($C86,planoContas,0)+1,N$7-2),"SEM DADOS")</f>
        <v>SEM DADOS</v>
      </c>
      <c r="N86" s="25" t="e">
        <f t="shared" si="20"/>
        <v>#VALUE!</v>
      </c>
      <c r="O86" s="47"/>
      <c r="P86" s="91">
        <f t="shared" si="21"/>
        <v>1.0595250301398265</v>
      </c>
      <c r="Q86" s="91">
        <f t="shared" si="22"/>
        <v>-0.4446533373653041</v>
      </c>
      <c r="R86" s="90">
        <f t="shared" si="23"/>
        <v>0</v>
      </c>
    </row>
    <row r="87" spans="3:18" x14ac:dyDescent="0.3">
      <c r="C87" t="s">
        <v>447</v>
      </c>
      <c r="F87" s="7" t="s">
        <v>299</v>
      </c>
      <c r="G87" s="60">
        <f>IFERROR(INDEX(TBBP[],MATCH($C87,planoContas,0)+1,H$7)+INDEX(TBBP[],MATCH($C87,planoContas,0)+1,H$7-1)+INDEX(TBBP[],MATCH($C87,planoContas,0)+1,H$7-2),"SEM DADOS")</f>
        <v>-16295.869999999999</v>
      </c>
      <c r="H87" s="25">
        <f t="shared" si="17"/>
        <v>-6.9165324963892149E-4</v>
      </c>
      <c r="I87" s="60">
        <f>IFERROR(INDEX(TBBP[],MATCH($C87,planoContas,0)+1,J$7)+INDEX(TBBP[],MATCH($C87,planoContas,0)+1,J$7-1)+INDEX(TBBP[],MATCH($C87,planoContas,0)+1,J$7-2),"SEM DADOS")</f>
        <v>-21285.09</v>
      </c>
      <c r="J87" s="25">
        <f t="shared" si="18"/>
        <v>-7.9918422952942616E-4</v>
      </c>
      <c r="K87" s="60">
        <f>IFERROR(INDEX(TBBP[],MATCH($C87,planoContas,0)+1,L$7)+INDEX(TBBP[],MATCH($C87,planoContas,0)+1,L$7-1)+INDEX(TBBP[],MATCH($C87,planoContas,0)+1,L$7-2),"SEM DADOS")</f>
        <v>-20501.57</v>
      </c>
      <c r="L87" s="25">
        <f t="shared" si="19"/>
        <v>-8.0934898326593221E-4</v>
      </c>
      <c r="M87" s="60" t="str">
        <f>IFERROR(INDEX(TBBP[],MATCH($C87,planoContas,0)+1,N$7)+INDEX(TBBP[],MATCH($C87,planoContas,0)+1,N$7-1)+INDEX(TBBP[],MATCH($C87,planoContas,0)+1,N$7-2),"SEM DADOS")</f>
        <v>SEM DADOS</v>
      </c>
      <c r="N87" s="25" t="e">
        <f t="shared" si="20"/>
        <v>#VALUE!</v>
      </c>
      <c r="O87" s="47"/>
      <c r="P87" s="91">
        <f t="shared" si="21"/>
        <v>0.30616469080816189</v>
      </c>
      <c r="Q87" s="91">
        <f t="shared" si="22"/>
        <v>-3.6810744046654298E-2</v>
      </c>
      <c r="R87" s="90">
        <f t="shared" si="23"/>
        <v>0</v>
      </c>
    </row>
    <row r="88" spans="3:18" x14ac:dyDescent="0.3">
      <c r="F88" s="7" t="s">
        <v>300</v>
      </c>
      <c r="G88" s="60">
        <f>IFERROR((INDEX(TBBP[],MATCH("4.2.1.2",planoContas,0)+1,H$7)+INDEX(TBBP[],MATCH("4.2.1.2",planoContas,0)+1,H$7-1)+INDEX(TBBP[],MATCH("4.2.1.2",planoContas,0)+1,H$7-2))-SUM(G77:G87)-G91-G89,"SEM DADOS")</f>
        <v>-104425.23999999964</v>
      </c>
      <c r="H88" s="25">
        <f t="shared" si="17"/>
        <v>-4.4321694141106942E-3</v>
      </c>
      <c r="I88" s="60">
        <f>IFERROR((INDEX(TBBP[],MATCH("4.2.1.2",planoContas,0)+1,J$7)+INDEX(TBBP[],MATCH("4.2.1.2",planoContas,0)+1,J$7-1)+INDEX(TBBP[],MATCH("4.2.1.2",planoContas,0)+1,J$7-2))-SUM(I77:I87)-I91-I89,"SEM DADOS")</f>
        <v>-147349.03000000003</v>
      </c>
      <c r="J88" s="25">
        <f t="shared" si="18"/>
        <v>-5.5324652614792006E-3</v>
      </c>
      <c r="K88" s="60">
        <f>IFERROR((INDEX(TBBP[],MATCH("4.2.1.2",planoContas,0)+1,L$7)+INDEX(TBBP[],MATCH("4.2.1.2",planoContas,0)+1,L$7-1)+INDEX(TBBP[],MATCH("4.2.1.2",planoContas,0)+1,L$7-2))-SUM(K77:K87)-K91-K89,"SEM DADOS")</f>
        <v>-75116.009999999238</v>
      </c>
      <c r="L88" s="25">
        <f t="shared" si="19"/>
        <v>-2.965385886080577E-3</v>
      </c>
      <c r="M88" s="60" t="str">
        <f>IFERROR((INDEX(TBBP[],MATCH("4.2.1.2",planoContas,0)+1,N$7)+INDEX(TBBP[],MATCH("4.2.1.2",planoContas,0)+1,N$7-1)+INDEX(TBBP[],MATCH("4.2.1.2",planoContas,0)+1,N$7-2))-SUM(M77:M87)-M91-M89,"SEM DADOS")</f>
        <v>SEM DADOS</v>
      </c>
      <c r="N88" s="25" t="e">
        <f t="shared" si="20"/>
        <v>#VALUE!</v>
      </c>
      <c r="O88" s="47"/>
      <c r="P88" s="91">
        <f t="shared" si="21"/>
        <v>0.4110480378115533</v>
      </c>
      <c r="Q88" s="91">
        <f t="shared" si="22"/>
        <v>-0.49021713953597645</v>
      </c>
      <c r="R88" s="90">
        <f t="shared" si="23"/>
        <v>0</v>
      </c>
    </row>
    <row r="89" spans="3:18" ht="15" thickBot="1" x14ac:dyDescent="0.35">
      <c r="C89" t="s">
        <v>133</v>
      </c>
      <c r="D89" s="6" t="s">
        <v>301</v>
      </c>
      <c r="F89" s="181" t="s">
        <v>302</v>
      </c>
      <c r="G89" s="175">
        <f>IFERROR(INDEX(TBBP[],MATCH($C89,planoContas,0)+1,H$7)+INDEX(TBBP[],MATCH($C89,planoContas,0)+1,H$7-1)+INDEX(TBBP[],MATCH($C89,planoContas,0)+1,H$7-2),"SEM DADOS")</f>
        <v>-69522</v>
      </c>
      <c r="H89" s="170">
        <f t="shared" si="17"/>
        <v>-2.9507548367406649E-3</v>
      </c>
      <c r="I89" s="175">
        <f>IFERROR(INDEX(TBBP[],MATCH($C89,planoContas,0)+1,J$7)+INDEX(TBBP[],MATCH($C89,planoContas,0)+1,J$7-1)+INDEX(TBBP[],MATCH($C89,planoContas,0)+1,J$7-2),"SEM DADOS")</f>
        <v>-97209.849999999991</v>
      </c>
      <c r="J89" s="170">
        <f t="shared" si="18"/>
        <v>-3.6499060645231512E-3</v>
      </c>
      <c r="K89" s="175">
        <f>IFERROR(INDEX(TBBP[],MATCH($C89,planoContas,0)+1,L$7)+INDEX(TBBP[],MATCH($C89,planoContas,0)+1,L$7-1)+INDEX(TBBP[],MATCH($C89,planoContas,0)+1,L$7-2),"SEM DADOS")</f>
        <v>-33357.300000000003</v>
      </c>
      <c r="L89" s="170">
        <f t="shared" si="19"/>
        <v>-1.3168599692363406E-3</v>
      </c>
      <c r="M89" s="175" t="str">
        <f>IFERROR(INDEX(TBBP[],MATCH($C89,planoContas,0)+1,N$7)+INDEX(TBBP[],MATCH($C89,planoContas,0)+1,N$7-1)+INDEX(TBBP[],MATCH($C89,planoContas,0)+1,N$7-2),"SEM DADOS")</f>
        <v>SEM DADOS</v>
      </c>
      <c r="N89" s="170" t="e">
        <f t="shared" si="20"/>
        <v>#VALUE!</v>
      </c>
      <c r="O89" s="177"/>
      <c r="P89" s="170">
        <f t="shared" si="21"/>
        <v>0.39826026293835026</v>
      </c>
      <c r="Q89" s="170">
        <f t="shared" si="22"/>
        <v>-0.6568526749089727</v>
      </c>
      <c r="R89" s="164">
        <f t="shared" si="23"/>
        <v>0</v>
      </c>
    </row>
    <row r="90" spans="3:18" ht="15" thickTop="1" x14ac:dyDescent="0.3">
      <c r="G90" s="16"/>
      <c r="H90" s="33"/>
      <c r="I90" s="16"/>
      <c r="J90" s="33"/>
      <c r="K90" s="16"/>
      <c r="L90" s="33"/>
      <c r="M90" s="16"/>
      <c r="N90" s="33"/>
      <c r="O90" s="46"/>
      <c r="P90" s="16"/>
      <c r="Q90" s="16"/>
    </row>
    <row r="91" spans="3:18" ht="15" thickBot="1" x14ac:dyDescent="0.35">
      <c r="C91" t="s">
        <v>134</v>
      </c>
      <c r="D91" s="6" t="s">
        <v>303</v>
      </c>
      <c r="F91" s="181" t="s">
        <v>304</v>
      </c>
      <c r="G91" s="175">
        <f>IFERROR(INDEX(TBBP[],MATCH($C91,planoContas,0)+1,H$7)+INDEX(TBBP[],MATCH($C91,planoContas,0)+1,H$7-1)+INDEX(TBBP[],MATCH($C91,planoContas,0)+1,H$7-2),"SEM DADOS")</f>
        <v>-335638.85</v>
      </c>
      <c r="H91" s="170">
        <f>G91/$G$24</f>
        <v>-1.4245677052380173E-2</v>
      </c>
      <c r="I91" s="175">
        <f>IFERROR(INDEX(TBBP[],MATCH($C91,planoContas,0)+1,J$7)+INDEX(TBBP[],MATCH($C91,planoContas,0)+1,J$7-1)+INDEX(TBBP[],MATCH($C91,planoContas,0)+1,J$7-2),"SEM DADOS")</f>
        <v>-690462.72000000009</v>
      </c>
      <c r="J91" s="170">
        <f>I91/$I$24</f>
        <v>-2.5924575226226057E-2</v>
      </c>
      <c r="K91" s="175">
        <f>IFERROR(INDEX(TBBP[],MATCH($C91,planoContas,0)+1,L$7)+INDEX(TBBP[],MATCH($C91,planoContas,0)+1,L$7-1)+INDEX(TBBP[],MATCH($C91,planoContas,0)+1,L$7-2),"SEM DADOS")</f>
        <v>-728920.83</v>
      </c>
      <c r="L91" s="170">
        <f>K91/$K$24</f>
        <v>-2.8775909973814656E-2</v>
      </c>
      <c r="M91" s="175" t="str">
        <f>IFERROR(INDEX(TBBP[],MATCH($C91,planoContas,0)+1,N$7)+INDEX(TBBP[],MATCH($C91,planoContas,0)+1,N$7-1)+INDEX(TBBP[],MATCH($C91,planoContas,0)+1,N$7-2),"SEM DADOS")</f>
        <v>SEM DADOS</v>
      </c>
      <c r="N91" s="170" t="e">
        <f>M91/$M$24</f>
        <v>#VALUE!</v>
      </c>
      <c r="O91" s="177"/>
      <c r="P91" s="170">
        <f>IFERROR(IF(AND(G91=0,I91&lt;&gt;0),0,(I91/G91)-1),0)</f>
        <v>1.0571597119940082</v>
      </c>
      <c r="Q91" s="170">
        <f>IFERROR(IF(AND(I91=0,K91&lt;&gt;0),0,(K91/I91)-1),0)</f>
        <v>5.5699039044424969E-2</v>
      </c>
      <c r="R91" s="164">
        <f>IFERROR(IF(AND(K91=0,M91&lt;&gt;0),0,(M91/K91)-1),0)</f>
        <v>0</v>
      </c>
    </row>
    <row r="92" spans="3:18" ht="15" thickTop="1" x14ac:dyDescent="0.3">
      <c r="G92" s="16"/>
      <c r="H92" s="33"/>
      <c r="I92" s="16"/>
      <c r="J92" s="33"/>
      <c r="K92" s="16"/>
      <c r="L92" s="33"/>
      <c r="M92" s="16"/>
      <c r="N92" s="33"/>
      <c r="O92" s="46"/>
      <c r="P92" s="16"/>
      <c r="Q92" s="16"/>
    </row>
    <row r="93" spans="3:18" ht="15" thickBot="1" x14ac:dyDescent="0.35">
      <c r="C93" t="s">
        <v>636</v>
      </c>
      <c r="D93" s="6" t="s">
        <v>305</v>
      </c>
      <c r="F93" s="180" t="s">
        <v>306</v>
      </c>
      <c r="G93" s="174">
        <f>G61+G63+G76+G89+G91</f>
        <v>4358951.339999998</v>
      </c>
      <c r="H93" s="164">
        <f>G93/$G$24</f>
        <v>0.18500901512646639</v>
      </c>
      <c r="I93" s="174">
        <f>I61+I63+I76+I89+I91</f>
        <v>4492217.7699999968</v>
      </c>
      <c r="J93" s="164">
        <f>I93/$I$24</f>
        <v>0.16866781382629081</v>
      </c>
      <c r="K93" s="174">
        <f>K61+K63+K76+K89+K91</f>
        <v>2528494.469999996</v>
      </c>
      <c r="L93" s="164">
        <f>K93/$K$24</f>
        <v>9.981842505174135E-2</v>
      </c>
      <c r="M93" s="174" t="e">
        <f>M61+M63+M76+M89+M91</f>
        <v>#VALUE!</v>
      </c>
      <c r="N93" s="164" t="e">
        <f>M93/$M$24</f>
        <v>#VALUE!</v>
      </c>
      <c r="O93" s="176"/>
      <c r="P93" s="164">
        <f>IFERROR(IF(AND(G93=0,I93&lt;&gt;0),0,(I93/G93)-1),0)</f>
        <v>3.0573048333225605E-2</v>
      </c>
      <c r="Q93" s="164">
        <f>IFERROR(IF(AND(I93=0,K93&lt;&gt;0),0,(K93/I93)-1),0)</f>
        <v>-0.437138936832976</v>
      </c>
      <c r="R93" s="164">
        <f>IFERROR(IF(AND(K93=0,M93&lt;&gt;0),0,(M93/K93)-1),0)</f>
        <v>0</v>
      </c>
    </row>
    <row r="94" spans="3:18" ht="15" thickTop="1" x14ac:dyDescent="0.3">
      <c r="G94" s="16"/>
      <c r="H94" s="33"/>
      <c r="I94" s="16"/>
      <c r="J94" s="33"/>
      <c r="K94" s="16"/>
      <c r="L94" s="33"/>
      <c r="M94" s="16"/>
      <c r="N94" s="33"/>
      <c r="O94" s="46"/>
      <c r="P94" s="16"/>
      <c r="Q94" s="16"/>
    </row>
    <row r="95" spans="3:18" ht="15" thickBot="1" x14ac:dyDescent="0.35">
      <c r="C95" t="s">
        <v>636</v>
      </c>
      <c r="F95" s="180" t="s">
        <v>307</v>
      </c>
      <c r="G95" s="174">
        <f>G77+G64+G49+G30</f>
        <v>-2896810.18</v>
      </c>
      <c r="H95" s="164">
        <f>G95/$G$24</f>
        <v>-0.12295067244547908</v>
      </c>
      <c r="I95" s="174">
        <f>I77+I64+I49+I30</f>
        <v>-3472660.94</v>
      </c>
      <c r="J95" s="164">
        <f>I95/$I$24</f>
        <v>-0.13038685097177569</v>
      </c>
      <c r="K95" s="174">
        <f>K77+K64+K49+K30</f>
        <v>-3562329.64</v>
      </c>
      <c r="L95" s="164">
        <f>K95/$K$24</f>
        <v>-0.14063156490903353</v>
      </c>
      <c r="M95" s="174" t="e">
        <f>M77+M64+M49+M30</f>
        <v>#VALUE!</v>
      </c>
      <c r="N95" s="164" t="e">
        <f>M95/$M$24</f>
        <v>#VALUE!</v>
      </c>
      <c r="O95" s="176"/>
      <c r="P95" s="164">
        <f>IFERROR(IF(AND(G95=0,I95&lt;&gt;0),0,(I95/G95)-1),0)</f>
        <v>0.1987878819177582</v>
      </c>
      <c r="Q95" s="164">
        <f>IFERROR(IF(AND(I95=0,K95&lt;&gt;0),0,(K95/I95)-1),0)</f>
        <v>2.5821323057240386E-2</v>
      </c>
      <c r="R95" s="164">
        <f>IFERROR(IF(AND(K95=0,M95&lt;&gt;0),0,(M95/K95)-1),0)</f>
        <v>0</v>
      </c>
    </row>
    <row r="96" spans="3:18" ht="15" thickTop="1" x14ac:dyDescent="0.3"/>
    <row r="97" spans="6:18" ht="15" thickBot="1" x14ac:dyDescent="0.35">
      <c r="F97" s="262" t="s">
        <v>714</v>
      </c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62"/>
    </row>
    <row r="98" spans="6:18" ht="15" thickTop="1" x14ac:dyDescent="0.3"/>
    <row r="99" spans="6:18" x14ac:dyDescent="0.3">
      <c r="F99" s="7" t="s">
        <v>109</v>
      </c>
      <c r="G99" s="60">
        <f t="shared" ref="G99:G121" si="24">IFERROR(IF($G$9="SEM DADOS","SEM DADOS",VLOOKUP($F99,SELECDB,H$7-1,FALSE)+VLOOKUP($F99,SELECDB,H$7-2,FALSE)+VLOOKUP($F99,SELECDB,H$7-3,FALSE)),0)</f>
        <v>20607619.060000002</v>
      </c>
      <c r="H99" s="25">
        <f t="shared" ref="H99:H106" si="25">G99/$G$107</f>
        <v>0.87465883626771557</v>
      </c>
      <c r="I99" s="60">
        <f>IFERROR(IF($I$9="SEM DADOS","SEM DADOS",VLOOKUP($F99,SELECDB,J$7-1,FALSE)+VLOOKUP($F99,SELECDB,J$7-2,FALSE)+VLOOKUP($F99,SELECDB,J$7-3,FALSE)),0)</f>
        <v>22095284.66</v>
      </c>
      <c r="J99" s="25">
        <f t="shared" ref="J99:J107" si="26">I99/$I$107</f>
        <v>0.82960434027929641</v>
      </c>
      <c r="K99" s="60">
        <f t="shared" ref="K99:K121" si="27">IFERROR(IF($K$9="SEM DADOS","SEM DADOS",VLOOKUP($F99,SELECDB,L$7-1,FALSE)+VLOOKUP($F99,SELECDB,L$7-2,FALSE)+VLOOKUP($F99,SELECDB,L$7-3,FALSE)),0)</f>
        <v>26016920.710000001</v>
      </c>
      <c r="L99" s="25">
        <f t="shared" ref="L99:L107" si="28">K99/$K$107</f>
        <v>1.0270807710994267</v>
      </c>
      <c r="M99" s="60" t="str">
        <f t="shared" ref="M99:M121" si="29">IFERROR(IF($M$9="SEM DADOS","SEM DADOS",VLOOKUP($F99,SELECDB,N$7-1,FALSE)+VLOOKUP($F99,SELECDB,N$7-2,FALSE)+VLOOKUP($F99,SELECDB,N$7-3,FALSE)),0)</f>
        <v>SEM DADOS</v>
      </c>
      <c r="N99" s="25" t="e">
        <f t="shared" ref="N99:N107" si="30">M99/$M$107</f>
        <v>#VALUE!</v>
      </c>
      <c r="O99" s="178"/>
      <c r="P99" s="91">
        <f>IFERROR(IF(AND(G99=0,I99&lt;&gt;0),0,(I99/G99)-1),0)</f>
        <v>7.2190076673515513E-2</v>
      </c>
      <c r="Q99" s="91">
        <f>IFERROR(IF(AND(I99=0,K99&lt;&gt;0),0,(K99/I99)-1),0)</f>
        <v>0.17748746442264673</v>
      </c>
      <c r="R99" s="91">
        <f>IFERROR(IF(AND(K99=0,M99&lt;&gt;0),0,(M99/K99)-1),0)</f>
        <v>0</v>
      </c>
    </row>
    <row r="100" spans="6:18" x14ac:dyDescent="0.3">
      <c r="F100" s="7" t="s">
        <v>110</v>
      </c>
      <c r="G100" s="60">
        <f t="shared" si="24"/>
        <v>8332286.8200000003</v>
      </c>
      <c r="H100" s="25">
        <f t="shared" si="25"/>
        <v>0.3536511555367437</v>
      </c>
      <c r="I100" s="60">
        <f>IFERROR(IF($G$9="SEM DADOS","SEM DADOS",VLOOKUP($F100,SELECDB,J$7-1,FALSE)+VLOOKUP($F100,SELECDB,J$7-2,FALSE)+VLOOKUP($F100,SELECDB,J$7-3,FALSE)),0)</f>
        <v>12147700.390000001</v>
      </c>
      <c r="J100" s="25">
        <f t="shared" si="26"/>
        <v>0.45610568603357843</v>
      </c>
      <c r="K100" s="60">
        <f t="shared" si="27"/>
        <v>8786439.9699999988</v>
      </c>
      <c r="L100" s="25">
        <f t="shared" si="28"/>
        <v>0.34686593545014582</v>
      </c>
      <c r="M100" s="60" t="str">
        <f t="shared" si="29"/>
        <v>SEM DADOS</v>
      </c>
      <c r="N100" s="25" t="e">
        <f t="shared" si="30"/>
        <v>#VALUE!</v>
      </c>
      <c r="O100" s="178"/>
      <c r="P100" s="91">
        <f t="shared" ref="P100:P127" si="31">IFERROR(IF(AND(G100=0,I100&lt;&gt;0),0,(I100/G100)-1),0)</f>
        <v>0.45790713311042741</v>
      </c>
      <c r="Q100" s="91">
        <f t="shared" ref="Q100:Q127" si="32">IFERROR(IF(AND(I100=0,K100&lt;&gt;0),0,(K100/I100)-1),0)</f>
        <v>-0.27669931856131347</v>
      </c>
      <c r="R100" s="91">
        <f t="shared" ref="R100:R127" si="33">IFERROR(IF(AND(K100=0,M100&lt;&gt;0),0,(M100/K100)-1),0)</f>
        <v>0</v>
      </c>
    </row>
    <row r="101" spans="6:18" x14ac:dyDescent="0.3">
      <c r="F101" s="7" t="s">
        <v>111</v>
      </c>
      <c r="G101" s="60">
        <f t="shared" si="24"/>
        <v>233043.64</v>
      </c>
      <c r="H101" s="25">
        <f t="shared" si="25"/>
        <v>9.8911804594466555E-3</v>
      </c>
      <c r="I101" s="60">
        <f>IFERROR(IF($G$9="SEM DADOS","SEM DADOS",VLOOKUP($F101,SELECDB,J$7-1,FALSE)+VLOOKUP($F101,SELECDB,J$7-2,FALSE)+VLOOKUP($F101,SELECDB,J$7-3,FALSE)),0)</f>
        <v>173832.35</v>
      </c>
      <c r="J101" s="25">
        <f t="shared" si="26"/>
        <v>6.5268257123667107E-3</v>
      </c>
      <c r="K101" s="60">
        <f t="shared" si="27"/>
        <v>142165.5</v>
      </c>
      <c r="L101" s="25">
        <f t="shared" si="28"/>
        <v>5.6123264160009637E-3</v>
      </c>
      <c r="M101" s="60" t="str">
        <f t="shared" si="29"/>
        <v>SEM DADOS</v>
      </c>
      <c r="N101" s="25" t="e">
        <f t="shared" si="30"/>
        <v>#VALUE!</v>
      </c>
      <c r="O101" s="178"/>
      <c r="P101" s="91">
        <f t="shared" si="31"/>
        <v>-0.25407812030399113</v>
      </c>
      <c r="Q101" s="91">
        <f t="shared" si="32"/>
        <v>-0.18216891159787008</v>
      </c>
      <c r="R101" s="91">
        <f t="shared" si="33"/>
        <v>0</v>
      </c>
    </row>
    <row r="102" spans="6:18" x14ac:dyDescent="0.3">
      <c r="F102" s="7" t="s">
        <v>112</v>
      </c>
      <c r="G102" s="60">
        <f t="shared" si="24"/>
        <v>18000</v>
      </c>
      <c r="H102" s="25">
        <f t="shared" si="25"/>
        <v>7.639824380963144E-4</v>
      </c>
      <c r="I102" s="60">
        <f>IFERROR(IF($G$9="SEM DADOS","SEM DADOS",VLOOKUP($F102,SELECDB,J$7-1,FALSE)+VLOOKUP($F102,SELECDB,J$7-2,FALSE)+VLOOKUP($F102,SELECDB,J$7-3,FALSE)),0)</f>
        <v>0</v>
      </c>
      <c r="J102" s="25">
        <f t="shared" si="26"/>
        <v>0</v>
      </c>
      <c r="K102" s="60">
        <f t="shared" si="27"/>
        <v>0</v>
      </c>
      <c r="L102" s="25">
        <f t="shared" si="28"/>
        <v>0</v>
      </c>
      <c r="M102" s="60" t="str">
        <f t="shared" si="29"/>
        <v>SEM DADOS</v>
      </c>
      <c r="N102" s="25" t="e">
        <f t="shared" si="30"/>
        <v>#VALUE!</v>
      </c>
      <c r="O102" s="178"/>
      <c r="P102" s="91">
        <f t="shared" si="31"/>
        <v>-1</v>
      </c>
      <c r="Q102" s="91">
        <f t="shared" si="32"/>
        <v>0</v>
      </c>
      <c r="R102" s="91">
        <f t="shared" si="33"/>
        <v>0</v>
      </c>
    </row>
    <row r="103" spans="6:18" x14ac:dyDescent="0.3">
      <c r="F103" s="7" t="s">
        <v>113</v>
      </c>
      <c r="G103" s="60">
        <f t="shared" si="24"/>
        <v>0</v>
      </c>
      <c r="H103" s="25">
        <f t="shared" si="25"/>
        <v>0</v>
      </c>
      <c r="I103" s="60">
        <f>IFERROR(IF($G$9="SEM DADOS","SEM DADOS",VLOOKUP($F103,SELECDB,J$7-1,FALSE)+VLOOKUP($F103,SELECDB,J$7-2,FALSE)+VLOOKUP($F103,SELECDB,J$7-3,FALSE)),0)</f>
        <v>206379.03</v>
      </c>
      <c r="J103" s="25">
        <f t="shared" si="26"/>
        <v>7.7488451343912723E-3</v>
      </c>
      <c r="K103" s="60">
        <f t="shared" si="27"/>
        <v>447206.02</v>
      </c>
      <c r="L103" s="25">
        <f t="shared" si="28"/>
        <v>1.765453755967978E-2</v>
      </c>
      <c r="M103" s="60" t="str">
        <f t="shared" si="29"/>
        <v>SEM DADOS</v>
      </c>
      <c r="N103" s="25" t="e">
        <f t="shared" si="30"/>
        <v>#VALUE!</v>
      </c>
      <c r="O103" s="178"/>
      <c r="P103" s="91">
        <f t="shared" si="31"/>
        <v>0</v>
      </c>
      <c r="Q103" s="91">
        <f t="shared" si="32"/>
        <v>1.1669159894781949</v>
      </c>
      <c r="R103" s="91">
        <f t="shared" si="33"/>
        <v>0</v>
      </c>
    </row>
    <row r="104" spans="6:18" ht="15" thickBot="1" x14ac:dyDescent="0.35">
      <c r="F104" s="180" t="s">
        <v>99</v>
      </c>
      <c r="G104" s="174">
        <f t="shared" si="24"/>
        <v>29190949.519999996</v>
      </c>
      <c r="H104" s="164">
        <f t="shared" si="25"/>
        <v>1.238965154702002</v>
      </c>
      <c r="I104" s="174">
        <f t="shared" ref="I104:I121" si="34">IFERROR(IF($I$9="SEM DADOS","SEM DADOS",VLOOKUP($F104,SELECDB,J$7-1,FALSE)+VLOOKUP($F104,SELECDB,J$7-2,FALSE)+VLOOKUP($F104,SELECDB,J$7-3,FALSE)),0)</f>
        <v>34623196.429999992</v>
      </c>
      <c r="J104" s="164">
        <f t="shared" si="26"/>
        <v>1.2999856971596324</v>
      </c>
      <c r="K104" s="174">
        <f t="shared" si="27"/>
        <v>35392732.199999996</v>
      </c>
      <c r="L104" s="164">
        <f t="shared" si="28"/>
        <v>1.3972135705252533</v>
      </c>
      <c r="M104" s="174" t="str">
        <f t="shared" si="29"/>
        <v>SEM DADOS</v>
      </c>
      <c r="N104" s="164" t="e">
        <f t="shared" si="30"/>
        <v>#VALUE!</v>
      </c>
      <c r="O104" s="178"/>
      <c r="P104" s="164">
        <f t="shared" si="31"/>
        <v>0.18609353239017201</v>
      </c>
      <c r="Q104" s="164">
        <f t="shared" si="32"/>
        <v>2.2226017506957296E-2</v>
      </c>
      <c r="R104" s="164">
        <f t="shared" si="33"/>
        <v>0</v>
      </c>
    </row>
    <row r="105" spans="6:18" ht="15" thickTop="1" x14ac:dyDescent="0.3">
      <c r="F105" s="7" t="s">
        <v>114</v>
      </c>
      <c r="G105" s="60">
        <f t="shared" si="24"/>
        <v>-5200031.0599999996</v>
      </c>
      <c r="H105" s="25">
        <f t="shared" si="25"/>
        <v>-0.22070735596640897</v>
      </c>
      <c r="I105" s="60">
        <f t="shared" si="34"/>
        <v>-6098802.6699999999</v>
      </c>
      <c r="J105" s="25">
        <f t="shared" si="26"/>
        <v>-0.22898972533712364</v>
      </c>
      <c r="K105" s="60">
        <f t="shared" si="27"/>
        <v>-6191655.3300000001</v>
      </c>
      <c r="L105" s="25">
        <f t="shared" si="28"/>
        <v>-0.24443054585910201</v>
      </c>
      <c r="M105" s="60" t="str">
        <f t="shared" si="29"/>
        <v>SEM DADOS</v>
      </c>
      <c r="N105" s="25" t="e">
        <f t="shared" si="30"/>
        <v>#VALUE!</v>
      </c>
      <c r="O105" s="178"/>
      <c r="P105" s="91">
        <f t="shared" si="31"/>
        <v>0.17283966184617383</v>
      </c>
      <c r="Q105" s="91">
        <f t="shared" si="32"/>
        <v>1.5224735907056308E-2</v>
      </c>
      <c r="R105" s="91">
        <f t="shared" si="33"/>
        <v>0</v>
      </c>
    </row>
    <row r="106" spans="6:18" x14ac:dyDescent="0.3">
      <c r="F106" s="7" t="s">
        <v>115</v>
      </c>
      <c r="G106" s="60">
        <f t="shared" si="24"/>
        <v>-430167.44999999995</v>
      </c>
      <c r="H106" s="25">
        <f t="shared" si="25"/>
        <v>-1.8257798735593023E-2</v>
      </c>
      <c r="I106" s="60">
        <f t="shared" si="34"/>
        <v>-1890872.71</v>
      </c>
      <c r="J106" s="25">
        <f t="shared" si="26"/>
        <v>-7.0995971822508996E-2</v>
      </c>
      <c r="K106" s="60">
        <f t="shared" si="27"/>
        <v>-3870137.5300000003</v>
      </c>
      <c r="L106" s="25">
        <f t="shared" si="28"/>
        <v>-0.15278302466615123</v>
      </c>
      <c r="M106" s="60" t="str">
        <f t="shared" si="29"/>
        <v>SEM DADOS</v>
      </c>
      <c r="N106" s="25" t="e">
        <f t="shared" si="30"/>
        <v>#VALUE!</v>
      </c>
      <c r="O106" s="178"/>
      <c r="P106" s="91">
        <f t="shared" si="31"/>
        <v>3.3956666409789955</v>
      </c>
      <c r="Q106" s="91">
        <f t="shared" si="32"/>
        <v>1.0467467268063753</v>
      </c>
      <c r="R106" s="91">
        <f t="shared" si="33"/>
        <v>0</v>
      </c>
    </row>
    <row r="107" spans="6:18" ht="15" thickBot="1" x14ac:dyDescent="0.35">
      <c r="F107" s="180" t="s">
        <v>100</v>
      </c>
      <c r="G107" s="174">
        <f t="shared" si="24"/>
        <v>23560751.009999998</v>
      </c>
      <c r="H107" s="164">
        <f>G107/$G107</f>
        <v>1</v>
      </c>
      <c r="I107" s="174">
        <f t="shared" si="34"/>
        <v>26633521.049999997</v>
      </c>
      <c r="J107" s="164">
        <f t="shared" si="26"/>
        <v>1</v>
      </c>
      <c r="K107" s="174">
        <f t="shared" si="27"/>
        <v>25330939.339999996</v>
      </c>
      <c r="L107" s="164">
        <f t="shared" si="28"/>
        <v>1</v>
      </c>
      <c r="M107" s="174" t="str">
        <f t="shared" si="29"/>
        <v>SEM DADOS</v>
      </c>
      <c r="N107" s="164" t="e">
        <f t="shared" si="30"/>
        <v>#VALUE!</v>
      </c>
      <c r="O107" s="178"/>
      <c r="P107" s="164">
        <f t="shared" si="31"/>
        <v>0.13041901927047261</v>
      </c>
      <c r="Q107" s="164">
        <f t="shared" si="32"/>
        <v>-4.8907604351472012E-2</v>
      </c>
      <c r="R107" s="164">
        <f t="shared" si="33"/>
        <v>0</v>
      </c>
    </row>
    <row r="108" spans="6:18" ht="15" thickTop="1" x14ac:dyDescent="0.3">
      <c r="F108" s="7" t="s">
        <v>116</v>
      </c>
      <c r="G108" s="60">
        <f t="shared" si="24"/>
        <v>-16064451.559999999</v>
      </c>
      <c r="H108" s="25">
        <f t="shared" ref="H108:H127" si="35">G108/$G$107</f>
        <v>-0.68183104830494112</v>
      </c>
      <c r="I108" s="60">
        <f t="shared" si="34"/>
        <v>-17906250.390000001</v>
      </c>
      <c r="J108" s="25">
        <f t="shared" ref="J108:J127" si="36">I108/$I$107</f>
        <v>-0.67232005698322805</v>
      </c>
      <c r="K108" s="60">
        <f t="shared" si="27"/>
        <v>-18500808.890000001</v>
      </c>
      <c r="L108" s="25">
        <f t="shared" ref="L108:L127" si="37">K108/$K$107</f>
        <v>-0.73036410697906651</v>
      </c>
      <c r="M108" s="60" t="str">
        <f t="shared" si="29"/>
        <v>SEM DADOS</v>
      </c>
      <c r="N108" s="25" t="e">
        <f t="shared" ref="N108:N127" si="38">M108/$M$107</f>
        <v>#VALUE!</v>
      </c>
      <c r="O108" s="178"/>
      <c r="P108" s="91">
        <f t="shared" si="31"/>
        <v>0.11465058879358359</v>
      </c>
      <c r="Q108" s="91">
        <f t="shared" si="32"/>
        <v>3.3203964372800154E-2</v>
      </c>
      <c r="R108" s="91">
        <f t="shared" si="33"/>
        <v>0</v>
      </c>
    </row>
    <row r="109" spans="6:18" ht="15" thickBot="1" x14ac:dyDescent="0.35">
      <c r="F109" s="180" t="s">
        <v>101</v>
      </c>
      <c r="G109" s="174">
        <f t="shared" si="24"/>
        <v>7496299.4499999974</v>
      </c>
      <c r="H109" s="164">
        <f t="shared" si="35"/>
        <v>0.31816895169505882</v>
      </c>
      <c r="I109" s="174">
        <f t="shared" si="34"/>
        <v>8727270.6599999946</v>
      </c>
      <c r="J109" s="164">
        <f t="shared" si="36"/>
        <v>0.32767994301677195</v>
      </c>
      <c r="K109" s="174">
        <f t="shared" si="27"/>
        <v>6830130.4499999946</v>
      </c>
      <c r="L109" s="164">
        <f t="shared" si="37"/>
        <v>0.26963589302093349</v>
      </c>
      <c r="M109" s="174" t="str">
        <f t="shared" si="29"/>
        <v>SEM DADOS</v>
      </c>
      <c r="N109" s="164" t="e">
        <f t="shared" si="38"/>
        <v>#VALUE!</v>
      </c>
      <c r="O109" s="178"/>
      <c r="P109" s="164">
        <f t="shared" si="31"/>
        <v>0.16421051723060476</v>
      </c>
      <c r="Q109" s="164">
        <f t="shared" si="32"/>
        <v>-0.21738070055455361</v>
      </c>
      <c r="R109" s="164">
        <f t="shared" si="33"/>
        <v>0</v>
      </c>
    </row>
    <row r="110" spans="6:18" ht="15" thickTop="1" x14ac:dyDescent="0.3">
      <c r="F110" s="7" t="s">
        <v>117</v>
      </c>
      <c r="G110" s="60">
        <f t="shared" si="24"/>
        <v>-2007595.1099999999</v>
      </c>
      <c r="H110" s="25">
        <f t="shared" si="35"/>
        <v>-8.5209300380446579E-2</v>
      </c>
      <c r="I110" s="60">
        <f t="shared" si="34"/>
        <v>-2377830.37</v>
      </c>
      <c r="J110" s="25">
        <f t="shared" si="36"/>
        <v>-8.9279609914739391E-2</v>
      </c>
      <c r="K110" s="60">
        <f t="shared" si="27"/>
        <v>-2441150.48</v>
      </c>
      <c r="L110" s="25">
        <f t="shared" si="37"/>
        <v>-9.6370310126841136E-2</v>
      </c>
      <c r="M110" s="60" t="str">
        <f t="shared" si="29"/>
        <v>SEM DADOS</v>
      </c>
      <c r="N110" s="25" t="e">
        <f t="shared" si="38"/>
        <v>#VALUE!</v>
      </c>
      <c r="O110" s="178"/>
      <c r="P110" s="91">
        <f t="shared" si="31"/>
        <v>0.18441729517860805</v>
      </c>
      <c r="Q110" s="91">
        <f t="shared" si="32"/>
        <v>2.6629363809496542E-2</v>
      </c>
      <c r="R110" s="91">
        <f t="shared" si="33"/>
        <v>0</v>
      </c>
    </row>
    <row r="111" spans="6:18" x14ac:dyDescent="0.3">
      <c r="F111" s="7" t="s">
        <v>118</v>
      </c>
      <c r="G111" s="60">
        <f t="shared" si="24"/>
        <v>-1159234.6299999999</v>
      </c>
      <c r="H111" s="25">
        <f t="shared" si="35"/>
        <v>-4.9201938830726599E-2</v>
      </c>
      <c r="I111" s="60">
        <f t="shared" si="34"/>
        <v>-1666851.09</v>
      </c>
      <c r="J111" s="25">
        <f t="shared" si="36"/>
        <v>-6.2584706200534468E-2</v>
      </c>
      <c r="K111" s="60">
        <f t="shared" si="27"/>
        <v>-1612163.06</v>
      </c>
      <c r="L111" s="25">
        <f t="shared" si="37"/>
        <v>-6.3644029870390126E-2</v>
      </c>
      <c r="M111" s="60" t="str">
        <f t="shared" si="29"/>
        <v>SEM DADOS</v>
      </c>
      <c r="N111" s="25" t="e">
        <f t="shared" si="38"/>
        <v>#VALUE!</v>
      </c>
      <c r="O111" s="178"/>
      <c r="P111" s="91">
        <f t="shared" si="31"/>
        <v>0.43788931667784992</v>
      </c>
      <c r="Q111" s="91">
        <f t="shared" si="32"/>
        <v>-3.2809187532162776E-2</v>
      </c>
      <c r="R111" s="91">
        <f t="shared" si="33"/>
        <v>0</v>
      </c>
    </row>
    <row r="112" spans="6:18" x14ac:dyDescent="0.3">
      <c r="F112" s="7" t="s">
        <v>119</v>
      </c>
      <c r="G112" s="60">
        <f t="shared" si="24"/>
        <v>-69522</v>
      </c>
      <c r="H112" s="25">
        <f t="shared" si="35"/>
        <v>-2.9507548367406649E-3</v>
      </c>
      <c r="I112" s="60">
        <f t="shared" si="34"/>
        <v>-97209.849999999991</v>
      </c>
      <c r="J112" s="25">
        <f t="shared" si="36"/>
        <v>-3.6499060645231512E-3</v>
      </c>
      <c r="K112" s="60">
        <f t="shared" si="27"/>
        <v>-33357.300000000003</v>
      </c>
      <c r="L112" s="25">
        <f t="shared" si="37"/>
        <v>-1.3168599692363406E-3</v>
      </c>
      <c r="M112" s="60" t="str">
        <f t="shared" si="29"/>
        <v>SEM DADOS</v>
      </c>
      <c r="N112" s="25" t="e">
        <f t="shared" si="38"/>
        <v>#VALUE!</v>
      </c>
      <c r="O112" s="178"/>
      <c r="P112" s="91">
        <f t="shared" si="31"/>
        <v>0.39826026293835026</v>
      </c>
      <c r="Q112" s="91">
        <f t="shared" si="32"/>
        <v>-0.6568526749089727</v>
      </c>
      <c r="R112" s="91">
        <f t="shared" si="33"/>
        <v>0</v>
      </c>
    </row>
    <row r="113" spans="6:18" x14ac:dyDescent="0.3">
      <c r="F113" s="7" t="s">
        <v>120</v>
      </c>
      <c r="G113" s="60">
        <f t="shared" si="24"/>
        <v>-335638.85</v>
      </c>
      <c r="H113" s="25">
        <f t="shared" si="35"/>
        <v>-1.4245677052380173E-2</v>
      </c>
      <c r="I113" s="60">
        <f t="shared" si="34"/>
        <v>-690462.72000000009</v>
      </c>
      <c r="J113" s="25">
        <f t="shared" si="36"/>
        <v>-2.5924575226226057E-2</v>
      </c>
      <c r="K113" s="60">
        <f t="shared" si="27"/>
        <v>-728920.83</v>
      </c>
      <c r="L113" s="25">
        <f t="shared" si="37"/>
        <v>-2.8775909973814656E-2</v>
      </c>
      <c r="M113" s="60" t="str">
        <f t="shared" si="29"/>
        <v>SEM DADOS</v>
      </c>
      <c r="N113" s="25" t="e">
        <f t="shared" si="38"/>
        <v>#VALUE!</v>
      </c>
      <c r="O113" s="178"/>
      <c r="P113" s="91">
        <f t="shared" si="31"/>
        <v>1.0571597119940082</v>
      </c>
      <c r="Q113" s="91">
        <f t="shared" si="32"/>
        <v>5.5699039044424969E-2</v>
      </c>
      <c r="R113" s="91">
        <f t="shared" si="33"/>
        <v>0</v>
      </c>
    </row>
    <row r="114" spans="6:18" ht="15" thickBot="1" x14ac:dyDescent="0.35">
      <c r="F114" s="180" t="s">
        <v>102</v>
      </c>
      <c r="G114" s="174">
        <f t="shared" si="24"/>
        <v>-3571990.59</v>
      </c>
      <c r="H114" s="164">
        <f t="shared" si="35"/>
        <v>-0.15160767110029402</v>
      </c>
      <c r="I114" s="174">
        <f t="shared" si="34"/>
        <v>-4832354.03</v>
      </c>
      <c r="J114" s="164">
        <f t="shared" si="36"/>
        <v>-0.18143879740602306</v>
      </c>
      <c r="K114" s="174">
        <f t="shared" si="27"/>
        <v>-4815591.67</v>
      </c>
      <c r="L114" s="164">
        <f t="shared" si="37"/>
        <v>-0.19010710994028224</v>
      </c>
      <c r="M114" s="174" t="str">
        <f t="shared" si="29"/>
        <v>SEM DADOS</v>
      </c>
      <c r="N114" s="164" t="e">
        <f t="shared" si="38"/>
        <v>#VALUE!</v>
      </c>
      <c r="O114" s="178"/>
      <c r="P114" s="164">
        <f t="shared" si="31"/>
        <v>0.35284623748126953</v>
      </c>
      <c r="Q114" s="164">
        <f t="shared" si="32"/>
        <v>-3.4687773072785699E-3</v>
      </c>
      <c r="R114" s="164">
        <f t="shared" si="33"/>
        <v>0</v>
      </c>
    </row>
    <row r="115" spans="6:18" ht="15.6" thickTop="1" thickBot="1" x14ac:dyDescent="0.35">
      <c r="F115" s="180" t="s">
        <v>103</v>
      </c>
      <c r="G115" s="174">
        <f t="shared" si="24"/>
        <v>3924308.8599999975</v>
      </c>
      <c r="H115" s="164">
        <f t="shared" si="35"/>
        <v>0.1665612805947648</v>
      </c>
      <c r="I115" s="174">
        <f t="shared" si="34"/>
        <v>3894916.6299999943</v>
      </c>
      <c r="J115" s="164">
        <f t="shared" si="36"/>
        <v>0.14624114561074886</v>
      </c>
      <c r="K115" s="174">
        <f t="shared" si="27"/>
        <v>2014538.7799999944</v>
      </c>
      <c r="L115" s="164">
        <f t="shared" si="37"/>
        <v>7.9528783080651241E-2</v>
      </c>
      <c r="M115" s="174" t="str">
        <f t="shared" si="29"/>
        <v>SEM DADOS</v>
      </c>
      <c r="N115" s="164" t="e">
        <f t="shared" si="38"/>
        <v>#VALUE!</v>
      </c>
      <c r="O115" s="178"/>
      <c r="P115" s="164">
        <f t="shared" si="31"/>
        <v>-7.4897850930121246E-3</v>
      </c>
      <c r="Q115" s="164">
        <f t="shared" si="32"/>
        <v>-0.4827774323888423</v>
      </c>
      <c r="R115" s="164">
        <f t="shared" si="33"/>
        <v>0</v>
      </c>
    </row>
    <row r="116" spans="6:18" ht="15" thickTop="1" x14ac:dyDescent="0.3">
      <c r="F116" s="7" t="s">
        <v>121</v>
      </c>
      <c r="G116" s="60">
        <f t="shared" si="24"/>
        <v>427620.33</v>
      </c>
      <c r="H116" s="25">
        <f t="shared" si="35"/>
        <v>1.8149690127386143E-2</v>
      </c>
      <c r="I116" s="60">
        <f t="shared" si="34"/>
        <v>586926.53</v>
      </c>
      <c r="J116" s="25">
        <f t="shared" si="36"/>
        <v>2.2037136167544023E-2</v>
      </c>
      <c r="K116" s="60">
        <f t="shared" si="27"/>
        <v>614117.03</v>
      </c>
      <c r="L116" s="25">
        <f t="shared" si="37"/>
        <v>2.4243752738780201E-2</v>
      </c>
      <c r="M116" s="60" t="str">
        <f t="shared" si="29"/>
        <v>SEM DADOS</v>
      </c>
      <c r="N116" s="25" t="e">
        <f t="shared" si="38"/>
        <v>#VALUE!</v>
      </c>
      <c r="O116" s="178"/>
      <c r="P116" s="91">
        <f t="shared" si="31"/>
        <v>0.37254122132125955</v>
      </c>
      <c r="Q116" s="91">
        <f t="shared" si="32"/>
        <v>4.6326922724041708E-2</v>
      </c>
      <c r="R116" s="91">
        <f t="shared" si="33"/>
        <v>0</v>
      </c>
    </row>
    <row r="117" spans="6:18" x14ac:dyDescent="0.3">
      <c r="F117" s="7" t="s">
        <v>122</v>
      </c>
      <c r="G117" s="60">
        <f t="shared" si="24"/>
        <v>-647048.77999999991</v>
      </c>
      <c r="H117" s="25">
        <f t="shared" si="35"/>
        <v>-2.7462994695091426E-2</v>
      </c>
      <c r="I117" s="60">
        <f t="shared" si="34"/>
        <v>-1063301.06</v>
      </c>
      <c r="J117" s="25">
        <f t="shared" si="36"/>
        <v>-3.9923412980350195E-2</v>
      </c>
      <c r="K117" s="60">
        <f t="shared" si="27"/>
        <v>-577914.27</v>
      </c>
      <c r="L117" s="25">
        <f t="shared" si="37"/>
        <v>-2.2814561364781986E-2</v>
      </c>
      <c r="M117" s="60" t="str">
        <f t="shared" si="29"/>
        <v>SEM DADOS</v>
      </c>
      <c r="N117" s="25" t="e">
        <f t="shared" si="38"/>
        <v>#VALUE!</v>
      </c>
      <c r="O117" s="178"/>
      <c r="P117" s="91">
        <f t="shared" si="31"/>
        <v>0.64330896350658473</v>
      </c>
      <c r="Q117" s="91">
        <f t="shared" si="32"/>
        <v>-0.45649046000198668</v>
      </c>
      <c r="R117" s="91">
        <f t="shared" si="33"/>
        <v>0</v>
      </c>
    </row>
    <row r="118" spans="6:18" x14ac:dyDescent="0.3">
      <c r="F118" s="7" t="s">
        <v>123</v>
      </c>
      <c r="G118" s="60">
        <f t="shared" si="24"/>
        <v>-122102.48999999999</v>
      </c>
      <c r="H118" s="25">
        <f t="shared" si="35"/>
        <v>-5.1824532226572686E-3</v>
      </c>
      <c r="I118" s="60">
        <f t="shared" si="34"/>
        <v>829617.41</v>
      </c>
      <c r="J118" s="25">
        <f t="shared" si="36"/>
        <v>3.1149370315796083E-2</v>
      </c>
      <c r="K118" s="60">
        <f t="shared" si="27"/>
        <v>-32602.430000000008</v>
      </c>
      <c r="L118" s="25">
        <f t="shared" si="37"/>
        <v>-1.2870596531143093E-3</v>
      </c>
      <c r="M118" s="60" t="str">
        <f t="shared" si="29"/>
        <v>SEM DADOS</v>
      </c>
      <c r="N118" s="25" t="e">
        <f t="shared" si="38"/>
        <v>#VALUE!</v>
      </c>
      <c r="O118" s="178"/>
      <c r="P118" s="91">
        <f t="shared" si="31"/>
        <v>-7.79443482274604</v>
      </c>
      <c r="Q118" s="91">
        <f t="shared" si="32"/>
        <v>-1.0392981506981633</v>
      </c>
      <c r="R118" s="91">
        <f t="shared" si="33"/>
        <v>0</v>
      </c>
    </row>
    <row r="119" spans="6:18" x14ac:dyDescent="0.3">
      <c r="F119" s="7" t="s">
        <v>166</v>
      </c>
      <c r="G119" s="16">
        <f t="shared" si="24"/>
        <v>0</v>
      </c>
      <c r="H119" s="25">
        <f t="shared" si="35"/>
        <v>0</v>
      </c>
      <c r="I119" s="60">
        <f t="shared" si="34"/>
        <v>0</v>
      </c>
      <c r="J119" s="25">
        <f t="shared" si="36"/>
        <v>0</v>
      </c>
      <c r="K119" s="60">
        <f t="shared" si="27"/>
        <v>0</v>
      </c>
      <c r="L119" s="25">
        <f t="shared" si="37"/>
        <v>0</v>
      </c>
      <c r="M119" s="60" t="str">
        <f t="shared" si="29"/>
        <v>SEM DADOS</v>
      </c>
      <c r="N119" s="25" t="e">
        <f t="shared" si="38"/>
        <v>#VALUE!</v>
      </c>
      <c r="O119" s="178"/>
      <c r="P119" s="91">
        <f t="shared" si="31"/>
        <v>0</v>
      </c>
      <c r="Q119" s="91">
        <f t="shared" si="32"/>
        <v>0</v>
      </c>
      <c r="R119" s="91">
        <f t="shared" si="33"/>
        <v>0</v>
      </c>
    </row>
    <row r="120" spans="6:18" ht="15" thickBot="1" x14ac:dyDescent="0.35">
      <c r="F120" s="180" t="s">
        <v>104</v>
      </c>
      <c r="G120" s="174">
        <f t="shared" si="24"/>
        <v>-341530.93999999994</v>
      </c>
      <c r="H120" s="164">
        <f t="shared" si="35"/>
        <v>-1.4495757790362556E-2</v>
      </c>
      <c r="I120" s="174">
        <f t="shared" si="34"/>
        <v>353242.88000000006</v>
      </c>
      <c r="J120" s="164">
        <f t="shared" si="36"/>
        <v>1.3263093502989914E-2</v>
      </c>
      <c r="K120" s="174">
        <f t="shared" si="27"/>
        <v>3600.3300000000309</v>
      </c>
      <c r="L120" s="164">
        <f t="shared" si="37"/>
        <v>1.4213172088390589E-4</v>
      </c>
      <c r="M120" s="174" t="str">
        <f t="shared" si="29"/>
        <v>SEM DADOS</v>
      </c>
      <c r="N120" s="164" t="e">
        <f t="shared" si="38"/>
        <v>#VALUE!</v>
      </c>
      <c r="O120" s="178"/>
      <c r="P120" s="164">
        <f t="shared" si="31"/>
        <v>-2.0342924714229409</v>
      </c>
      <c r="Q120" s="164">
        <f t="shared" si="32"/>
        <v>-0.98980777758351413</v>
      </c>
      <c r="R120" s="164">
        <f t="shared" si="33"/>
        <v>0</v>
      </c>
    </row>
    <row r="121" spans="6:18" ht="15.6" thickTop="1" thickBot="1" x14ac:dyDescent="0.35">
      <c r="F121" s="180" t="s">
        <v>105</v>
      </c>
      <c r="G121" s="174">
        <f t="shared" si="24"/>
        <v>123405.98999999999</v>
      </c>
      <c r="H121" s="164">
        <f t="shared" si="35"/>
        <v>5.2377782842160771E-3</v>
      </c>
      <c r="I121" s="174">
        <f t="shared" si="34"/>
        <v>19156.929999999993</v>
      </c>
      <c r="J121" s="164">
        <f t="shared" si="36"/>
        <v>7.1927891036397513E-4</v>
      </c>
      <c r="K121" s="174">
        <f t="shared" si="27"/>
        <v>0</v>
      </c>
      <c r="L121" s="164">
        <f t="shared" si="37"/>
        <v>0</v>
      </c>
      <c r="M121" s="174" t="str">
        <f t="shared" si="29"/>
        <v>SEM DADOS</v>
      </c>
      <c r="N121" s="164" t="e">
        <f t="shared" si="38"/>
        <v>#VALUE!</v>
      </c>
      <c r="O121" s="178"/>
      <c r="P121" s="164">
        <f t="shared" si="31"/>
        <v>-0.84476499074315603</v>
      </c>
      <c r="Q121" s="164">
        <f t="shared" si="32"/>
        <v>-1</v>
      </c>
      <c r="R121" s="164">
        <f t="shared" si="33"/>
        <v>0</v>
      </c>
    </row>
    <row r="122" spans="6:18" ht="15.6" thickTop="1" thickBot="1" x14ac:dyDescent="0.35">
      <c r="F122" s="180" t="s">
        <v>106</v>
      </c>
      <c r="G122" s="174">
        <f>G115+G120+G121</f>
        <v>3706183.9099999974</v>
      </c>
      <c r="H122" s="164">
        <f t="shared" si="35"/>
        <v>0.15730330108861829</v>
      </c>
      <c r="I122" s="174">
        <f>I115+I120+I121</f>
        <v>4267316.4399999939</v>
      </c>
      <c r="J122" s="164">
        <f t="shared" si="36"/>
        <v>0.16022351802410273</v>
      </c>
      <c r="K122" s="174">
        <f>K115+K120+K121</f>
        <v>2018139.1099999945</v>
      </c>
      <c r="L122" s="164">
        <f t="shared" si="37"/>
        <v>7.9670914801535139E-2</v>
      </c>
      <c r="M122" s="174" t="str">
        <f>IFERROR(M115+M120+M121,"SEM DADOS")</f>
        <v>SEM DADOS</v>
      </c>
      <c r="N122" s="164" t="e">
        <f t="shared" si="38"/>
        <v>#VALUE!</v>
      </c>
      <c r="O122" s="178"/>
      <c r="P122" s="164">
        <f t="shared" si="31"/>
        <v>0.1514043942843617</v>
      </c>
      <c r="Q122" s="164">
        <f t="shared" si="32"/>
        <v>-0.52707066879718034</v>
      </c>
      <c r="R122" s="164">
        <f t="shared" si="33"/>
        <v>0</v>
      </c>
    </row>
    <row r="123" spans="6:18" ht="15" thickTop="1" x14ac:dyDescent="0.3">
      <c r="F123" s="7" t="s">
        <v>107</v>
      </c>
      <c r="G123" s="60">
        <f t="shared" ref="G123:G129" si="39">IFERROR(IF($G$9="SEM DADOS","SEM DADOS",VLOOKUP($F123,SELECDB,H$7-1,FALSE)+VLOOKUP($F123,SELECDB,H$7-2,FALSE)+VLOOKUP($F123,SELECDB,H$7-3,FALSE)),0)</f>
        <v>-925</v>
      </c>
      <c r="H123" s="25">
        <f t="shared" si="35"/>
        <v>-3.9260208624393931E-5</v>
      </c>
      <c r="I123" s="60">
        <f t="shared" ref="I123:I129" si="40">IFERROR(IF($I$9="SEM DADOS","SEM DADOS",VLOOKUP($F123,SELECDB,J$7-1,FALSE)+VLOOKUP($F123,SELECDB,J$7-2,FALSE)+VLOOKUP($F123,SELECDB,J$7-3,FALSE)),0)</f>
        <v>28201.8</v>
      </c>
      <c r="J123" s="25">
        <f t="shared" si="36"/>
        <v>1.058883650684257E-3</v>
      </c>
      <c r="K123" s="60">
        <f t="shared" ref="K123:K129" si="41">IFERROR(IF($K$9="SEM DADOS","SEM DADOS",VLOOKUP($F123,SELECDB,L$7-1,FALSE)+VLOOKUP($F123,SELECDB,L$7-2,FALSE)+VLOOKUP($F123,SELECDB,L$7-3,FALSE)),0)</f>
        <v>105040.45</v>
      </c>
      <c r="L123" s="25">
        <f t="shared" si="37"/>
        <v>4.1467254170922509E-3</v>
      </c>
      <c r="M123" s="60" t="str">
        <f t="shared" ref="M123:M129" si="42">IFERROR(IF($M$9="SEM DADOS","SEM DADOS",VLOOKUP($F123,SELECDB,N$7-1,FALSE)+VLOOKUP($F123,SELECDB,N$7-2,FALSE)+VLOOKUP($F123,SELECDB,N$7-3,FALSE)),0)</f>
        <v>SEM DADOS</v>
      </c>
      <c r="N123" s="25" t="e">
        <f t="shared" si="38"/>
        <v>#VALUE!</v>
      </c>
      <c r="O123" s="178"/>
      <c r="P123" s="91">
        <f t="shared" si="31"/>
        <v>-31.488432432432433</v>
      </c>
      <c r="Q123" s="91">
        <f t="shared" si="32"/>
        <v>2.7246009119985248</v>
      </c>
      <c r="R123" s="91">
        <f t="shared" si="33"/>
        <v>0</v>
      </c>
    </row>
    <row r="124" spans="6:18" ht="15" thickBot="1" x14ac:dyDescent="0.35">
      <c r="F124" s="180" t="s">
        <v>108</v>
      </c>
      <c r="G124" s="174">
        <f t="shared" si="39"/>
        <v>3705258.9099999974</v>
      </c>
      <c r="H124" s="164">
        <f t="shared" si="35"/>
        <v>0.1572640408799939</v>
      </c>
      <c r="I124" s="174">
        <f t="shared" si="40"/>
        <v>4295518.2399999946</v>
      </c>
      <c r="J124" s="164">
        <f t="shared" si="36"/>
        <v>0.16128240167478702</v>
      </c>
      <c r="K124" s="174">
        <f t="shared" si="41"/>
        <v>2123179.5599999945</v>
      </c>
      <c r="L124" s="164">
        <f t="shared" si="37"/>
        <v>8.3817640218627393E-2</v>
      </c>
      <c r="M124" s="174" t="str">
        <f t="shared" si="42"/>
        <v>SEM DADOS</v>
      </c>
      <c r="N124" s="164" t="e">
        <f t="shared" si="38"/>
        <v>#VALUE!</v>
      </c>
      <c r="O124" s="178"/>
      <c r="P124" s="164">
        <f t="shared" si="31"/>
        <v>0.15930312680902436</v>
      </c>
      <c r="Q124" s="164">
        <f t="shared" si="32"/>
        <v>-0.50572214075850441</v>
      </c>
      <c r="R124" s="164">
        <f t="shared" si="33"/>
        <v>0</v>
      </c>
    </row>
    <row r="125" spans="6:18" ht="15" thickTop="1" x14ac:dyDescent="0.3">
      <c r="F125" s="7" t="s">
        <v>142</v>
      </c>
      <c r="G125" s="60">
        <f t="shared" si="39"/>
        <v>-949718.53500000015</v>
      </c>
      <c r="H125" s="25">
        <f t="shared" si="35"/>
        <v>-4.0309348993031111E-2</v>
      </c>
      <c r="I125" s="60">
        <f t="shared" si="40"/>
        <v>-836086.19999999867</v>
      </c>
      <c r="J125" s="25">
        <f t="shared" si="36"/>
        <v>-3.1392251832958407E-2</v>
      </c>
      <c r="K125" s="60">
        <f t="shared" si="41"/>
        <v>-542002.26499999862</v>
      </c>
      <c r="L125" s="25">
        <f t="shared" si="37"/>
        <v>-2.1396848246528495E-2</v>
      </c>
      <c r="M125" s="60" t="str">
        <f t="shared" si="42"/>
        <v>SEM DADOS</v>
      </c>
      <c r="N125" s="25" t="e">
        <f t="shared" si="38"/>
        <v>#VALUE!</v>
      </c>
      <c r="O125" s="178"/>
      <c r="P125" s="91">
        <f t="shared" si="31"/>
        <v>-0.11964843352246612</v>
      </c>
      <c r="Q125" s="91">
        <f t="shared" si="32"/>
        <v>-0.35173877406420595</v>
      </c>
      <c r="R125" s="91">
        <f t="shared" si="33"/>
        <v>0</v>
      </c>
    </row>
    <row r="126" spans="6:18" x14ac:dyDescent="0.3">
      <c r="F126" s="7" t="s">
        <v>143</v>
      </c>
      <c r="G126" s="60">
        <f t="shared" si="39"/>
        <v>-344058.67260000005</v>
      </c>
      <c r="H126" s="25">
        <f t="shared" si="35"/>
        <v>-1.4603043530062757E-2</v>
      </c>
      <c r="I126" s="60">
        <f t="shared" si="40"/>
        <v>-303151.03199999948</v>
      </c>
      <c r="J126" s="25">
        <f t="shared" si="36"/>
        <v>-1.1382311464972429E-2</v>
      </c>
      <c r="K126" s="60">
        <f t="shared" si="41"/>
        <v>-197280.8153999995</v>
      </c>
      <c r="L126" s="25">
        <f t="shared" si="37"/>
        <v>-7.788136584752468E-3</v>
      </c>
      <c r="M126" s="60" t="str">
        <f t="shared" si="42"/>
        <v>SEM DADOS</v>
      </c>
      <c r="N126" s="25" t="e">
        <f t="shared" si="38"/>
        <v>#VALUE!</v>
      </c>
      <c r="O126" s="178"/>
      <c r="P126" s="91">
        <f t="shared" si="31"/>
        <v>-0.11889728077733841</v>
      </c>
      <c r="Q126" s="91">
        <f t="shared" si="32"/>
        <v>-0.34923257856499779</v>
      </c>
      <c r="R126" s="91">
        <f t="shared" si="33"/>
        <v>0</v>
      </c>
    </row>
    <row r="127" spans="6:18" ht="15" thickBot="1" x14ac:dyDescent="0.35">
      <c r="F127" s="180" t="s">
        <v>144</v>
      </c>
      <c r="G127" s="174">
        <f t="shared" si="39"/>
        <v>2411481.702399997</v>
      </c>
      <c r="H127" s="164">
        <f t="shared" si="35"/>
        <v>0.10235164835690003</v>
      </c>
      <c r="I127" s="174">
        <f t="shared" si="40"/>
        <v>3156281.0079999967</v>
      </c>
      <c r="J127" s="164">
        <f t="shared" si="36"/>
        <v>0.11850783837685619</v>
      </c>
      <c r="K127" s="174">
        <f t="shared" si="41"/>
        <v>1383896.4795999965</v>
      </c>
      <c r="L127" s="164">
        <f t="shared" si="37"/>
        <v>5.4632655387346435E-2</v>
      </c>
      <c r="M127" s="174" t="str">
        <f t="shared" si="42"/>
        <v>SEM DADOS</v>
      </c>
      <c r="N127" s="164" t="e">
        <f t="shared" si="38"/>
        <v>#VALUE!</v>
      </c>
      <c r="O127" s="178"/>
      <c r="P127" s="164">
        <f t="shared" si="31"/>
        <v>0.30885546627152394</v>
      </c>
      <c r="Q127" s="164">
        <f t="shared" si="32"/>
        <v>-0.56154205658737788</v>
      </c>
      <c r="R127" s="164">
        <f t="shared" si="33"/>
        <v>0</v>
      </c>
    </row>
    <row r="128" spans="6:18" ht="15" thickTop="1" x14ac:dyDescent="0.3">
      <c r="F128" s="7" t="s">
        <v>843</v>
      </c>
      <c r="G128" s="60">
        <f t="shared" si="39"/>
        <v>500000</v>
      </c>
      <c r="H128" s="25">
        <f>G128/$G$107</f>
        <v>2.1221734391564287E-2</v>
      </c>
      <c r="I128" s="60">
        <f t="shared" si="40"/>
        <v>500000</v>
      </c>
      <c r="J128" s="25">
        <f>I128/$I$107</f>
        <v>1.8773334515602851E-2</v>
      </c>
      <c r="K128" s="60">
        <f t="shared" si="41"/>
        <v>0</v>
      </c>
      <c r="L128" s="25">
        <f>K128/$K$107</f>
        <v>0</v>
      </c>
      <c r="M128" s="60" t="str">
        <f t="shared" si="42"/>
        <v>SEM DADOS</v>
      </c>
      <c r="N128" s="25" t="e">
        <f>M128/$M$107</f>
        <v>#VALUE!</v>
      </c>
      <c r="O128" s="178"/>
      <c r="P128" s="91">
        <f>IFERROR(IF(AND(G128=0,I128&lt;&gt;0),0,(I128/G128)-1),0)</f>
        <v>0</v>
      </c>
      <c r="Q128" s="91">
        <f>IFERROR(IF(AND(I128=0,K128&lt;&gt;0),0,(K128/I128)-1),0)</f>
        <v>-1</v>
      </c>
      <c r="R128" s="91">
        <f>IFERROR(IF(AND(K128=0,M128&lt;&gt;0),0,(M128/K128)-1),0)</f>
        <v>0</v>
      </c>
    </row>
    <row r="129" spans="6:18" ht="15" thickBot="1" x14ac:dyDescent="0.35">
      <c r="F129" s="180" t="s">
        <v>835</v>
      </c>
      <c r="G129" s="174">
        <f t="shared" si="39"/>
        <v>2911481.702399997</v>
      </c>
      <c r="H129" s="164">
        <f>G129/$G$107</f>
        <v>0.12357338274846431</v>
      </c>
      <c r="I129" s="174">
        <f t="shared" si="40"/>
        <v>3656281.0079999967</v>
      </c>
      <c r="J129" s="164">
        <f>I129/$I$107</f>
        <v>0.13728117289245903</v>
      </c>
      <c r="K129" s="174">
        <f t="shared" si="41"/>
        <v>1383896.4795999965</v>
      </c>
      <c r="L129" s="164">
        <f>K129/$K$107</f>
        <v>5.4632655387346435E-2</v>
      </c>
      <c r="M129" s="174" t="str">
        <f t="shared" si="42"/>
        <v>SEM DADOS</v>
      </c>
      <c r="N129" s="164" t="e">
        <f>M129/$M$107</f>
        <v>#VALUE!</v>
      </c>
      <c r="O129" s="178"/>
      <c r="P129" s="164">
        <f>IFERROR(IF(AND(G129=0,I129&lt;&gt;0),0,(I129/G129)-1),0)</f>
        <v>0.25581452391957171</v>
      </c>
      <c r="Q129" s="164">
        <f>IFERROR(IF(AND(I129=0,K129&lt;&gt;0),0,(K129/I129)-1),0)</f>
        <v>-0.62150160871880189</v>
      </c>
      <c r="R129" s="164">
        <f>IFERROR(IF(AND(K129=0,M129&lt;&gt;0),0,(M129/K129)-1),0)</f>
        <v>0</v>
      </c>
    </row>
    <row r="130" spans="6:18" ht="15" thickTop="1" x14ac:dyDescent="0.3"/>
  </sheetData>
  <sheetProtection selectLockedCells="1" selectUnlockedCells="1"/>
  <mergeCells count="2">
    <mergeCell ref="F5:R6"/>
    <mergeCell ref="F97:R97"/>
  </mergeCells>
  <conditionalFormatting sqref="P12:P70 P74:P127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Q12:Q70 Q74:Q95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R12:R16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R77:R88 R64:R70 R49:R58 R35:R46 R31:R32 R21:R22 R74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R95 R93 R91 R89 R76 R63 R61 R59 R48 R34 R30 R28 R26 R24 R20 R18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Q99:Q12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R99:R127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P128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Q128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R12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P12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Q12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R12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D4:D31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P71:P73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Q71:Q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R71:R73">
    <cfRule type="iconSet" priority="1">
      <iconSet iconSet="3Arrows">
        <cfvo type="percent" val="0"/>
        <cfvo type="num" val="0"/>
        <cfvo type="num" val="0" gte="0"/>
      </iconSet>
    </cfRule>
  </conditionalFormatting>
  <pageMargins left="0.25" right="0.25" top="0.75" bottom="0.75" header="0.3" footer="0.3"/>
  <pageSetup paperSize="9" scale="38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12645" r:id="rId4" name="PGDRETRIMMENOS">
          <controlPr defaultSize="0" autoLine="0" r:id="rId5">
            <anchor>
              <from>
                <xdr:col>15</xdr:col>
                <xdr:colOff>1325880</xdr:colOff>
                <xdr:row>4</xdr:row>
                <xdr:rowOff>7620</xdr:rowOff>
              </from>
              <to>
                <xdr:col>16</xdr:col>
                <xdr:colOff>434340</xdr:colOff>
                <xdr:row>6</xdr:row>
                <xdr:rowOff>7620</xdr:rowOff>
              </to>
            </anchor>
          </controlPr>
        </control>
      </mc:Choice>
      <mc:Fallback>
        <control shapeId="112645" r:id="rId4" name="PGDRETRIMMENOS"/>
      </mc:Fallback>
    </mc:AlternateContent>
    <mc:AlternateContent xmlns:mc="http://schemas.openxmlformats.org/markup-compatibility/2006">
      <mc:Choice Requires="x14">
        <control shapeId="112644" r:id="rId6" name="PGDRETRIMMAIS">
          <controlPr defaultSize="0" autoLine="0" autoPict="0" r:id="rId7">
            <anchor>
              <from>
                <xdr:col>16</xdr:col>
                <xdr:colOff>518160</xdr:colOff>
                <xdr:row>4</xdr:row>
                <xdr:rowOff>7620</xdr:rowOff>
              </from>
              <to>
                <xdr:col>17</xdr:col>
                <xdr:colOff>38100</xdr:colOff>
                <xdr:row>6</xdr:row>
                <xdr:rowOff>7620</xdr:rowOff>
              </to>
            </anchor>
          </controlPr>
        </control>
      </mc:Choice>
      <mc:Fallback>
        <control shapeId="112644" r:id="rId6" name="PGDRETRIMMAI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E7595-C7FE-450B-81B2-8EEC568805FF}">
  <sheetPr codeName="Planilha17">
    <pageSetUpPr autoPageBreaks="0" fitToPage="1"/>
  </sheetPr>
  <dimension ref="A1:U130"/>
  <sheetViews>
    <sheetView showGridLines="0" showRowColHeaders="0" topLeftCell="F1" zoomScale="64" zoomScaleNormal="64" workbookViewId="0">
      <pane ySplit="9" topLeftCell="A10" activePane="bottomLeft" state="frozen"/>
      <selection activeCell="F1" sqref="F1"/>
      <selection pane="bottomLeft"/>
    </sheetView>
  </sheetViews>
  <sheetFormatPr defaultRowHeight="14.4" x14ac:dyDescent="0.3"/>
  <cols>
    <col min="1" max="2" width="9.109375" hidden="1" customWidth="1"/>
    <col min="3" max="3" width="15" hidden="1" customWidth="1"/>
    <col min="4" max="4" width="0.6640625" hidden="1" customWidth="1"/>
    <col min="5" max="5" width="8.33203125" hidden="1" customWidth="1"/>
    <col min="6" max="6" width="46.5546875" style="182" bestFit="1" customWidth="1"/>
    <col min="7" max="7" width="24.109375" style="183" customWidth="1"/>
    <col min="8" max="8" width="10.109375" style="183" bestFit="1" customWidth="1"/>
    <col min="9" max="9" width="23.44140625" style="196" customWidth="1"/>
    <col min="10" max="10" width="10.109375" style="183" bestFit="1" customWidth="1"/>
    <col min="11" max="11" width="22.88671875" style="196" customWidth="1"/>
    <col min="12" max="12" width="10.109375" style="183" bestFit="1" customWidth="1"/>
    <col min="13" max="13" width="22.109375" style="196" customWidth="1"/>
    <col min="14" max="14" width="10.109375" style="183" bestFit="1" customWidth="1"/>
    <col min="15" max="15" width="0.33203125" style="183" customWidth="1"/>
    <col min="16" max="16" width="21.33203125" style="196" bestFit="1" customWidth="1"/>
    <col min="17" max="17" width="15.6640625" style="183" customWidth="1"/>
    <col min="18" max="18" width="16.88671875" style="183" bestFit="1" customWidth="1"/>
    <col min="21" max="21" width="9.88671875" customWidth="1"/>
  </cols>
  <sheetData>
    <row r="1" spans="1:21" ht="7.5" customHeight="1" x14ac:dyDescent="0.3">
      <c r="I1" s="184"/>
      <c r="K1" s="184"/>
      <c r="M1" s="184"/>
      <c r="P1" s="184"/>
    </row>
    <row r="2" spans="1:21" s="48" customFormat="1" ht="37.5" customHeight="1" x14ac:dyDescent="0.3">
      <c r="F2" s="185"/>
      <c r="G2" s="186"/>
      <c r="H2" s="186"/>
      <c r="I2" s="187"/>
      <c r="J2" s="186"/>
      <c r="K2" s="187"/>
      <c r="L2" s="186"/>
      <c r="M2" s="187"/>
      <c r="N2" s="186"/>
      <c r="O2" s="186"/>
      <c r="P2" s="187"/>
      <c r="Q2" s="186"/>
      <c r="R2" s="186"/>
    </row>
    <row r="3" spans="1:21" x14ac:dyDescent="0.3">
      <c r="I3" s="184"/>
      <c r="K3" s="184"/>
      <c r="M3" s="184"/>
      <c r="P3" s="184"/>
      <c r="U3" s="142">
        <f ca="1">NOW()</f>
        <v>46240.707701736108</v>
      </c>
    </row>
    <row r="5" spans="1:21" ht="15" customHeight="1" x14ac:dyDescent="0.3">
      <c r="F5" s="261" t="s">
        <v>955</v>
      </c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</row>
    <row r="6" spans="1:21" ht="15" customHeight="1" x14ac:dyDescent="0.3"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</row>
    <row r="7" spans="1:21" s="6" customFormat="1" x14ac:dyDescent="0.3">
      <c r="A7"/>
      <c r="B7"/>
      <c r="C7"/>
      <c r="D7"/>
      <c r="E7"/>
      <c r="F7" s="188">
        <v>71</v>
      </c>
      <c r="G7" s="154"/>
      <c r="H7" s="154">
        <f>F7</f>
        <v>71</v>
      </c>
      <c r="I7" s="189"/>
      <c r="J7" s="154">
        <f>H7+13</f>
        <v>84</v>
      </c>
      <c r="K7" s="189"/>
      <c r="L7" s="154">
        <f>J7+13</f>
        <v>97</v>
      </c>
      <c r="M7" s="189"/>
      <c r="N7" s="154">
        <f>L7+13</f>
        <v>110</v>
      </c>
      <c r="O7" s="154"/>
      <c r="P7" s="189"/>
      <c r="Q7" s="154"/>
      <c r="R7" s="154"/>
    </row>
    <row r="9" spans="1:21" ht="15" thickBot="1" x14ac:dyDescent="0.35">
      <c r="D9" t="s">
        <v>698</v>
      </c>
      <c r="F9" s="190" t="s">
        <v>69</v>
      </c>
      <c r="G9" s="191" t="str">
        <f>IFERROR(VLOOKUP(MONTH(INDEX(TBBP[],1,H$7)),LISTASEMESTRE,2,0)&amp;"º SEMESTRE "&amp;YEAR(INDEX(TBBP[],1,H$7)),"SEM DADOS")</f>
        <v>2º SEMESTRE 2022</v>
      </c>
      <c r="H9" s="192" t="s">
        <v>248</v>
      </c>
      <c r="I9" s="191" t="str">
        <f>IFERROR(VLOOKUP(MONTH(INDEX(TBBP[],1,J$7)),LISTASEMESTRE,2,0)&amp;"º SEMESTRE "&amp;YEAR(INDEX(TBBP[],1,J$7)),"SEM DADOS")</f>
        <v>2º SEMESTRE 2023</v>
      </c>
      <c r="J9" s="192" t="s">
        <v>248</v>
      </c>
      <c r="K9" s="191" t="str">
        <f>IFERROR(VLOOKUP(MONTH(INDEX(TBBP[],1,L$7)),LISTASEMESTRE,2,0)&amp;"º SEMESTRE "&amp;YEAR(INDEX(TBBP[],1,L$7)),"SEM DADOS")</f>
        <v>2º SEMESTRE 2024</v>
      </c>
      <c r="L9" s="192" t="s">
        <v>248</v>
      </c>
      <c r="M9" s="191" t="str">
        <f>IFERROR(VLOOKUP(MONTH(INDEX(TBBP[],1,N$7)),LISTASEMESTRE,2,0)&amp;"º SEMESTRE "&amp;YEAR(INDEX(TBBP[],1,N$7)),"SEM DADOS")</f>
        <v>2º SEMESTRE 2025</v>
      </c>
      <c r="N9" s="192" t="s">
        <v>248</v>
      </c>
      <c r="O9" s="193"/>
      <c r="P9" s="194" t="str">
        <f>IFERROR(VLOOKUP(MONTH(INDEX(TBBP[],1,H$7)),LISTATRIMESTRE,2,0)&amp;"T "&amp;YEAR(INDEX(TBBP[],1,H$7))&amp;" - "&amp;YEAR(INDEX(TBBP[],1,J$7)),"SEM DADOS")</f>
        <v>4T 2022 - 2023</v>
      </c>
      <c r="Q9" s="194" t="str">
        <f>IFERROR(VLOOKUP(MONTH(INDEX(TBBP[],1,H$7)),LISTATRIMESTRE,2,0)&amp;"T "&amp;YEAR(INDEX(TBBP[],1,J$7))&amp;" - "&amp;YEAR(INDEX(TBBP[],1,L$7)),"SEM DADOS")</f>
        <v>4T 2023 - 2024</v>
      </c>
      <c r="R9" s="194" t="str">
        <f>IFERROR(VLOOKUP(MONTH(INDEX(TBBP[],1,H$7)),LISTATRIMESTRE,2,0)&amp;"T "&amp;YEAR(INDEX(TBBP[],1,L$7))&amp;" - "&amp;YEAR(INDEX(TBBP[],1,N$7)),"SEM DADOS")</f>
        <v>4T 2024 - 2025</v>
      </c>
    </row>
    <row r="10" spans="1:21" ht="15.6" thickTop="1" thickBot="1" x14ac:dyDescent="0.35">
      <c r="F10" s="195" t="s">
        <v>715</v>
      </c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</row>
    <row r="11" spans="1:21" ht="15" thickTop="1" x14ac:dyDescent="0.3">
      <c r="F11" s="190"/>
      <c r="G11" s="191"/>
      <c r="H11" s="192"/>
      <c r="I11" s="191"/>
      <c r="J11" s="192"/>
      <c r="K11" s="191"/>
      <c r="L11" s="192"/>
      <c r="M11" s="191"/>
      <c r="N11" s="192"/>
      <c r="O11" s="196"/>
    </row>
    <row r="12" spans="1:21" x14ac:dyDescent="0.3">
      <c r="C12" t="s">
        <v>148</v>
      </c>
      <c r="F12" s="182" t="s">
        <v>317</v>
      </c>
      <c r="G12" s="197">
        <f>IFERROR(INDEX(TBBP[],MATCH($C12,planoContas,0)+1,H$7)+INDEX(TBBP[],MATCH($C12,planoContas,0)+1,H$7-1)+INDEX(TBBP[],MATCH($C12,planoContas,0)+1,H$7-2)+INDEX(TBBP[],MATCH($C12,planoContas,0)+1,H$7-3)+INDEX(TBBP[],MATCH($C12,planoContas,0)+1,H$7-4)+INDEX(TBBP[],MATCH($C12,planoContas,0)+1,H$7-5),"SEM DADOS")</f>
        <v>36203396.039999999</v>
      </c>
      <c r="H12" s="196"/>
      <c r="I12" s="197">
        <f>IFERROR(INDEX(TBBP[],MATCH($C12,planoContas,0)+1,J$7)+INDEX(TBBP[],MATCH($C12,planoContas,0)+1,J$7-1)+INDEX(TBBP[],MATCH($C12,planoContas,0)+1,J$7-2)+INDEX(TBBP[],MATCH($C12,planoContas,0)+1,J$7-3)+INDEX(TBBP[],MATCH($C12,planoContas,0)+1,J$7-4)+INDEX(TBBP[],MATCH($C12,planoContas,0)+1,J$7-5),"SEM DADOS")</f>
        <v>40832128.740000002</v>
      </c>
      <c r="J12" s="196"/>
      <c r="K12" s="197">
        <f>IFERROR(INDEX(TBBP[],MATCH($C12,planoContas,0)+1,L$7)+INDEX(TBBP[],MATCH($C12,planoContas,0)+1,L$7-1)+INDEX(TBBP[],MATCH($C12,planoContas,0)+1,L$7-2)+INDEX(TBBP[],MATCH($C12,planoContas,0)+1,L$7-3)+INDEX(TBBP[],MATCH($C12,planoContas,0)+1,L$7-4)+INDEX(TBBP[],MATCH($C12,planoContas,0)+1,L$7-5),"SEM DADOS")</f>
        <v>62007439.549999997</v>
      </c>
      <c r="L12" s="196"/>
      <c r="M12" s="197">
        <f>IFERROR(INDEX(TBBP[],MATCH($C12,planoContas,0)+1,N$7)+INDEX(TBBP[],MATCH($C12,planoContas,0)+1,N$7-1)+INDEX(TBBP[],MATCH($C12,planoContas,0)+1,N$7-2)+INDEX(TBBP[],MATCH($C12,planoContas,0)+1,N$7-3)+INDEX(TBBP[],MATCH($C12,planoContas,0)+1,N$7-4)+INDEX(TBBP[],MATCH($C12,planoContas,0)+1,N$7-5),"SEM DADOS")</f>
        <v>42294822.359999999</v>
      </c>
      <c r="N12" s="196"/>
      <c r="O12" s="193"/>
      <c r="P12" s="198">
        <f>IFERROR(IF(AND(G12=0,I12&lt;&gt;0),1,(I12/G12)-1),0)</f>
        <v>0.12785354984062436</v>
      </c>
      <c r="Q12" s="198">
        <f>IFERROR(IF(AND(I12=0,K12&lt;&gt;0),1,(K12/I12)-1),0)</f>
        <v>0.51859433890489814</v>
      </c>
      <c r="R12" s="198">
        <f>IFERROR(IF(AND(K12=0,M12&lt;&gt;0),1,(M12/K12)-1),0)</f>
        <v>-0.31790729198074097</v>
      </c>
    </row>
    <row r="13" spans="1:21" x14ac:dyDescent="0.3">
      <c r="C13" t="s">
        <v>147</v>
      </c>
      <c r="F13" s="182" t="s">
        <v>313</v>
      </c>
      <c r="G13" s="197">
        <f>IFERROR(INDEX(TBBP[],MATCH($C13,planoContas,0)+1,H$7)+INDEX(TBBP[],MATCH($C13,planoContas,0)+1,H$7-1)+INDEX(TBBP[],MATCH($C13,planoContas,0)+1,H$7-2)+INDEX(TBBP[],MATCH($C13,planoContas,0)+1,H$7-3)+INDEX(TBBP[],MATCH($C13,planoContas,0)+1,H$7-4)+INDEX(TBBP[],MATCH($C13,planoContas,0)+1,H$7-5),"SEM DADOS")</f>
        <v>15092146.199999999</v>
      </c>
      <c r="H13" s="196"/>
      <c r="I13" s="197">
        <f>IFERROR(INDEX(TBBP[],MATCH($C13,planoContas,0)+1,J$7)+INDEX(TBBP[],MATCH($C13,planoContas,0)+1,J$7-1)+INDEX(TBBP[],MATCH($C13,planoContas,0)+1,J$7-2)+INDEX(TBBP[],MATCH($C13,planoContas,0)+1,J$7-3)+INDEX(TBBP[],MATCH($C13,planoContas,0)+1,J$7-4)+INDEX(TBBP[],MATCH($C13,planoContas,0)+1,J$7-5),"SEM DADOS")</f>
        <v>14016154.98</v>
      </c>
      <c r="J13" s="196"/>
      <c r="K13" s="197">
        <f>IFERROR(INDEX(TBBP[],MATCH($C13,planoContas,0)+1,L$7)+INDEX(TBBP[],MATCH($C13,planoContas,0)+1,L$7-1)+INDEX(TBBP[],MATCH($C13,planoContas,0)+1,L$7-2)+INDEX(TBBP[],MATCH($C13,planoContas,0)+1,L$7-3)+INDEX(TBBP[],MATCH($C13,planoContas,0)+1,L$7-4)+INDEX(TBBP[],MATCH($C13,planoContas,0)+1,L$7-5),"SEM DADOS")</f>
        <v>17576243.079999998</v>
      </c>
      <c r="L13" s="196"/>
      <c r="M13" s="197">
        <f>IFERROR(INDEX(TBBP[],MATCH($C13,planoContas,0)+1,N$7)+INDEX(TBBP[],MATCH($C13,planoContas,0)+1,N$7-1)+INDEX(TBBP[],MATCH($C13,planoContas,0)+1,N$7-2)+INDEX(TBBP[],MATCH($C13,planoContas,0)+1,N$7-3)+INDEX(TBBP[],MATCH($C13,planoContas,0)+1,N$7-4)+INDEX(TBBP[],MATCH($C13,planoContas,0)+1,N$7-5),"SEM DADOS")</f>
        <v>20968166.979999997</v>
      </c>
      <c r="N13" s="196"/>
      <c r="O13" s="193"/>
      <c r="P13" s="198">
        <f>IFERROR(IF(AND(G13=0,I13&lt;&gt;0),1,(I13/G13)-1),0)</f>
        <v>-7.129477847226251E-2</v>
      </c>
      <c r="Q13" s="198">
        <f>IFERROR(IF(AND(I13=0,K13&lt;&gt;0),1,(K13/I13)-1),0)</f>
        <v>0.25399891090530713</v>
      </c>
      <c r="R13" s="198">
        <f>IFERROR(IF(AND(K13=0,M13&lt;&gt;0),1,(M13/K13)-1),0)</f>
        <v>0.19298344273923185</v>
      </c>
    </row>
    <row r="14" spans="1:21" x14ac:dyDescent="0.3">
      <c r="C14" t="s">
        <v>124</v>
      </c>
      <c r="F14" s="182" t="s">
        <v>314</v>
      </c>
      <c r="G14" s="197">
        <f>IFERROR(INDEX(TBBP[],MATCH($C14,planoContas,0)+1,H$7)+INDEX(TBBP[],MATCH($C14,planoContas,0)+1,H$7-1)+INDEX(TBBP[],MATCH($C14,planoContas,0)+1,H$7-2)+INDEX(TBBP[],MATCH($C14,planoContas,0)+1,H$7-3)+INDEX(TBBP[],MATCH($C14,planoContas,0)+1,H$7-4)+INDEX(TBBP[],MATCH($C14,planoContas,0)+1,H$7-5),"SEM DADOS")</f>
        <v>350929.45</v>
      </c>
      <c r="H14" s="196"/>
      <c r="I14" s="197">
        <f>IFERROR(INDEX(TBBP[],MATCH($C14,planoContas,0)+1,J$7)+INDEX(TBBP[],MATCH($C14,planoContas,0)+1,J$7-1)+INDEX(TBBP[],MATCH($C14,planoContas,0)+1,J$7-2)+INDEX(TBBP[],MATCH($C14,planoContas,0)+1,J$7-3)+INDEX(TBBP[],MATCH($C14,planoContas,0)+1,J$7-4)+INDEX(TBBP[],MATCH($C14,planoContas,0)+1,J$7-5),"SEM DADOS")</f>
        <v>357859.63999999996</v>
      </c>
      <c r="J14" s="196"/>
      <c r="K14" s="197">
        <f>IFERROR(INDEX(TBBP[],MATCH($C14,planoContas,0)+1,L$7)+INDEX(TBBP[],MATCH($C14,planoContas,0)+1,L$7-1)+INDEX(TBBP[],MATCH($C14,planoContas,0)+1,L$7-2)+INDEX(TBBP[],MATCH($C14,planoContas,0)+1,L$7-3)+INDEX(TBBP[],MATCH($C14,planoContas,0)+1,L$7-4)+INDEX(TBBP[],MATCH($C14,planoContas,0)+1,L$7-5),"SEM DADOS")</f>
        <v>451592.32</v>
      </c>
      <c r="L14" s="196"/>
      <c r="M14" s="197">
        <f>IFERROR(INDEX(TBBP[],MATCH($C14,planoContas,0)+1,N$7)+INDEX(TBBP[],MATCH($C14,planoContas,0)+1,N$7-1)+INDEX(TBBP[],MATCH($C14,planoContas,0)+1,N$7-2)+INDEX(TBBP[],MATCH($C14,planoContas,0)+1,N$7-3)+INDEX(TBBP[],MATCH($C14,planoContas,0)+1,N$7-4)+INDEX(TBBP[],MATCH($C14,planoContas,0)+1,N$7-5),"SEM DADOS")</f>
        <v>418380.45999999996</v>
      </c>
      <c r="N14" s="196"/>
      <c r="O14" s="193"/>
      <c r="P14" s="198">
        <f>IFERROR(IF(AND(G14=0,I14&lt;&gt;0),1,(I14/G14)-1),0)</f>
        <v>1.9748100366042021E-2</v>
      </c>
      <c r="Q14" s="198">
        <f>IFERROR(IF(AND(I14=0,K14&lt;&gt;0),1,(K14/I14)-1),0)</f>
        <v>0.26192582097271444</v>
      </c>
      <c r="R14" s="198">
        <f>IFERROR(IF(AND(K14=0,M14&lt;&gt;0),1,(M14/K14)-1),0)</f>
        <v>-7.3543899063651108E-2</v>
      </c>
    </row>
    <row r="15" spans="1:21" x14ac:dyDescent="0.3">
      <c r="C15" t="s">
        <v>125</v>
      </c>
      <c r="F15" s="182" t="s">
        <v>315</v>
      </c>
      <c r="G15" s="197">
        <f>IFERROR(INDEX(TBBP[],MATCH($C15,planoContas,0)+1,H$7)+INDEX(TBBP[],MATCH($C15,planoContas,0)+1,H$7-1)+INDEX(TBBP[],MATCH($C15,planoContas,0)+1,H$7-2)+INDEX(TBBP[],MATCH($C15,planoContas,0)+1,H$7-3)+INDEX(TBBP[],MATCH($C15,planoContas,0)+1,H$7-4)+INDEX(TBBP[],MATCH($C15,planoContas,0)+1,H$7-5),"SEM DADOS")</f>
        <v>0</v>
      </c>
      <c r="H15" s="196"/>
      <c r="I15" s="197">
        <f>IFERROR(INDEX(TBBP[],MATCH($C15,planoContas,0)+1,J$7)+INDEX(TBBP[],MATCH($C15,planoContas,0)+1,J$7-1)+INDEX(TBBP[],MATCH($C15,planoContas,0)+1,J$7-2)+INDEX(TBBP[],MATCH($C15,planoContas,0)+1,J$7-3)+INDEX(TBBP[],MATCH($C15,planoContas,0)+1,J$7-4)+INDEX(TBBP[],MATCH($C15,planoContas,0)+1,J$7-5),"SEM DADOS")</f>
        <v>0</v>
      </c>
      <c r="J15" s="196"/>
      <c r="K15" s="197">
        <f>IFERROR(INDEX(TBBP[],MATCH($C15,planoContas,0)+1,L$7)+INDEX(TBBP[],MATCH($C15,planoContas,0)+1,L$7-1)+INDEX(TBBP[],MATCH($C15,planoContas,0)+1,L$7-2)+INDEX(TBBP[],MATCH($C15,planoContas,0)+1,L$7-3)+INDEX(TBBP[],MATCH($C15,planoContas,0)+1,L$7-4)+INDEX(TBBP[],MATCH($C15,planoContas,0)+1,L$7-5),"SEM DADOS")</f>
        <v>36000</v>
      </c>
      <c r="L15" s="196"/>
      <c r="M15" s="197">
        <f>IFERROR(INDEX(TBBP[],MATCH($C15,planoContas,0)+1,N$7)+INDEX(TBBP[],MATCH($C15,planoContas,0)+1,N$7-1)+INDEX(TBBP[],MATCH($C15,planoContas,0)+1,N$7-2)+INDEX(TBBP[],MATCH($C15,planoContas,0)+1,N$7-3)+INDEX(TBBP[],MATCH($C15,planoContas,0)+1,N$7-4)+INDEX(TBBP[],MATCH($C15,planoContas,0)+1,N$7-5),"SEM DADOS")</f>
        <v>0</v>
      </c>
      <c r="N15" s="196"/>
      <c r="O15" s="193"/>
      <c r="P15" s="198">
        <f>IFERROR(IF(AND(G15=0,I15&lt;&gt;0),1,(I15/G15)-1),0)</f>
        <v>0</v>
      </c>
      <c r="Q15" s="198">
        <f>IFERROR(IF(AND(I15=0,K15&lt;&gt;0),1,(K15/I15)-1),0)</f>
        <v>1</v>
      </c>
      <c r="R15" s="198">
        <f>IFERROR(IF(AND(K15=0,M15&lt;&gt;0),1,(M15/K15)-1),0)</f>
        <v>-1</v>
      </c>
    </row>
    <row r="16" spans="1:21" x14ac:dyDescent="0.3">
      <c r="C16" t="s">
        <v>126</v>
      </c>
      <c r="F16" s="182" t="s">
        <v>316</v>
      </c>
      <c r="G16" s="197">
        <f>IFERROR(INDEX(TBBP[],MATCH($C16,planoContas,0)+1,H$7)+INDEX(TBBP[],MATCH($C16,planoContas,0)+1,H$7-1)+INDEX(TBBP[],MATCH($C16,planoContas,0)+1,H$7-2)+INDEX(TBBP[],MATCH($C16,planoContas,0)+1,H$7-3)+INDEX(TBBP[],MATCH($C16,planoContas,0)+1,H$7-4)+INDEX(TBBP[],MATCH($C16,planoContas,0)+1,H$7-5),"SEM DADOS")</f>
        <v>0</v>
      </c>
      <c r="H16" s="196"/>
      <c r="I16" s="197">
        <f>IFERROR(INDEX(TBBP[],MATCH($C16,planoContas,0)+1,J$7)+INDEX(TBBP[],MATCH($C16,planoContas,0)+1,J$7-1)+INDEX(TBBP[],MATCH($C16,planoContas,0)+1,J$7-2)+INDEX(TBBP[],MATCH($C16,planoContas,0)+1,J$7-3)+INDEX(TBBP[],MATCH($C16,planoContas,0)+1,J$7-4)+INDEX(TBBP[],MATCH($C16,planoContas,0)+1,J$7-5),"SEM DADOS")</f>
        <v>1032694.3600000001</v>
      </c>
      <c r="J16" s="196"/>
      <c r="K16" s="197">
        <f>IFERROR(INDEX(TBBP[],MATCH($C16,planoContas,0)+1,L$7)+INDEX(TBBP[],MATCH($C16,planoContas,0)+1,L$7-1)+INDEX(TBBP[],MATCH($C16,planoContas,0)+1,L$7-2)+INDEX(TBBP[],MATCH($C16,planoContas,0)+1,L$7-3)+INDEX(TBBP[],MATCH($C16,planoContas,0)+1,L$7-4)+INDEX(TBBP[],MATCH($C16,planoContas,0)+1,L$7-5),"SEM DADOS")</f>
        <v>2202919.25</v>
      </c>
      <c r="L16" s="196"/>
      <c r="M16" s="197">
        <f>IFERROR(INDEX(TBBP[],MATCH($C16,planoContas,0)+1,N$7)+INDEX(TBBP[],MATCH($C16,planoContas,0)+1,N$7-1)+INDEX(TBBP[],MATCH($C16,planoContas,0)+1,N$7-2)+INDEX(TBBP[],MATCH($C16,planoContas,0)+1,N$7-3)+INDEX(TBBP[],MATCH($C16,planoContas,0)+1,N$7-4)+INDEX(TBBP[],MATCH($C16,planoContas,0)+1,N$7-5),"SEM DADOS")</f>
        <v>2127902.81</v>
      </c>
      <c r="N16" s="196"/>
      <c r="O16" s="193"/>
      <c r="P16" s="198">
        <f>IFERROR(IF(AND(G16=0,I16&lt;&gt;0),1,(I16/G16)-1),0)</f>
        <v>1</v>
      </c>
      <c r="Q16" s="198">
        <f>IFERROR(IF(AND(I16=0,K16&lt;&gt;0),1,(K16/I16)-1),0)</f>
        <v>1.1331764124285524</v>
      </c>
      <c r="R16" s="198">
        <f>IFERROR(IF(AND(K16=0,M16&lt;&gt;0),1,(M16/K16)-1),0)</f>
        <v>-3.4053195549496373E-2</v>
      </c>
    </row>
    <row r="17" spans="3:18" x14ac:dyDescent="0.3">
      <c r="G17" s="197"/>
      <c r="H17" s="196"/>
      <c r="I17" s="197"/>
      <c r="J17" s="196"/>
      <c r="K17" s="197"/>
      <c r="L17" s="196"/>
      <c r="M17" s="197"/>
      <c r="N17" s="196"/>
      <c r="O17" s="193"/>
      <c r="Q17" s="196"/>
    </row>
    <row r="18" spans="3:18" ht="15" thickBot="1" x14ac:dyDescent="0.35">
      <c r="C18" t="s">
        <v>127</v>
      </c>
      <c r="D18" t="s">
        <v>257</v>
      </c>
      <c r="F18" s="199" t="s">
        <v>99</v>
      </c>
      <c r="G18" s="200">
        <f>IFERROR(INDEX(TBBP[],MATCH($C18,planoContas,0)+1,H$7)+INDEX(TBBP[],MATCH($C18,planoContas,0)+1,H$7-1)+INDEX(TBBP[],MATCH($C18,planoContas,0)+1,H$7-2)+INDEX(TBBP[],MATCH($C18,planoContas,0)+1,H$7-3)+INDEX(TBBP[],MATCH($C18,planoContas,0)+1,H$7-4)+INDEX(TBBP[],MATCH($C18,planoContas,0)+1,H$7-5),"SEM DADOS")</f>
        <v>51646471.689999998</v>
      </c>
      <c r="H18" s="201">
        <f>G18/$G$24</f>
        <v>1.2860852815123469</v>
      </c>
      <c r="I18" s="200">
        <f>IFERROR(INDEX(TBBP[],MATCH($C18,planoContas,0)+1,J$7)+INDEX(TBBP[],MATCH($C18,planoContas,0)+1,J$7-1)+INDEX(TBBP[],MATCH($C18,planoContas,0)+1,J$7-2)+INDEX(TBBP[],MATCH($C18,planoContas,0)+1,J$7-3)+INDEX(TBBP[],MATCH($C18,planoContas,0)+1,J$7-4)+INDEX(TBBP[],MATCH($C18,planoContas,0)+1,J$7-5),"SEM DADOS")</f>
        <v>56238837.720000006</v>
      </c>
      <c r="J18" s="201">
        <f>I18/$I$24</f>
        <v>1.2919864494745084</v>
      </c>
      <c r="K18" s="200">
        <f>IFERROR(INDEX(TBBP[],MATCH($C18,planoContas,0)+1,L$7)+INDEX(TBBP[],MATCH($C18,planoContas,0)+1,L$7-1)+INDEX(TBBP[],MATCH($C18,planoContas,0)+1,L$7-2)+INDEX(TBBP[],MATCH($C18,planoContas,0)+1,L$7-3)+INDEX(TBBP[],MATCH($C18,planoContas,0)+1,L$7-4)+INDEX(TBBP[],MATCH($C18,planoContas,0)+1,L$7-5),"SEM DADOS")</f>
        <v>82274194.200000003</v>
      </c>
      <c r="L18" s="201">
        <f>K18/$K$24</f>
        <v>1.2868902516781626</v>
      </c>
      <c r="M18" s="200">
        <f>IFERROR(INDEX(TBBP[],MATCH($C18,planoContas,0)+1,N$7)+INDEX(TBBP[],MATCH($C18,planoContas,0)+1,N$7-1)+INDEX(TBBP[],MATCH($C18,planoContas,0)+1,N$7-2)+INDEX(TBBP[],MATCH($C18,planoContas,0)+1,N$7-3)+INDEX(TBBP[],MATCH($C18,planoContas,0)+1,N$7-4)+INDEX(TBBP[],MATCH($C18,planoContas,0)+1,N$7-5),"SEM DADOS")</f>
        <v>65809272.609999992</v>
      </c>
      <c r="N18" s="201">
        <f>M18/$M$24</f>
        <v>1.3125847932217602</v>
      </c>
      <c r="O18" s="202"/>
      <c r="P18" s="201">
        <f>IFERROR(IF(AND(G18=0,I18&lt;&gt;0),1,(I18/G18)-1),0)</f>
        <v>8.8919259723393651E-2</v>
      </c>
      <c r="Q18" s="201">
        <f>IFERROR(IF(AND(I18=0,K18&lt;&gt;0),1,(K18/I18)-1),0)</f>
        <v>0.46294264845272837</v>
      </c>
      <c r="R18" s="201">
        <f>IFERROR(IF(AND(K18=0,M18&lt;&gt;0),1,(M18/K18)-1),0)</f>
        <v>-0.20012255057734751</v>
      </c>
    </row>
    <row r="19" spans="3:18" ht="15" thickTop="1" x14ac:dyDescent="0.3">
      <c r="G19" s="197"/>
      <c r="H19" s="196"/>
      <c r="I19" s="197"/>
      <c r="J19" s="196"/>
      <c r="K19" s="197"/>
      <c r="L19" s="196"/>
      <c r="M19" s="197"/>
      <c r="N19" s="196"/>
      <c r="O19" s="193"/>
      <c r="P19" s="197"/>
      <c r="Q19" s="197"/>
    </row>
    <row r="20" spans="3:18" ht="15" thickBot="1" x14ac:dyDescent="0.35">
      <c r="D20" t="s">
        <v>258</v>
      </c>
      <c r="F20" s="203" t="s">
        <v>259</v>
      </c>
      <c r="G20" s="204">
        <f>IFERROR(G21+G22,"SEM DADOS")</f>
        <v>-11488581.359999999</v>
      </c>
      <c r="H20" s="205">
        <f>G20/$G$24</f>
        <v>-0.2860852815123468</v>
      </c>
      <c r="I20" s="204">
        <f>IFERROR(I21+I22,"SEM DADOS")</f>
        <v>-12709869.02</v>
      </c>
      <c r="J20" s="205">
        <f>I20/$I$24</f>
        <v>-0.29198644947450819</v>
      </c>
      <c r="K20" s="204">
        <f>IFERROR(K21+K22,"SEM DADOS")</f>
        <v>-18341629.559999999</v>
      </c>
      <c r="L20" s="205">
        <f>K20/$K$24</f>
        <v>-0.28689025167816257</v>
      </c>
      <c r="M20" s="204">
        <f>IFERROR(M21+M22,"SEM DADOS")</f>
        <v>-15672113.51</v>
      </c>
      <c r="N20" s="205">
        <f>M20/$M$24</f>
        <v>-0.3125847932217603</v>
      </c>
      <c r="O20" s="202"/>
      <c r="P20" s="205">
        <f>IFERROR(IF(AND(G20=0,I20&lt;&gt;0),1,(I20/G20)-1),0)</f>
        <v>0.1063044793547947</v>
      </c>
      <c r="Q20" s="205">
        <f>IFERROR(IF(AND(I20=0,K20&lt;&gt;0),1,(K20/I20)-1),0)</f>
        <v>0.4431013829598065</v>
      </c>
      <c r="R20" s="201">
        <f>IFERROR(IF(AND(K20=0,M20&lt;&gt;0),1,(M20/K20)-1),0)</f>
        <v>-0.14554410453375222</v>
      </c>
    </row>
    <row r="21" spans="3:18" ht="15" thickTop="1" x14ac:dyDescent="0.3">
      <c r="C21" t="s">
        <v>128</v>
      </c>
      <c r="F21" s="182" t="s">
        <v>318</v>
      </c>
      <c r="G21" s="206">
        <f>IFERROR(INDEX(TBBP[],MATCH($C21,planoContas,0)+1,H$7)+INDEX(TBBP[],MATCH($C21,planoContas,0)+1,H$7-1)+INDEX(TBBP[],MATCH($C21,planoContas,0)+1,H$7-2)+INDEX(TBBP[],MATCH($C21,planoContas,0)+1,H$7-3)+INDEX(TBBP[],MATCH($C21,planoContas,0)+1,H$7-4)+INDEX(TBBP[],MATCH($C21,planoContas,0)+1,H$7-5),"SEM DADOS")</f>
        <v>-9237697.5099999998</v>
      </c>
      <c r="H21" s="207">
        <f>G21/$G$24</f>
        <v>-0.230034432438772</v>
      </c>
      <c r="I21" s="206">
        <f>IFERROR(INDEX(TBBP[],MATCH($C21,planoContas,0)+1,J$7)+INDEX(TBBP[],MATCH($C21,planoContas,0)+1,J$7-1)+INDEX(TBBP[],MATCH($C21,planoContas,0)+1,J$7-2)+INDEX(TBBP[],MATCH($C21,planoContas,0)+1,J$7-3)+INDEX(TBBP[],MATCH($C21,planoContas,0)+1,J$7-4)+INDEX(TBBP[],MATCH($C21,planoContas,0)+1,J$7-5),"SEM DADOS")</f>
        <v>-9852389.9000000004</v>
      </c>
      <c r="J21" s="207">
        <f>I21/$I$24</f>
        <v>-0.22634099070672445</v>
      </c>
      <c r="K21" s="206">
        <f>IFERROR(INDEX(TBBP[],MATCH($C21,planoContas,0)+1,L$7)+INDEX(TBBP[],MATCH($C21,planoContas,0)+1,L$7-1)+INDEX(TBBP[],MATCH($C21,planoContas,0)+1,L$7-2)+INDEX(TBBP[],MATCH($C21,planoContas,0)+1,L$7-3)+INDEX(TBBP[],MATCH($C21,planoContas,0)+1,L$7-4)+INDEX(TBBP[],MATCH($C21,planoContas,0)+1,L$7-5),"SEM DADOS")</f>
        <v>-13540369.529999999</v>
      </c>
      <c r="L21" s="207">
        <f>K21/$K$24</f>
        <v>-0.21179143377471113</v>
      </c>
      <c r="M21" s="206">
        <f>IFERROR(INDEX(TBBP[],MATCH($C21,planoContas,0)+1,N$7)+INDEX(TBBP[],MATCH($C21,planoContas,0)+1,N$7-1)+INDEX(TBBP[],MATCH($C21,planoContas,0)+1,N$7-2)+INDEX(TBBP[],MATCH($C21,planoContas,0)+1,N$7-3)+INDEX(TBBP[],MATCH($C21,planoContas,0)+1,N$7-4)+INDEX(TBBP[],MATCH($C21,planoContas,0)+1,N$7-5),"SEM DADOS")</f>
        <v>-10930919.9</v>
      </c>
      <c r="N21" s="207">
        <f>M21/$M$24</f>
        <v>-0.2180203285590627</v>
      </c>
      <c r="O21" s="208"/>
      <c r="P21" s="209">
        <f>IFERROR(IF(AND(G21=0,I21&lt;&gt;0),1,(I21/G21)-1),0)</f>
        <v>6.6541731782685298E-2</v>
      </c>
      <c r="Q21" s="209">
        <f>IFERROR(IF(AND(I21=0,K21&lt;&gt;0),1,(K21/I21)-1),0)</f>
        <v>0.3743233537682058</v>
      </c>
      <c r="R21" s="198">
        <f>IFERROR(IF(AND(K21=0,M21&lt;&gt;0),1,(M21/K21)-1),0)</f>
        <v>-0.19271627884442233</v>
      </c>
    </row>
    <row r="22" spans="3:18" x14ac:dyDescent="0.3">
      <c r="C22" t="s">
        <v>129</v>
      </c>
      <c r="F22" s="182" t="s">
        <v>319</v>
      </c>
      <c r="G22" s="206">
        <f>IFERROR(INDEX(TBBP[],MATCH($C22,planoContas,0)+1,H$7)+INDEX(TBBP[],MATCH($C22,planoContas,0)+1,H$7-1)+INDEX(TBBP[],MATCH($C22,planoContas,0)+1,H$7-2)+INDEX(TBBP[],MATCH($C22,planoContas,0)+1,H$7-3)+INDEX(TBBP[],MATCH($C22,planoContas,0)+1,H$7-4)+INDEX(TBBP[],MATCH($C22,planoContas,0)+1,H$7-5),"SEM DADOS")</f>
        <v>-2250883.85</v>
      </c>
      <c r="H22" s="207">
        <f>G22/$G$24</f>
        <v>-5.6050849073574834E-2</v>
      </c>
      <c r="I22" s="206">
        <f>IFERROR(INDEX(TBBP[],MATCH($C22,planoContas,0)+1,J$7)+INDEX(TBBP[],MATCH($C22,planoContas,0)+1,J$7-1)+INDEX(TBBP[],MATCH($C22,planoContas,0)+1,J$7-2)+INDEX(TBBP[],MATCH($C22,planoContas,0)+1,J$7-3)+INDEX(TBBP[],MATCH($C22,planoContas,0)+1,J$7-4)+INDEX(TBBP[],MATCH($C22,planoContas,0)+1,J$7-5),"SEM DADOS")</f>
        <v>-2857479.12</v>
      </c>
      <c r="J22" s="207">
        <f>I22/$I$24</f>
        <v>-6.5645458767783757E-2</v>
      </c>
      <c r="K22" s="206">
        <f>IFERROR(INDEX(TBBP[],MATCH($C22,planoContas,0)+1,L$7)+INDEX(TBBP[],MATCH($C22,planoContas,0)+1,L$7-1)+INDEX(TBBP[],MATCH($C22,planoContas,0)+1,L$7-2)+INDEX(TBBP[],MATCH($C22,planoContas,0)+1,L$7-3)+INDEX(TBBP[],MATCH($C22,planoContas,0)+1,L$7-4)+INDEX(TBBP[],MATCH($C22,planoContas,0)+1,L$7-5),"SEM DADOS")</f>
        <v>-4801260.0299999993</v>
      </c>
      <c r="L22" s="207">
        <f>K22/$K$24</f>
        <v>-7.5098817903451451E-2</v>
      </c>
      <c r="M22" s="206">
        <f>IFERROR(INDEX(TBBP[],MATCH($C22,planoContas,0)+1,N$7)+INDEX(TBBP[],MATCH($C22,planoContas,0)+1,N$7-1)+INDEX(TBBP[],MATCH($C22,planoContas,0)+1,N$7-2)+INDEX(TBBP[],MATCH($C22,planoContas,0)+1,N$7-3)+INDEX(TBBP[],MATCH($C22,planoContas,0)+1,N$7-4)+INDEX(TBBP[],MATCH($C22,planoContas,0)+1,N$7-5),"SEM DADOS")</f>
        <v>-4741193.6099999994</v>
      </c>
      <c r="N22" s="207">
        <f>M22/$M$24</f>
        <v>-9.4564464662697634E-2</v>
      </c>
      <c r="O22" s="208"/>
      <c r="P22" s="209">
        <f>IFERROR(IF(AND(G22=0,I22&lt;&gt;0),1,(I22/G22)-1),0)</f>
        <v>0.26949203531759314</v>
      </c>
      <c r="Q22" s="209">
        <f>IFERROR(IF(AND(I22=0,K22&lt;&gt;0),1,(K22/I22)-1),0)</f>
        <v>0.68024325931032492</v>
      </c>
      <c r="R22" s="198">
        <f>IFERROR(IF(AND(K22=0,M22&lt;&gt;0),1,(M22/K22)-1),0)</f>
        <v>-1.2510553401541169E-2</v>
      </c>
    </row>
    <row r="23" spans="3:18" x14ac:dyDescent="0.3">
      <c r="G23" s="197"/>
      <c r="H23" s="207"/>
      <c r="I23" s="197"/>
      <c r="J23" s="196"/>
      <c r="K23" s="197"/>
      <c r="L23" s="196"/>
      <c r="M23" s="197"/>
      <c r="N23" s="196"/>
      <c r="O23" s="193"/>
      <c r="P23" s="197"/>
      <c r="Q23" s="197"/>
    </row>
    <row r="24" spans="3:18" ht="15" thickBot="1" x14ac:dyDescent="0.35">
      <c r="C24" t="s">
        <v>141</v>
      </c>
      <c r="D24" t="s">
        <v>260</v>
      </c>
      <c r="F24" s="203" t="s">
        <v>100</v>
      </c>
      <c r="G24" s="204">
        <f>IFERROR(INDEX(TBBP[],MATCH($C24,planoContas,0)+1,H$7)+INDEX(TBBP[],MATCH($C24,planoContas,0)+1,H$7-1)+INDEX(TBBP[],MATCH($C24,planoContas,0)+1,H$7-2)+INDEX(TBBP[],MATCH($C24,planoContas,0)+1,H$7-3)+INDEX(TBBP[],MATCH($C24,planoContas,0)+1,H$7-4)+INDEX(TBBP[],MATCH($C24,planoContas,0)+1,H$7-5),"SEM DADOS")</f>
        <v>40157890.329999998</v>
      </c>
      <c r="H24" s="205">
        <f>G24/$G$24</f>
        <v>1</v>
      </c>
      <c r="I24" s="204">
        <f>IFERROR(INDEX(TBBP[],MATCH($C24,planoContas,0)+1,J$7)+INDEX(TBBP[],MATCH($C24,planoContas,0)+1,J$7-1)+INDEX(TBBP[],MATCH($C24,planoContas,0)+1,J$7-2)+INDEX(TBBP[],MATCH($C24,planoContas,0)+1,J$7-3)+INDEX(TBBP[],MATCH($C24,planoContas,0)+1,J$7-4)+INDEX(TBBP[],MATCH($C24,planoContas,0)+1,J$7-5),"SEM DADOS")</f>
        <v>43528968.700000003</v>
      </c>
      <c r="J24" s="205">
        <f>I24/$I$24</f>
        <v>1</v>
      </c>
      <c r="K24" s="204">
        <f>IFERROR(INDEX(TBBP[],MATCH($C24,planoContas,0)+1,L$7)+INDEX(TBBP[],MATCH($C24,planoContas,0)+1,L$7-1)+INDEX(TBBP[],MATCH($C24,planoContas,0)+1,L$7-2)+INDEX(TBBP[],MATCH($C24,planoContas,0)+1,L$7-3)+INDEX(TBBP[],MATCH($C24,planoContas,0)+1,L$7-4)+INDEX(TBBP[],MATCH($C24,planoContas,0)+1,L$7-5),"SEM DADOS")</f>
        <v>63932564.640000001</v>
      </c>
      <c r="L24" s="205">
        <f>K24/$K$24</f>
        <v>1</v>
      </c>
      <c r="M24" s="204">
        <f>IFERROR(INDEX(TBBP[],MATCH($C24,planoContas,0)+1,N$7)+INDEX(TBBP[],MATCH($C24,planoContas,0)+1,N$7-1)+INDEX(TBBP[],MATCH($C24,planoContas,0)+1,N$7-2)+INDEX(TBBP[],MATCH($C24,planoContas,0)+1,N$7-3)+INDEX(TBBP[],MATCH($C24,planoContas,0)+1,N$7-4)+INDEX(TBBP[],MATCH($C24,planoContas,0)+1,N$7-5),"SEM DADOS")</f>
        <v>50137159.100000001</v>
      </c>
      <c r="N24" s="205">
        <f>M24/$M$24</f>
        <v>1</v>
      </c>
      <c r="O24" s="210"/>
      <c r="P24" s="205">
        <f>IFERROR(IF(AND(G24=0,I24&lt;&gt;0),1,(I24/G24)-1),0)</f>
        <v>8.3945604270990293E-2</v>
      </c>
      <c r="Q24" s="205">
        <f>IFERROR(IF(AND(I24=0,K24&lt;&gt;0),1,(K24/I24)-1),0)</f>
        <v>0.46873602911708767</v>
      </c>
      <c r="R24" s="201">
        <f>IFERROR(IF(AND(K24=0,M24&lt;&gt;0),1,(M24/K24)-1),0)</f>
        <v>-0.21578057469899736</v>
      </c>
    </row>
    <row r="25" spans="3:18" ht="15" thickTop="1" x14ac:dyDescent="0.3">
      <c r="G25" s="197"/>
      <c r="H25" s="207"/>
      <c r="I25" s="197"/>
      <c r="J25" s="196"/>
      <c r="K25" s="197"/>
      <c r="L25" s="196"/>
      <c r="M25" s="197"/>
      <c r="N25" s="196"/>
      <c r="O25" s="193"/>
      <c r="P25" s="197"/>
      <c r="Q25" s="197"/>
    </row>
    <row r="26" spans="3:18" ht="15" thickBot="1" x14ac:dyDescent="0.35">
      <c r="C26" t="s">
        <v>368</v>
      </c>
      <c r="D26" t="s">
        <v>261</v>
      </c>
      <c r="F26" s="203" t="s">
        <v>308</v>
      </c>
      <c r="G26" s="204">
        <f>IFERROR(INDEX(TBBP[],MATCH($C26,planoContas,0)+1,H$7)+INDEX(TBBP[],MATCH($C26,planoContas,0)+1,H$7-1)+INDEX(TBBP[],MATCH($C26,planoContas,0)+1,H$7-2)+INDEX(TBBP[],MATCH($C26,planoContas,0)+1,H$7-3)+INDEX(TBBP[],MATCH($C26,planoContas,0)+1,H$7-4)+INDEX(TBBP[],MATCH($C26,planoContas,0)+1,H$7-5),"SEM DADOS")</f>
        <v>-14523130.880000001</v>
      </c>
      <c r="H26" s="205">
        <f>G26/$G$24</f>
        <v>-0.36165074312059864</v>
      </c>
      <c r="I26" s="204">
        <f>IFERROR(INDEX(TBBP[],MATCH($C26,planoContas,0)+1,J$7)+INDEX(TBBP[],MATCH($C26,planoContas,0)+1,J$7-1)+INDEX(TBBP[],MATCH($C26,planoContas,0)+1,J$7-2)+INDEX(TBBP[],MATCH($C26,planoContas,0)+1,J$7-3)+INDEX(TBBP[],MATCH($C26,planoContas,0)+1,J$7-4)+INDEX(TBBP[],MATCH($C26,planoContas,0)+1,J$7-5),"SEM DADOS")</f>
        <v>-16585243.18</v>
      </c>
      <c r="J26" s="205">
        <f>I26/$I$24</f>
        <v>-0.38101622150308373</v>
      </c>
      <c r="K26" s="204">
        <f>IFERROR(INDEX(TBBP[],MATCH($C26,planoContas,0)+1,L$7)+INDEX(TBBP[],MATCH($C26,planoContas,0)+1,L$7-1)+INDEX(TBBP[],MATCH($C26,planoContas,0)+1,L$7-2)+INDEX(TBBP[],MATCH($C26,planoContas,0)+1,L$7-3)+INDEX(TBBP[],MATCH($C26,planoContas,0)+1,L$7-4)+INDEX(TBBP[],MATCH($C26,planoContas,0)+1,L$7-5),"SEM DADOS")</f>
        <v>-27094547.449999999</v>
      </c>
      <c r="L26" s="205">
        <f>K26/$K$24</f>
        <v>-0.42379885122030669</v>
      </c>
      <c r="M26" s="204">
        <f>IFERROR(INDEX(TBBP[],MATCH($C26,planoContas,0)+1,N$7)+INDEX(TBBP[],MATCH($C26,planoContas,0)+1,N$7-1)+INDEX(TBBP[],MATCH($C26,planoContas,0)+1,N$7-2)+INDEX(TBBP[],MATCH($C26,planoContas,0)+1,N$7-3)+INDEX(TBBP[],MATCH($C26,planoContas,0)+1,N$7-4)+INDEX(TBBP[],MATCH($C26,planoContas,0)+1,N$7-5),"SEM DADOS")</f>
        <v>-18670107.379999999</v>
      </c>
      <c r="N26" s="205">
        <f>M26/$M$24</f>
        <v>-0.37238063973193886</v>
      </c>
      <c r="O26" s="210"/>
      <c r="P26" s="205">
        <f>IFERROR(IF(AND(G26=0,I26&lt;&gt;0),1,(I26/G26)-1),0)</f>
        <v>0.14198813720254777</v>
      </c>
      <c r="Q26" s="205">
        <f>IFERROR(IF(AND(I26=0,K26&lt;&gt;0),1,(K26/I26)-1),0)</f>
        <v>0.63365391486529887</v>
      </c>
      <c r="R26" s="201">
        <f>IFERROR(IF(AND(K26=0,M26&lt;&gt;0),1,(M26/K26)-1),0)</f>
        <v>-0.31092750619091813</v>
      </c>
    </row>
    <row r="27" spans="3:18" ht="15" thickTop="1" x14ac:dyDescent="0.3">
      <c r="G27" s="197"/>
      <c r="H27" s="196"/>
      <c r="I27" s="197"/>
      <c r="J27" s="196"/>
      <c r="K27" s="197"/>
      <c r="L27" s="196"/>
      <c r="M27" s="197"/>
      <c r="N27" s="196"/>
      <c r="O27" s="193"/>
      <c r="P27" s="197"/>
      <c r="Q27" s="197"/>
    </row>
    <row r="28" spans="3:18" ht="15" thickBot="1" x14ac:dyDescent="0.35">
      <c r="C28" t="s">
        <v>369</v>
      </c>
      <c r="D28" t="s">
        <v>262</v>
      </c>
      <c r="F28" s="203" t="s">
        <v>309</v>
      </c>
      <c r="G28" s="204">
        <f>IFERROR(INDEX(TBBP[],MATCH($C28,planoContas,0)+1,H$7)+INDEX(TBBP[],MATCH($C28,planoContas,0)+1,H$7-1)+INDEX(TBBP[],MATCH($C28,planoContas,0)+1,H$7-2)+INDEX(TBBP[],MATCH($C28,planoContas,0)+1,H$7-3)+INDEX(TBBP[],MATCH($C28,planoContas,0)+1,H$7-4)+INDEX(TBBP[],MATCH($C28,planoContas,0)+1,H$7-5),"SEM DADOS")</f>
        <v>-5061451.87</v>
      </c>
      <c r="H28" s="205">
        <f>G28/$G$24</f>
        <v>-0.1260387890999054</v>
      </c>
      <c r="I28" s="204">
        <f>IFERROR(INDEX(TBBP[],MATCH($C28,planoContas,0)+1,J$7)+INDEX(TBBP[],MATCH($C28,planoContas,0)+1,J$7-1)+INDEX(TBBP[],MATCH($C28,planoContas,0)+1,J$7-2)+INDEX(TBBP[],MATCH($C28,planoContas,0)+1,J$7-3)+INDEX(TBBP[],MATCH($C28,planoContas,0)+1,J$7-4)+INDEX(TBBP[],MATCH($C28,planoContas,0)+1,J$7-5),"SEM DADOS")</f>
        <v>-4263332.59</v>
      </c>
      <c r="J28" s="205">
        <f>I28/$I$24</f>
        <v>-9.7942421273123331E-2</v>
      </c>
      <c r="K28" s="204">
        <f>IFERROR(INDEX(TBBP[],MATCH($C28,planoContas,0)+1,L$7)+INDEX(TBBP[],MATCH($C28,planoContas,0)+1,L$7-1)+INDEX(TBBP[],MATCH($C28,planoContas,0)+1,L$7-2)+INDEX(TBBP[],MATCH($C28,planoContas,0)+1,L$7-3)+INDEX(TBBP[],MATCH($C28,planoContas,0)+1,L$7-4)+INDEX(TBBP[],MATCH($C28,planoContas,0)+1,L$7-5),"SEM DADOS")</f>
        <v>-5628793.2200000007</v>
      </c>
      <c r="L28" s="205">
        <f>K28/$K$24</f>
        <v>-8.8042662635158767E-2</v>
      </c>
      <c r="M28" s="204">
        <f>IFERROR(INDEX(TBBP[],MATCH($C28,planoContas,0)+1,N$7)+INDEX(TBBP[],MATCH($C28,planoContas,0)+1,N$7-1)+INDEX(TBBP[],MATCH($C28,planoContas,0)+1,N$7-2)+INDEX(TBBP[],MATCH($C28,planoContas,0)+1,N$7-3)+INDEX(TBBP[],MATCH($C28,planoContas,0)+1,N$7-4)+INDEX(TBBP[],MATCH($C28,planoContas,0)+1,N$7-5),"SEM DADOS")</f>
        <v>-6396638.7199999997</v>
      </c>
      <c r="N28" s="205">
        <f>M28/$M$24</f>
        <v>-0.12758279158262079</v>
      </c>
      <c r="O28" s="210"/>
      <c r="P28" s="205">
        <f>IFERROR(IF(AND(G28=0,I28&lt;&gt;0),1,(I28/G28)-1),0)</f>
        <v>-0.15768583807554815</v>
      </c>
      <c r="Q28" s="205">
        <f>IFERROR(IF(AND(I28=0,K28&lt;&gt;0),1,(K28/I28)-1),0)</f>
        <v>0.32028010979082455</v>
      </c>
      <c r="R28" s="201">
        <f>IFERROR(IF(AND(K28=0,M28&lt;&gt;0),1,(M28/K28)-1),0)</f>
        <v>0.13641387593911269</v>
      </c>
    </row>
    <row r="29" spans="3:18" ht="15" thickTop="1" x14ac:dyDescent="0.3">
      <c r="G29" s="197"/>
      <c r="H29" s="196"/>
      <c r="I29" s="197"/>
      <c r="J29" s="196"/>
      <c r="K29" s="197"/>
      <c r="L29" s="196"/>
      <c r="M29" s="197"/>
      <c r="N29" s="196"/>
      <c r="O29" s="193"/>
      <c r="P29" s="197"/>
      <c r="Q29" s="197"/>
    </row>
    <row r="30" spans="3:18" ht="15" thickBot="1" x14ac:dyDescent="0.35">
      <c r="C30" t="s">
        <v>323</v>
      </c>
      <c r="D30" t="s">
        <v>263</v>
      </c>
      <c r="F30" s="203" t="s">
        <v>310</v>
      </c>
      <c r="G30" s="204">
        <f>IFERROR(INDEX(TBBP[],MATCH($C30,planoContas,0)+1,H$7)+INDEX(TBBP[],MATCH($C30,planoContas,0)+1,H$7-1)+INDEX(TBBP[],MATCH($C30,planoContas,0)+1,H$7-2)+INDEX(TBBP[],MATCH($C30,planoContas,0)+1,H$7-3)+INDEX(TBBP[],MATCH($C30,planoContas,0)+1,H$7-4)+INDEX(TBBP[],MATCH($C30,planoContas,0)+1,H$7-5),"SEM DADOS")</f>
        <v>-2976898.29</v>
      </c>
      <c r="H30" s="205">
        <f>G30/$G$24</f>
        <v>-7.4129847597499535E-2</v>
      </c>
      <c r="I30" s="204">
        <f>IFERROR(INDEX(TBBP[],MATCH($C30,planoContas,0)+1,J$7)+INDEX(TBBP[],MATCH($C30,planoContas,0)+1,J$7-1)+INDEX(TBBP[],MATCH($C30,planoContas,0)+1,J$7-2)+INDEX(TBBP[],MATCH($C30,planoContas,0)+1,J$7-3)+INDEX(TBBP[],MATCH($C30,planoContas,0)+1,J$7-4)+INDEX(TBBP[],MATCH($C30,planoContas,0)+1,J$7-5),"SEM DADOS")</f>
        <v>-4017950.39</v>
      </c>
      <c r="J30" s="205">
        <f>I30/$I$24</f>
        <v>-9.230520524599517E-2</v>
      </c>
      <c r="K30" s="204">
        <f>IFERROR(INDEX(TBBP[],MATCH($C30,planoContas,0)+1,L$7)+INDEX(TBBP[],MATCH($C30,planoContas,0)+1,L$7-1)+INDEX(TBBP[],MATCH($C30,planoContas,0)+1,L$7-2)+INDEX(TBBP[],MATCH($C30,planoContas,0)+1,L$7-3)+INDEX(TBBP[],MATCH($C30,planoContas,0)+1,L$7-4)+INDEX(TBBP[],MATCH($C30,planoContas,0)+1,L$7-5),"SEM DADOS")</f>
        <v>-6241758.5899999999</v>
      </c>
      <c r="L30" s="205">
        <f>K30/$K$24</f>
        <v>-9.7630348870672179E-2</v>
      </c>
      <c r="M30" s="204">
        <f>IFERROR(INDEX(TBBP[],MATCH($C30,planoContas,0)+1,N$7)+INDEX(TBBP[],MATCH($C30,planoContas,0)+1,N$7-1)+INDEX(TBBP[],MATCH($C30,planoContas,0)+1,N$7-2)+INDEX(TBBP[],MATCH($C30,planoContas,0)+1,N$7-3)+INDEX(TBBP[],MATCH($C30,planoContas,0)+1,N$7-4)+INDEX(TBBP[],MATCH($C30,planoContas,0)+1,N$7-5),"SEM DADOS")</f>
        <v>-5191148.8600000003</v>
      </c>
      <c r="N30" s="205">
        <f>M30/$M$24</f>
        <v>-0.10353895101328149</v>
      </c>
      <c r="O30" s="210"/>
      <c r="P30" s="205">
        <f>IFERROR(IF(AND(G30=0,I30&lt;&gt;0),1,(I30/G30)-1),0)</f>
        <v>0.34971033558556686</v>
      </c>
      <c r="Q30" s="205">
        <f>IFERROR(IF(AND(I30=0,K30&lt;&gt;0),1,(K30/I30)-1),0)</f>
        <v>0.55346830700913641</v>
      </c>
      <c r="R30" s="201">
        <f>IFERROR(IF(AND(K30=0,M30&lt;&gt;0),1,(M30/K30)-1),0)</f>
        <v>-0.16831950721118794</v>
      </c>
    </row>
    <row r="31" spans="3:18" ht="15" thickTop="1" x14ac:dyDescent="0.3">
      <c r="F31" s="182" t="s">
        <v>264</v>
      </c>
      <c r="G31" s="197" t="str">
        <f>IFERROR(INDEX(TBBP[],MATCH($C31,planoContas,0)+1,H$7)+INDEX(TBBP[],MATCH($C31,planoContas,0)+1,H$7-1)+INDEX(TBBP[],MATCH($C31,planoContas,0)+1,H$7-2)+INDEX(TBBP[],MATCH($C31,planoContas,0)+1,H$7-3)+INDEX(TBBP[],MATCH($C31,planoContas,0)+1,H$7-4)+INDEX(TBBP[],MATCH($C31,planoContas,0)+1,H$7-5),"SEM DADOS")</f>
        <v>SEM DADOS</v>
      </c>
      <c r="H31" s="207" t="str">
        <f>IFERROR(G31/$G$24,"SEM DADOS")</f>
        <v>SEM DADOS</v>
      </c>
      <c r="I31" s="197" t="str">
        <f>IFERROR(INDEX(TBBP[],MATCH($C31,planoContas,0)+1,J$7)+INDEX(TBBP[],MATCH($C31,planoContas,0)+1,J$7-1)+INDEX(TBBP[],MATCH($C31,planoContas,0)+1,J$7-2)+INDEX(TBBP[],MATCH($C31,planoContas,0)+1,J$7-3)+INDEX(TBBP[],MATCH($C31,planoContas,0)+1,J$7-4)+INDEX(TBBP[],MATCH($C31,planoContas,0)+1,J$7-5),"SEM DADOS")</f>
        <v>SEM DADOS</v>
      </c>
      <c r="J31" s="207" t="str">
        <f>IFERROR(I31/$G$24,"SEM DADOS")</f>
        <v>SEM DADOS</v>
      </c>
      <c r="K31" s="197" t="str">
        <f>IFERROR(INDEX(TBBP[],MATCH($C31,planoContas,0)+1,L$7)+INDEX(TBBP[],MATCH($C31,planoContas,0)+1,L$7-1)+INDEX(TBBP[],MATCH($C31,planoContas,0)+1,L$7-2)+INDEX(TBBP[],MATCH($C31,planoContas,0)+1,L$7-3)+INDEX(TBBP[],MATCH($C31,planoContas,0)+1,L$7-4)+INDEX(TBBP[],MATCH($C31,planoContas,0)+1,L$7-5),"SEM DADOS")</f>
        <v>SEM DADOS</v>
      </c>
      <c r="L31" s="207" t="str">
        <f>IFERROR(K31/$G$24,"SEM DADOS")</f>
        <v>SEM DADOS</v>
      </c>
      <c r="M31" s="197" t="str">
        <f>IFERROR(INDEX(TBBP[],MATCH($C31,planoContas,0)+1,N$7)+INDEX(TBBP[],MATCH($C31,planoContas,0)+1,N$7-1)+INDEX(TBBP[],MATCH($C31,planoContas,0)+1,N$7-2)+INDEX(TBBP[],MATCH($C31,planoContas,0)+1,N$7-3)+INDEX(TBBP[],MATCH($C31,planoContas,0)+1,N$7-4)+INDEX(TBBP[],MATCH($C31,planoContas,0)+1,N$7-5),"SEM DADOS")</f>
        <v>SEM DADOS</v>
      </c>
      <c r="N31" s="207" t="str">
        <f>IFERROR(M31/$G$24,"SEM DADOS")</f>
        <v>SEM DADOS</v>
      </c>
      <c r="O31" s="208"/>
      <c r="P31" s="198">
        <f>IFERROR(IF(AND(G31=0,I31&lt;&gt;0),1,(I31/G31)-1),0)</f>
        <v>0</v>
      </c>
      <c r="Q31" s="198">
        <f>IFERROR(IF(AND(I31=0,K31&lt;&gt;0),1,(K31/I31)-1),0)</f>
        <v>0</v>
      </c>
      <c r="R31" s="198">
        <f>IFERROR(IF(AND(K31=0,M31&lt;&gt;0),1,(M31/K31)-1),0)</f>
        <v>0</v>
      </c>
    </row>
    <row r="32" spans="3:18" x14ac:dyDescent="0.3">
      <c r="F32" s="182" t="s">
        <v>265</v>
      </c>
      <c r="G32" s="211" t="str">
        <f>IFERROR(INDEX(TBBP[],MATCH($C32,planoContas,0)+1,H$7)+INDEX(TBBP[],MATCH($C32,planoContas,0)+1,H$7-1)+INDEX(TBBP[],MATCH($C32,planoContas,0)+1,H$7-2)+INDEX(TBBP[],MATCH($C32,planoContas,0)+1,H$7-3)+INDEX(TBBP[],MATCH($C32,planoContas,0)+1,H$7-4)+INDEX(TBBP[],MATCH($C32,planoContas,0)+1,H$7-5),"SEM DADOS")</f>
        <v>SEM DADOS</v>
      </c>
      <c r="H32" s="207" t="str">
        <f>IFERROR(G32/$G$24,"SEM DADOS")</f>
        <v>SEM DADOS</v>
      </c>
      <c r="I32" s="197" t="str">
        <f>IFERROR(INDEX(TBBP[],MATCH($C32,planoContas,0)+1,J$7)+INDEX(TBBP[],MATCH($C32,planoContas,0)+1,J$7-1)+INDEX(TBBP[],MATCH($C32,planoContas,0)+1,J$7-2)+INDEX(TBBP[],MATCH($C32,planoContas,0)+1,J$7-3)+INDEX(TBBP[],MATCH($C32,planoContas,0)+1,J$7-4)+INDEX(TBBP[],MATCH($C32,planoContas,0)+1,J$7-5),"SEM DADOS")</f>
        <v>SEM DADOS</v>
      </c>
      <c r="J32" s="207" t="str">
        <f>IFERROR(I32/$G$24,"SEM DADOS")</f>
        <v>SEM DADOS</v>
      </c>
      <c r="K32" s="197" t="str">
        <f>IFERROR(INDEX(TBBP[],MATCH($C32,planoContas,0)+1,L$7)+INDEX(TBBP[],MATCH($C32,planoContas,0)+1,L$7-1)+INDEX(TBBP[],MATCH($C32,planoContas,0)+1,L$7-2)+INDEX(TBBP[],MATCH($C32,planoContas,0)+1,L$7-3)+INDEX(TBBP[],MATCH($C32,planoContas,0)+1,L$7-4)+INDEX(TBBP[],MATCH($C32,planoContas,0)+1,L$7-5),"SEM DADOS")</f>
        <v>SEM DADOS</v>
      </c>
      <c r="L32" s="207" t="str">
        <f>IFERROR(K32/$G$24,"SEM DADOS")</f>
        <v>SEM DADOS</v>
      </c>
      <c r="M32" s="197" t="str">
        <f>IFERROR(INDEX(TBBP[],MATCH($C32,planoContas,0)+1,N$7)+INDEX(TBBP[],MATCH($C32,planoContas,0)+1,N$7-1)+INDEX(TBBP[],MATCH($C32,planoContas,0)+1,N$7-2)+INDEX(TBBP[],MATCH($C32,planoContas,0)+1,N$7-3)+INDEX(TBBP[],MATCH($C32,planoContas,0)+1,N$7-4)+INDEX(TBBP[],MATCH($C32,planoContas,0)+1,N$7-5),"SEM DADOS")</f>
        <v>SEM DADOS</v>
      </c>
      <c r="N32" s="207" t="str">
        <f>IFERROR(M32/$G$24,"SEM DADOS")</f>
        <v>SEM DADOS</v>
      </c>
      <c r="O32" s="208"/>
      <c r="P32" s="198">
        <f>IFERROR(IF(AND(G32=0,I32&lt;&gt;0),1,(I32/G32)-1),0)</f>
        <v>0</v>
      </c>
      <c r="Q32" s="198">
        <f>IFERROR(IF(AND(I32=0,K32&lt;&gt;0),1,(K32/I32)-1),0)</f>
        <v>0</v>
      </c>
      <c r="R32" s="198">
        <f>IFERROR(IF(AND(K32=0,M32&lt;&gt;0),1,(M32/K32)-1),0)</f>
        <v>0</v>
      </c>
    </row>
    <row r="33" spans="3:18" x14ac:dyDescent="0.3">
      <c r="G33" s="197"/>
      <c r="H33" s="196"/>
      <c r="I33" s="197"/>
      <c r="J33" s="196"/>
      <c r="K33" s="197"/>
      <c r="L33" s="196"/>
      <c r="M33" s="197"/>
      <c r="N33" s="196"/>
      <c r="O33" s="193"/>
      <c r="P33" s="197"/>
      <c r="Q33" s="197"/>
    </row>
    <row r="34" spans="3:18" ht="15" thickBot="1" x14ac:dyDescent="0.35">
      <c r="D34" t="s">
        <v>266</v>
      </c>
      <c r="F34" s="203" t="s">
        <v>311</v>
      </c>
      <c r="G34" s="204">
        <f>IFERROR(G35+G36+G37+G38+G39+G40+G41+G42+G43+G44+G45+G46,"SEM DADOS")</f>
        <v>-3385482.81</v>
      </c>
      <c r="H34" s="205">
        <f>G34/$G$24</f>
        <v>-8.4304299408648753E-2</v>
      </c>
      <c r="I34" s="204">
        <f>IFERROR(I35+I36+I37+I38+I39+I40+I41+I42+I43+I44+I45+I46,"SEM DADOS")</f>
        <v>-3937873.61</v>
      </c>
      <c r="J34" s="205">
        <f t="shared" ref="J34:J46" si="0">I34/$I$24</f>
        <v>-9.0465584818691089E-2</v>
      </c>
      <c r="K34" s="204" t="str">
        <f>IFERROR(K35+K36+K37+K38+K39+K40+K41+K42+K43+K44+K45+K46,"SEM DADOS")</f>
        <v>SEM DADOS</v>
      </c>
      <c r="L34" s="205" t="e">
        <f t="shared" ref="L34:L46" si="1">K34/$K$24</f>
        <v>#VALUE!</v>
      </c>
      <c r="M34" s="204">
        <f>IFERROR(M35+M36+M37+M38+M39+M40+M41+M42+M43+M44+M45+M46,"SEM DADOS")</f>
        <v>-5257072.08</v>
      </c>
      <c r="N34" s="205">
        <f t="shared" ref="N34:N46" si="2">M34/$M$24</f>
        <v>-0.10485380851983693</v>
      </c>
      <c r="O34" s="210"/>
      <c r="P34" s="205">
        <f t="shared" ref="P34:P46" si="3">IFERROR(IF(AND(G34=0,I34&lt;&gt;0),1,(I34/G34)-1),0)</f>
        <v>0.16316455613608616</v>
      </c>
      <c r="Q34" s="205">
        <f t="shared" ref="Q34:Q43" si="4">IFERROR(IF(AND(I34=0,K34&lt;&gt;0),1,(K34/I34)-1),0)</f>
        <v>0</v>
      </c>
      <c r="R34" s="201">
        <f>IFERROR(IF(AND(K34=0,M34&lt;&gt;0),1,(M34/K34)-1),0)</f>
        <v>0</v>
      </c>
    </row>
    <row r="35" spans="3:18" ht="15" thickTop="1" x14ac:dyDescent="0.3">
      <c r="C35" t="s">
        <v>360</v>
      </c>
      <c r="F35" s="182" t="s">
        <v>267</v>
      </c>
      <c r="G35" s="206">
        <f>IFERROR(INDEX(TBBP[],MATCH($C35,planoContas,0)+1,H$7)+INDEX(TBBP[],MATCH($C35,planoContas,0)+1,H$7-1)+INDEX(TBBP[],MATCH($C35,planoContas,0)+1,H$7-2)+INDEX(TBBP[],MATCH($C35,planoContas,0)+1,H$7-3)+INDEX(TBBP[],MATCH($C35,planoContas,0)+1,H$7-4)+INDEX(TBBP[],MATCH($C35,planoContas,0)+1,H$7-5),"SEM DADOS")</f>
        <v>-877927.52</v>
      </c>
      <c r="H35" s="207">
        <f>G35/$G$24</f>
        <v>-2.1861893460676723E-2</v>
      </c>
      <c r="I35" s="206">
        <f>IFERROR(INDEX(TBBP[],MATCH($C35,planoContas,0)+1,J$7)+INDEX(TBBP[],MATCH($C35,planoContas,0)+1,J$7-1)+INDEX(TBBP[],MATCH($C35,planoContas,0)+1,J$7-2)+INDEX(TBBP[],MATCH($C35,planoContas,0)+1,J$7-3)+INDEX(TBBP[],MATCH($C35,planoContas,0)+1,J$7-4)+INDEX(TBBP[],MATCH($C35,planoContas,0)+1,J$7-5),"SEM DADOS")</f>
        <v>-940416.01</v>
      </c>
      <c r="J35" s="207">
        <f t="shared" si="0"/>
        <v>-2.1604371481468154E-2</v>
      </c>
      <c r="K35" s="206">
        <f>IFERROR(INDEX(TBBP[],MATCH($C35,planoContas,0)+1,L$7)+INDEX(TBBP[],MATCH($C35,planoContas,0)+1,L$7-1)+INDEX(TBBP[],MATCH($C35,planoContas,0)+1,L$7-2)+INDEX(TBBP[],MATCH($C35,planoContas,0)+1,L$7-3)+INDEX(TBBP[],MATCH($C35,planoContas,0)+1,L$7-4)+INDEX(TBBP[],MATCH($C35,planoContas,0)+1,L$7-5),"SEM DADOS")</f>
        <v>-1533898.9200000002</v>
      </c>
      <c r="L35" s="207">
        <f t="shared" si="1"/>
        <v>-2.3992450930715552E-2</v>
      </c>
      <c r="M35" s="206">
        <f>IFERROR(INDEX(TBBP[],MATCH($C35,planoContas,0)+1,N$7)+INDEX(TBBP[],MATCH($C35,planoContas,0)+1,N$7-1)+INDEX(TBBP[],MATCH($C35,planoContas,0)+1,N$7-2)+INDEX(TBBP[],MATCH($C35,planoContas,0)+1,N$7-3)+INDEX(TBBP[],MATCH($C35,planoContas,0)+1,N$7-4)+INDEX(TBBP[],MATCH($C35,planoContas,0)+1,N$7-5),"SEM DADOS")</f>
        <v>-832892.54999999993</v>
      </c>
      <c r="N35" s="207">
        <f t="shared" si="2"/>
        <v>-1.6612280491177647E-2</v>
      </c>
      <c r="O35" s="208"/>
      <c r="P35" s="209">
        <f t="shared" si="3"/>
        <v>7.1177276684526225E-2</v>
      </c>
      <c r="Q35" s="209">
        <f t="shared" si="4"/>
        <v>0.63108550225553928</v>
      </c>
      <c r="R35" s="198">
        <f>IFERROR(IF(AND(K35=0,M35&lt;&gt;0),1,(M35/K35)-1),0)</f>
        <v>-0.45700949447177408</v>
      </c>
    </row>
    <row r="36" spans="3:18" x14ac:dyDescent="0.3">
      <c r="C36" t="s">
        <v>341</v>
      </c>
      <c r="F36" s="182" t="s">
        <v>268</v>
      </c>
      <c r="G36" s="206">
        <f>IFERROR(INDEX(TBBP[],MATCH($C36,planoContas,0)+1,H$7)+INDEX(TBBP[],MATCH($C36,planoContas,0)+1,H$7-1)+INDEX(TBBP[],MATCH($C36,planoContas,0)+1,H$7-2)+INDEX(TBBP[],MATCH($C36,planoContas,0)+1,H$7-3)+INDEX(TBBP[],MATCH($C36,planoContas,0)+1,H$7-4)+INDEX(TBBP[],MATCH($C36,planoContas,0)+1,H$7-5),"SEM DADOS")</f>
        <v>-833156.48</v>
      </c>
      <c r="H36" s="207">
        <f>G36/$G$24</f>
        <v>-2.0747018161399518E-2</v>
      </c>
      <c r="I36" s="206">
        <f>IFERROR(INDEX(TBBP[],MATCH($C36,planoContas,0)+1,J$7)+INDEX(TBBP[],MATCH($C36,planoContas,0)+1,J$7-1)+INDEX(TBBP[],MATCH($C36,planoContas,0)+1,J$7-2)+INDEX(TBBP[],MATCH($C36,planoContas,0)+1,J$7-3)+INDEX(TBBP[],MATCH($C36,planoContas,0)+1,J$7-4)+INDEX(TBBP[],MATCH($C36,planoContas,0)+1,J$7-5),"SEM DADOS")</f>
        <v>-970172.54</v>
      </c>
      <c r="J36" s="207">
        <f t="shared" si="0"/>
        <v>-2.2287974398989149E-2</v>
      </c>
      <c r="K36" s="206">
        <f>IFERROR(INDEX(TBBP[],MATCH($C36,planoContas,0)+1,L$7)+INDEX(TBBP[],MATCH($C36,planoContas,0)+1,L$7-1)+INDEX(TBBP[],MATCH($C36,planoContas,0)+1,L$7-2)+INDEX(TBBP[],MATCH($C36,planoContas,0)+1,L$7-3)+INDEX(TBBP[],MATCH($C36,planoContas,0)+1,L$7-4)+INDEX(TBBP[],MATCH($C36,planoContas,0)+1,L$7-5),"SEM DADOS")</f>
        <v>-1479097.1</v>
      </c>
      <c r="L36" s="207">
        <f t="shared" si="1"/>
        <v>-2.3135269300218083E-2</v>
      </c>
      <c r="M36" s="206">
        <f>IFERROR(INDEX(TBBP[],MATCH($C36,planoContas,0)+1,N$7)+INDEX(TBBP[],MATCH($C36,planoContas,0)+1,N$7-1)+INDEX(TBBP[],MATCH($C36,planoContas,0)+1,N$7-2)+INDEX(TBBP[],MATCH($C36,planoContas,0)+1,N$7-3)+INDEX(TBBP[],MATCH($C36,planoContas,0)+1,N$7-4)+INDEX(TBBP[],MATCH($C36,planoContas,0)+1,N$7-5),"SEM DADOS")</f>
        <v>-1656119.7900000003</v>
      </c>
      <c r="N36" s="207">
        <f t="shared" si="2"/>
        <v>-3.3031783605784723E-2</v>
      </c>
      <c r="O36" s="208"/>
      <c r="P36" s="209">
        <f t="shared" si="3"/>
        <v>0.16445417312243671</v>
      </c>
      <c r="Q36" s="209">
        <f t="shared" si="4"/>
        <v>0.52457118606964492</v>
      </c>
      <c r="R36" s="198">
        <f t="shared" ref="R36:R46" si="5">IFERROR(IF(AND(K36=0,M36&lt;&gt;0),1,(M36/K36)-1),0)</f>
        <v>0.11968294035597804</v>
      </c>
    </row>
    <row r="37" spans="3:18" x14ac:dyDescent="0.3">
      <c r="C37" t="s">
        <v>347</v>
      </c>
      <c r="F37" s="182" t="s">
        <v>269</v>
      </c>
      <c r="G37" s="206">
        <f>IFERROR(INDEX(TBBP[],MATCH($C37,planoContas,0)+1,H$7)+INDEX(TBBP[],MATCH($C37,planoContas,0)+1,H$7-1)+INDEX(TBBP[],MATCH($C37,planoContas,0)+1,H$7-2)+INDEX(TBBP[],MATCH($C37,planoContas,0)+1,H$7-3)+INDEX(TBBP[],MATCH($C37,planoContas,0)+1,H$7-4)+INDEX(TBBP[],MATCH($C37,planoContas,0)+1,H$7-5),"SEM DADOS")</f>
        <v>-94795.73000000001</v>
      </c>
      <c r="H37" s="207">
        <f t="shared" ref="H37:H46" si="6">G37/$G$24</f>
        <v>-2.3605754490838566E-3</v>
      </c>
      <c r="I37" s="206">
        <f>IFERROR(INDEX(TBBP[],MATCH($C37,planoContas,0)+1,J$7)+INDEX(TBBP[],MATCH($C37,planoContas,0)+1,J$7-1)+INDEX(TBBP[],MATCH($C37,planoContas,0)+1,J$7-2)+INDEX(TBBP[],MATCH($C37,planoContas,0)+1,J$7-3)+INDEX(TBBP[],MATCH($C37,planoContas,0)+1,J$7-4)+INDEX(TBBP[],MATCH($C37,planoContas,0)+1,J$7-5),"SEM DADOS")</f>
        <v>-158279.60999999999</v>
      </c>
      <c r="J37" s="207">
        <f t="shared" si="0"/>
        <v>-3.6361902137139303E-3</v>
      </c>
      <c r="K37" s="206">
        <f>IFERROR(INDEX(TBBP[],MATCH($C37,planoContas,0)+1,L$7)+INDEX(TBBP[],MATCH($C37,planoContas,0)+1,L$7-1)+INDEX(TBBP[],MATCH($C37,planoContas,0)+1,L$7-2)+INDEX(TBBP[],MATCH($C37,planoContas,0)+1,L$7-3)+INDEX(TBBP[],MATCH($C37,planoContas,0)+1,L$7-4)+INDEX(TBBP[],MATCH($C37,planoContas,0)+1,L$7-5),"SEM DADOS")</f>
        <v>-131661.10999999999</v>
      </c>
      <c r="L37" s="207">
        <f t="shared" si="1"/>
        <v>-2.0593747605993111E-3</v>
      </c>
      <c r="M37" s="206">
        <f>IFERROR(INDEX(TBBP[],MATCH($C37,planoContas,0)+1,N$7)+INDEX(TBBP[],MATCH($C37,planoContas,0)+1,N$7-1)+INDEX(TBBP[],MATCH($C37,planoContas,0)+1,N$7-2)+INDEX(TBBP[],MATCH($C37,planoContas,0)+1,N$7-3)+INDEX(TBBP[],MATCH($C37,planoContas,0)+1,N$7-4)+INDEX(TBBP[],MATCH($C37,planoContas,0)+1,N$7-5),"SEM DADOS")</f>
        <v>-243399.82</v>
      </c>
      <c r="N37" s="207">
        <f t="shared" si="2"/>
        <v>-4.8546791315904458E-3</v>
      </c>
      <c r="O37" s="208"/>
      <c r="P37" s="209">
        <f t="shared" si="3"/>
        <v>0.66969134580217871</v>
      </c>
      <c r="Q37" s="209">
        <f t="shared" si="4"/>
        <v>-0.16817390439615065</v>
      </c>
      <c r="R37" s="198">
        <f t="shared" si="5"/>
        <v>0.84868424700353828</v>
      </c>
    </row>
    <row r="38" spans="3:18" x14ac:dyDescent="0.3">
      <c r="C38" t="s">
        <v>358</v>
      </c>
      <c r="F38" s="182" t="s">
        <v>270</v>
      </c>
      <c r="G38" s="206">
        <f>IFERROR(INDEX(TBBP[],MATCH($C38,planoContas,0)+1,H$7)+INDEX(TBBP[],MATCH($C38,planoContas,0)+1,H$7-1)+INDEX(TBBP[],MATCH($C38,planoContas,0)+1,H$7-2)+INDEX(TBBP[],MATCH($C38,planoContas,0)+1,H$7-3)+INDEX(TBBP[],MATCH($C38,planoContas,0)+1,H$7-4)+INDEX(TBBP[],MATCH($C38,planoContas,0)+1,H$7-5),"SEM DADOS")</f>
        <v>-16238.36</v>
      </c>
      <c r="H38" s="207">
        <f t="shared" si="6"/>
        <v>-4.0436287530446076E-4</v>
      </c>
      <c r="I38" s="206">
        <f>IFERROR(INDEX(TBBP[],MATCH($C38,planoContas,0)+1,J$7)+INDEX(TBBP[],MATCH($C38,planoContas,0)+1,J$7-1)+INDEX(TBBP[],MATCH($C38,planoContas,0)+1,J$7-2)+INDEX(TBBP[],MATCH($C38,planoContas,0)+1,J$7-3)+INDEX(TBBP[],MATCH($C38,planoContas,0)+1,J$7-4)+INDEX(TBBP[],MATCH($C38,planoContas,0)+1,J$7-5),"SEM DADOS")</f>
        <v>-30337.29</v>
      </c>
      <c r="J38" s="207">
        <f t="shared" si="0"/>
        <v>-6.9694483710568589E-4</v>
      </c>
      <c r="K38" s="206">
        <f>IFERROR(INDEX(TBBP[],MATCH($C38,planoContas,0)+1,L$7)+INDEX(TBBP[],MATCH($C38,planoContas,0)+1,L$7-1)+INDEX(TBBP[],MATCH($C38,planoContas,0)+1,L$7-2)+INDEX(TBBP[],MATCH($C38,planoContas,0)+1,L$7-3)+INDEX(TBBP[],MATCH($C38,planoContas,0)+1,L$7-4)+INDEX(TBBP[],MATCH($C38,planoContas,0)+1,L$7-5),"SEM DADOS")</f>
        <v>-1254.0899999999999</v>
      </c>
      <c r="L38" s="207">
        <f t="shared" si="1"/>
        <v>-1.9615825003450071E-5</v>
      </c>
      <c r="M38" s="206">
        <f>IFERROR(INDEX(TBBP[],MATCH($C38,planoContas,0)+1,N$7)+INDEX(TBBP[],MATCH($C38,planoContas,0)+1,N$7-1)+INDEX(TBBP[],MATCH($C38,planoContas,0)+1,N$7-2)+INDEX(TBBP[],MATCH($C38,planoContas,0)+1,N$7-3)+INDEX(TBBP[],MATCH($C38,planoContas,0)+1,N$7-4)+INDEX(TBBP[],MATCH($C38,planoContas,0)+1,N$7-5),"SEM DADOS")</f>
        <v>-2088.2600000000002</v>
      </c>
      <c r="N38" s="207">
        <f t="shared" si="2"/>
        <v>-4.1650943880464107E-5</v>
      </c>
      <c r="O38" s="208"/>
      <c r="P38" s="209">
        <f t="shared" si="3"/>
        <v>0.86824839454230607</v>
      </c>
      <c r="Q38" s="209">
        <f t="shared" si="4"/>
        <v>-0.9586617657674763</v>
      </c>
      <c r="R38" s="198">
        <f t="shared" si="5"/>
        <v>0.66515959779601164</v>
      </c>
    </row>
    <row r="39" spans="3:18" x14ac:dyDescent="0.3">
      <c r="C39" t="s">
        <v>359</v>
      </c>
      <c r="F39" s="182" t="s">
        <v>634</v>
      </c>
      <c r="G39" s="206">
        <f>IFERROR(INDEX(TBBP[],MATCH($C39,planoContas,0)+1,H$7)+INDEX(TBBP[],MATCH($C39,planoContas,0)+1,H$7-1)+INDEX(TBBP[],MATCH($C39,planoContas,0)+1,H$7-2)+INDEX(TBBP[],MATCH($C39,planoContas,0)+1,H$7-3)+INDEX(TBBP[],MATCH($C39,planoContas,0)+1,H$7-4)+INDEX(TBBP[],MATCH($C39,planoContas,0)+1,H$7-5),"SEM DADOS")</f>
        <v>-93038</v>
      </c>
      <c r="H39" s="207">
        <f t="shared" si="6"/>
        <v>-2.3168049724588209E-3</v>
      </c>
      <c r="I39" s="206">
        <f>IFERROR(INDEX(TBBP[],MATCH($C39,planoContas,0)+1,J$7)+INDEX(TBBP[],MATCH($C39,planoContas,0)+1,J$7-1)+INDEX(TBBP[],MATCH($C39,planoContas,0)+1,J$7-2)+INDEX(TBBP[],MATCH($C39,planoContas,0)+1,J$7-3)+INDEX(TBBP[],MATCH($C39,planoContas,0)+1,J$7-4)+INDEX(TBBP[],MATCH($C39,planoContas,0)+1,J$7-5),"SEM DADOS")</f>
        <v>-302010.84000000003</v>
      </c>
      <c r="J39" s="207">
        <f t="shared" si="0"/>
        <v>-6.9381574849945848E-3</v>
      </c>
      <c r="K39" s="206">
        <f>IFERROR(INDEX(TBBP[],MATCH($C39,planoContas,0)+1,L$7)+INDEX(TBBP[],MATCH($C39,planoContas,0)+1,L$7-1)+INDEX(TBBP[],MATCH($C39,planoContas,0)+1,L$7-2)+INDEX(TBBP[],MATCH($C39,planoContas,0)+1,L$7-3)+INDEX(TBBP[],MATCH($C39,planoContas,0)+1,L$7-4)+INDEX(TBBP[],MATCH($C39,planoContas,0)+1,L$7-5),"SEM DADOS")</f>
        <v>-633666.34</v>
      </c>
      <c r="L39" s="207">
        <f t="shared" si="1"/>
        <v>-9.9114800660372818E-3</v>
      </c>
      <c r="M39" s="206">
        <f>IFERROR(INDEX(TBBP[],MATCH($C39,planoContas,0)+1,N$7)+INDEX(TBBP[],MATCH($C39,planoContas,0)+1,N$7-1)+INDEX(TBBP[],MATCH($C39,planoContas,0)+1,N$7-2)+INDEX(TBBP[],MATCH($C39,planoContas,0)+1,N$7-3)+INDEX(TBBP[],MATCH($C39,planoContas,0)+1,N$7-4)+INDEX(TBBP[],MATCH($C39,planoContas,0)+1,N$7-5),"SEM DADOS")</f>
        <v>-209701.65999999997</v>
      </c>
      <c r="N39" s="207">
        <f t="shared" si="2"/>
        <v>-4.1825596775785399E-3</v>
      </c>
      <c r="O39" s="208"/>
      <c r="P39" s="209">
        <f t="shared" si="3"/>
        <v>2.246102022829382</v>
      </c>
      <c r="Q39" s="209">
        <f t="shared" si="4"/>
        <v>1.0981576025549278</v>
      </c>
      <c r="R39" s="198">
        <f t="shared" si="5"/>
        <v>-0.66906612082314487</v>
      </c>
    </row>
    <row r="40" spans="3:18" x14ac:dyDescent="0.3">
      <c r="C40" t="s">
        <v>355</v>
      </c>
      <c r="F40" s="182" t="s">
        <v>271</v>
      </c>
      <c r="G40" s="206">
        <f>IFERROR(INDEX(TBBP[],MATCH($C40,planoContas,0)+1,H$7)+INDEX(TBBP[],MATCH($C40,planoContas,0)+1,H$7-1)+INDEX(TBBP[],MATCH($C40,planoContas,0)+1,H$7-2)+INDEX(TBBP[],MATCH($C40,planoContas,0)+1,H$7-3)+INDEX(TBBP[],MATCH($C40,planoContas,0)+1,H$7-4)+INDEX(TBBP[],MATCH($C40,planoContas,0)+1,H$7-5),"SEM DADOS")</f>
        <v>-257019.43000000002</v>
      </c>
      <c r="H40" s="207">
        <f t="shared" si="6"/>
        <v>-6.4002224192537668E-3</v>
      </c>
      <c r="I40" s="206">
        <f>IFERROR(INDEX(TBBP[],MATCH($C40,planoContas,0)+1,J$7)+INDEX(TBBP[],MATCH($C40,planoContas,0)+1,J$7-1)+INDEX(TBBP[],MATCH($C40,planoContas,0)+1,J$7-2)+INDEX(TBBP[],MATCH($C40,planoContas,0)+1,J$7-3)+INDEX(TBBP[],MATCH($C40,planoContas,0)+1,J$7-4)+INDEX(TBBP[],MATCH($C40,planoContas,0)+1,J$7-5),"SEM DADOS")</f>
        <v>-352171.7</v>
      </c>
      <c r="J40" s="207">
        <f t="shared" si="0"/>
        <v>-8.0905132953448533E-3</v>
      </c>
      <c r="K40" s="206">
        <f>IFERROR(INDEX(TBBP[],MATCH($C40,planoContas,0)+1,L$7)+INDEX(TBBP[],MATCH($C40,planoContas,0)+1,L$7-1)+INDEX(TBBP[],MATCH($C40,planoContas,0)+1,L$7-2)+INDEX(TBBP[],MATCH($C40,planoContas,0)+1,L$7-3)+INDEX(TBBP[],MATCH($C40,planoContas,0)+1,L$7-4)+INDEX(TBBP[],MATCH($C40,planoContas,0)+1,L$7-5),"SEM DADOS")</f>
        <v>-406524.48000000004</v>
      </c>
      <c r="L40" s="207">
        <f t="shared" si="1"/>
        <v>-6.3586449611260278E-3</v>
      </c>
      <c r="M40" s="206">
        <f>IFERROR(INDEX(TBBP[],MATCH($C40,planoContas,0)+1,N$7)+INDEX(TBBP[],MATCH($C40,planoContas,0)+1,N$7-1)+INDEX(TBBP[],MATCH($C40,planoContas,0)+1,N$7-2)+INDEX(TBBP[],MATCH($C40,planoContas,0)+1,N$7-3)+INDEX(TBBP[],MATCH($C40,planoContas,0)+1,N$7-4)+INDEX(TBBP[],MATCH($C40,planoContas,0)+1,N$7-5),"SEM DADOS")</f>
        <v>-259613.63999999996</v>
      </c>
      <c r="N40" s="207">
        <f t="shared" si="2"/>
        <v>-5.1780684159266604E-3</v>
      </c>
      <c r="O40" s="208"/>
      <c r="P40" s="209">
        <f t="shared" si="3"/>
        <v>0.37021430636586494</v>
      </c>
      <c r="Q40" s="209">
        <f t="shared" si="4"/>
        <v>0.15433602416094194</v>
      </c>
      <c r="R40" s="198">
        <f t="shared" si="5"/>
        <v>-0.36138251748086625</v>
      </c>
    </row>
    <row r="41" spans="3:18" x14ac:dyDescent="0.3">
      <c r="C41" t="s">
        <v>354</v>
      </c>
      <c r="F41" s="182" t="s">
        <v>272</v>
      </c>
      <c r="G41" s="206">
        <f>IFERROR(INDEX(TBBP[],MATCH($C41,planoContas,0)+1,H$7)+INDEX(TBBP[],MATCH($C41,planoContas,0)+1,H$7-1)+INDEX(TBBP[],MATCH($C41,planoContas,0)+1,H$7-2)+INDEX(TBBP[],MATCH($C41,planoContas,0)+1,H$7-3)+INDEX(TBBP[],MATCH($C41,planoContas,0)+1,H$7-4)+INDEX(TBBP[],MATCH($C41,planoContas,0)+1,H$7-5),"SEM DADOS")</f>
        <v>-12339.48</v>
      </c>
      <c r="H41" s="207">
        <f t="shared" si="6"/>
        <v>-3.0727410973533579E-4</v>
      </c>
      <c r="I41" s="206">
        <f>IFERROR(INDEX(TBBP[],MATCH($C41,planoContas,0)+1,J$7)+INDEX(TBBP[],MATCH($C41,planoContas,0)+1,J$7-1)+INDEX(TBBP[],MATCH($C41,planoContas,0)+1,J$7-2)+INDEX(TBBP[],MATCH($C41,planoContas,0)+1,J$7-3)+INDEX(TBBP[],MATCH($C41,planoContas,0)+1,J$7-4)+INDEX(TBBP[],MATCH($C41,planoContas,0)+1,J$7-5),"SEM DADOS")</f>
        <v>-19079.75</v>
      </c>
      <c r="J41" s="207">
        <f t="shared" si="0"/>
        <v>-4.3832304255809302E-4</v>
      </c>
      <c r="K41" s="206">
        <f>IFERROR(INDEX(TBBP[],MATCH($C41,planoContas,0)+1,L$7)+INDEX(TBBP[],MATCH($C41,planoContas,0)+1,L$7-1)+INDEX(TBBP[],MATCH($C41,planoContas,0)+1,L$7-2)+INDEX(TBBP[],MATCH($C41,planoContas,0)+1,L$7-3)+INDEX(TBBP[],MATCH($C41,planoContas,0)+1,L$7-4)+INDEX(TBBP[],MATCH($C41,planoContas,0)+1,L$7-5),"SEM DADOS")</f>
        <v>-12511.25</v>
      </c>
      <c r="L41" s="207">
        <f t="shared" si="1"/>
        <v>-1.9569448012057725E-4</v>
      </c>
      <c r="M41" s="206">
        <f>IFERROR(INDEX(TBBP[],MATCH($C41,planoContas,0)+1,N$7)+INDEX(TBBP[],MATCH($C41,planoContas,0)+1,N$7-1)+INDEX(TBBP[],MATCH($C41,planoContas,0)+1,N$7-2)+INDEX(TBBP[],MATCH($C41,planoContas,0)+1,N$7-3)+INDEX(TBBP[],MATCH($C41,planoContas,0)+1,N$7-4)+INDEX(TBBP[],MATCH($C41,planoContas,0)+1,N$7-5),"SEM DADOS")</f>
        <v>-16805.259999999998</v>
      </c>
      <c r="N41" s="207">
        <f t="shared" si="2"/>
        <v>-3.3518572455374718E-4</v>
      </c>
      <c r="O41" s="208"/>
      <c r="P41" s="209">
        <f t="shared" si="3"/>
        <v>0.54623614609367666</v>
      </c>
      <c r="Q41" s="209">
        <f t="shared" si="4"/>
        <v>-0.34426551710583209</v>
      </c>
      <c r="R41" s="198">
        <f t="shared" si="5"/>
        <v>0.34321190928164635</v>
      </c>
    </row>
    <row r="42" spans="3:18" x14ac:dyDescent="0.3">
      <c r="C42" t="s">
        <v>362</v>
      </c>
      <c r="F42" s="182" t="s">
        <v>273</v>
      </c>
      <c r="G42" s="206">
        <f>IFERROR(INDEX(TBBP[],MATCH($C42,planoContas,0)+1,H$7)+INDEX(TBBP[],MATCH($C42,planoContas,0)+1,H$7-1)+INDEX(TBBP[],MATCH($C42,planoContas,0)+1,H$7-2)+INDEX(TBBP[],MATCH($C42,planoContas,0)+1,H$7-3)+INDEX(TBBP[],MATCH($C42,planoContas,0)+1,H$7-4)+INDEX(TBBP[],MATCH($C42,planoContas,0)+1,H$7-5),"SEM DADOS")</f>
        <v>-1093558.7400000002</v>
      </c>
      <c r="H42" s="207">
        <f t="shared" si="6"/>
        <v>-2.7231478820565827E-2</v>
      </c>
      <c r="I42" s="206">
        <f>IFERROR(INDEX(TBBP[],MATCH($C42,planoContas,0)+1,J$7)+INDEX(TBBP[],MATCH($C42,planoContas,0)+1,J$7-1)+INDEX(TBBP[],MATCH($C42,planoContas,0)+1,J$7-2)+INDEX(TBBP[],MATCH($C42,planoContas,0)+1,J$7-3)+INDEX(TBBP[],MATCH($C42,planoContas,0)+1,J$7-4)+INDEX(TBBP[],MATCH($C42,planoContas,0)+1,J$7-5),"SEM DADOS")</f>
        <v>-1064104.76</v>
      </c>
      <c r="J42" s="207">
        <f t="shared" si="0"/>
        <v>-2.4445898714802308E-2</v>
      </c>
      <c r="K42" s="206">
        <f>IFERROR(INDEX(TBBP[],MATCH($C42,planoContas,0)+1,L$7)+INDEX(TBBP[],MATCH($C42,planoContas,0)+1,L$7-1)+INDEX(TBBP[],MATCH($C42,planoContas,0)+1,L$7-2)+INDEX(TBBP[],MATCH($C42,planoContas,0)+1,L$7-3)+INDEX(TBBP[],MATCH($C42,planoContas,0)+1,L$7-4)+INDEX(TBBP[],MATCH($C42,planoContas,0)+1,L$7-5),"SEM DADOS")</f>
        <v>-1544445.89</v>
      </c>
      <c r="L42" s="207">
        <f t="shared" si="1"/>
        <v>-2.4157421162386828E-2</v>
      </c>
      <c r="M42" s="206">
        <f>IFERROR(INDEX(TBBP[],MATCH($C42,planoContas,0)+1,N$7)+INDEX(TBBP[],MATCH($C42,planoContas,0)+1,N$7-1)+INDEX(TBBP[],MATCH($C42,planoContas,0)+1,N$7-2)+INDEX(TBBP[],MATCH($C42,planoContas,0)+1,N$7-3)+INDEX(TBBP[],MATCH($C42,planoContas,0)+1,N$7-4)+INDEX(TBBP[],MATCH($C42,planoContas,0)+1,N$7-5),"SEM DADOS")</f>
        <v>-1891562.44</v>
      </c>
      <c r="N42" s="207">
        <f t="shared" si="2"/>
        <v>-3.772775470239996E-2</v>
      </c>
      <c r="O42" s="208"/>
      <c r="P42" s="209">
        <f t="shared" si="3"/>
        <v>-2.6934063002413744E-2</v>
      </c>
      <c r="Q42" s="209">
        <f t="shared" si="4"/>
        <v>0.45140398582560604</v>
      </c>
      <c r="R42" s="198">
        <f t="shared" si="5"/>
        <v>0.22475151266063453</v>
      </c>
    </row>
    <row r="43" spans="3:18" x14ac:dyDescent="0.3">
      <c r="C43" t="s">
        <v>356</v>
      </c>
      <c r="F43" s="182" t="s">
        <v>645</v>
      </c>
      <c r="G43" s="206">
        <f>IFERROR(INDEX(TBBP[],MATCH($C43,planoContas,0)+1,H$7)+INDEX(TBBP[],MATCH($C43,planoContas,0)+1,H$7-1)+INDEX(TBBP[],MATCH($C43,planoContas,0)+1,H$7-2)+INDEX(TBBP[],MATCH($C43,planoContas,0)+1,H$7-3)+INDEX(TBBP[],MATCH($C43,planoContas,0)+1,H$7-4)+INDEX(TBBP[],MATCH($C43,planoContas,0)+1,H$7-5),"SEM DADOS")</f>
        <v>0</v>
      </c>
      <c r="H43" s="207">
        <f t="shared" si="6"/>
        <v>0</v>
      </c>
      <c r="I43" s="206">
        <f>IFERROR(INDEX(TBBP[],MATCH($C43,planoContas,0)+1,J$7)+INDEX(TBBP[],MATCH($C43,planoContas,0)+1,J$7-1)+INDEX(TBBP[],MATCH($C43,planoContas,0)+1,J$7-2)+INDEX(TBBP[],MATCH($C43,planoContas,0)+1,J$7-3)+INDEX(TBBP[],MATCH($C43,planoContas,0)+1,J$7-4)+INDEX(TBBP[],MATCH($C43,planoContas,0)+1,J$7-5),"SEM DADOS")</f>
        <v>0</v>
      </c>
      <c r="J43" s="207">
        <f t="shared" si="0"/>
        <v>0</v>
      </c>
      <c r="K43" s="206" t="str">
        <f>IFERROR(INDEX(TBBP[],MATCH($C43,planoContas,0)+1,L$7)+INDEX(TBBP[],MATCH($C43,planoContas,0)+1,L$7-1)+INDEX(TBBP[],MATCH($C43,planoContas,0)+1,L$7-2)+INDEX(TBBP[],MATCH($C43,planoContas,0)+1,L$7-3)+INDEX(TBBP[],MATCH($C43,planoContas,0)+1,L$7-4)+INDEX(TBBP[],MATCH($C43,planoContas,0)+1,L$7-5),"SEM DADOS")</f>
        <v>SEM DADOS</v>
      </c>
      <c r="L43" s="207" t="e">
        <f t="shared" si="1"/>
        <v>#VALUE!</v>
      </c>
      <c r="M43" s="206">
        <f>IFERROR(INDEX(TBBP[],MATCH($C43,planoContas,0)+1,N$7)+INDEX(TBBP[],MATCH($C43,planoContas,0)+1,N$7-1)+INDEX(TBBP[],MATCH($C43,planoContas,0)+1,N$7-2)+INDEX(TBBP[],MATCH($C43,planoContas,0)+1,N$7-3)+INDEX(TBBP[],MATCH($C43,planoContas,0)+1,N$7-4)+INDEX(TBBP[],MATCH($C43,planoContas,0)+1,N$7-5),"SEM DADOS")</f>
        <v>0</v>
      </c>
      <c r="N43" s="207">
        <f t="shared" si="2"/>
        <v>0</v>
      </c>
      <c r="O43" s="208"/>
      <c r="P43" s="209">
        <f t="shared" si="3"/>
        <v>0</v>
      </c>
      <c r="Q43" s="209">
        <f t="shared" si="4"/>
        <v>1</v>
      </c>
      <c r="R43" s="198">
        <f t="shared" si="5"/>
        <v>0</v>
      </c>
    </row>
    <row r="44" spans="3:18" x14ac:dyDescent="0.3">
      <c r="C44" t="s">
        <v>357</v>
      </c>
      <c r="F44" s="182" t="s">
        <v>646</v>
      </c>
      <c r="G44" s="206">
        <f>IFERROR(INDEX(TBBP[],MATCH($C44,planoContas,0)+1,H$7)+INDEX(TBBP[],MATCH($C44,planoContas,0)+1,H$7-1)+INDEX(TBBP[],MATCH($C44,planoContas,0)+1,H$7-2)+INDEX(TBBP[],MATCH($C44,planoContas,0)+1,H$7-3)+INDEX(TBBP[],MATCH($C44,planoContas,0)+1,H$7-4)+INDEX(TBBP[],MATCH($C44,planoContas,0)+1,H$7-5),"SEM DADOS")</f>
        <v>-35824.78</v>
      </c>
      <c r="H44" s="207">
        <f t="shared" si="6"/>
        <v>-8.9209815818529334E-4</v>
      </c>
      <c r="I44" s="206">
        <f>IFERROR(INDEX(TBBP[],MATCH($C44,planoContas,0)+1,J$7)+INDEX(TBBP[],MATCH($C44,planoContas,0)+1,J$7-1)+INDEX(TBBP[],MATCH($C44,planoContas,0)+1,J$7-2)+INDEX(TBBP[],MATCH($C44,planoContas,0)+1,J$7-3)+INDEX(TBBP[],MATCH($C44,planoContas,0)+1,J$7-4)+INDEX(TBBP[],MATCH($C44,planoContas,0)+1,J$7-5),"SEM DADOS")</f>
        <v>-13674.009999999998</v>
      </c>
      <c r="J44" s="207">
        <f t="shared" si="0"/>
        <v>-3.1413585959825412E-4</v>
      </c>
      <c r="K44" s="206">
        <f>IFERROR(INDEX(TBBP[],MATCH($C44,planoContas,0)+1,L$7)+INDEX(TBBP[],MATCH($C44,planoContas,0)+1,L$7-1)+INDEX(TBBP[],MATCH($C44,planoContas,0)+1,L$7-2)+INDEX(TBBP[],MATCH($C44,planoContas,0)+1,L$7-3)+INDEX(TBBP[],MATCH($C44,planoContas,0)+1,L$7-4)+INDEX(TBBP[],MATCH($C44,planoContas,0)+1,L$7-5),"SEM DADOS")</f>
        <v>-9928.02</v>
      </c>
      <c r="L44" s="207">
        <f t="shared" si="1"/>
        <v>-1.5528893695887248E-4</v>
      </c>
      <c r="M44" s="206">
        <f>IFERROR(INDEX(TBBP[],MATCH($C44,planoContas,0)+1,N$7)+INDEX(TBBP[],MATCH($C44,planoContas,0)+1,N$7-1)+INDEX(TBBP[],MATCH($C44,planoContas,0)+1,N$7-2)+INDEX(TBBP[],MATCH($C44,planoContas,0)+1,N$7-3)+INDEX(TBBP[],MATCH($C44,planoContas,0)+1,N$7-4)+INDEX(TBBP[],MATCH($C44,planoContas,0)+1,N$7-5),"SEM DADOS")</f>
        <v>-6447.63</v>
      </c>
      <c r="N44" s="207">
        <f t="shared" si="2"/>
        <v>-1.2859982726863358E-4</v>
      </c>
      <c r="O44" s="208"/>
      <c r="P44" s="209">
        <f t="shared" si="3"/>
        <v>-0.61830861208359134</v>
      </c>
      <c r="Q44" s="209">
        <f>IFERROR(IF(AND(I44=0,K44&lt;&gt;0),1,(K44/I44)-1),0)</f>
        <v>-0.27394963145412343</v>
      </c>
      <c r="R44" s="198">
        <f t="shared" si="5"/>
        <v>-0.3505623477793155</v>
      </c>
    </row>
    <row r="45" spans="3:18" x14ac:dyDescent="0.3">
      <c r="C45" t="s">
        <v>361</v>
      </c>
      <c r="F45" s="182" t="s">
        <v>647</v>
      </c>
      <c r="G45" s="206">
        <f>IFERROR(INDEX(TBBP[],MATCH($C45,planoContas,0)+1,H$7)+INDEX(TBBP[],MATCH($C45,planoContas,0)+1,H$7-1)+INDEX(TBBP[],MATCH($C45,planoContas,0)+1,H$7-2)+INDEX(TBBP[],MATCH($C45,planoContas,0)+1,H$7-3)+INDEX(TBBP[],MATCH($C45,planoContas,0)+1,H$7-4)+INDEX(TBBP[],MATCH($C45,planoContas,0)+1,H$7-5),"SEM DADOS")</f>
        <v>-71584.289999999994</v>
      </c>
      <c r="H45" s="207">
        <f t="shared" si="6"/>
        <v>-1.7825709819851484E-3</v>
      </c>
      <c r="I45" s="206">
        <f>IFERROR(INDEX(TBBP[],MATCH($C45,planoContas,0)+1,J$7)+INDEX(TBBP[],MATCH($C45,planoContas,0)+1,J$7-1)+INDEX(TBBP[],MATCH($C45,planoContas,0)+1,J$7-2)+INDEX(TBBP[],MATCH($C45,planoContas,0)+1,J$7-3)+INDEX(TBBP[],MATCH($C45,planoContas,0)+1,J$7-4)+INDEX(TBBP[],MATCH($C45,planoContas,0)+1,J$7-5),"SEM DADOS")</f>
        <v>-87627.099999999991</v>
      </c>
      <c r="J45" s="207">
        <f t="shared" si="0"/>
        <v>-2.0130754901160797E-3</v>
      </c>
      <c r="K45" s="206">
        <f>IFERROR(INDEX(TBBP[],MATCH($C45,planoContas,0)+1,L$7)+INDEX(TBBP[],MATCH($C45,planoContas,0)+1,L$7-1)+INDEX(TBBP[],MATCH($C45,planoContas,0)+1,L$7-2)+INDEX(TBBP[],MATCH($C45,planoContas,0)+1,L$7-3)+INDEX(TBBP[],MATCH($C45,planoContas,0)+1,L$7-4)+INDEX(TBBP[],MATCH($C45,planoContas,0)+1,L$7-5),"SEM DADOS")</f>
        <v>-161521.28</v>
      </c>
      <c r="L45" s="207">
        <f t="shared" si="1"/>
        <v>-2.5264320446006746E-3</v>
      </c>
      <c r="M45" s="206">
        <f>IFERROR(INDEX(TBBP[],MATCH($C45,planoContas,0)+1,N$7)+INDEX(TBBP[],MATCH($C45,planoContas,0)+1,N$7-1)+INDEX(TBBP[],MATCH($C45,planoContas,0)+1,N$7-2)+INDEX(TBBP[],MATCH($C45,planoContas,0)+1,N$7-3)+INDEX(TBBP[],MATCH($C45,planoContas,0)+1,N$7-4)+INDEX(TBBP[],MATCH($C45,planoContas,0)+1,N$7-5),"SEM DADOS")</f>
        <v>-138441.03</v>
      </c>
      <c r="N45" s="207">
        <f t="shared" si="2"/>
        <v>-2.7612459996761165E-3</v>
      </c>
      <c r="O45" s="208"/>
      <c r="P45" s="209">
        <f t="shared" si="3"/>
        <v>0.22411076508546768</v>
      </c>
      <c r="Q45" s="209">
        <f>IFERROR(IF(AND(I45=0,K45&lt;&gt;0),1,(K45/I45)-1),0)</f>
        <v>0.84327998986614894</v>
      </c>
      <c r="R45" s="198">
        <f t="shared" si="5"/>
        <v>-0.14289293646013701</v>
      </c>
    </row>
    <row r="46" spans="3:18" x14ac:dyDescent="0.3">
      <c r="C46" t="s">
        <v>363</v>
      </c>
      <c r="F46" s="182" t="s">
        <v>648</v>
      </c>
      <c r="G46" s="206">
        <f>IFERROR(INDEX(TBBP[],MATCH($C46,planoContas,0)+1,H$7)+INDEX(TBBP[],MATCH($C46,planoContas,0)+1,H$7-1)+INDEX(TBBP[],MATCH($C46,planoContas,0)+1,H$7-2)+INDEX(TBBP[],MATCH($C46,planoContas,0)+1,H$7-3)+INDEX(TBBP[],MATCH($C46,planoContas,0)+1,H$7-4)+INDEX(TBBP[],MATCH($C46,planoContas,0)+1,H$7-5),"SEM DADOS")</f>
        <v>0</v>
      </c>
      <c r="H46" s="207">
        <f t="shared" si="6"/>
        <v>0</v>
      </c>
      <c r="I46" s="206">
        <f>IFERROR(INDEX(TBBP[],MATCH($C46,planoContas,0)+1,J$7)+INDEX(TBBP[],MATCH($C46,planoContas,0)+1,J$7-1)+INDEX(TBBP[],MATCH($C46,planoContas,0)+1,J$7-2)+INDEX(TBBP[],MATCH($C46,planoContas,0)+1,J$7-3)+INDEX(TBBP[],MATCH($C46,planoContas,0)+1,J$7-4)+INDEX(TBBP[],MATCH($C46,planoContas,0)+1,J$7-5),"SEM DADOS")</f>
        <v>0</v>
      </c>
      <c r="J46" s="207">
        <f t="shared" si="0"/>
        <v>0</v>
      </c>
      <c r="K46" s="206" t="str">
        <f>IFERROR(INDEX(TBBP[],MATCH($C46,planoContas,0)+1,L$7)+INDEX(TBBP[],MATCH($C46,planoContas,0)+1,L$7-1)+INDEX(TBBP[],MATCH($C46,planoContas,0)+1,L$7-2)+INDEX(TBBP[],MATCH($C46,planoContas,0)+1,L$7-3)+INDEX(TBBP[],MATCH($C46,planoContas,0)+1,L$7-4)+INDEX(TBBP[],MATCH($C46,planoContas,0)+1,L$7-5),"SEM DADOS")</f>
        <v>SEM DADOS</v>
      </c>
      <c r="L46" s="207" t="e">
        <f t="shared" si="1"/>
        <v>#VALUE!</v>
      </c>
      <c r="M46" s="206">
        <f>IFERROR(INDEX(TBBP[],MATCH($C46,planoContas,0)+1,N$7)+INDEX(TBBP[],MATCH($C46,planoContas,0)+1,N$7-1)+INDEX(TBBP[],MATCH($C46,planoContas,0)+1,N$7-2)+INDEX(TBBP[],MATCH($C46,planoContas,0)+1,N$7-3)+INDEX(TBBP[],MATCH($C46,planoContas,0)+1,N$7-4)+INDEX(TBBP[],MATCH($C46,planoContas,0)+1,N$7-5),"SEM DADOS")</f>
        <v>0</v>
      </c>
      <c r="N46" s="207">
        <f t="shared" si="2"/>
        <v>0</v>
      </c>
      <c r="O46" s="208"/>
      <c r="P46" s="209">
        <f t="shared" si="3"/>
        <v>0</v>
      </c>
      <c r="Q46" s="209">
        <f>IFERROR(IF(AND(I46=0,K46&lt;&gt;0),1,(K46/I46)-1),0)</f>
        <v>1</v>
      </c>
      <c r="R46" s="198">
        <f t="shared" si="5"/>
        <v>0</v>
      </c>
    </row>
    <row r="47" spans="3:18" x14ac:dyDescent="0.3">
      <c r="G47" s="197"/>
      <c r="H47" s="196"/>
      <c r="I47" s="197"/>
      <c r="J47" s="196"/>
      <c r="K47" s="197"/>
      <c r="L47" s="196"/>
      <c r="M47" s="197"/>
      <c r="N47" s="196"/>
      <c r="O47" s="193"/>
      <c r="P47" s="197"/>
      <c r="Q47" s="197"/>
    </row>
    <row r="48" spans="3:18" ht="15" thickBot="1" x14ac:dyDescent="0.35">
      <c r="C48" t="s">
        <v>373</v>
      </c>
      <c r="D48" t="s">
        <v>274</v>
      </c>
      <c r="F48" s="203" t="s">
        <v>312</v>
      </c>
      <c r="G48" s="204">
        <f>IFERROR(INDEX(TBBP[],MATCH($C48,planoContas,0)+1,H$7)+INDEX(TBBP[],MATCH($C48,planoContas,0)+1,H$7-1)+INDEX(TBBP[],MATCH($C48,planoContas,0)+1,H$7-2)+INDEX(TBBP[],MATCH($C48,planoContas,0)+1,H$7-3)+INDEX(TBBP[],MATCH($C48,planoContas,0)+1,H$7-4)+INDEX(TBBP[],MATCH($C48,planoContas,0)+1,H$7-5),"SEM DADOS")</f>
        <v>-7396.75</v>
      </c>
      <c r="H48" s="205">
        <f>G48/$G$24</f>
        <v>-1.8419169780127244E-4</v>
      </c>
      <c r="I48" s="204">
        <f>IFERROR(INDEX(TBBP[],MATCH($C48,planoContas,0)+1,J$7)+INDEX(TBBP[],MATCH($C48,planoContas,0)+1,J$7-1)+INDEX(TBBP[],MATCH($C48,planoContas,0)+1,J$7-2)+INDEX(TBBP[],MATCH($C48,planoContas,0)+1,J$7-3)+INDEX(TBBP[],MATCH($C48,planoContas,0)+1,J$7-4)+INDEX(TBBP[],MATCH($C48,planoContas,0)+1,J$7-5),"SEM DADOS")</f>
        <v>-28.12</v>
      </c>
      <c r="J48" s="205">
        <f t="shared" ref="J48:J59" si="7">I48/$I$24</f>
        <v>-6.4600657538665737E-7</v>
      </c>
      <c r="K48" s="204">
        <f>IFERROR(INDEX(TBBP[],MATCH($C48,planoContas,0)+1,L$7)+INDEX(TBBP[],MATCH($C48,planoContas,0)+1,L$7-1)+INDEX(TBBP[],MATCH($C48,planoContas,0)+1,L$7-2)+INDEX(TBBP[],MATCH($C48,planoContas,0)+1,L$7-3)+INDEX(TBBP[],MATCH($C48,planoContas,0)+1,L$7-4)+INDEX(TBBP[],MATCH($C48,planoContas,0)+1,L$7-5),"SEM DADOS")</f>
        <v>-52852.880000000005</v>
      </c>
      <c r="L48" s="205">
        <f t="shared" ref="L48:L59" si="8">K48/$K$24</f>
        <v>-8.2669732236788937E-4</v>
      </c>
      <c r="M48" s="204">
        <f>IFERROR(INDEX(TBBP[],MATCH($C48,planoContas,0)+1,N$7)+INDEX(TBBP[],MATCH($C48,planoContas,0)+1,N$7-1)+INDEX(TBBP[],MATCH($C48,planoContas,0)+1,N$7-2)+INDEX(TBBP[],MATCH($C48,planoContas,0)+1,N$7-3)+INDEX(TBBP[],MATCH($C48,planoContas,0)+1,N$7-4)+INDEX(TBBP[],MATCH($C48,planoContas,0)+1,N$7-5),"SEM DADOS")</f>
        <v>-1972.4299999999994</v>
      </c>
      <c r="N48" s="205">
        <f t="shared" ref="N48:N59" si="9">M48/$M$24</f>
        <v>-3.9340681351050049E-5</v>
      </c>
      <c r="O48" s="210"/>
      <c r="P48" s="205">
        <f t="shared" ref="P48:P59" si="10">IFERROR(IF(AND(G48=0,I48&lt;&gt;0),1,(I48/G48)-1),0)</f>
        <v>-0.99619833034778793</v>
      </c>
      <c r="Q48" s="205">
        <f t="shared" ref="Q48:Q59" si="11">IFERROR(IF(AND(I48=0,K48&lt;&gt;0),1,(K48/I48)-1),0)</f>
        <v>1878.547652916074</v>
      </c>
      <c r="R48" s="201">
        <f t="shared" ref="R48:R59" si="12">IFERROR(IF(AND(K48=0,M48&lt;&gt;0),1,(M48/K48)-1),0)</f>
        <v>-0.96268074700943451</v>
      </c>
    </row>
    <row r="49" spans="3:18" ht="15" thickTop="1" x14ac:dyDescent="0.3">
      <c r="C49" t="s">
        <v>374</v>
      </c>
      <c r="F49" s="182" t="s">
        <v>275</v>
      </c>
      <c r="G49" s="206">
        <f>IFERROR(INDEX(TBBP[],MATCH($C49,planoContas,0)+1,H$7)+INDEX(TBBP[],MATCH($C49,planoContas,0)+1,H$7-1)+INDEX(TBBP[],MATCH($C49,planoContas,0)+1,H$7-2)+INDEX(TBBP[],MATCH($C49,planoContas,0)+1,H$7-3)+INDEX(TBBP[],MATCH($C49,planoContas,0)+1,H$7-4)+INDEX(TBBP[],MATCH($C49,planoContas,0)+1,H$7-5),"SEM DADOS")</f>
        <v>0</v>
      </c>
      <c r="H49" s="207">
        <f t="shared" ref="H49:H59" si="13">G49/$G$24</f>
        <v>0</v>
      </c>
      <c r="I49" s="206">
        <f>IFERROR(INDEX(TBBP[],MATCH($C49,planoContas,0)+1,J$7)+INDEX(TBBP[],MATCH($C49,planoContas,0)+1,J$7-1)+INDEX(TBBP[],MATCH($C49,planoContas,0)+1,J$7-2)+INDEX(TBBP[],MATCH($C49,planoContas,0)+1,J$7-3)+INDEX(TBBP[],MATCH($C49,planoContas,0)+1,J$7-4)+INDEX(TBBP[],MATCH($C49,planoContas,0)+1,J$7-5),"SEM DADOS")</f>
        <v>0</v>
      </c>
      <c r="J49" s="207">
        <f t="shared" si="7"/>
        <v>0</v>
      </c>
      <c r="K49" s="206" t="str">
        <f>IFERROR(INDEX(TBBP[],MATCH($C49,planoContas,0)+1,L$7)+INDEX(TBBP[],MATCH($C49,planoContas,0)+1,L$7-1)+INDEX(TBBP[],MATCH($C49,planoContas,0)+1,L$7-2)+INDEX(TBBP[],MATCH($C49,planoContas,0)+1,L$7-3)+INDEX(TBBP[],MATCH($C49,planoContas,0)+1,L$7-4)+INDEX(TBBP[],MATCH($C49,planoContas,0)+1,L$7-5),"SEM DADOS")</f>
        <v>SEM DADOS</v>
      </c>
      <c r="L49" s="207" t="e">
        <f t="shared" si="8"/>
        <v>#VALUE!</v>
      </c>
      <c r="M49" s="206">
        <f>IFERROR(INDEX(TBBP[],MATCH($C49,planoContas,0)+1,N$7)+INDEX(TBBP[],MATCH($C49,planoContas,0)+1,N$7-1)+INDEX(TBBP[],MATCH($C49,planoContas,0)+1,N$7-2)+INDEX(TBBP[],MATCH($C49,planoContas,0)+1,N$7-3)+INDEX(TBBP[],MATCH($C49,planoContas,0)+1,N$7-4)+INDEX(TBBP[],MATCH($C49,planoContas,0)+1,N$7-5),"SEM DADOS")</f>
        <v>0</v>
      </c>
      <c r="N49" s="207">
        <f t="shared" si="9"/>
        <v>0</v>
      </c>
      <c r="O49" s="208"/>
      <c r="P49" s="209">
        <f t="shared" si="10"/>
        <v>0</v>
      </c>
      <c r="Q49" s="209">
        <f t="shared" si="11"/>
        <v>1</v>
      </c>
      <c r="R49" s="198">
        <f t="shared" si="12"/>
        <v>0</v>
      </c>
    </row>
    <row r="50" spans="3:18" x14ac:dyDescent="0.3">
      <c r="C50" t="s">
        <v>390</v>
      </c>
      <c r="F50" s="182" t="s">
        <v>276</v>
      </c>
      <c r="G50" s="206">
        <f>IFERROR(INDEX(TBBP[],MATCH($C50,planoContas,0)+1,H$7)+INDEX(TBBP[],MATCH($C50,planoContas,0)+1,H$7-1)+INDEX(TBBP[],MATCH($C50,planoContas,0)+1,H$7-2)+INDEX(TBBP[],MATCH($C50,planoContas,0)+1,H$7-3)+INDEX(TBBP[],MATCH($C50,planoContas,0)+1,H$7-4)+INDEX(TBBP[],MATCH($C50,planoContas,0)+1,H$7-5),"SEM DADOS")</f>
        <v>0</v>
      </c>
      <c r="H50" s="207">
        <f t="shared" si="13"/>
        <v>0</v>
      </c>
      <c r="I50" s="206">
        <f>IFERROR(INDEX(TBBP[],MATCH($C50,planoContas,0)+1,J$7)+INDEX(TBBP[],MATCH($C50,planoContas,0)+1,J$7-1)+INDEX(TBBP[],MATCH($C50,planoContas,0)+1,J$7-2)+INDEX(TBBP[],MATCH($C50,planoContas,0)+1,J$7-3)+INDEX(TBBP[],MATCH($C50,planoContas,0)+1,J$7-4)+INDEX(TBBP[],MATCH($C50,planoContas,0)+1,J$7-5),"SEM DADOS")</f>
        <v>0</v>
      </c>
      <c r="J50" s="207">
        <f t="shared" si="7"/>
        <v>0</v>
      </c>
      <c r="K50" s="206" t="str">
        <f>IFERROR(INDEX(TBBP[],MATCH($C50,planoContas,0)+1,L$7)+INDEX(TBBP[],MATCH($C50,planoContas,0)+1,L$7-1)+INDEX(TBBP[],MATCH($C50,planoContas,0)+1,L$7-2)+INDEX(TBBP[],MATCH($C50,planoContas,0)+1,L$7-3)+INDEX(TBBP[],MATCH($C50,planoContas,0)+1,L$7-4)+INDEX(TBBP[],MATCH($C50,planoContas,0)+1,L$7-5),"SEM DADOS")</f>
        <v>SEM DADOS</v>
      </c>
      <c r="L50" s="207" t="e">
        <f t="shared" si="8"/>
        <v>#VALUE!</v>
      </c>
      <c r="M50" s="206">
        <f>IFERROR(INDEX(TBBP[],MATCH($C50,planoContas,0)+1,N$7)+INDEX(TBBP[],MATCH($C50,planoContas,0)+1,N$7-1)+INDEX(TBBP[],MATCH($C50,planoContas,0)+1,N$7-2)+INDEX(TBBP[],MATCH($C50,planoContas,0)+1,N$7-3)+INDEX(TBBP[],MATCH($C50,planoContas,0)+1,N$7-4)+INDEX(TBBP[],MATCH($C50,planoContas,0)+1,N$7-5),"SEM DADOS")</f>
        <v>4385.47</v>
      </c>
      <c r="N50" s="207">
        <f t="shared" si="9"/>
        <v>8.746945536449432E-5</v>
      </c>
      <c r="O50" s="208"/>
      <c r="P50" s="209">
        <f t="shared" si="10"/>
        <v>0</v>
      </c>
      <c r="Q50" s="209">
        <f t="shared" si="11"/>
        <v>1</v>
      </c>
      <c r="R50" s="198">
        <f t="shared" si="12"/>
        <v>0</v>
      </c>
    </row>
    <row r="51" spans="3:18" x14ac:dyDescent="0.3">
      <c r="C51" t="s">
        <v>395</v>
      </c>
      <c r="F51" s="182" t="s">
        <v>277</v>
      </c>
      <c r="G51" s="206">
        <f>IFERROR(INDEX(TBBP[],MATCH($C51,planoContas,0)+1,H$7)+INDEX(TBBP[],MATCH($C51,planoContas,0)+1,H$7-1)+INDEX(TBBP[],MATCH($C51,planoContas,0)+1,H$7-2)+INDEX(TBBP[],MATCH($C51,planoContas,0)+1,H$7-3)+INDEX(TBBP[],MATCH($C51,planoContas,0)+1,H$7-4)+INDEX(TBBP[],MATCH($C51,planoContas,0)+1,H$7-5),"SEM DADOS")</f>
        <v>-5827.31</v>
      </c>
      <c r="H51" s="207">
        <f t="shared" si="13"/>
        <v>-1.4510996349941974E-4</v>
      </c>
      <c r="I51" s="206">
        <f>IFERROR(INDEX(TBBP[],MATCH($C51,planoContas,0)+1,J$7)+INDEX(TBBP[],MATCH($C51,planoContas,0)+1,J$7-1)+INDEX(TBBP[],MATCH($C51,planoContas,0)+1,J$7-2)+INDEX(TBBP[],MATCH($C51,planoContas,0)+1,J$7-3)+INDEX(TBBP[],MATCH($C51,planoContas,0)+1,J$7-4)+INDEX(TBBP[],MATCH($C51,planoContas,0)+1,J$7-5),"SEM DADOS")</f>
        <v>0</v>
      </c>
      <c r="J51" s="207">
        <f t="shared" si="7"/>
        <v>0</v>
      </c>
      <c r="K51" s="206" t="str">
        <f>IFERROR(INDEX(TBBP[],MATCH($C51,planoContas,0)+1,L$7)+INDEX(TBBP[],MATCH($C51,planoContas,0)+1,L$7-1)+INDEX(TBBP[],MATCH($C51,planoContas,0)+1,L$7-2)+INDEX(TBBP[],MATCH($C51,planoContas,0)+1,L$7-3)+INDEX(TBBP[],MATCH($C51,planoContas,0)+1,L$7-4)+INDEX(TBBP[],MATCH($C51,planoContas,0)+1,L$7-5),"SEM DADOS")</f>
        <v>SEM DADOS</v>
      </c>
      <c r="L51" s="207" t="e">
        <f t="shared" si="8"/>
        <v>#VALUE!</v>
      </c>
      <c r="M51" s="206">
        <f>IFERROR(INDEX(TBBP[],MATCH($C51,planoContas,0)+1,N$7)+INDEX(TBBP[],MATCH($C51,planoContas,0)+1,N$7-1)+INDEX(TBBP[],MATCH($C51,planoContas,0)+1,N$7-2)+INDEX(TBBP[],MATCH($C51,planoContas,0)+1,N$7-3)+INDEX(TBBP[],MATCH($C51,planoContas,0)+1,N$7-4)+INDEX(TBBP[],MATCH($C51,planoContas,0)+1,N$7-5),"SEM DADOS")</f>
        <v>0</v>
      </c>
      <c r="N51" s="207">
        <f t="shared" si="9"/>
        <v>0</v>
      </c>
      <c r="O51" s="208"/>
      <c r="P51" s="209">
        <f t="shared" si="10"/>
        <v>-1</v>
      </c>
      <c r="Q51" s="209">
        <f t="shared" si="11"/>
        <v>1</v>
      </c>
      <c r="R51" s="198">
        <f t="shared" si="12"/>
        <v>0</v>
      </c>
    </row>
    <row r="52" spans="3:18" x14ac:dyDescent="0.3">
      <c r="C52" t="s">
        <v>393</v>
      </c>
      <c r="F52" s="182" t="s">
        <v>278</v>
      </c>
      <c r="G52" s="206">
        <f>IFERROR(INDEX(TBBP[],MATCH($C52,planoContas,0)+1,H$7)+INDEX(TBBP[],MATCH($C52,planoContas,0)+1,H$7-1)+INDEX(TBBP[],MATCH($C52,planoContas,0)+1,H$7-2)+INDEX(TBBP[],MATCH($C52,planoContas,0)+1,H$7-3)+INDEX(TBBP[],MATCH($C52,planoContas,0)+1,H$7-4)+INDEX(TBBP[],MATCH($C52,planoContas,0)+1,H$7-5),"SEM DADOS")</f>
        <v>0</v>
      </c>
      <c r="H52" s="207">
        <f t="shared" si="13"/>
        <v>0</v>
      </c>
      <c r="I52" s="206">
        <f>IFERROR(INDEX(TBBP[],MATCH($C52,planoContas,0)+1,J$7)+INDEX(TBBP[],MATCH($C52,planoContas,0)+1,J$7-1)+INDEX(TBBP[],MATCH($C52,planoContas,0)+1,J$7-2)+INDEX(TBBP[],MATCH($C52,planoContas,0)+1,J$7-3)+INDEX(TBBP[],MATCH($C52,planoContas,0)+1,J$7-4)+INDEX(TBBP[],MATCH($C52,planoContas,0)+1,J$7-5),"SEM DADOS")</f>
        <v>0</v>
      </c>
      <c r="J52" s="207">
        <f t="shared" si="7"/>
        <v>0</v>
      </c>
      <c r="K52" s="206" t="str">
        <f>IFERROR(INDEX(TBBP[],MATCH($C52,planoContas,0)+1,L$7)+INDEX(TBBP[],MATCH($C52,planoContas,0)+1,L$7-1)+INDEX(TBBP[],MATCH($C52,planoContas,0)+1,L$7-2)+INDEX(TBBP[],MATCH($C52,planoContas,0)+1,L$7-3)+INDEX(TBBP[],MATCH($C52,planoContas,0)+1,L$7-4)+INDEX(TBBP[],MATCH($C52,planoContas,0)+1,L$7-5),"SEM DADOS")</f>
        <v>SEM DADOS</v>
      </c>
      <c r="L52" s="207" t="e">
        <f t="shared" si="8"/>
        <v>#VALUE!</v>
      </c>
      <c r="M52" s="206">
        <f>IFERROR(INDEX(TBBP[],MATCH($C52,planoContas,0)+1,N$7)+INDEX(TBBP[],MATCH($C52,planoContas,0)+1,N$7-1)+INDEX(TBBP[],MATCH($C52,planoContas,0)+1,N$7-2)+INDEX(TBBP[],MATCH($C52,planoContas,0)+1,N$7-3)+INDEX(TBBP[],MATCH($C52,planoContas,0)+1,N$7-4)+INDEX(TBBP[],MATCH($C52,planoContas,0)+1,N$7-5),"SEM DADOS")</f>
        <v>0</v>
      </c>
      <c r="N52" s="207">
        <f t="shared" si="9"/>
        <v>0</v>
      </c>
      <c r="O52" s="208"/>
      <c r="P52" s="209">
        <f t="shared" si="10"/>
        <v>0</v>
      </c>
      <c r="Q52" s="209">
        <f t="shared" si="11"/>
        <v>1</v>
      </c>
      <c r="R52" s="198">
        <f t="shared" si="12"/>
        <v>0</v>
      </c>
    </row>
    <row r="53" spans="3:18" x14ac:dyDescent="0.3">
      <c r="C53" t="s">
        <v>394</v>
      </c>
      <c r="F53" s="182" t="s">
        <v>635</v>
      </c>
      <c r="G53" s="206">
        <f>IFERROR(INDEX(TBBP[],MATCH($C53,planoContas,0)+1,H$7)+INDEX(TBBP[],MATCH($C53,planoContas,0)+1,H$7-1)+INDEX(TBBP[],MATCH($C53,planoContas,0)+1,H$7-2)+INDEX(TBBP[],MATCH($C53,planoContas,0)+1,H$7-3)+INDEX(TBBP[],MATCH($C53,planoContas,0)+1,H$7-4)+INDEX(TBBP[],MATCH($C53,planoContas,0)+1,H$7-5),"SEM DADOS")</f>
        <v>0</v>
      </c>
      <c r="H53" s="207">
        <f t="shared" si="13"/>
        <v>0</v>
      </c>
      <c r="I53" s="206">
        <f>IFERROR(INDEX(TBBP[],MATCH($C53,planoContas,0)+1,J$7)+INDEX(TBBP[],MATCH($C53,planoContas,0)+1,J$7-1)+INDEX(TBBP[],MATCH($C53,planoContas,0)+1,J$7-2)+INDEX(TBBP[],MATCH($C53,planoContas,0)+1,J$7-3)+INDEX(TBBP[],MATCH($C53,planoContas,0)+1,J$7-4)+INDEX(TBBP[],MATCH($C53,planoContas,0)+1,J$7-5),"SEM DADOS")</f>
        <v>0</v>
      </c>
      <c r="J53" s="207">
        <f t="shared" si="7"/>
        <v>0</v>
      </c>
      <c r="K53" s="206">
        <f>IFERROR(INDEX(TBBP[],MATCH($C53,planoContas,0)+1,L$7)+INDEX(TBBP[],MATCH($C53,planoContas,0)+1,L$7-1)+INDEX(TBBP[],MATCH($C53,planoContas,0)+1,L$7-2)+INDEX(TBBP[],MATCH($C53,planoContas,0)+1,L$7-3)+INDEX(TBBP[],MATCH($C53,planoContas,0)+1,L$7-4)+INDEX(TBBP[],MATCH($C53,planoContas,0)+1,L$7-5),"SEM DADOS")</f>
        <v>-9859.99</v>
      </c>
      <c r="L53" s="207">
        <f t="shared" si="8"/>
        <v>-1.5422484700122613E-4</v>
      </c>
      <c r="M53" s="206">
        <f>IFERROR(INDEX(TBBP[],MATCH($C53,planoContas,0)+1,N$7)+INDEX(TBBP[],MATCH($C53,planoContas,0)+1,N$7-1)+INDEX(TBBP[],MATCH($C53,planoContas,0)+1,N$7-2)+INDEX(TBBP[],MATCH($C53,planoContas,0)+1,N$7-3)+INDEX(TBBP[],MATCH($C53,planoContas,0)+1,N$7-4)+INDEX(TBBP[],MATCH($C53,planoContas,0)+1,N$7-5),"SEM DADOS")</f>
        <v>-163.35</v>
      </c>
      <c r="N53" s="207">
        <f t="shared" si="9"/>
        <v>-3.2580625414813338E-6</v>
      </c>
      <c r="O53" s="208"/>
      <c r="P53" s="209">
        <f t="shared" si="10"/>
        <v>0</v>
      </c>
      <c r="Q53" s="209">
        <f t="shared" si="11"/>
        <v>1</v>
      </c>
      <c r="R53" s="198">
        <f t="shared" si="12"/>
        <v>-0.98343304607814008</v>
      </c>
    </row>
    <row r="54" spans="3:18" x14ac:dyDescent="0.3">
      <c r="C54" t="s">
        <v>383</v>
      </c>
      <c r="F54" s="182" t="s">
        <v>279</v>
      </c>
      <c r="G54" s="206">
        <f>IFERROR(INDEX(TBBP[],MATCH($C54,planoContas,0)+1,H$7)+INDEX(TBBP[],MATCH($C54,planoContas,0)+1,H$7-1)+INDEX(TBBP[],MATCH($C54,planoContas,0)+1,H$7-2)+INDEX(TBBP[],MATCH($C54,planoContas,0)+1,H$7-3)+INDEX(TBBP[],MATCH($C54,planoContas,0)+1,H$7-4)+INDEX(TBBP[],MATCH($C54,planoContas,0)+1,H$7-5),"SEM DADOS")</f>
        <v>-870.51999999999975</v>
      </c>
      <c r="H54" s="207">
        <f t="shared" si="13"/>
        <v>-2.1677433571496081E-5</v>
      </c>
      <c r="I54" s="206">
        <f>IFERROR(INDEX(TBBP[],MATCH($C54,planoContas,0)+1,J$7)+INDEX(TBBP[],MATCH($C54,planoContas,0)+1,J$7-1)+INDEX(TBBP[],MATCH($C54,planoContas,0)+1,J$7-2)+INDEX(TBBP[],MATCH($C54,planoContas,0)+1,J$7-3)+INDEX(TBBP[],MATCH($C54,planoContas,0)+1,J$7-4)+INDEX(TBBP[],MATCH($C54,planoContas,0)+1,J$7-5),"SEM DADOS")</f>
        <v>0</v>
      </c>
      <c r="J54" s="207">
        <f t="shared" si="7"/>
        <v>0</v>
      </c>
      <c r="K54" s="206">
        <f>IFERROR(INDEX(TBBP[],MATCH($C54,planoContas,0)+1,L$7)+INDEX(TBBP[],MATCH($C54,planoContas,0)+1,L$7-1)+INDEX(TBBP[],MATCH($C54,planoContas,0)+1,L$7-2)+INDEX(TBBP[],MATCH($C54,planoContas,0)+1,L$7-3)+INDEX(TBBP[],MATCH($C54,planoContas,0)+1,L$7-4)+INDEX(TBBP[],MATCH($C54,planoContas,0)+1,L$7-5),"SEM DADOS")</f>
        <v>-39305.369999999995</v>
      </c>
      <c r="L54" s="207">
        <f t="shared" si="8"/>
        <v>-6.147942010667945E-4</v>
      </c>
      <c r="M54" s="206">
        <f>IFERROR(INDEX(TBBP[],MATCH($C54,planoContas,0)+1,N$7)+INDEX(TBBP[],MATCH($C54,planoContas,0)+1,N$7-1)+INDEX(TBBP[],MATCH($C54,planoContas,0)+1,N$7-2)+INDEX(TBBP[],MATCH($C54,planoContas,0)+1,N$7-3)+INDEX(TBBP[],MATCH($C54,planoContas,0)+1,N$7-4)+INDEX(TBBP[],MATCH($C54,planoContas,0)+1,N$7-5),"SEM DADOS")</f>
        <v>254.17000000000002</v>
      </c>
      <c r="N54" s="207">
        <f t="shared" si="9"/>
        <v>5.0694934568001881E-6</v>
      </c>
      <c r="O54" s="208"/>
      <c r="P54" s="209">
        <f t="shared" si="10"/>
        <v>-1</v>
      </c>
      <c r="Q54" s="209">
        <f t="shared" si="11"/>
        <v>1</v>
      </c>
      <c r="R54" s="198">
        <f t="shared" si="12"/>
        <v>-1.0064665464286433</v>
      </c>
    </row>
    <row r="55" spans="3:18" x14ac:dyDescent="0.3">
      <c r="C55" t="s">
        <v>377</v>
      </c>
      <c r="F55" s="182" t="s">
        <v>280</v>
      </c>
      <c r="G55" s="206">
        <f>IFERROR(INDEX(TBBP[],MATCH($C55,planoContas,0)+1,H$7)+INDEX(TBBP[],MATCH($C55,planoContas,0)+1,H$7-1)+INDEX(TBBP[],MATCH($C55,planoContas,0)+1,H$7-2)+INDEX(TBBP[],MATCH($C55,planoContas,0)+1,H$7-3)+INDEX(TBBP[],MATCH($C55,planoContas,0)+1,H$7-4)+INDEX(TBBP[],MATCH($C55,planoContas,0)+1,H$7-5),"SEM DADOS")</f>
        <v>-698.92</v>
      </c>
      <c r="H55" s="207">
        <f t="shared" si="13"/>
        <v>-1.7404300730356617E-5</v>
      </c>
      <c r="I55" s="206">
        <f>IFERROR(INDEX(TBBP[],MATCH($C55,planoContas,0)+1,J$7)+INDEX(TBBP[],MATCH($C55,planoContas,0)+1,J$7-1)+INDEX(TBBP[],MATCH($C55,planoContas,0)+1,J$7-2)+INDEX(TBBP[],MATCH($C55,planoContas,0)+1,J$7-3)+INDEX(TBBP[],MATCH($C55,planoContas,0)+1,J$7-4)+INDEX(TBBP[],MATCH($C55,planoContas,0)+1,J$7-5),"SEM DADOS")</f>
        <v>-28.12</v>
      </c>
      <c r="J55" s="207">
        <f t="shared" si="7"/>
        <v>-6.4600657538665737E-7</v>
      </c>
      <c r="K55" s="206">
        <f>IFERROR(INDEX(TBBP[],MATCH($C55,planoContas,0)+1,L$7)+INDEX(TBBP[],MATCH($C55,planoContas,0)+1,L$7-1)+INDEX(TBBP[],MATCH($C55,planoContas,0)+1,L$7-2)+INDEX(TBBP[],MATCH($C55,planoContas,0)+1,L$7-3)+INDEX(TBBP[],MATCH($C55,planoContas,0)+1,L$7-4)+INDEX(TBBP[],MATCH($C55,planoContas,0)+1,L$7-5),"SEM DADOS")</f>
        <v>-2829.76</v>
      </c>
      <c r="L55" s="207">
        <f t="shared" si="8"/>
        <v>-4.4261637491537994E-5</v>
      </c>
      <c r="M55" s="206">
        <f>IFERROR(INDEX(TBBP[],MATCH($C55,planoContas,0)+1,N$7)+INDEX(TBBP[],MATCH($C55,planoContas,0)+1,N$7-1)+INDEX(TBBP[],MATCH($C55,planoContas,0)+1,N$7-2)+INDEX(TBBP[],MATCH($C55,planoContas,0)+1,N$7-3)+INDEX(TBBP[],MATCH($C55,planoContas,0)+1,N$7-4)+INDEX(TBBP[],MATCH($C55,planoContas,0)+1,N$7-5),"SEM DADOS")</f>
        <v>-4068.72</v>
      </c>
      <c r="N55" s="207">
        <f t="shared" si="9"/>
        <v>-8.1151785881701454E-5</v>
      </c>
      <c r="O55" s="208"/>
      <c r="P55" s="209">
        <f t="shared" si="10"/>
        <v>-0.95976649688090199</v>
      </c>
      <c r="Q55" s="209">
        <f t="shared" si="11"/>
        <v>99.631578947368425</v>
      </c>
      <c r="R55" s="198">
        <f t="shared" si="12"/>
        <v>0.43783218364808296</v>
      </c>
    </row>
    <row r="56" spans="3:18" x14ac:dyDescent="0.3">
      <c r="C56" t="s">
        <v>389</v>
      </c>
      <c r="F56" s="182" t="s">
        <v>281</v>
      </c>
      <c r="G56" s="206">
        <f>IFERROR(INDEX(TBBP[],MATCH($C56,planoContas,0)+1,H$7)+INDEX(TBBP[],MATCH($C56,planoContas,0)+1,H$7-1)+INDEX(TBBP[],MATCH($C56,planoContas,0)+1,H$7-2)+INDEX(TBBP[],MATCH($C56,planoContas,0)+1,H$7-3)+INDEX(TBBP[],MATCH($C56,planoContas,0)+1,H$7-4)+INDEX(TBBP[],MATCH($C56,planoContas,0)+1,H$7-5),"SEM DADOS")</f>
        <v>0</v>
      </c>
      <c r="H56" s="207">
        <f t="shared" si="13"/>
        <v>0</v>
      </c>
      <c r="I56" s="206">
        <f>IFERROR(INDEX(TBBP[],MATCH($C56,planoContas,0)+1,J$7)+INDEX(TBBP[],MATCH($C56,planoContas,0)+1,J$7-1)+INDEX(TBBP[],MATCH($C56,planoContas,0)+1,J$7-2)+INDEX(TBBP[],MATCH($C56,planoContas,0)+1,J$7-3)+INDEX(TBBP[],MATCH($C56,planoContas,0)+1,J$7-4)+INDEX(TBBP[],MATCH($C56,planoContas,0)+1,J$7-5),"SEM DADOS")</f>
        <v>0</v>
      </c>
      <c r="J56" s="207">
        <f t="shared" si="7"/>
        <v>0</v>
      </c>
      <c r="K56" s="206" t="str">
        <f>IFERROR(INDEX(TBBP[],MATCH($C56,planoContas,0)+1,L$7)+INDEX(TBBP[],MATCH($C56,planoContas,0)+1,L$7-1)+INDEX(TBBP[],MATCH($C56,planoContas,0)+1,L$7-2)+INDEX(TBBP[],MATCH($C56,planoContas,0)+1,L$7-3)+INDEX(TBBP[],MATCH($C56,planoContas,0)+1,L$7-4)+INDEX(TBBP[],MATCH($C56,planoContas,0)+1,L$7-5),"SEM DADOS")</f>
        <v>SEM DADOS</v>
      </c>
      <c r="L56" s="207" t="e">
        <f t="shared" si="8"/>
        <v>#VALUE!</v>
      </c>
      <c r="M56" s="206">
        <f>IFERROR(INDEX(TBBP[],MATCH($C56,planoContas,0)+1,N$7)+INDEX(TBBP[],MATCH($C56,planoContas,0)+1,N$7-1)+INDEX(TBBP[],MATCH($C56,planoContas,0)+1,N$7-2)+INDEX(TBBP[],MATCH($C56,planoContas,0)+1,N$7-3)+INDEX(TBBP[],MATCH($C56,planoContas,0)+1,N$7-4)+INDEX(TBBP[],MATCH($C56,planoContas,0)+1,N$7-5),"SEM DADOS")</f>
        <v>0</v>
      </c>
      <c r="N56" s="207">
        <f t="shared" si="9"/>
        <v>0</v>
      </c>
      <c r="O56" s="208"/>
      <c r="P56" s="209">
        <f t="shared" si="10"/>
        <v>0</v>
      </c>
      <c r="Q56" s="209">
        <f t="shared" si="11"/>
        <v>1</v>
      </c>
      <c r="R56" s="198">
        <f t="shared" si="12"/>
        <v>0</v>
      </c>
    </row>
    <row r="57" spans="3:18" x14ac:dyDescent="0.3">
      <c r="C57" t="s">
        <v>391</v>
      </c>
      <c r="F57" s="182" t="s">
        <v>282</v>
      </c>
      <c r="G57" s="206">
        <f>IFERROR(INDEX(TBBP[],MATCH($C57,planoContas,0)+1,H$7)+INDEX(TBBP[],MATCH($C57,planoContas,0)+1,H$7-1)+INDEX(TBBP[],MATCH($C57,planoContas,0)+1,H$7-2)+INDEX(TBBP[],MATCH($C57,planoContas,0)+1,H$7-3)+INDEX(TBBP[],MATCH($C57,planoContas,0)+1,H$7-4)+INDEX(TBBP[],MATCH($C57,planoContas,0)+1,H$7-5),"SEM DADOS")</f>
        <v>0</v>
      </c>
      <c r="H57" s="207">
        <f t="shared" si="13"/>
        <v>0</v>
      </c>
      <c r="I57" s="206">
        <f>IFERROR(INDEX(TBBP[],MATCH($C57,planoContas,0)+1,J$7)+INDEX(TBBP[],MATCH($C57,planoContas,0)+1,J$7-1)+INDEX(TBBP[],MATCH($C57,planoContas,0)+1,J$7-2)+INDEX(TBBP[],MATCH($C57,planoContas,0)+1,J$7-3)+INDEX(TBBP[],MATCH($C57,planoContas,0)+1,J$7-4)+INDEX(TBBP[],MATCH($C57,planoContas,0)+1,J$7-5),"SEM DADOS")</f>
        <v>0</v>
      </c>
      <c r="J57" s="207">
        <f t="shared" si="7"/>
        <v>0</v>
      </c>
      <c r="K57" s="206">
        <f>IFERROR(INDEX(TBBP[],MATCH($C57,planoContas,0)+1,L$7)+INDEX(TBBP[],MATCH($C57,planoContas,0)+1,L$7-1)+INDEX(TBBP[],MATCH($C57,planoContas,0)+1,L$7-2)+INDEX(TBBP[],MATCH($C57,planoContas,0)+1,L$7-3)+INDEX(TBBP[],MATCH($C57,planoContas,0)+1,L$7-4)+INDEX(TBBP[],MATCH($C57,planoContas,0)+1,L$7-5),"SEM DADOS")</f>
        <v>-495.49</v>
      </c>
      <c r="L57" s="207">
        <f t="shared" si="8"/>
        <v>-7.7501974586827719E-6</v>
      </c>
      <c r="M57" s="206">
        <f>IFERROR(INDEX(TBBP[],MATCH($C57,planoContas,0)+1,N$7)+INDEX(TBBP[],MATCH($C57,planoContas,0)+1,N$7-1)+INDEX(TBBP[],MATCH($C57,planoContas,0)+1,N$7-2)+INDEX(TBBP[],MATCH($C57,planoContas,0)+1,N$7-3)+INDEX(TBBP[],MATCH($C57,planoContas,0)+1,N$7-4)+INDEX(TBBP[],MATCH($C57,planoContas,0)+1,N$7-5),"SEM DADOS")</f>
        <v>0</v>
      </c>
      <c r="N57" s="207">
        <f t="shared" si="9"/>
        <v>0</v>
      </c>
      <c r="O57" s="208"/>
      <c r="P57" s="209">
        <f t="shared" si="10"/>
        <v>0</v>
      </c>
      <c r="Q57" s="209">
        <f t="shared" si="11"/>
        <v>1</v>
      </c>
      <c r="R57" s="198">
        <f t="shared" si="12"/>
        <v>-1</v>
      </c>
    </row>
    <row r="58" spans="3:18" x14ac:dyDescent="0.3">
      <c r="F58" s="182" t="s">
        <v>283</v>
      </c>
      <c r="G58" s="206">
        <f>G48-G49-G50-G51-G52-G53-G54-G55-G56-G57</f>
        <v>1.1368683772161603E-13</v>
      </c>
      <c r="H58" s="207">
        <f t="shared" si="13"/>
        <v>2.8309962696592691E-21</v>
      </c>
      <c r="I58" s="206">
        <f>I48-I49-I50-I51-I52-I53-I54-I55-I56-I57</f>
        <v>0</v>
      </c>
      <c r="J58" s="207">
        <f t="shared" si="7"/>
        <v>0</v>
      </c>
      <c r="K58" s="206" t="e">
        <f>K48-K49-K50-K51-K52-K53-K54-K55-K56-K57</f>
        <v>#VALUE!</v>
      </c>
      <c r="L58" s="207" t="e">
        <f t="shared" si="8"/>
        <v>#VALUE!</v>
      </c>
      <c r="M58" s="206">
        <f>M48-M49-M50-M51-M52-M53-M54-M55-M56-M57</f>
        <v>-2379.9999999999995</v>
      </c>
      <c r="N58" s="207">
        <f t="shared" si="9"/>
        <v>-4.7469781749161758E-5</v>
      </c>
      <c r="O58" s="208"/>
      <c r="P58" s="209">
        <f t="shared" si="10"/>
        <v>-1</v>
      </c>
      <c r="Q58" s="209">
        <f t="shared" si="11"/>
        <v>0</v>
      </c>
      <c r="R58" s="198">
        <f t="shared" si="12"/>
        <v>0</v>
      </c>
    </row>
    <row r="59" spans="3:18" ht="15" thickBot="1" x14ac:dyDescent="0.35">
      <c r="D59" t="s">
        <v>284</v>
      </c>
      <c r="F59" s="203" t="s">
        <v>285</v>
      </c>
      <c r="G59" s="204">
        <f>G26+G28+G30+G34+G48</f>
        <v>-25954360.599999998</v>
      </c>
      <c r="H59" s="205">
        <f t="shared" si="13"/>
        <v>-0.64630787092445352</v>
      </c>
      <c r="I59" s="204">
        <f>I26+I28+I30+I34+I48</f>
        <v>-28804427.890000001</v>
      </c>
      <c r="J59" s="205">
        <f t="shared" si="7"/>
        <v>-0.66173007884746871</v>
      </c>
      <c r="K59" s="204" t="e">
        <f>K26+K28+K30+K34+K48</f>
        <v>#VALUE!</v>
      </c>
      <c r="L59" s="205" t="e">
        <f t="shared" si="8"/>
        <v>#VALUE!</v>
      </c>
      <c r="M59" s="204">
        <f>M26+M28+M30+M34+M48</f>
        <v>-35516939.469999999</v>
      </c>
      <c r="N59" s="205">
        <f t="shared" si="9"/>
        <v>-0.70839553152902912</v>
      </c>
      <c r="O59" s="210"/>
      <c r="P59" s="205">
        <f t="shared" si="10"/>
        <v>0.10981073022465448</v>
      </c>
      <c r="Q59" s="205">
        <f t="shared" si="11"/>
        <v>0</v>
      </c>
      <c r="R59" s="201">
        <f t="shared" si="12"/>
        <v>0</v>
      </c>
    </row>
    <row r="60" spans="3:18" ht="15" thickTop="1" x14ac:dyDescent="0.3">
      <c r="G60" s="197"/>
      <c r="H60" s="196"/>
      <c r="I60" s="197"/>
      <c r="J60" s="196"/>
      <c r="K60" s="197"/>
      <c r="L60" s="196"/>
      <c r="M60" s="197"/>
      <c r="N60" s="196"/>
      <c r="O60" s="193"/>
      <c r="P60" s="197"/>
      <c r="Q60" s="197"/>
    </row>
    <row r="61" spans="3:18" ht="15" thickBot="1" x14ac:dyDescent="0.35">
      <c r="C61" t="s">
        <v>637</v>
      </c>
      <c r="D61" t="s">
        <v>286</v>
      </c>
      <c r="F61" s="199" t="s">
        <v>101</v>
      </c>
      <c r="G61" s="200">
        <f>G24+G59</f>
        <v>14203529.73</v>
      </c>
      <c r="H61" s="201">
        <f>G61/$G$24</f>
        <v>0.35369212907554654</v>
      </c>
      <c r="I61" s="200">
        <f>I24+I59</f>
        <v>14724540.810000002</v>
      </c>
      <c r="J61" s="201">
        <f>I61/$I$24</f>
        <v>0.33826992115253124</v>
      </c>
      <c r="K61" s="200" t="e">
        <f>K24+K59</f>
        <v>#VALUE!</v>
      </c>
      <c r="L61" s="201" t="e">
        <f>K61/$K$24</f>
        <v>#VALUE!</v>
      </c>
      <c r="M61" s="200">
        <f>M24+M59</f>
        <v>14620219.630000003</v>
      </c>
      <c r="N61" s="201">
        <f>M61/$M$24</f>
        <v>0.29160446847097093</v>
      </c>
      <c r="O61" s="202"/>
      <c r="P61" s="201">
        <f>IFERROR(IF(AND(G61=0,I61&lt;&gt;0),1,(I61/G61)-1),0)</f>
        <v>3.6681803037983407E-2</v>
      </c>
      <c r="Q61" s="201">
        <f>IFERROR(IF(AND(I61=0,K61&lt;&gt;0),1,(K61/I61)-1),0)</f>
        <v>0</v>
      </c>
      <c r="R61" s="201">
        <f>IFERROR(IF(AND(K61=0,M61&lt;&gt;0),1,(M61/K61)-1),0)</f>
        <v>0</v>
      </c>
    </row>
    <row r="62" spans="3:18" ht="15" thickTop="1" x14ac:dyDescent="0.3">
      <c r="G62" s="197"/>
      <c r="H62" s="196"/>
      <c r="I62" s="197"/>
      <c r="J62" s="196"/>
      <c r="K62" s="197"/>
      <c r="L62" s="196"/>
      <c r="M62" s="197"/>
      <c r="N62" s="196"/>
      <c r="O62" s="193"/>
      <c r="P62" s="197"/>
      <c r="Q62" s="197"/>
    </row>
    <row r="63" spans="3:18" ht="15" thickBot="1" x14ac:dyDescent="0.35">
      <c r="D63" t="s">
        <v>287</v>
      </c>
      <c r="F63" s="203" t="s">
        <v>288</v>
      </c>
      <c r="G63" s="204">
        <f>SUM(G64:G73)</f>
        <v>-2876827.1900000009</v>
      </c>
      <c r="H63" s="205">
        <f t="shared" ref="H63:H70" si="14">G63/$G$24</f>
        <v>-7.163790643282035E-2</v>
      </c>
      <c r="I63" s="204">
        <f>SUM(I64:I73)</f>
        <v>-3462642.19</v>
      </c>
      <c r="J63" s="205">
        <f t="shared" ref="J63:J70" si="15">I63/$I$24</f>
        <v>-7.9547995126289309E-2</v>
      </c>
      <c r="K63" s="204">
        <f>SUM(K64:K73)</f>
        <v>-5310358.9999999991</v>
      </c>
      <c r="L63" s="205">
        <f t="shared" ref="L63:L70" si="16">K63/$K$24</f>
        <v>-8.3061879808862288E-2</v>
      </c>
      <c r="M63" s="204">
        <f>SUM(M64:M73)</f>
        <v>-5508643.29</v>
      </c>
      <c r="N63" s="205">
        <f>M63/$M$24</f>
        <v>-0.10987146836566573</v>
      </c>
      <c r="O63" s="210"/>
      <c r="P63" s="205">
        <f t="shared" ref="P63:P70" si="17">IFERROR(IF(AND(G63=0,I63&lt;&gt;0),1,(I63/G63)-1),0)</f>
        <v>0.20363232175930546</v>
      </c>
      <c r="Q63" s="205">
        <f t="shared" ref="Q63:Q70" si="18">IFERROR(IF(AND(I63=0,K63&lt;&gt;0),1,(K63/I63)-1),0)</f>
        <v>0.53361471056297605</v>
      </c>
      <c r="R63" s="201">
        <f t="shared" ref="R63:R70" si="19">IFERROR(IF(AND(K63=0,M63&lt;&gt;0),1,(M63/K63)-1),0)</f>
        <v>3.7339149763697899E-2</v>
      </c>
    </row>
    <row r="64" spans="3:18" ht="15" thickTop="1" x14ac:dyDescent="0.3">
      <c r="C64" t="s">
        <v>398</v>
      </c>
      <c r="F64" s="182" t="s">
        <v>289</v>
      </c>
      <c r="G64" s="206">
        <f>IFERROR(INDEX(TBBP[],MATCH($C64,planoContas,0)+1,H$7)+INDEX(TBBP[],MATCH($C64,planoContas,0)+1,H$7-1)+INDEX(TBBP[],MATCH($C64,planoContas,0)+1,H$7-2)+INDEX(TBBP[],MATCH($C64,planoContas,0)+1,H$7-3)+INDEX(TBBP[],MATCH($C64,planoContas,0)+1,H$7-4)+INDEX(TBBP[],MATCH($C64,planoContas,0)+1,H$7-5),"SEM DADOS")</f>
        <v>-152063.15000000002</v>
      </c>
      <c r="H64" s="207">
        <f t="shared" si="14"/>
        <v>-3.7866319358514974E-3</v>
      </c>
      <c r="I64" s="206">
        <f>IFERROR(INDEX(TBBP[],MATCH($C64,planoContas,0)+1,J$7)+INDEX(TBBP[],MATCH($C64,planoContas,0)+1,J$7-1)+INDEX(TBBP[],MATCH($C64,planoContas,0)+1,J$7-2)+INDEX(TBBP[],MATCH($C64,planoContas,0)+1,J$7-3)+INDEX(TBBP[],MATCH($C64,planoContas,0)+1,J$7-4)+INDEX(TBBP[],MATCH($C64,planoContas,0)+1,J$7-5),"SEM DADOS")</f>
        <v>-167409.46</v>
      </c>
      <c r="J64" s="207">
        <f t="shared" si="15"/>
        <v>-3.8459321458723184E-3</v>
      </c>
      <c r="K64" s="206">
        <f>IFERROR(INDEX(TBBP[],MATCH($C64,planoContas,0)+1,L$7)+INDEX(TBBP[],MATCH($C64,planoContas,0)+1,L$7-1)+INDEX(TBBP[],MATCH($C64,planoContas,0)+1,L$7-2)+INDEX(TBBP[],MATCH($C64,planoContas,0)+1,L$7-3)+INDEX(TBBP[],MATCH($C64,planoContas,0)+1,L$7-4)+INDEX(TBBP[],MATCH($C64,planoContas,0)+1,L$7-5),"SEM DADOS")</f>
        <v>-240994.79000000004</v>
      </c>
      <c r="L64" s="207">
        <f t="shared" si="16"/>
        <v>-3.7695154473627894E-3</v>
      </c>
      <c r="M64" s="206">
        <f>IFERROR(INDEX(TBBP[],MATCH($C64,planoContas,0)+1,N$7)+INDEX(TBBP[],MATCH($C64,planoContas,0)+1,N$7-1)+INDEX(TBBP[],MATCH($C64,planoContas,0)+1,N$7-2)+INDEX(TBBP[],MATCH($C64,planoContas,0)+1,N$7-3)+INDEX(TBBP[],MATCH($C64,planoContas,0)+1,N$7-4)+INDEX(TBBP[],MATCH($C64,planoContas,0)+1,N$7-5),"SEM DADOS")</f>
        <v>-365261.32999999996</v>
      </c>
      <c r="N64" s="207">
        <f t="shared" ref="N64:N70" si="20">M64/$M$24</f>
        <v>-7.2852418556758622E-3</v>
      </c>
      <c r="O64" s="208"/>
      <c r="P64" s="209">
        <f t="shared" si="17"/>
        <v>0.10092063724840616</v>
      </c>
      <c r="Q64" s="209">
        <f t="shared" si="18"/>
        <v>0.43955299778160706</v>
      </c>
      <c r="R64" s="198">
        <f t="shared" si="19"/>
        <v>0.51563994391745949</v>
      </c>
    </row>
    <row r="65" spans="3:18" x14ac:dyDescent="0.3">
      <c r="C65" t="s">
        <v>404</v>
      </c>
      <c r="F65" s="182" t="s">
        <v>290</v>
      </c>
      <c r="G65" s="206">
        <f>IFERROR(INDEX(TBBP[],MATCH($C65,planoContas,0)+1,H$7)+INDEX(TBBP[],MATCH($C65,planoContas,0)+1,H$7-1)+INDEX(TBBP[],MATCH($C65,planoContas,0)+1,H$7-2)+INDEX(TBBP[],MATCH($C65,planoContas,0)+1,H$7-3)+INDEX(TBBP[],MATCH($C65,planoContas,0)+1,H$7-4)+INDEX(TBBP[],MATCH($C65,planoContas,0)+1,H$7-5),"SEM DADOS")</f>
        <v>-1039320.6100000001</v>
      </c>
      <c r="H65" s="207">
        <f t="shared" si="14"/>
        <v>-2.5880856824382889E-2</v>
      </c>
      <c r="I65" s="206">
        <f>IFERROR(INDEX(TBBP[],MATCH($C65,planoContas,0)+1,J$7)+INDEX(TBBP[],MATCH($C65,planoContas,0)+1,J$7-1)+INDEX(TBBP[],MATCH($C65,planoContas,0)+1,J$7-2)+INDEX(TBBP[],MATCH($C65,planoContas,0)+1,J$7-3)+INDEX(TBBP[],MATCH($C65,planoContas,0)+1,J$7-4)+INDEX(TBBP[],MATCH($C65,planoContas,0)+1,J$7-5),"SEM DADOS")</f>
        <v>-1212669.1399999999</v>
      </c>
      <c r="J65" s="207">
        <f t="shared" si="15"/>
        <v>-2.7858898940557712E-2</v>
      </c>
      <c r="K65" s="206">
        <f>IFERROR(INDEX(TBBP[],MATCH($C65,planoContas,0)+1,L$7)+INDEX(TBBP[],MATCH($C65,planoContas,0)+1,L$7-1)+INDEX(TBBP[],MATCH($C65,planoContas,0)+1,L$7-2)+INDEX(TBBP[],MATCH($C65,planoContas,0)+1,L$7-3)+INDEX(TBBP[],MATCH($C65,planoContas,0)+1,L$7-4)+INDEX(TBBP[],MATCH($C65,planoContas,0)+1,L$7-5),"SEM DADOS")</f>
        <v>-1739110.5899999999</v>
      </c>
      <c r="L65" s="207">
        <f t="shared" si="16"/>
        <v>-2.7202265383733867E-2</v>
      </c>
      <c r="M65" s="206">
        <f>IFERROR(INDEX(TBBP[],MATCH($C65,planoContas,0)+1,N$7)+INDEX(TBBP[],MATCH($C65,planoContas,0)+1,N$7-1)+INDEX(TBBP[],MATCH($C65,planoContas,0)+1,N$7-2)+INDEX(TBBP[],MATCH($C65,planoContas,0)+1,N$7-3)+INDEX(TBBP[],MATCH($C65,planoContas,0)+1,N$7-4)+INDEX(TBBP[],MATCH($C65,planoContas,0)+1,N$7-5),"SEM DADOS")</f>
        <v>-1603990.72</v>
      </c>
      <c r="N65" s="207">
        <f t="shared" si="20"/>
        <v>-3.1992054372302875E-2</v>
      </c>
      <c r="O65" s="208"/>
      <c r="P65" s="209">
        <f t="shared" si="17"/>
        <v>0.16679023617168509</v>
      </c>
      <c r="Q65" s="209">
        <f t="shared" si="18"/>
        <v>0.43411795735149994</v>
      </c>
      <c r="R65" s="198">
        <f t="shared" si="19"/>
        <v>-7.7694811806073738E-2</v>
      </c>
    </row>
    <row r="66" spans="3:18" x14ac:dyDescent="0.3">
      <c r="C66" t="s">
        <v>401</v>
      </c>
      <c r="F66" s="182" t="s">
        <v>638</v>
      </c>
      <c r="G66" s="206">
        <f>IFERROR(INDEX(TBBP[],MATCH($C66,planoContas,0)+1,H$7)+INDEX(TBBP[],MATCH($C66,planoContas,0)+1,H$7-1)+INDEX(TBBP[],MATCH($C66,planoContas,0)+1,H$7-2)+INDEX(TBBP[],MATCH($C66,planoContas,0)+1,H$7-3)+INDEX(TBBP[],MATCH($C66,planoContas,0)+1,H$7-4)+INDEX(TBBP[],MATCH($C66,planoContas,0)+1,H$7-5),"SEM DADOS")</f>
        <v>-58716.15</v>
      </c>
      <c r="H66" s="207">
        <f t="shared" si="14"/>
        <v>-1.462132336073841E-3</v>
      </c>
      <c r="I66" s="206">
        <f>IFERROR(INDEX(TBBP[],MATCH($C66,planoContas,0)+1,J$7)+INDEX(TBBP[],MATCH($C66,planoContas,0)+1,J$7-1)+INDEX(TBBP[],MATCH($C66,planoContas,0)+1,J$7-2)+INDEX(TBBP[],MATCH($C66,planoContas,0)+1,J$7-3)+INDEX(TBBP[],MATCH($C66,planoContas,0)+1,J$7-4)+INDEX(TBBP[],MATCH($C66,planoContas,0)+1,J$7-5),"SEM DADOS")</f>
        <v>-66230.75</v>
      </c>
      <c r="J66" s="207">
        <f t="shared" si="15"/>
        <v>-1.5215327166710475E-3</v>
      </c>
      <c r="K66" s="206">
        <f>IFERROR(INDEX(TBBP[],MATCH($C66,planoContas,0)+1,L$7)+INDEX(TBBP[],MATCH($C66,planoContas,0)+1,L$7-1)+INDEX(TBBP[],MATCH($C66,planoContas,0)+1,L$7-2)+INDEX(TBBP[],MATCH($C66,planoContas,0)+1,L$7-3)+INDEX(TBBP[],MATCH($C66,planoContas,0)+1,L$7-4)+INDEX(TBBP[],MATCH($C66,planoContas,0)+1,L$7-5),"SEM DADOS")</f>
        <v>-213654.41999999998</v>
      </c>
      <c r="L66" s="207">
        <f t="shared" si="16"/>
        <v>-3.3418715673784361E-3</v>
      </c>
      <c r="M66" s="206">
        <f>IFERROR(INDEX(TBBP[],MATCH($C66,planoContas,0)+1,N$7)+INDEX(TBBP[],MATCH($C66,planoContas,0)+1,N$7-1)+INDEX(TBBP[],MATCH($C66,planoContas,0)+1,N$7-2)+INDEX(TBBP[],MATCH($C66,planoContas,0)+1,N$7-3)+INDEX(TBBP[],MATCH($C66,planoContas,0)+1,N$7-4)+INDEX(TBBP[],MATCH($C66,planoContas,0)+1,N$7-5),"SEM DADOS")</f>
        <v>-228075.71000000002</v>
      </c>
      <c r="N66" s="207">
        <f t="shared" si="20"/>
        <v>-4.5490353680609722E-3</v>
      </c>
      <c r="O66" s="208"/>
      <c r="P66" s="209">
        <f t="shared" si="17"/>
        <v>0.12798182442138994</v>
      </c>
      <c r="Q66" s="209">
        <f t="shared" si="18"/>
        <v>2.2259097171631002</v>
      </c>
      <c r="R66" s="198">
        <f t="shared" si="19"/>
        <v>6.7498205747393625E-2</v>
      </c>
    </row>
    <row r="67" spans="3:18" x14ac:dyDescent="0.3">
      <c r="C67" t="s">
        <v>416</v>
      </c>
      <c r="F67" s="182" t="s">
        <v>1058</v>
      </c>
      <c r="G67" s="206">
        <f>IFERROR(INDEX(TBBP[],MATCH($C67,planoContas,0)+1,H$7)+INDEX(TBBP[],MATCH($C67,planoContas,0)+1,H$7-1)+INDEX(TBBP[],MATCH($C67,planoContas,0)+1,H$7-2)+INDEX(TBBP[],MATCH($C67,planoContas,0)+1,H$7-3)+INDEX(TBBP[],MATCH($C67,planoContas,0)+1,H$7-4)+INDEX(TBBP[],MATCH($C67,planoContas,0)+1,H$7-5),"SEM DADOS")</f>
        <v>-21928.43</v>
      </c>
      <c r="H67" s="207">
        <f t="shared" si="14"/>
        <v>-5.4605532859923023E-4</v>
      </c>
      <c r="I67" s="206">
        <f>IFERROR(INDEX(TBBP[],MATCH($C67,planoContas,0)+1,J$7)+INDEX(TBBP[],MATCH($C67,planoContas,0)+1,J$7-1)+INDEX(TBBP[],MATCH($C67,planoContas,0)+1,J$7-2)+INDEX(TBBP[],MATCH($C67,planoContas,0)+1,J$7-3)+INDEX(TBBP[],MATCH($C67,planoContas,0)+1,J$7-4)+INDEX(TBBP[],MATCH($C67,planoContas,0)+1,J$7-5),"SEM DADOS")</f>
        <v>-14610.02</v>
      </c>
      <c r="J67" s="207">
        <f t="shared" si="15"/>
        <v>-3.3563901090080271E-4</v>
      </c>
      <c r="K67" s="206">
        <f>IFERROR(INDEX(TBBP[],MATCH($C67,planoContas,0)+1,L$7)+INDEX(TBBP[],MATCH($C67,planoContas,0)+1,L$7-1)+INDEX(TBBP[],MATCH($C67,planoContas,0)+1,L$7-2)+INDEX(TBBP[],MATCH($C67,planoContas,0)+1,L$7-3)+INDEX(TBBP[],MATCH($C67,planoContas,0)+1,L$7-4)+INDEX(TBBP[],MATCH($C67,planoContas,0)+1,L$7-5),"SEM DADOS")</f>
        <v>-142787.32</v>
      </c>
      <c r="L67" s="207">
        <f t="shared" si="16"/>
        <v>-2.2334051637694476E-3</v>
      </c>
      <c r="M67" s="206">
        <f>IFERROR(INDEX(TBBP[],MATCH($C67,planoContas,0)+1,N$7)+INDEX(TBBP[],MATCH($C67,planoContas,0)+1,N$7-1)+INDEX(TBBP[],MATCH($C67,planoContas,0)+1,N$7-2)+INDEX(TBBP[],MATCH($C67,planoContas,0)+1,N$7-3)+INDEX(TBBP[],MATCH($C67,planoContas,0)+1,N$7-4)+INDEX(TBBP[],MATCH($C67,planoContas,0)+1,N$7-5),"SEM DADOS")</f>
        <v>-135055.79</v>
      </c>
      <c r="N67" s="207">
        <f t="shared" si="20"/>
        <v>-2.6937264181767333E-3</v>
      </c>
      <c r="O67" s="208"/>
      <c r="P67" s="209">
        <f t="shared" si="17"/>
        <v>-0.33374071923981785</v>
      </c>
      <c r="Q67" s="209">
        <f t="shared" si="18"/>
        <v>8.7732460325174095</v>
      </c>
      <c r="R67" s="198">
        <f t="shared" si="19"/>
        <v>-5.4147174973239953E-2</v>
      </c>
    </row>
    <row r="68" spans="3:18" x14ac:dyDescent="0.3">
      <c r="C68" t="s">
        <v>410</v>
      </c>
      <c r="F68" s="182" t="s">
        <v>1059</v>
      </c>
      <c r="G68" s="206">
        <f>IFERROR(INDEX(TBBP[],MATCH($C68,planoContas,0)+1,H$7)+INDEX(TBBP[],MATCH($C68,planoContas,0)+1,H$7-1)+INDEX(TBBP[],MATCH($C68,planoContas,0)+1,H$7-2)+INDEX(TBBP[],MATCH($C68,planoContas,0)+1,H$7-3)+INDEX(TBBP[],MATCH($C68,planoContas,0)+1,H$7-4)+INDEX(TBBP[],MATCH($C68,planoContas,0)+1,H$7-5),"SEM DADOS")</f>
        <v>-499223.06000000006</v>
      </c>
      <c r="H68" s="207">
        <f t="shared" si="14"/>
        <v>-1.2431506134849292E-2</v>
      </c>
      <c r="I68" s="206">
        <f>IFERROR(INDEX(TBBP[],MATCH($C68,planoContas,0)+1,J$7)+INDEX(TBBP[],MATCH($C68,planoContas,0)+1,J$7-1)+INDEX(TBBP[],MATCH($C68,planoContas,0)+1,J$7-2)+INDEX(TBBP[],MATCH($C68,planoContas,0)+1,J$7-3)+INDEX(TBBP[],MATCH($C68,planoContas,0)+1,J$7-4)+INDEX(TBBP[],MATCH($C68,planoContas,0)+1,J$7-5),"SEM DADOS")</f>
        <v>-492297.75</v>
      </c>
      <c r="J68" s="207">
        <f t="shared" si="15"/>
        <v>-1.1309658020912404E-2</v>
      </c>
      <c r="K68" s="206">
        <f>IFERROR(INDEX(TBBP[],MATCH($C68,planoContas,0)+1,L$7)+INDEX(TBBP[],MATCH($C68,planoContas,0)+1,L$7-1)+INDEX(TBBP[],MATCH($C68,planoContas,0)+1,L$7-2)+INDEX(TBBP[],MATCH($C68,planoContas,0)+1,L$7-3)+INDEX(TBBP[],MATCH($C68,planoContas,0)+1,L$7-4)+INDEX(TBBP[],MATCH($C68,planoContas,0)+1,L$7-5),"SEM DADOS")</f>
        <v>-1072630.8799999999</v>
      </c>
      <c r="L68" s="207">
        <f t="shared" si="16"/>
        <v>-1.6777535611779578E-2</v>
      </c>
      <c r="M68" s="206">
        <f>IFERROR(INDEX(TBBP[],MATCH($C68,planoContas,0)+1,N$7)+INDEX(TBBP[],MATCH($C68,planoContas,0)+1,N$7-1)+INDEX(TBBP[],MATCH($C68,planoContas,0)+1,N$7-2)+INDEX(TBBP[],MATCH($C68,planoContas,0)+1,N$7-3)+INDEX(TBBP[],MATCH($C68,planoContas,0)+1,N$7-4)+INDEX(TBBP[],MATCH($C68,planoContas,0)+1,N$7-5),"SEM DADOS")</f>
        <v>-1298306.5200000003</v>
      </c>
      <c r="N68" s="207">
        <f t="shared" si="20"/>
        <v>-2.589509544029989E-2</v>
      </c>
      <c r="O68" s="208"/>
      <c r="P68" s="209">
        <f t="shared" si="17"/>
        <v>-1.3872175696371225E-2</v>
      </c>
      <c r="Q68" s="209">
        <f t="shared" si="18"/>
        <v>1.178825477061392</v>
      </c>
      <c r="R68" s="198">
        <f t="shared" si="19"/>
        <v>0.21039450216089284</v>
      </c>
    </row>
    <row r="69" spans="3:18" x14ac:dyDescent="0.3">
      <c r="C69" t="s">
        <v>406</v>
      </c>
      <c r="F69" s="182" t="s">
        <v>1060</v>
      </c>
      <c r="G69" s="206">
        <f>IFERROR(INDEX(TBBP[],MATCH($C69,planoContas,0)+1,H$7)+INDEX(TBBP[],MATCH($C69,planoContas,0)+1,H$7-1)+INDEX(TBBP[],MATCH($C69,planoContas,0)+1,H$7-2)+INDEX(TBBP[],MATCH($C69,planoContas,0)+1,H$7-3)+INDEX(TBBP[],MATCH($C69,planoContas,0)+1,H$7-4)+INDEX(TBBP[],MATCH($C69,planoContas,0)+1,H$7-5),"SEM DADOS")</f>
        <v>-453335.75</v>
      </c>
      <c r="H69" s="207">
        <f t="shared" si="14"/>
        <v>-1.1288833807619993E-2</v>
      </c>
      <c r="I69" s="206">
        <f>IFERROR(INDEX(TBBP[],MATCH($C69,planoContas,0)+1,J$7)+INDEX(TBBP[],MATCH($C69,planoContas,0)+1,J$7-1)+INDEX(TBBP[],MATCH($C69,planoContas,0)+1,J$7-2)+INDEX(TBBP[],MATCH($C69,planoContas,0)+1,J$7-3)+INDEX(TBBP[],MATCH($C69,planoContas,0)+1,J$7-4)+INDEX(TBBP[],MATCH($C69,planoContas,0)+1,J$7-5),"SEM DADOS")</f>
        <v>-795855.64</v>
      </c>
      <c r="J69" s="207">
        <f t="shared" si="15"/>
        <v>-1.8283356205496318E-2</v>
      </c>
      <c r="K69" s="206">
        <f>IFERROR(INDEX(TBBP[],MATCH($C69,planoContas,0)+1,L$7)+INDEX(TBBP[],MATCH($C69,planoContas,0)+1,L$7-1)+INDEX(TBBP[],MATCH($C69,planoContas,0)+1,L$7-2)+INDEX(TBBP[],MATCH($C69,planoContas,0)+1,L$7-3)+INDEX(TBBP[],MATCH($C69,planoContas,0)+1,L$7-4)+INDEX(TBBP[],MATCH($C69,planoContas,0)+1,L$7-5),"SEM DADOS")</f>
        <v>-1019524.73</v>
      </c>
      <c r="L69" s="207">
        <f t="shared" si="16"/>
        <v>-1.5946876771499401E-2</v>
      </c>
      <c r="M69" s="206">
        <f>IFERROR(INDEX(TBBP[],MATCH($C69,planoContas,0)+1,N$7)+INDEX(TBBP[],MATCH($C69,planoContas,0)+1,N$7-1)+INDEX(TBBP[],MATCH($C69,planoContas,0)+1,N$7-2)+INDEX(TBBP[],MATCH($C69,planoContas,0)+1,N$7-3)+INDEX(TBBP[],MATCH($C69,planoContas,0)+1,N$7-4)+INDEX(TBBP[],MATCH($C69,planoContas,0)+1,N$7-5),"SEM DADOS")</f>
        <v>-832475.78999999992</v>
      </c>
      <c r="N69" s="207">
        <f t="shared" si="20"/>
        <v>-1.6603968093597068E-2</v>
      </c>
      <c r="O69" s="208"/>
      <c r="P69" s="209">
        <f t="shared" si="17"/>
        <v>0.75555455310991904</v>
      </c>
      <c r="Q69" s="209">
        <f t="shared" si="18"/>
        <v>0.28104228802097819</v>
      </c>
      <c r="R69" s="198">
        <f t="shared" si="19"/>
        <v>-0.18346680026094131</v>
      </c>
    </row>
    <row r="70" spans="3:18" x14ac:dyDescent="0.3">
      <c r="C70" t="s">
        <v>421</v>
      </c>
      <c r="F70" s="182" t="s">
        <v>1061</v>
      </c>
      <c r="G70" s="206">
        <f>IFERROR(INDEX(TBBP[],MATCH($C70,planoContas,0)+1,H$7)+INDEX(TBBP[],MATCH($C70,planoContas,0)+1,H$7-1)+INDEX(TBBP[],MATCH($C70,planoContas,0)+1,H$7-2)+INDEX(TBBP[],MATCH($C70,planoContas,0)+1,H$7-3)+INDEX(TBBP[],MATCH($C70,planoContas,0)+1,H$7-4)+INDEX(TBBP[],MATCH($C70,planoContas,0)+1,H$7-5),"SEM DADOS")</f>
        <v>0</v>
      </c>
      <c r="H70" s="207">
        <f t="shared" si="14"/>
        <v>0</v>
      </c>
      <c r="I70" s="206">
        <f>IFERROR(INDEX(TBBP[],MATCH($C70,planoContas,0)+1,J$7)+INDEX(TBBP[],MATCH($C70,planoContas,0)+1,J$7-1)+INDEX(TBBP[],MATCH($C70,planoContas,0)+1,J$7-2)+INDEX(TBBP[],MATCH($C70,planoContas,0)+1,J$7-3)+INDEX(TBBP[],MATCH($C70,planoContas,0)+1,J$7-4)+INDEX(TBBP[],MATCH($C70,planoContas,0)+1,J$7-5),"SEM DADOS")</f>
        <v>0</v>
      </c>
      <c r="J70" s="207">
        <f t="shared" si="15"/>
        <v>0</v>
      </c>
      <c r="K70" s="206">
        <f>IFERROR(INDEX(TBBP[],MATCH($C70,planoContas,0)+1,L$7)+INDEX(TBBP[],MATCH($C70,planoContas,0)+1,L$7-1)+INDEX(TBBP[],MATCH($C70,planoContas,0)+1,L$7-2)+INDEX(TBBP[],MATCH($C70,planoContas,0)+1,L$7-3)+INDEX(TBBP[],MATCH($C70,planoContas,0)+1,L$7-4)+INDEX(TBBP[],MATCH($C70,planoContas,0)+1,L$7-5),"SEM DADOS")</f>
        <v>0</v>
      </c>
      <c r="L70" s="207">
        <f t="shared" si="16"/>
        <v>0</v>
      </c>
      <c r="M70" s="206">
        <f>IFERROR(INDEX(TBBP[],MATCH($C70,planoContas,0)+1,N$7)+INDEX(TBBP[],MATCH($C70,planoContas,0)+1,N$7-1)+INDEX(TBBP[],MATCH($C70,planoContas,0)+1,N$7-2)+INDEX(TBBP[],MATCH($C70,planoContas,0)+1,N$7-3)+INDEX(TBBP[],MATCH($C70,planoContas,0)+1,N$7-4)+INDEX(TBBP[],MATCH($C70,planoContas,0)+1,N$7-5),"SEM DADOS")</f>
        <v>0</v>
      </c>
      <c r="N70" s="207">
        <f t="shared" si="20"/>
        <v>0</v>
      </c>
      <c r="O70" s="208"/>
      <c r="P70" s="209">
        <f t="shared" si="17"/>
        <v>0</v>
      </c>
      <c r="Q70" s="209">
        <f t="shared" si="18"/>
        <v>0</v>
      </c>
      <c r="R70" s="198">
        <f t="shared" si="19"/>
        <v>0</v>
      </c>
    </row>
    <row r="71" spans="3:18" x14ac:dyDescent="0.3">
      <c r="C71" t="s">
        <v>422</v>
      </c>
      <c r="F71" s="182" t="s">
        <v>1062</v>
      </c>
      <c r="G71" s="206">
        <f>IFERROR(INDEX(TBBP[],MATCH($C71,planoContas,0)+1,H$7)+INDEX(TBBP[],MATCH($C71,planoContas,0)+1,H$7-1)+INDEX(TBBP[],MATCH($C71,planoContas,0)+1,H$7-2)+INDEX(TBBP[],MATCH($C71,planoContas,0)+1,H$7-3)+INDEX(TBBP[],MATCH($C71,planoContas,0)+1,H$7-4)+INDEX(TBBP[],MATCH($C71,planoContas,0)+1,H$7-5),"SEM DADOS")</f>
        <v>-597358.32000000007</v>
      </c>
      <c r="H71" s="207">
        <f>G71/$G$24</f>
        <v>-1.487524157995279E-2</v>
      </c>
      <c r="I71" s="206">
        <f>IFERROR(INDEX(TBBP[],MATCH($C71,planoContas,0)+1,J$7)+INDEX(TBBP[],MATCH($C71,planoContas,0)+1,J$7-1)+INDEX(TBBP[],MATCH($C71,planoContas,0)+1,J$7-2)+INDEX(TBBP[],MATCH($C71,planoContas,0)+1,J$7-3)+INDEX(TBBP[],MATCH($C71,planoContas,0)+1,J$7-4)+INDEX(TBBP[],MATCH($C71,planoContas,0)+1,J$7-5),"SEM DADOS")</f>
        <v>-593405.18999999994</v>
      </c>
      <c r="J71" s="207">
        <f>I71/$I$24</f>
        <v>-1.3632420149664605E-2</v>
      </c>
      <c r="K71" s="206">
        <f>IFERROR(INDEX(TBBP[],MATCH($C71,planoContas,0)+1,L$7)+INDEX(TBBP[],MATCH($C71,planoContas,0)+1,L$7-1)+INDEX(TBBP[],MATCH($C71,planoContas,0)+1,L$7-2)+INDEX(TBBP[],MATCH($C71,planoContas,0)+1,L$7-3)+INDEX(TBBP[],MATCH($C71,planoContas,0)+1,L$7-4)+INDEX(TBBP[],MATCH($C71,planoContas,0)+1,L$7-5),"SEM DADOS")</f>
        <v>-699573.48</v>
      </c>
      <c r="L71" s="207">
        <f>K71/$K$24</f>
        <v>-1.0942365349165194E-2</v>
      </c>
      <c r="M71" s="206">
        <f>IFERROR(INDEX(TBBP[],MATCH($C71,planoContas,0)+1,N$7)+INDEX(TBBP[],MATCH($C71,planoContas,0)+1,N$7-1)+INDEX(TBBP[],MATCH($C71,planoContas,0)+1,N$7-2)+INDEX(TBBP[],MATCH($C71,planoContas,0)+1,N$7-3)+INDEX(TBBP[],MATCH($C71,planoContas,0)+1,N$7-4)+INDEX(TBBP[],MATCH($C71,planoContas,0)+1,N$7-5),"SEM DADOS")</f>
        <v>-913848.56</v>
      </c>
      <c r="N71" s="207">
        <f>M71/$M$24</f>
        <v>-1.8226971300414188E-2</v>
      </c>
      <c r="O71" s="208"/>
      <c r="P71" s="209">
        <f>IFERROR(IF(AND(G71=0,I71&lt;&gt;0),1,(I71/G71)-1),0)</f>
        <v>-6.6176863494595839E-3</v>
      </c>
      <c r="Q71" s="209">
        <f>IFERROR(IF(AND(I71=0,K71&lt;&gt;0),1,(K71/I71)-1),0)</f>
        <v>0.17891365257523284</v>
      </c>
      <c r="R71" s="198">
        <f>IFERROR(IF(AND(K71=0,M71&lt;&gt;0),1,(M71/K71)-1),0)</f>
        <v>0.30629388638345767</v>
      </c>
    </row>
    <row r="72" spans="3:18" x14ac:dyDescent="0.3">
      <c r="C72" t="s">
        <v>423</v>
      </c>
      <c r="F72" s="182" t="s">
        <v>1063</v>
      </c>
      <c r="G72" s="206">
        <f>IFERROR(INDEX(TBBP[],MATCH($C72,planoContas,0)+1,H$7)+INDEX(TBBP[],MATCH($C72,planoContas,0)+1,H$7-1)+INDEX(TBBP[],MATCH($C72,planoContas,0)+1,H$7-2)+INDEX(TBBP[],MATCH($C72,planoContas,0)+1,H$7-3)+INDEX(TBBP[],MATCH($C72,planoContas,0)+1,H$7-4)+INDEX(TBBP[],MATCH($C72,planoContas,0)+1,H$7-5),"SEM DADOS")</f>
        <v>-54881.72</v>
      </c>
      <c r="H72" s="207">
        <f>G72/$G$24</f>
        <v>-1.3666484854907965E-3</v>
      </c>
      <c r="I72" s="206">
        <f>IFERROR(INDEX(TBBP[],MATCH($C72,planoContas,0)+1,J$7)+INDEX(TBBP[],MATCH($C72,planoContas,0)+1,J$7-1)+INDEX(TBBP[],MATCH($C72,planoContas,0)+1,J$7-2)+INDEX(TBBP[],MATCH($C72,planoContas,0)+1,J$7-3)+INDEX(TBBP[],MATCH($C72,planoContas,0)+1,J$7-4)+INDEX(TBBP[],MATCH($C72,planoContas,0)+1,J$7-5),"SEM DADOS")</f>
        <v>-101781.25</v>
      </c>
      <c r="J72" s="207">
        <f>I72/$I$24</f>
        <v>-2.3382417052301998E-3</v>
      </c>
      <c r="K72" s="206">
        <f>IFERROR(INDEX(TBBP[],MATCH($C72,planoContas,0)+1,L$7)+INDEX(TBBP[],MATCH($C72,planoContas,0)+1,L$7-1)+INDEX(TBBP[],MATCH($C72,planoContas,0)+1,L$7-2)+INDEX(TBBP[],MATCH($C72,planoContas,0)+1,L$7-3)+INDEX(TBBP[],MATCH($C72,planoContas,0)+1,L$7-4)+INDEX(TBBP[],MATCH($C72,planoContas,0)+1,L$7-5),"SEM DADOS")</f>
        <v>-182076.78999999998</v>
      </c>
      <c r="L72" s="207">
        <f>K72/$K$24</f>
        <v>-2.8479506652871228E-3</v>
      </c>
      <c r="M72" s="206">
        <f>IFERROR(INDEX(TBBP[],MATCH($C72,planoContas,0)+1,N$7)+INDEX(TBBP[],MATCH($C72,planoContas,0)+1,N$7-1)+INDEX(TBBP[],MATCH($C72,planoContas,0)+1,N$7-2)+INDEX(TBBP[],MATCH($C72,planoContas,0)+1,N$7-3)+INDEX(TBBP[],MATCH($C72,planoContas,0)+1,N$7-4)+INDEX(TBBP[],MATCH($C72,planoContas,0)+1,N$7-5),"SEM DADOS")</f>
        <v>-131622.87</v>
      </c>
      <c r="N72" s="207">
        <f>M72/$M$24</f>
        <v>-2.6252558454194505E-3</v>
      </c>
      <c r="O72" s="208"/>
      <c r="P72" s="209">
        <f>IFERROR(IF(AND(G72=0,I72&lt;&gt;0),1,(I72/G72)-1),0)</f>
        <v>0.85455648984762145</v>
      </c>
      <c r="Q72" s="209">
        <f>IFERROR(IF(AND(I72=0,K72&lt;&gt;0),1,(K72/I72)-1),0)</f>
        <v>0.78890306416948097</v>
      </c>
      <c r="R72" s="198">
        <f>IFERROR(IF(AND(K72=0,M72&lt;&gt;0),1,(M72/K72)-1),0)</f>
        <v>-0.27710242475166658</v>
      </c>
    </row>
    <row r="73" spans="3:18" x14ac:dyDescent="0.3">
      <c r="C73" t="s">
        <v>424</v>
      </c>
      <c r="F73" s="182" t="s">
        <v>1064</v>
      </c>
      <c r="G73" s="206">
        <f>IFERROR(INDEX(TBBP[],MATCH($C73,planoContas,0)+1,H$7)+INDEX(TBBP[],MATCH($C73,planoContas,0)+1,H$7-1)+INDEX(TBBP[],MATCH($C73,planoContas,0)+1,H$7-2)+INDEX(TBBP[],MATCH($C73,planoContas,0)+1,H$7-3)+INDEX(TBBP[],MATCH($C73,planoContas,0)+1,H$7-4)+INDEX(TBBP[],MATCH($C73,planoContas,0)+1,H$7-5),"SEM DADOS")</f>
        <v>0</v>
      </c>
      <c r="H73" s="207">
        <f>G73/$G$24</f>
        <v>0</v>
      </c>
      <c r="I73" s="206">
        <f>IFERROR(INDEX(TBBP[],MATCH($C73,planoContas,0)+1,J$7)+INDEX(TBBP[],MATCH($C73,planoContas,0)+1,J$7-1)+INDEX(TBBP[],MATCH($C73,planoContas,0)+1,J$7-2)+INDEX(TBBP[],MATCH($C73,planoContas,0)+1,J$7-3)+INDEX(TBBP[],MATCH($C73,planoContas,0)+1,J$7-4)+INDEX(TBBP[],MATCH($C73,planoContas,0)+1,J$7-5),"SEM DADOS")</f>
        <v>-18382.990000000002</v>
      </c>
      <c r="J73" s="207">
        <f>I73/$I$24</f>
        <v>-4.2231623098389651E-4</v>
      </c>
      <c r="K73" s="206">
        <f>IFERROR(INDEX(TBBP[],MATCH($C73,planoContas,0)+1,L$7)+INDEX(TBBP[],MATCH($C73,planoContas,0)+1,L$7-1)+INDEX(TBBP[],MATCH($C73,planoContas,0)+1,L$7-2)+INDEX(TBBP[],MATCH($C73,planoContas,0)+1,L$7-3)+INDEX(TBBP[],MATCH($C73,planoContas,0)+1,L$7-4)+INDEX(TBBP[],MATCH($C73,planoContas,0)+1,L$7-5),"SEM DADOS")</f>
        <v>-6</v>
      </c>
      <c r="L73" s="207">
        <f>K73/$K$24</f>
        <v>-9.3848886460063026E-8</v>
      </c>
      <c r="M73" s="206">
        <f>IFERROR(INDEX(TBBP[],MATCH($C73,planoContas,0)+1,N$7)+INDEX(TBBP[],MATCH($C73,planoContas,0)+1,N$7-1)+INDEX(TBBP[],MATCH($C73,planoContas,0)+1,N$7-2)+INDEX(TBBP[],MATCH($C73,planoContas,0)+1,N$7-3)+INDEX(TBBP[],MATCH($C73,planoContas,0)+1,N$7-4)+INDEX(TBBP[],MATCH($C73,planoContas,0)+1,N$7-5),"SEM DADOS")</f>
        <v>-6</v>
      </c>
      <c r="N73" s="207">
        <f>M73/$M$24</f>
        <v>-1.1967171869536579E-7</v>
      </c>
      <c r="O73" s="208"/>
      <c r="P73" s="209">
        <f>IFERROR(IF(AND(G73=0,I73&lt;&gt;0),1,(I73/G73)-1),0)</f>
        <v>1</v>
      </c>
      <c r="Q73" s="209">
        <f>IFERROR(IF(AND(I73=0,K73&lt;&gt;0),1,(K73/I73)-1),0)</f>
        <v>-0.99967361131132637</v>
      </c>
      <c r="R73" s="198">
        <f>IFERROR(IF(AND(K73=0,M73&lt;&gt;0),1,(M73/K73)-1),0)</f>
        <v>0</v>
      </c>
    </row>
    <row r="74" spans="3:18" x14ac:dyDescent="0.3">
      <c r="G74" s="206"/>
      <c r="H74" s="207"/>
      <c r="I74" s="206"/>
      <c r="J74" s="207"/>
      <c r="K74" s="206"/>
      <c r="L74" s="207"/>
      <c r="M74" s="206"/>
      <c r="N74" s="207"/>
      <c r="O74" s="208"/>
      <c r="P74" s="209"/>
      <c r="Q74" s="209"/>
      <c r="R74" s="198"/>
    </row>
    <row r="75" spans="3:18" x14ac:dyDescent="0.3">
      <c r="G75" s="197"/>
      <c r="H75" s="196"/>
      <c r="I75" s="197"/>
      <c r="J75" s="196"/>
      <c r="K75" s="197"/>
      <c r="L75" s="196"/>
      <c r="M75" s="197"/>
      <c r="N75" s="196"/>
      <c r="O75" s="193"/>
      <c r="P75" s="197"/>
      <c r="Q75" s="197"/>
    </row>
    <row r="76" spans="3:18" ht="15" thickBot="1" x14ac:dyDescent="0.35">
      <c r="D76" t="s">
        <v>293</v>
      </c>
      <c r="F76" s="203" t="s">
        <v>294</v>
      </c>
      <c r="G76" s="204">
        <f>SUM(G77:G88)</f>
        <v>-1760633.9000000001</v>
      </c>
      <c r="H76" s="205">
        <f t="shared" ref="H76:H89" si="21">G76/$G$24</f>
        <v>-4.3842788690637881E-2</v>
      </c>
      <c r="I76" s="204">
        <f>SUM(I77:I88)</f>
        <v>-2262009.4699999997</v>
      </c>
      <c r="J76" s="205">
        <f t="shared" ref="J76:J89" si="22">I76/$I$24</f>
        <v>-5.1965611351596289E-2</v>
      </c>
      <c r="K76" s="204">
        <f>SUM(K77:K88)</f>
        <v>-2917249.16</v>
      </c>
      <c r="L76" s="205">
        <f t="shared" ref="L76:L89" si="23">K76/$K$24</f>
        <v>-4.5630097532092372E-2</v>
      </c>
      <c r="M76" s="204">
        <f>SUM(M77:M88)</f>
        <v>-3545386.7700000005</v>
      </c>
      <c r="N76" s="205">
        <f t="shared" ref="N76:N89" si="24">M76/$M$24</f>
        <v>-7.0713754700951939E-2</v>
      </c>
      <c r="O76" s="210"/>
      <c r="P76" s="205">
        <f t="shared" ref="P76:P89" si="25">IFERROR(IF(AND(G76=0,I76&lt;&gt;0),1,(I76/G76)-1),0)</f>
        <v>0.28476991724401057</v>
      </c>
      <c r="Q76" s="205">
        <f t="shared" ref="Q76:Q89" si="26">IFERROR(IF(AND(I76=0,K76&lt;&gt;0),1,(K76/I76)-1),0)</f>
        <v>0.28967150610558701</v>
      </c>
      <c r="R76" s="201">
        <f t="shared" ref="R76:R89" si="27">IFERROR(IF(AND(K76=0,M76&lt;&gt;0),1,(M76/K76)-1),0)</f>
        <v>0.21531846460451121</v>
      </c>
    </row>
    <row r="77" spans="3:18" ht="15" thickTop="1" x14ac:dyDescent="0.3">
      <c r="C77" t="s">
        <v>426</v>
      </c>
      <c r="F77" s="182" t="s">
        <v>295</v>
      </c>
      <c r="G77" s="206">
        <f>IFERROR(INDEX(TBBP[],MATCH($C77,planoContas,0)+1,H$7)+INDEX(TBBP[],MATCH($C77,planoContas,0)+1,H$7-1)+INDEX(TBBP[],MATCH($C77,planoContas,0)+1,H$7-2)+INDEX(TBBP[],MATCH($C77,planoContas,0)+1,H$7-3)+INDEX(TBBP[],MATCH($C77,planoContas,0)+1,H$7-4)+INDEX(TBBP[],MATCH($C77,planoContas,0)+1,H$7-5),"SEM DADOS")</f>
        <v>-419368.31999999995</v>
      </c>
      <c r="H77" s="207">
        <f t="shared" si="21"/>
        <v>-1.0442986834064596E-2</v>
      </c>
      <c r="I77" s="206">
        <f>IFERROR(INDEX(TBBP[],MATCH($C77,planoContas,0)+1,J$7)+INDEX(TBBP[],MATCH($C77,planoContas,0)+1,J$7-1)+INDEX(TBBP[],MATCH($C77,planoContas,0)+1,J$7-2)+INDEX(TBBP[],MATCH($C77,planoContas,0)+1,J$7-3)+INDEX(TBBP[],MATCH($C77,planoContas,0)+1,J$7-4)+INDEX(TBBP[],MATCH($C77,planoContas,0)+1,J$7-5),"SEM DADOS")</f>
        <v>-489585.95</v>
      </c>
      <c r="J77" s="207">
        <f t="shared" si="22"/>
        <v>-1.1247359278695706E-2</v>
      </c>
      <c r="K77" s="206">
        <f>IFERROR(INDEX(TBBP[],MATCH($C77,planoContas,0)+1,L$7)+INDEX(TBBP[],MATCH($C77,planoContas,0)+1,L$7-1)+INDEX(TBBP[],MATCH($C77,planoContas,0)+1,L$7-2)+INDEX(TBBP[],MATCH($C77,planoContas,0)+1,L$7-3)+INDEX(TBBP[],MATCH($C77,planoContas,0)+1,L$7-4)+INDEX(TBBP[],MATCH($C77,planoContas,0)+1,L$7-5),"SEM DADOS")</f>
        <v>-538234.87999999989</v>
      </c>
      <c r="L77" s="207">
        <f t="shared" si="23"/>
        <v>-8.4187906903276065E-3</v>
      </c>
      <c r="M77" s="206">
        <f>IFERROR(INDEX(TBBP[],MATCH($C77,planoContas,0)+1,N$7)+INDEX(TBBP[],MATCH($C77,planoContas,0)+1,N$7-1)+INDEX(TBBP[],MATCH($C77,planoContas,0)+1,N$7-2)+INDEX(TBBP[],MATCH($C77,planoContas,0)+1,N$7-3)+INDEX(TBBP[],MATCH($C77,planoContas,0)+1,N$7-4)+INDEX(TBBP[],MATCH($C77,planoContas,0)+1,N$7-5),"SEM DADOS")</f>
        <v>-932819.83000000007</v>
      </c>
      <c r="N77" s="207">
        <f t="shared" si="24"/>
        <v>-1.8605358714869825E-2</v>
      </c>
      <c r="O77" s="208"/>
      <c r="P77" s="209">
        <f t="shared" si="25"/>
        <v>0.16743665806706631</v>
      </c>
      <c r="Q77" s="209">
        <f t="shared" si="26"/>
        <v>9.9367496146488321E-2</v>
      </c>
      <c r="R77" s="198">
        <f t="shared" si="27"/>
        <v>0.73310921432665288</v>
      </c>
    </row>
    <row r="78" spans="3:18" x14ac:dyDescent="0.3">
      <c r="C78" t="s">
        <v>428</v>
      </c>
      <c r="F78" s="182" t="s">
        <v>296</v>
      </c>
      <c r="G78" s="206">
        <f>IFERROR(INDEX(TBBP[],MATCH($C78,planoContas,0)+1,H$7)+INDEX(TBBP[],MATCH($C78,planoContas,0)+1,H$7-1)+INDEX(TBBP[],MATCH($C78,planoContas,0)+1,H$7-2)+INDEX(TBBP[],MATCH($C78,planoContas,0)+1,H$7-3)+INDEX(TBBP[],MATCH($C78,planoContas,0)+1,H$7-4)+INDEX(TBBP[],MATCH($C78,planoContas,0)+1,H$7-5),"SEM DADOS")</f>
        <v>-545356.16</v>
      </c>
      <c r="H78" s="207">
        <f t="shared" si="21"/>
        <v>-1.3580299052527445E-2</v>
      </c>
      <c r="I78" s="206">
        <f>IFERROR(INDEX(TBBP[],MATCH($C78,planoContas,0)+1,J$7)+INDEX(TBBP[],MATCH($C78,planoContas,0)+1,J$7-1)+INDEX(TBBP[],MATCH($C78,planoContas,0)+1,J$7-2)+INDEX(TBBP[],MATCH($C78,planoContas,0)+1,J$7-3)+INDEX(TBBP[],MATCH($C78,planoContas,0)+1,J$7-4)+INDEX(TBBP[],MATCH($C78,planoContas,0)+1,J$7-5),"SEM DADOS")</f>
        <v>-666741.44999999995</v>
      </c>
      <c r="J78" s="207">
        <f t="shared" si="22"/>
        <v>-1.5317189217028243E-2</v>
      </c>
      <c r="K78" s="206">
        <f>IFERROR(INDEX(TBBP[],MATCH($C78,planoContas,0)+1,L$7)+INDEX(TBBP[],MATCH($C78,planoContas,0)+1,L$7-1)+INDEX(TBBP[],MATCH($C78,planoContas,0)+1,L$7-2)+INDEX(TBBP[],MATCH($C78,planoContas,0)+1,L$7-3)+INDEX(TBBP[],MATCH($C78,planoContas,0)+1,L$7-4)+INDEX(TBBP[],MATCH($C78,planoContas,0)+1,L$7-5),"SEM DADOS")</f>
        <v>-588765.24</v>
      </c>
      <c r="L78" s="207">
        <f t="shared" si="23"/>
        <v>-9.2091603600652928E-3</v>
      </c>
      <c r="M78" s="206">
        <f>IFERROR(INDEX(TBBP[],MATCH($C78,planoContas,0)+1,N$7)+INDEX(TBBP[],MATCH($C78,planoContas,0)+1,N$7-1)+INDEX(TBBP[],MATCH($C78,planoContas,0)+1,N$7-2)+INDEX(TBBP[],MATCH($C78,planoContas,0)+1,N$7-3)+INDEX(TBBP[],MATCH($C78,planoContas,0)+1,N$7-4)+INDEX(TBBP[],MATCH($C78,planoContas,0)+1,N$7-5),"SEM DADOS")</f>
        <v>-596021.14</v>
      </c>
      <c r="N78" s="207">
        <f t="shared" si="24"/>
        <v>-1.1887812367095208E-2</v>
      </c>
      <c r="O78" s="208"/>
      <c r="P78" s="209">
        <f t="shared" si="25"/>
        <v>0.22257984580205337</v>
      </c>
      <c r="Q78" s="209">
        <f t="shared" si="26"/>
        <v>-0.1169511959995887</v>
      </c>
      <c r="R78" s="198">
        <f t="shared" si="27"/>
        <v>1.2323927275326385E-2</v>
      </c>
    </row>
    <row r="79" spans="3:18" x14ac:dyDescent="0.3">
      <c r="C79" t="s">
        <v>444</v>
      </c>
      <c r="F79" s="182" t="s">
        <v>640</v>
      </c>
      <c r="G79" s="206">
        <f>IFERROR(INDEX(TBBP[],MATCH($C79,planoContas,0)+1,H$7)+INDEX(TBBP[],MATCH($C79,planoContas,0)+1,H$7-1)+INDEX(TBBP[],MATCH($C79,planoContas,0)+1,H$7-2)+INDEX(TBBP[],MATCH($C79,planoContas,0)+1,H$7-3)+INDEX(TBBP[],MATCH($C79,planoContas,0)+1,H$7-4)+INDEX(TBBP[],MATCH($C79,planoContas,0)+1,H$7-5),"SEM DADOS")</f>
        <v>-305.64999999999998</v>
      </c>
      <c r="H79" s="207">
        <f t="shared" si="21"/>
        <v>-7.6112066019480058E-6</v>
      </c>
      <c r="I79" s="206">
        <f>IFERROR(INDEX(TBBP[],MATCH($C79,planoContas,0)+1,J$7)+INDEX(TBBP[],MATCH($C79,planoContas,0)+1,J$7-1)+INDEX(TBBP[],MATCH($C79,planoContas,0)+1,J$7-2)+INDEX(TBBP[],MATCH($C79,planoContas,0)+1,J$7-3)+INDEX(TBBP[],MATCH($C79,planoContas,0)+1,J$7-4)+INDEX(TBBP[],MATCH($C79,planoContas,0)+1,J$7-5),"SEM DADOS")</f>
        <v>-1195.72</v>
      </c>
      <c r="J79" s="207">
        <f t="shared" si="22"/>
        <v>-2.7469522842152701E-5</v>
      </c>
      <c r="K79" s="206">
        <f>IFERROR(INDEX(TBBP[],MATCH($C79,planoContas,0)+1,L$7)+INDEX(TBBP[],MATCH($C79,planoContas,0)+1,L$7-1)+INDEX(TBBP[],MATCH($C79,planoContas,0)+1,L$7-2)+INDEX(TBBP[],MATCH($C79,planoContas,0)+1,L$7-3)+INDEX(TBBP[],MATCH($C79,planoContas,0)+1,L$7-4)+INDEX(TBBP[],MATCH($C79,planoContas,0)+1,L$7-5),"SEM DADOS")</f>
        <v>-1116.6799999999998</v>
      </c>
      <c r="L79" s="207">
        <f t="shared" si="23"/>
        <v>-1.7466529088703861E-5</v>
      </c>
      <c r="M79" s="206">
        <f>IFERROR(INDEX(TBBP[],MATCH($C79,planoContas,0)+1,N$7)+INDEX(TBBP[],MATCH($C79,planoContas,0)+1,N$7-1)+INDEX(TBBP[],MATCH($C79,planoContas,0)+1,N$7-2)+INDEX(TBBP[],MATCH($C79,planoContas,0)+1,N$7-3)+INDEX(TBBP[],MATCH($C79,planoContas,0)+1,N$7-4)+INDEX(TBBP[],MATCH($C79,planoContas,0)+1,N$7-5),"SEM DADOS")</f>
        <v>-6322.579999999999</v>
      </c>
      <c r="N79" s="207">
        <f t="shared" si="24"/>
        <v>-1.2610566919815764E-4</v>
      </c>
      <c r="O79" s="208"/>
      <c r="P79" s="209">
        <f t="shared" si="25"/>
        <v>2.9120562735154594</v>
      </c>
      <c r="Q79" s="209">
        <f t="shared" si="26"/>
        <v>-6.610243200749355E-2</v>
      </c>
      <c r="R79" s="198">
        <f t="shared" si="27"/>
        <v>4.6619443349930147</v>
      </c>
    </row>
    <row r="80" spans="3:18" x14ac:dyDescent="0.3">
      <c r="C80" t="s">
        <v>465</v>
      </c>
      <c r="F80" s="182" t="s">
        <v>641</v>
      </c>
      <c r="G80" s="206">
        <f>IFERROR(INDEX(TBBP[],MATCH($C80,planoContas,0)+1,H$7)+INDEX(TBBP[],MATCH($C80,planoContas,0)+1,H$7-1)+INDEX(TBBP[],MATCH($C80,planoContas,0)+1,H$7-2)+INDEX(TBBP[],MATCH($C80,planoContas,0)+1,H$7-3)+INDEX(TBBP[],MATCH($C80,planoContas,0)+1,H$7-4)+INDEX(TBBP[],MATCH($C80,planoContas,0)+1,H$7-5),"SEM DADOS")</f>
        <v>-4628.7000000000007</v>
      </c>
      <c r="H80" s="207">
        <f t="shared" si="21"/>
        <v>-1.152625290313651E-4</v>
      </c>
      <c r="I80" s="206">
        <f>IFERROR(INDEX(TBBP[],MATCH($C80,planoContas,0)+1,J$7)+INDEX(TBBP[],MATCH($C80,planoContas,0)+1,J$7-1)+INDEX(TBBP[],MATCH($C80,planoContas,0)+1,J$7-2)+INDEX(TBBP[],MATCH($C80,planoContas,0)+1,J$7-3)+INDEX(TBBP[],MATCH($C80,planoContas,0)+1,J$7-4)+INDEX(TBBP[],MATCH($C80,planoContas,0)+1,J$7-5),"SEM DADOS")</f>
        <v>-2362.6000000000004</v>
      </c>
      <c r="J80" s="207">
        <f t="shared" si="22"/>
        <v>-5.4276498400018379E-5</v>
      </c>
      <c r="K80" s="206">
        <f>IFERROR(INDEX(TBBP[],MATCH($C80,planoContas,0)+1,L$7)+INDEX(TBBP[],MATCH($C80,planoContas,0)+1,L$7-1)+INDEX(TBBP[],MATCH($C80,planoContas,0)+1,L$7-2)+INDEX(TBBP[],MATCH($C80,planoContas,0)+1,L$7-3)+INDEX(TBBP[],MATCH($C80,planoContas,0)+1,L$7-4)+INDEX(TBBP[],MATCH($C80,planoContas,0)+1,L$7-5),"SEM DADOS")</f>
        <v>-4996.76</v>
      </c>
      <c r="L80" s="207">
        <f t="shared" si="23"/>
        <v>-7.8156726984697419E-5</v>
      </c>
      <c r="M80" s="206">
        <f>IFERROR(INDEX(TBBP[],MATCH($C80,planoContas,0)+1,N$7)+INDEX(TBBP[],MATCH($C80,planoContas,0)+1,N$7-1)+INDEX(TBBP[],MATCH($C80,planoContas,0)+1,N$7-2)+INDEX(TBBP[],MATCH($C80,planoContas,0)+1,N$7-3)+INDEX(TBBP[],MATCH($C80,planoContas,0)+1,N$7-4)+INDEX(TBBP[],MATCH($C80,planoContas,0)+1,N$7-5),"SEM DADOS")</f>
        <v>-637.42999999999995</v>
      </c>
      <c r="N80" s="207">
        <f t="shared" si="24"/>
        <v>-1.271372394133117E-5</v>
      </c>
      <c r="O80" s="208"/>
      <c r="P80" s="209">
        <f t="shared" si="25"/>
        <v>-0.48957590684209384</v>
      </c>
      <c r="Q80" s="209">
        <f t="shared" si="26"/>
        <v>1.1149411665114703</v>
      </c>
      <c r="R80" s="198">
        <f t="shared" si="27"/>
        <v>-0.87243133550540752</v>
      </c>
    </row>
    <row r="81" spans="3:18" x14ac:dyDescent="0.3">
      <c r="C81" t="s">
        <v>451</v>
      </c>
      <c r="F81" s="182" t="s">
        <v>642</v>
      </c>
      <c r="G81" s="206">
        <f>IFERROR(INDEX(TBBP[],MATCH($C81,planoContas,0)+1,H$7)+INDEX(TBBP[],MATCH($C81,planoContas,0)+1,H$7-1)+INDEX(TBBP[],MATCH($C81,planoContas,0)+1,H$7-2)+INDEX(TBBP[],MATCH($C81,planoContas,0)+1,H$7-3)+INDEX(TBBP[],MATCH($C81,planoContas,0)+1,H$7-4)+INDEX(TBBP[],MATCH($C81,planoContas,0)+1,H$7-5),"SEM DADOS")</f>
        <v>-44675.840000000004</v>
      </c>
      <c r="H81" s="207">
        <f t="shared" si="21"/>
        <v>-1.1125046568152229E-3</v>
      </c>
      <c r="I81" s="206">
        <f>IFERROR(INDEX(TBBP[],MATCH($C81,planoContas,0)+1,J$7)+INDEX(TBBP[],MATCH($C81,planoContas,0)+1,J$7-1)+INDEX(TBBP[],MATCH($C81,planoContas,0)+1,J$7-2)+INDEX(TBBP[],MATCH($C81,planoContas,0)+1,J$7-3)+INDEX(TBBP[],MATCH($C81,planoContas,0)+1,J$7-4)+INDEX(TBBP[],MATCH($C81,planoContas,0)+1,J$7-5),"SEM DADOS")</f>
        <v>-36183.360000000001</v>
      </c>
      <c r="J81" s="207">
        <f t="shared" si="22"/>
        <v>-8.3124781221844107E-4</v>
      </c>
      <c r="K81" s="206">
        <f>IFERROR(INDEX(TBBP[],MATCH($C81,planoContas,0)+1,L$7)+INDEX(TBBP[],MATCH($C81,planoContas,0)+1,L$7-1)+INDEX(TBBP[],MATCH($C81,planoContas,0)+1,L$7-2)+INDEX(TBBP[],MATCH($C81,planoContas,0)+1,L$7-3)+INDEX(TBBP[],MATCH($C81,planoContas,0)+1,L$7-4)+INDEX(TBBP[],MATCH($C81,planoContas,0)+1,L$7-5),"SEM DADOS")</f>
        <v>-24728.159999999996</v>
      </c>
      <c r="L81" s="207">
        <f t="shared" si="23"/>
        <v>-3.8678504670104527E-4</v>
      </c>
      <c r="M81" s="206">
        <f>IFERROR(INDEX(TBBP[],MATCH($C81,planoContas,0)+1,N$7)+INDEX(TBBP[],MATCH($C81,planoContas,0)+1,N$7-1)+INDEX(TBBP[],MATCH($C81,planoContas,0)+1,N$7-2)+INDEX(TBBP[],MATCH($C81,planoContas,0)+1,N$7-3)+INDEX(TBBP[],MATCH($C81,planoContas,0)+1,N$7-4)+INDEX(TBBP[],MATCH($C81,planoContas,0)+1,N$7-5),"SEM DADOS")</f>
        <v>-24285.309999999998</v>
      </c>
      <c r="N81" s="207">
        <f t="shared" si="24"/>
        <v>-4.8437746445829233E-4</v>
      </c>
      <c r="O81" s="208"/>
      <c r="P81" s="209">
        <f t="shared" si="25"/>
        <v>-0.19009110964673526</v>
      </c>
      <c r="Q81" s="209">
        <f t="shared" si="26"/>
        <v>-0.31658751426069898</v>
      </c>
      <c r="R81" s="198">
        <f t="shared" si="27"/>
        <v>-1.7908732392543536E-2</v>
      </c>
    </row>
    <row r="82" spans="3:18" x14ac:dyDescent="0.3">
      <c r="C82" t="s">
        <v>438</v>
      </c>
      <c r="F82" s="182" t="s">
        <v>297</v>
      </c>
      <c r="G82" s="206">
        <f>IFERROR(INDEX(TBBP[],MATCH($C82,planoContas,0)+1,H$7)+INDEX(TBBP[],MATCH($C82,planoContas,0)+1,H$7-1)+INDEX(TBBP[],MATCH($C82,planoContas,0)+1,H$7-2)+INDEX(TBBP[],MATCH($C82,planoContas,0)+1,H$7-3)+INDEX(TBBP[],MATCH($C82,planoContas,0)+1,H$7-4)+INDEX(TBBP[],MATCH($C82,planoContas,0)+1,H$7-5),"SEM DADOS")</f>
        <v>-457630.01</v>
      </c>
      <c r="H82" s="207">
        <f t="shared" si="21"/>
        <v>-1.1395768209918312E-2</v>
      </c>
      <c r="I82" s="206">
        <f>IFERROR(INDEX(TBBP[],MATCH($C82,planoContas,0)+1,J$7)+INDEX(TBBP[],MATCH($C82,planoContas,0)+1,J$7-1)+INDEX(TBBP[],MATCH($C82,planoContas,0)+1,J$7-2)+INDEX(TBBP[],MATCH($C82,planoContas,0)+1,J$7-3)+INDEX(TBBP[],MATCH($C82,planoContas,0)+1,J$7-4)+INDEX(TBBP[],MATCH($C82,planoContas,0)+1,J$7-5),"SEM DADOS")</f>
        <v>-435960.87999999995</v>
      </c>
      <c r="J82" s="207">
        <f t="shared" si="22"/>
        <v>-1.0015419455595784E-2</v>
      </c>
      <c r="K82" s="206">
        <f>IFERROR(INDEX(TBBP[],MATCH($C82,planoContas,0)+1,L$7)+INDEX(TBBP[],MATCH($C82,planoContas,0)+1,L$7-1)+INDEX(TBBP[],MATCH($C82,planoContas,0)+1,L$7-2)+INDEX(TBBP[],MATCH($C82,planoContas,0)+1,L$7-3)+INDEX(TBBP[],MATCH($C82,planoContas,0)+1,L$7-4)+INDEX(TBBP[],MATCH($C82,planoContas,0)+1,L$7-5),"SEM DADOS")</f>
        <v>-857395.04</v>
      </c>
      <c r="L82" s="207">
        <f t="shared" si="23"/>
        <v>-1.3410928293396867E-2</v>
      </c>
      <c r="M82" s="206">
        <f>IFERROR(INDEX(TBBP[],MATCH($C82,planoContas,0)+1,N$7)+INDEX(TBBP[],MATCH($C82,planoContas,0)+1,N$7-1)+INDEX(TBBP[],MATCH($C82,planoContas,0)+1,N$7-2)+INDEX(TBBP[],MATCH($C82,planoContas,0)+1,N$7-3)+INDEX(TBBP[],MATCH($C82,planoContas,0)+1,N$7-4)+INDEX(TBBP[],MATCH($C82,planoContas,0)+1,N$7-5),"SEM DADOS")</f>
        <v>-994385.16999999993</v>
      </c>
      <c r="N82" s="207">
        <f t="shared" si="24"/>
        <v>-1.9833297056513915E-2</v>
      </c>
      <c r="O82" s="208"/>
      <c r="P82" s="209">
        <f t="shared" si="25"/>
        <v>-4.7350762682718428E-2</v>
      </c>
      <c r="Q82" s="209">
        <f t="shared" si="26"/>
        <v>0.96667884512940727</v>
      </c>
      <c r="R82" s="198">
        <f t="shared" si="27"/>
        <v>0.15977481045376685</v>
      </c>
    </row>
    <row r="83" spans="3:18" x14ac:dyDescent="0.3">
      <c r="C83" t="s">
        <v>461</v>
      </c>
      <c r="F83" s="182" t="s">
        <v>643</v>
      </c>
      <c r="G83" s="206">
        <f>IFERROR(INDEX(TBBP[],MATCH($C83,planoContas,0)+1,H$7)+INDEX(TBBP[],MATCH($C83,planoContas,0)+1,H$7-1)+INDEX(TBBP[],MATCH($C83,planoContas,0)+1,H$7-2)+INDEX(TBBP[],MATCH($C83,planoContas,0)+1,H$7-3)+INDEX(TBBP[],MATCH($C83,planoContas,0)+1,H$7-4)+INDEX(TBBP[],MATCH($C83,planoContas,0)+1,H$7-5),"SEM DADOS")</f>
        <v>-4785.05</v>
      </c>
      <c r="H83" s="207">
        <f t="shared" si="21"/>
        <v>-1.1915591084786949E-4</v>
      </c>
      <c r="I83" s="206">
        <f>IFERROR(INDEX(TBBP[],MATCH($C83,planoContas,0)+1,J$7)+INDEX(TBBP[],MATCH($C83,planoContas,0)+1,J$7-1)+INDEX(TBBP[],MATCH($C83,planoContas,0)+1,J$7-2)+INDEX(TBBP[],MATCH($C83,planoContas,0)+1,J$7-3)+INDEX(TBBP[],MATCH($C83,planoContas,0)+1,J$7-4)+INDEX(TBBP[],MATCH($C83,planoContas,0)+1,J$7-5),"SEM DADOS")</f>
        <v>-10563.15</v>
      </c>
      <c r="J83" s="207">
        <f t="shared" si="22"/>
        <v>-2.4266942947352664E-4</v>
      </c>
      <c r="K83" s="206">
        <f>IFERROR(INDEX(TBBP[],MATCH($C83,planoContas,0)+1,L$7)+INDEX(TBBP[],MATCH($C83,planoContas,0)+1,L$7-1)+INDEX(TBBP[],MATCH($C83,planoContas,0)+1,L$7-2)+INDEX(TBBP[],MATCH($C83,planoContas,0)+1,L$7-3)+INDEX(TBBP[],MATCH($C83,planoContas,0)+1,L$7-4)+INDEX(TBBP[],MATCH($C83,planoContas,0)+1,L$7-5),"SEM DADOS")</f>
        <v>-7434.01</v>
      </c>
      <c r="L83" s="207">
        <f t="shared" si="23"/>
        <v>-1.1627892673882885E-4</v>
      </c>
      <c r="M83" s="206">
        <f>IFERROR(INDEX(TBBP[],MATCH($C83,planoContas,0)+1,N$7)+INDEX(TBBP[],MATCH($C83,planoContas,0)+1,N$7-1)+INDEX(TBBP[],MATCH($C83,planoContas,0)+1,N$7-2)+INDEX(TBBP[],MATCH($C83,planoContas,0)+1,N$7-3)+INDEX(TBBP[],MATCH($C83,planoContas,0)+1,N$7-4)+INDEX(TBBP[],MATCH($C83,planoContas,0)+1,N$7-5),"SEM DADOS")</f>
        <v>-7647.83</v>
      </c>
      <c r="N83" s="207">
        <f t="shared" si="24"/>
        <v>-1.5253816006499657E-4</v>
      </c>
      <c r="O83" s="208"/>
      <c r="P83" s="209">
        <f t="shared" si="25"/>
        <v>1.2075317917263142</v>
      </c>
      <c r="Q83" s="209">
        <f t="shared" si="26"/>
        <v>-0.29623171118463709</v>
      </c>
      <c r="R83" s="198">
        <f t="shared" si="27"/>
        <v>2.8762404139892173E-2</v>
      </c>
    </row>
    <row r="84" spans="3:18" x14ac:dyDescent="0.3">
      <c r="C84" t="s">
        <v>454</v>
      </c>
      <c r="F84" s="182" t="s">
        <v>298</v>
      </c>
      <c r="G84" s="206">
        <f>IFERROR(INDEX(TBBP[],MATCH($C84,planoContas,0)+1,H$7)+INDEX(TBBP[],MATCH($C84,planoContas,0)+1,H$7-1)+INDEX(TBBP[],MATCH($C84,planoContas,0)+1,H$7-2)+INDEX(TBBP[],MATCH($C84,planoContas,0)+1,H$7-3)+INDEX(TBBP[],MATCH($C84,planoContas,0)+1,H$7-4)+INDEX(TBBP[],MATCH($C84,planoContas,0)+1,H$7-5),"SEM DADOS")</f>
        <v>-31191.34</v>
      </c>
      <c r="H84" s="207">
        <f t="shared" si="21"/>
        <v>-7.7671759506495967E-4</v>
      </c>
      <c r="I84" s="206">
        <f>IFERROR(INDEX(TBBP[],MATCH($C84,planoContas,0)+1,J$7)+INDEX(TBBP[],MATCH($C84,planoContas,0)+1,J$7-1)+INDEX(TBBP[],MATCH($C84,planoContas,0)+1,J$7-2)+INDEX(TBBP[],MATCH($C84,planoContas,0)+1,J$7-3)+INDEX(TBBP[],MATCH($C84,planoContas,0)+1,J$7-4)+INDEX(TBBP[],MATCH($C84,planoContas,0)+1,J$7-5),"SEM DADOS")</f>
        <v>-37997.159999999996</v>
      </c>
      <c r="J84" s="207">
        <f t="shared" si="22"/>
        <v>-8.7291661472328871E-4</v>
      </c>
      <c r="K84" s="206">
        <f>IFERROR(INDEX(TBBP[],MATCH($C84,planoContas,0)+1,L$7)+INDEX(TBBP[],MATCH($C84,planoContas,0)+1,L$7-1)+INDEX(TBBP[],MATCH($C84,planoContas,0)+1,L$7-2)+INDEX(TBBP[],MATCH($C84,planoContas,0)+1,L$7-3)+INDEX(TBBP[],MATCH($C84,planoContas,0)+1,L$7-4)+INDEX(TBBP[],MATCH($C84,planoContas,0)+1,L$7-5),"SEM DADOS")</f>
        <v>-45981.239999999991</v>
      </c>
      <c r="L84" s="207">
        <f t="shared" si="23"/>
        <v>-7.1921469534215118E-4</v>
      </c>
      <c r="M84" s="206">
        <f>IFERROR(INDEX(TBBP[],MATCH($C84,planoContas,0)+1,N$7)+INDEX(TBBP[],MATCH($C84,planoContas,0)+1,N$7-1)+INDEX(TBBP[],MATCH($C84,planoContas,0)+1,N$7-2)+INDEX(TBBP[],MATCH($C84,planoContas,0)+1,N$7-3)+INDEX(TBBP[],MATCH($C84,planoContas,0)+1,N$7-4)+INDEX(TBBP[],MATCH($C84,planoContas,0)+1,N$7-5),"SEM DADOS")</f>
        <v>-24793.54</v>
      </c>
      <c r="N84" s="207">
        <f t="shared" si="24"/>
        <v>-4.9451425739038336E-4</v>
      </c>
      <c r="O84" s="208"/>
      <c r="P84" s="209">
        <f t="shared" si="25"/>
        <v>0.21819581973714497</v>
      </c>
      <c r="Q84" s="209">
        <f t="shared" si="26"/>
        <v>0.21012307235593375</v>
      </c>
      <c r="R84" s="198">
        <f t="shared" si="27"/>
        <v>-0.46079009613485833</v>
      </c>
    </row>
    <row r="85" spans="3:18" x14ac:dyDescent="0.3">
      <c r="C85" t="s">
        <v>443</v>
      </c>
      <c r="F85" s="182" t="s">
        <v>722</v>
      </c>
      <c r="G85" s="206">
        <f>IFERROR(INDEX(TBBP[],MATCH($C85,planoContas,0)+1,H$7)+INDEX(TBBP[],MATCH($C85,planoContas,0)+1,H$7-1)+INDEX(TBBP[],MATCH($C85,planoContas,0)+1,H$7-2)+INDEX(TBBP[],MATCH($C85,planoContas,0)+1,H$7-3)+INDEX(TBBP[],MATCH($C85,planoContas,0)+1,H$7-4)+INDEX(TBBP[],MATCH($C85,planoContas,0)+1,H$7-5),"SEM DADOS")</f>
        <v>-1238.32</v>
      </c>
      <c r="H85" s="207">
        <f t="shared" si="21"/>
        <v>-3.0836281234497808E-5</v>
      </c>
      <c r="I85" s="206">
        <f>IFERROR(INDEX(TBBP[],MATCH($C85,planoContas,0)+1,J$7)+INDEX(TBBP[],MATCH($C85,planoContas,0)+1,J$7-1)+INDEX(TBBP[],MATCH($C85,planoContas,0)+1,J$7-2)+INDEX(TBBP[],MATCH($C85,planoContas,0)+1,J$7-3)+INDEX(TBBP[],MATCH($C85,planoContas,0)+1,J$7-4)+INDEX(TBBP[],MATCH($C85,planoContas,0)+1,J$7-5),"SEM DADOS")</f>
        <v>-925.6</v>
      </c>
      <c r="J85" s="207">
        <f t="shared" si="22"/>
        <v>-2.126400021969737E-5</v>
      </c>
      <c r="K85" s="206">
        <f>IFERROR(INDEX(TBBP[],MATCH($C85,planoContas,0)+1,L$7)+INDEX(TBBP[],MATCH($C85,planoContas,0)+1,L$7-1)+INDEX(TBBP[],MATCH($C85,planoContas,0)+1,L$7-2)+INDEX(TBBP[],MATCH($C85,planoContas,0)+1,L$7-3)+INDEX(TBBP[],MATCH($C85,planoContas,0)+1,L$7-4)+INDEX(TBBP[],MATCH($C85,planoContas,0)+1,L$7-5),"SEM DADOS")</f>
        <v>-5958.0599999999995</v>
      </c>
      <c r="L85" s="207">
        <f t="shared" si="23"/>
        <v>-9.3192882743707177E-5</v>
      </c>
      <c r="M85" s="206">
        <f>IFERROR(INDEX(TBBP[],MATCH($C85,planoContas,0)+1,N$7)+INDEX(TBBP[],MATCH($C85,planoContas,0)+1,N$7-1)+INDEX(TBBP[],MATCH($C85,planoContas,0)+1,N$7-2)+INDEX(TBBP[],MATCH($C85,planoContas,0)+1,N$7-3)+INDEX(TBBP[],MATCH($C85,planoContas,0)+1,N$7-4)+INDEX(TBBP[],MATCH($C85,planoContas,0)+1,N$7-5),"SEM DADOS")</f>
        <v>-14302.96</v>
      </c>
      <c r="N85" s="207">
        <f t="shared" si="24"/>
        <v>-2.8527663427184484E-4</v>
      </c>
      <c r="O85" s="208"/>
      <c r="P85" s="209">
        <f t="shared" si="25"/>
        <v>-0.25253569352025318</v>
      </c>
      <c r="Q85" s="209">
        <f t="shared" si="26"/>
        <v>5.4369706136560065</v>
      </c>
      <c r="R85" s="198">
        <f t="shared" si="27"/>
        <v>1.4006069089602993</v>
      </c>
    </row>
    <row r="86" spans="3:18" x14ac:dyDescent="0.3">
      <c r="C86" t="s">
        <v>445</v>
      </c>
      <c r="F86" s="182" t="s">
        <v>644</v>
      </c>
      <c r="G86" s="206">
        <f>IFERROR(INDEX(TBBP[],MATCH($C86,planoContas,0)+1,H$7)+INDEX(TBBP[],MATCH($C86,planoContas,0)+1,H$7-1)+INDEX(TBBP[],MATCH($C86,planoContas,0)+1,H$7-2)+INDEX(TBBP[],MATCH($C86,planoContas,0)+1,H$7-3)+INDEX(TBBP[],MATCH($C86,planoContas,0)+1,H$7-4)+INDEX(TBBP[],MATCH($C86,planoContas,0)+1,H$7-5),"SEM DADOS")</f>
        <v>-82296.760000000009</v>
      </c>
      <c r="H86" s="207">
        <f t="shared" si="21"/>
        <v>-2.0493297661735013E-3</v>
      </c>
      <c r="I86" s="206">
        <f>IFERROR(INDEX(TBBP[],MATCH($C86,planoContas,0)+1,J$7)+INDEX(TBBP[],MATCH($C86,planoContas,0)+1,J$7-1)+INDEX(TBBP[],MATCH($C86,planoContas,0)+1,J$7-2)+INDEX(TBBP[],MATCH($C86,planoContas,0)+1,J$7-3)+INDEX(TBBP[],MATCH($C86,planoContas,0)+1,J$7-4)+INDEX(TBBP[],MATCH($C86,planoContas,0)+1,J$7-5),"SEM DADOS")</f>
        <v>-121099.19</v>
      </c>
      <c r="J86" s="207">
        <f t="shared" si="22"/>
        <v>-2.7820367359174306E-3</v>
      </c>
      <c r="K86" s="206">
        <f>IFERROR(INDEX(TBBP[],MATCH($C86,planoContas,0)+1,L$7)+INDEX(TBBP[],MATCH($C86,planoContas,0)+1,L$7-1)+INDEX(TBBP[],MATCH($C86,planoContas,0)+1,L$7-2)+INDEX(TBBP[],MATCH($C86,planoContas,0)+1,L$7-3)+INDEX(TBBP[],MATCH($C86,planoContas,0)+1,L$7-4)+INDEX(TBBP[],MATCH($C86,planoContas,0)+1,L$7-5),"SEM DADOS")</f>
        <v>-235873.69</v>
      </c>
      <c r="L86" s="207">
        <f t="shared" si="23"/>
        <v>-3.6894138586210171E-3</v>
      </c>
      <c r="M86" s="206">
        <f>IFERROR(INDEX(TBBP[],MATCH($C86,planoContas,0)+1,N$7)+INDEX(TBBP[],MATCH($C86,planoContas,0)+1,N$7-1)+INDEX(TBBP[],MATCH($C86,planoContas,0)+1,N$7-2)+INDEX(TBBP[],MATCH($C86,planoContas,0)+1,N$7-3)+INDEX(TBBP[],MATCH($C86,planoContas,0)+1,N$7-4)+INDEX(TBBP[],MATCH($C86,planoContas,0)+1,N$7-5),"SEM DADOS")</f>
        <v>-204967.88</v>
      </c>
      <c r="N86" s="207">
        <f t="shared" si="24"/>
        <v>-4.0881430794909163E-3</v>
      </c>
      <c r="O86" s="208"/>
      <c r="P86" s="209">
        <f t="shared" si="25"/>
        <v>0.47149401750445574</v>
      </c>
      <c r="Q86" s="209">
        <f t="shared" si="26"/>
        <v>0.9477726481902975</v>
      </c>
      <c r="R86" s="198">
        <f t="shared" si="27"/>
        <v>-0.13102694921167346</v>
      </c>
    </row>
    <row r="87" spans="3:18" x14ac:dyDescent="0.3">
      <c r="C87" t="s">
        <v>447</v>
      </c>
      <c r="F87" s="182" t="s">
        <v>299</v>
      </c>
      <c r="G87" s="206">
        <f>IFERROR(INDEX(TBBP[],MATCH($C87,planoContas,0)+1,H$7)+INDEX(TBBP[],MATCH($C87,planoContas,0)+1,H$7-1)+INDEX(TBBP[],MATCH($C87,planoContas,0)+1,H$7-2)+INDEX(TBBP[],MATCH($C87,planoContas,0)+1,H$7-3)+INDEX(TBBP[],MATCH($C87,planoContas,0)+1,H$7-4)+INDEX(TBBP[],MATCH($C87,planoContas,0)+1,H$7-5),"SEM DADOS")</f>
        <v>-28510.14</v>
      </c>
      <c r="H87" s="207">
        <f t="shared" si="21"/>
        <v>-7.0995113950748218E-4</v>
      </c>
      <c r="I87" s="206">
        <f>IFERROR(INDEX(TBBP[],MATCH($C87,planoContas,0)+1,J$7)+INDEX(TBBP[],MATCH($C87,planoContas,0)+1,J$7-1)+INDEX(TBBP[],MATCH($C87,planoContas,0)+1,J$7-2)+INDEX(TBBP[],MATCH($C87,planoContas,0)+1,J$7-3)+INDEX(TBBP[],MATCH($C87,planoContas,0)+1,J$7-4)+INDEX(TBBP[],MATCH($C87,planoContas,0)+1,J$7-5),"SEM DADOS")</f>
        <v>-33241.300000000003</v>
      </c>
      <c r="J87" s="207">
        <f t="shared" si="22"/>
        <v>-7.6365925940257806E-4</v>
      </c>
      <c r="K87" s="206">
        <f>IFERROR(INDEX(TBBP[],MATCH($C87,planoContas,0)+1,L$7)+INDEX(TBBP[],MATCH($C87,planoContas,0)+1,L$7-1)+INDEX(TBBP[],MATCH($C87,planoContas,0)+1,L$7-2)+INDEX(TBBP[],MATCH($C87,planoContas,0)+1,L$7-3)+INDEX(TBBP[],MATCH($C87,planoContas,0)+1,L$7-4)+INDEX(TBBP[],MATCH($C87,planoContas,0)+1,L$7-5),"SEM DADOS")</f>
        <v>-49462.639999999992</v>
      </c>
      <c r="L87" s="207">
        <f t="shared" si="23"/>
        <v>-7.7366894756249519E-4</v>
      </c>
      <c r="M87" s="206">
        <f>IFERROR(INDEX(TBBP[],MATCH($C87,planoContas,0)+1,N$7)+INDEX(TBBP[],MATCH($C87,planoContas,0)+1,N$7-1)+INDEX(TBBP[],MATCH($C87,planoContas,0)+1,N$7-2)+INDEX(TBBP[],MATCH($C87,planoContas,0)+1,N$7-3)+INDEX(TBBP[],MATCH($C87,planoContas,0)+1,N$7-4)+INDEX(TBBP[],MATCH($C87,planoContas,0)+1,N$7-5),"SEM DADOS")</f>
        <v>-49305.08</v>
      </c>
      <c r="N87" s="207">
        <f t="shared" si="24"/>
        <v>-9.834039440020845E-4</v>
      </c>
      <c r="O87" s="208"/>
      <c r="P87" s="209">
        <f t="shared" si="25"/>
        <v>0.16594657199157936</v>
      </c>
      <c r="Q87" s="209">
        <f t="shared" si="26"/>
        <v>0.48798753358021463</v>
      </c>
      <c r="R87" s="198">
        <f t="shared" si="27"/>
        <v>-3.1854345016761876E-3</v>
      </c>
    </row>
    <row r="88" spans="3:18" x14ac:dyDescent="0.3">
      <c r="F88" s="182" t="s">
        <v>300</v>
      </c>
      <c r="G88" s="206">
        <f>IFERROR((INDEX(TBBP[],MATCH("4.2.1.2",planoContas,0)+1,H$7)+INDEX(TBBP[],MATCH("4.2.1.2",planoContas,0)+1,H$7-1)+INDEX(TBBP[],MATCH("4.2.1.2",planoContas,0)+1,H$7-2)+INDEX(TBBP[],MATCH("4.2.1.2",planoContas,0)+1,H$7-3)+INDEX(TBBP[],MATCH("4.2.1.2",planoContas,0)+1,H$7-4)+INDEX(TBBP[],MATCH("4.2.1.2",planoContas,0)+1,H$7-5))-SUM(G77:G87)-G91-G89,"SEM DADOS")</f>
        <v>-140647.61000000016</v>
      </c>
      <c r="H88" s="207">
        <f t="shared" si="21"/>
        <v>-3.5023655088506781E-3</v>
      </c>
      <c r="I88" s="206">
        <f>IFERROR((INDEX(TBBP[],MATCH("4.2.1.2",planoContas,0)+1,J$7)+INDEX(TBBP[],MATCH("4.2.1.2",planoContas,0)+1,J$7-1)+INDEX(TBBP[],MATCH("4.2.1.2",planoContas,0)+1,J$7-2)+INDEX(TBBP[],MATCH("4.2.1.2",planoContas,0)+1,J$7-3)+INDEX(TBBP[],MATCH("4.2.1.2",planoContas,0)+1,J$7-4)+INDEX(TBBP[],MATCH("4.2.1.2",planoContas,0)+1,J$7-5))-SUM(I77:I87)-I91-I89,"SEM DADOS")</f>
        <v>-426153.11000000004</v>
      </c>
      <c r="J88" s="207">
        <f t="shared" si="22"/>
        <v>-9.7901035270794284E-3</v>
      </c>
      <c r="K88" s="206">
        <f>IFERROR((INDEX(TBBP[],MATCH("4.2.1.2",planoContas,0)+1,L$7)+INDEX(TBBP[],MATCH("4.2.1.2",planoContas,0)+1,L$7-1)+INDEX(TBBP[],MATCH("4.2.1.2",planoContas,0)+1,L$7-2)+INDEX(TBBP[],MATCH("4.2.1.2",planoContas,0)+1,L$7-3)+INDEX(TBBP[],MATCH("4.2.1.2",planoContas,0)+1,L$7-4)+INDEX(TBBP[],MATCH("4.2.1.2",planoContas,0)+1,L$7-5))-SUM(K77:K87)-K91-K89,"SEM DADOS")</f>
        <v>-557302.76000000013</v>
      </c>
      <c r="L88" s="207">
        <f t="shared" si="23"/>
        <v>-8.7170405745199599E-3</v>
      </c>
      <c r="M88" s="206">
        <f>IFERROR((INDEX(TBBP[],MATCH("4.2.1.2",planoContas,0)+1,N$7)+INDEX(TBBP[],MATCH("4.2.1.2",planoContas,0)+1,N$7-1)+INDEX(TBBP[],MATCH("4.2.1.2",planoContas,0)+1,N$7-2)+INDEX(TBBP[],MATCH("4.2.1.2",planoContas,0)+1,N$7-3)+INDEX(TBBP[],MATCH("4.2.1.2",planoContas,0)+1,N$7-4)+INDEX(TBBP[],MATCH("4.2.1.2",planoContas,0)+1,N$7-5))-SUM(M77:M87)-M91-M89,"SEM DADOS")</f>
        <v>-689898.02000000037</v>
      </c>
      <c r="N88" s="207">
        <f t="shared" si="24"/>
        <v>-1.3760213629654983E-2</v>
      </c>
      <c r="O88" s="208"/>
      <c r="P88" s="209">
        <f t="shared" si="25"/>
        <v>2.0299349558801572</v>
      </c>
      <c r="Q88" s="209">
        <f t="shared" si="26"/>
        <v>0.30775241790444774</v>
      </c>
      <c r="R88" s="198">
        <f t="shared" si="27"/>
        <v>0.23792320712712822</v>
      </c>
    </row>
    <row r="89" spans="3:18" ht="15" thickBot="1" x14ac:dyDescent="0.35">
      <c r="C89" t="s">
        <v>133</v>
      </c>
      <c r="D89" t="s">
        <v>301</v>
      </c>
      <c r="F89" s="203" t="s">
        <v>302</v>
      </c>
      <c r="G89" s="204">
        <f>IFERROR(INDEX(TBBP[],MATCH($C87,planoContas,0)+1,H$7)+INDEX(TBBP[],MATCH($C87,planoContas,0)+1,H$7-1)+INDEX(TBBP[],MATCH($C87,planoContas,0)+1,H$7-2)+INDEX(TBBP[],MATCH($C87,planoContas,0)+1,H$7-3)+INDEX(TBBP[],MATCH($C87,planoContas,0)+1,H$7-4)+INDEX(TBBP[],MATCH($C87,planoContas,0)+1,H$7-5),"SEM DADOS")</f>
        <v>-28510.14</v>
      </c>
      <c r="H89" s="205">
        <f t="shared" si="21"/>
        <v>-7.0995113950748218E-4</v>
      </c>
      <c r="I89" s="204">
        <f>IFERROR(INDEX(TBBP[],MATCH($C87,planoContas,0)+1,J$7)+INDEX(TBBP[],MATCH($C87,planoContas,0)+1,J$7-1)+INDEX(TBBP[],MATCH($C87,planoContas,0)+1,J$7-2)+INDEX(TBBP[],MATCH($C87,planoContas,0)+1,J$7-3)+INDEX(TBBP[],MATCH($C87,planoContas,0)+1,J$7-4)+INDEX(TBBP[],MATCH($C87,planoContas,0)+1,J$7-5),"SEM DADOS")</f>
        <v>-33241.300000000003</v>
      </c>
      <c r="J89" s="205">
        <f t="shared" si="22"/>
        <v>-7.6365925940257806E-4</v>
      </c>
      <c r="K89" s="204">
        <f>IFERROR(INDEX(TBBP[],MATCH($C87,planoContas,0)+1,L$7)+INDEX(TBBP[],MATCH($C87,planoContas,0)+1,L$7-1)+INDEX(TBBP[],MATCH($C87,planoContas,0)+1,L$7-2)+INDEX(TBBP[],MATCH($C87,planoContas,0)+1,L$7-3)+INDEX(TBBP[],MATCH($C87,planoContas,0)+1,L$7-4)+INDEX(TBBP[],MATCH($C87,planoContas,0)+1,L$7-5),"SEM DADOS")</f>
        <v>-49462.639999999992</v>
      </c>
      <c r="L89" s="205">
        <f t="shared" si="23"/>
        <v>-7.7366894756249519E-4</v>
      </c>
      <c r="M89" s="204">
        <f>IFERROR(INDEX(TBBP[],MATCH($C87,planoContas,0)+1,N$7)+INDEX(TBBP[],MATCH($C87,planoContas,0)+1,N$7-1)+INDEX(TBBP[],MATCH($C87,planoContas,0)+1,N$7-2)+INDEX(TBBP[],MATCH($C87,planoContas,0)+1,N$7-3)+INDEX(TBBP[],MATCH($C87,planoContas,0)+1,N$7-4)+INDEX(TBBP[],MATCH($C87,planoContas,0)+1,N$7-5),"SEM DADOS")</f>
        <v>-49305.08</v>
      </c>
      <c r="N89" s="205">
        <f t="shared" si="24"/>
        <v>-9.834039440020845E-4</v>
      </c>
      <c r="O89" s="210"/>
      <c r="P89" s="205">
        <f t="shared" si="25"/>
        <v>0.16594657199157936</v>
      </c>
      <c r="Q89" s="205">
        <f t="shared" si="26"/>
        <v>0.48798753358021463</v>
      </c>
      <c r="R89" s="201">
        <f t="shared" si="27"/>
        <v>-3.1854345016761876E-3</v>
      </c>
    </row>
    <row r="90" spans="3:18" ht="15" thickTop="1" x14ac:dyDescent="0.3">
      <c r="G90" s="197"/>
      <c r="H90" s="196"/>
      <c r="I90" s="197"/>
      <c r="J90" s="196"/>
      <c r="K90" s="197"/>
      <c r="L90" s="196"/>
      <c r="M90" s="197"/>
      <c r="N90" s="196"/>
      <c r="O90" s="193"/>
      <c r="P90" s="197"/>
      <c r="Q90" s="197"/>
    </row>
    <row r="91" spans="3:18" ht="15" thickBot="1" x14ac:dyDescent="0.35">
      <c r="C91" t="s">
        <v>134</v>
      </c>
      <c r="D91" t="s">
        <v>303</v>
      </c>
      <c r="F91" s="203" t="s">
        <v>304</v>
      </c>
      <c r="G91" s="204">
        <f>IFERROR(INDEX(TBBP[],MATCH($C91,planoContas,0)+1,H$7)+INDEX(TBBP[],MATCH($C91,planoContas,0)+1,H$7-1)+INDEX(TBBP[],MATCH($C91,planoContas,0)+1,H$7-2)+INDEX(TBBP[],MATCH($C91,planoContas,0)+1,H$7-3)+INDEX(TBBP[],MATCH($C91,planoContas,0)+1,H$7-4)+INDEX(TBBP[],MATCH($C91,planoContas,0)+1,H$7-5),"SEM DADOS")</f>
        <v>-420329.66</v>
      </c>
      <c r="H91" s="205">
        <f>G91/$G$24</f>
        <v>-1.046692584062346E-2</v>
      </c>
      <c r="I91" s="204">
        <f>IFERROR(INDEX(TBBP[],MATCH($C91,planoContas,0)+1,J$7)+INDEX(TBBP[],MATCH($C91,planoContas,0)+1,J$7-1)+INDEX(TBBP[],MATCH($C91,planoContas,0)+1,J$7-2)+INDEX(TBBP[],MATCH($C91,planoContas,0)+1,J$7-3)+INDEX(TBBP[],MATCH($C91,planoContas,0)+1,J$7-4)+INDEX(TBBP[],MATCH($C91,planoContas,0)+1,J$7-5),"SEM DADOS")</f>
        <v>-594848.79999999993</v>
      </c>
      <c r="J91" s="205">
        <f>I91/$I$24</f>
        <v>-1.3665584500741913E-2</v>
      </c>
      <c r="K91" s="204">
        <f>IFERROR(INDEX(TBBP[],MATCH($C91,planoContas,0)+1,L$7)+INDEX(TBBP[],MATCH($C91,planoContas,0)+1,L$7-1)+INDEX(TBBP[],MATCH($C91,planoContas,0)+1,L$7-2)+INDEX(TBBP[],MATCH($C91,planoContas,0)+1,L$7-3)+INDEX(TBBP[],MATCH($C91,planoContas,0)+1,L$7-4)+INDEX(TBBP[],MATCH($C91,planoContas,0)+1,L$7-5),"SEM DADOS")</f>
        <v>-1374777.45</v>
      </c>
      <c r="L91" s="205">
        <f>K91/$K$24</f>
        <v>-2.1503555468817492E-2</v>
      </c>
      <c r="M91" s="204">
        <f>IFERROR(INDEX(TBBP[],MATCH($C91,planoContas,0)+1,N$7)+INDEX(TBBP[],MATCH($C91,planoContas,0)+1,N$7-1)+INDEX(TBBP[],MATCH($C91,planoContas,0)+1,N$7-2)+INDEX(TBBP[],MATCH($C91,planoContas,0)+1,N$7-3)+INDEX(TBBP[],MATCH($C91,planoContas,0)+1,N$7-4)+INDEX(TBBP[],MATCH($C91,planoContas,0)+1,N$7-5),"SEM DADOS")</f>
        <v>-1444376.0599999998</v>
      </c>
      <c r="N91" s="205">
        <f>M91/$M$24</f>
        <v>-2.8808494257106798E-2</v>
      </c>
      <c r="O91" s="210"/>
      <c r="P91" s="205">
        <f>IFERROR(IF(AND(G91=0,I91&lt;&gt;0),1,(I91/G91)-1),0)</f>
        <v>0.41519587268716651</v>
      </c>
      <c r="Q91" s="205">
        <f>IFERROR(IF(AND(I91=0,K91&lt;&gt;0),1,(K91/I91)-1),0)</f>
        <v>1.3111376369927958</v>
      </c>
      <c r="R91" s="201">
        <f>IFERROR(IF(AND(K91=0,M91&lt;&gt;0),1,(M91/K91)-1),0)</f>
        <v>5.0625364854507859E-2</v>
      </c>
    </row>
    <row r="92" spans="3:18" ht="15" thickTop="1" x14ac:dyDescent="0.3">
      <c r="G92" s="197"/>
      <c r="H92" s="196"/>
      <c r="I92" s="197"/>
      <c r="J92" s="196"/>
      <c r="K92" s="197"/>
      <c r="L92" s="196"/>
      <c r="M92" s="197"/>
      <c r="N92" s="196"/>
      <c r="O92" s="193"/>
      <c r="P92" s="197"/>
      <c r="Q92" s="197"/>
    </row>
    <row r="93" spans="3:18" ht="15" thickBot="1" x14ac:dyDescent="0.35">
      <c r="C93" t="s">
        <v>636</v>
      </c>
      <c r="D93" t="s">
        <v>305</v>
      </c>
      <c r="F93" s="199" t="s">
        <v>306</v>
      </c>
      <c r="G93" s="200">
        <f>G61+G63+G76+G89+G91</f>
        <v>9117228.839999998</v>
      </c>
      <c r="H93" s="201">
        <f>G93/$G$24</f>
        <v>0.22703455697195732</v>
      </c>
      <c r="I93" s="200">
        <f>I61+I63+I76+I89+I91</f>
        <v>8371799.0500000017</v>
      </c>
      <c r="J93" s="201">
        <f>I93/$I$24</f>
        <v>0.19232707091450116</v>
      </c>
      <c r="K93" s="200" t="e">
        <f>K61+K63+K76+K89+K91</f>
        <v>#VALUE!</v>
      </c>
      <c r="L93" s="201" t="e">
        <f>K93/$K$24</f>
        <v>#VALUE!</v>
      </c>
      <c r="M93" s="200">
        <f>M61+M63+M76+M89+M91</f>
        <v>4072508.4300000034</v>
      </c>
      <c r="N93" s="201">
        <f>M93/$M$24</f>
        <v>8.1227347203244371E-2</v>
      </c>
      <c r="O93" s="202"/>
      <c r="P93" s="201">
        <f>IFERROR(IF(AND(G93=0,I93&lt;&gt;0),1,(I93/G93)-1),0)</f>
        <v>-8.1760565966006449E-2</v>
      </c>
      <c r="Q93" s="201">
        <f>IFERROR(IF(AND(I93=0,K93&lt;&gt;0),1,(K93/I93)-1),0)</f>
        <v>0</v>
      </c>
      <c r="R93" s="201">
        <f>IFERROR(IF(AND(K93=0,M93&lt;&gt;0),1,(M93/K93)-1),0)</f>
        <v>0</v>
      </c>
    </row>
    <row r="94" spans="3:18" ht="15" thickTop="1" x14ac:dyDescent="0.3">
      <c r="G94" s="197"/>
      <c r="H94" s="196"/>
      <c r="I94" s="197"/>
      <c r="J94" s="196"/>
      <c r="K94" s="197"/>
      <c r="L94" s="196"/>
      <c r="M94" s="197"/>
      <c r="N94" s="196"/>
      <c r="O94" s="193"/>
      <c r="P94" s="197"/>
      <c r="Q94" s="197"/>
    </row>
    <row r="95" spans="3:18" ht="15" thickBot="1" x14ac:dyDescent="0.35">
      <c r="C95" t="s">
        <v>636</v>
      </c>
      <c r="F95" s="199" t="s">
        <v>307</v>
      </c>
      <c r="G95" s="200">
        <f>G77+G64+G49+G30</f>
        <v>-3548329.76</v>
      </c>
      <c r="H95" s="201">
        <f>G95/$G$24</f>
        <v>-8.8359466367415623E-2</v>
      </c>
      <c r="I95" s="200">
        <f>I77+I64+I49+I30</f>
        <v>-4674945.8</v>
      </c>
      <c r="J95" s="201">
        <f>I95/$I$24</f>
        <v>-0.1073984966705632</v>
      </c>
      <c r="K95" s="200" t="e">
        <f>K77+K64+K49+K30</f>
        <v>#VALUE!</v>
      </c>
      <c r="L95" s="201" t="e">
        <f>K95/$K$24</f>
        <v>#VALUE!</v>
      </c>
      <c r="M95" s="200">
        <f>M77+M64+M49+M30</f>
        <v>-6489230.0200000005</v>
      </c>
      <c r="N95" s="201">
        <f>M95/$M$24</f>
        <v>-0.12942955158382718</v>
      </c>
      <c r="O95" s="202"/>
      <c r="P95" s="201">
        <f>IFERROR(IF(AND(G95=0,I95&lt;&gt;0),1,(I95/G95)-1),0)</f>
        <v>0.3175060144353663</v>
      </c>
      <c r="Q95" s="201">
        <f>IFERROR(IF(AND(I95=0,K95&lt;&gt;0),1,(K95/I95)-1),0)</f>
        <v>0</v>
      </c>
      <c r="R95" s="201">
        <f>IFERROR(IF(AND(K95=0,M95&lt;&gt;0),1,(M95/K95)-1),0)</f>
        <v>0</v>
      </c>
    </row>
    <row r="96" spans="3:18" ht="15" thickTop="1" x14ac:dyDescent="0.3"/>
    <row r="97" spans="6:18" ht="15" thickBot="1" x14ac:dyDescent="0.35">
      <c r="F97" s="264" t="s">
        <v>714</v>
      </c>
      <c r="G97" s="264"/>
      <c r="H97" s="264"/>
      <c r="I97" s="264"/>
      <c r="J97" s="264"/>
      <c r="K97" s="264"/>
      <c r="L97" s="264"/>
      <c r="M97" s="264"/>
      <c r="N97" s="264"/>
      <c r="O97" s="264"/>
      <c r="P97" s="264"/>
      <c r="Q97" s="264"/>
      <c r="R97" s="264"/>
    </row>
    <row r="98" spans="6:18" ht="15" thickTop="1" x14ac:dyDescent="0.3"/>
    <row r="99" spans="6:18" x14ac:dyDescent="0.3">
      <c r="F99" s="182" t="s">
        <v>109</v>
      </c>
      <c r="G99" s="206">
        <f t="shared" ref="G99:G121" si="28">IFERROR(IF($G$9="SEM DADOS","SEM DADOS",VLOOKUP($F99,SELECDB,H$7-1,FALSE)+VLOOKUP($F99,SELECDB,H$7-2,FALSE)+VLOOKUP($F99,SELECDB,H$7-3,FALSE)+VLOOKUP($F99,SELECDB,H$7-4,FALSE)+VLOOKUP($F99,SELECDB,H$7-5,FALSE)+VLOOKUP($F99,SELECDB,H$7-6,FALSE)),0)</f>
        <v>36203396.039999999</v>
      </c>
      <c r="H99" s="207">
        <f t="shared" ref="H99:H106" si="29">G99/$G$107</f>
        <v>0.90152634370222906</v>
      </c>
      <c r="I99" s="206">
        <f t="shared" ref="I99:I121" si="30">IFERROR(IF($G$9="SEM DADOS","SEM DADOS",VLOOKUP($F99,SELECDB,J$7-1,FALSE)+VLOOKUP($F99,SELECDB,J$7-2,FALSE)+VLOOKUP($F99,SELECDB,J$7-3,FALSE)+VLOOKUP($F99,SELECDB,J$7-4,FALSE)+VLOOKUP($F99,SELECDB,J$7-5,FALSE)+VLOOKUP($F99,SELECDB,J$7-6,FALSE)),0)</f>
        <v>40832128.740000002</v>
      </c>
      <c r="J99" s="207">
        <f t="shared" ref="J99:J106" si="31">I99/$I$107</f>
        <v>0.93804493787604937</v>
      </c>
      <c r="K99" s="206">
        <f t="shared" ref="K99:K121" si="32">IFERROR(IF($G$9="SEM DADOS","SEM DADOS",VLOOKUP($F99,SELECDB,L$7-1,FALSE)+VLOOKUP($F99,SELECDB,L$7-2,FALSE)+VLOOKUP($F99,SELECDB,L$7-3,FALSE)+VLOOKUP($F99,SELECDB,L$7-4,FALSE)+VLOOKUP($F99,SELECDB,L$7-5,FALSE)+VLOOKUP($F99,SELECDB,L$7-6,FALSE)),0)</f>
        <v>62007439.549999997</v>
      </c>
      <c r="L99" s="207">
        <f t="shared" ref="L99:L106" si="33">K99/$K$107</f>
        <v>0.9698881923345285</v>
      </c>
      <c r="M99" s="206">
        <f t="shared" ref="M99:M121" si="34">IFERROR(IF($G$9="SEM DADOS","SEM DADOS",VLOOKUP($F99,SELECDB,N$7-1,FALSE)+VLOOKUP($F99,SELECDB,N$7-2,FALSE)+VLOOKUP($F99,SELECDB,N$7-3,FALSE)+VLOOKUP($F99,SELECDB,N$7-4,FALSE)+VLOOKUP($F99,SELECDB,N$7-5,FALSE)+VLOOKUP($F99,SELECDB,N$7-6,FALSE)),0)</f>
        <v>42294822.359999999</v>
      </c>
      <c r="N99" s="207">
        <f t="shared" ref="N99:N106" si="35">M99/$M$107</f>
        <v>0.84358234728939796</v>
      </c>
      <c r="O99" s="212"/>
      <c r="P99" s="209">
        <f t="shared" ref="P99:P129" si="36">IFERROR(IF(AND(G99=0,I99&lt;&gt;0),1,(I99/G99)-1),0)</f>
        <v>0.12785354984062436</v>
      </c>
      <c r="Q99" s="209">
        <f t="shared" ref="Q99:Q129" si="37">IFERROR(IF(AND(I99=0,K99&lt;&gt;0),1,(K99/I99)-1),0)</f>
        <v>0.51859433890489814</v>
      </c>
      <c r="R99" s="209">
        <f t="shared" ref="R99:R129" si="38">IFERROR(IF(AND(K99=0,M99&lt;&gt;0),1,(M99/K99)-1),0)</f>
        <v>-0.31790729198074097</v>
      </c>
    </row>
    <row r="100" spans="6:18" x14ac:dyDescent="0.3">
      <c r="F100" s="182" t="s">
        <v>110</v>
      </c>
      <c r="G100" s="206">
        <f t="shared" si="28"/>
        <v>15092146.199999999</v>
      </c>
      <c r="H100" s="207">
        <f t="shared" si="29"/>
        <v>0.37582019563227387</v>
      </c>
      <c r="I100" s="206">
        <f t="shared" si="30"/>
        <v>14016154.98</v>
      </c>
      <c r="J100" s="207">
        <f t="shared" si="31"/>
        <v>0.32199602698145247</v>
      </c>
      <c r="K100" s="206">
        <f t="shared" si="32"/>
        <v>17576243.079999998</v>
      </c>
      <c r="L100" s="207">
        <f t="shared" si="33"/>
        <v>0.27491847353489801</v>
      </c>
      <c r="M100" s="206">
        <f t="shared" si="34"/>
        <v>20968166.979999997</v>
      </c>
      <c r="N100" s="207">
        <f t="shared" si="35"/>
        <v>0.41821609673133625</v>
      </c>
      <c r="O100" s="212"/>
      <c r="P100" s="209">
        <f t="shared" si="36"/>
        <v>-7.129477847226251E-2</v>
      </c>
      <c r="Q100" s="209">
        <f t="shared" si="37"/>
        <v>0.25399891090530713</v>
      </c>
      <c r="R100" s="209">
        <f t="shared" si="38"/>
        <v>0.19298344273923185</v>
      </c>
    </row>
    <row r="101" spans="6:18" x14ac:dyDescent="0.3">
      <c r="F101" s="182" t="s">
        <v>111</v>
      </c>
      <c r="G101" s="206">
        <f t="shared" si="28"/>
        <v>350929.45</v>
      </c>
      <c r="H101" s="207">
        <f t="shared" si="29"/>
        <v>8.7387421778438827E-3</v>
      </c>
      <c r="I101" s="206">
        <f t="shared" si="30"/>
        <v>357859.63999999996</v>
      </c>
      <c r="J101" s="207">
        <f t="shared" si="31"/>
        <v>8.2211835172653642E-3</v>
      </c>
      <c r="K101" s="206">
        <f t="shared" si="32"/>
        <v>451592.32</v>
      </c>
      <c r="L101" s="207">
        <f t="shared" si="33"/>
        <v>7.0635727276527416E-3</v>
      </c>
      <c r="M101" s="206">
        <f t="shared" si="34"/>
        <v>418380.45999999996</v>
      </c>
      <c r="N101" s="207">
        <f t="shared" si="35"/>
        <v>8.3447181194596237E-3</v>
      </c>
      <c r="O101" s="212"/>
      <c r="P101" s="209">
        <f t="shared" si="36"/>
        <v>1.9748100366042021E-2</v>
      </c>
      <c r="Q101" s="209">
        <f t="shared" si="37"/>
        <v>0.26192582097271444</v>
      </c>
      <c r="R101" s="209">
        <f t="shared" si="38"/>
        <v>-7.3543899063651108E-2</v>
      </c>
    </row>
    <row r="102" spans="6:18" x14ac:dyDescent="0.3">
      <c r="F102" s="182" t="s">
        <v>112</v>
      </c>
      <c r="G102" s="206">
        <f t="shared" si="28"/>
        <v>0</v>
      </c>
      <c r="H102" s="207">
        <f t="shared" si="29"/>
        <v>0</v>
      </c>
      <c r="I102" s="206">
        <f t="shared" si="30"/>
        <v>0</v>
      </c>
      <c r="J102" s="207">
        <f t="shared" si="31"/>
        <v>0</v>
      </c>
      <c r="K102" s="206">
        <f t="shared" si="32"/>
        <v>36000</v>
      </c>
      <c r="L102" s="207">
        <f t="shared" si="33"/>
        <v>5.6309331876037809E-4</v>
      </c>
      <c r="M102" s="206">
        <f t="shared" si="34"/>
        <v>0</v>
      </c>
      <c r="N102" s="207">
        <f t="shared" si="35"/>
        <v>0</v>
      </c>
      <c r="O102" s="212"/>
      <c r="P102" s="209">
        <f t="shared" si="36"/>
        <v>0</v>
      </c>
      <c r="Q102" s="209">
        <f t="shared" si="37"/>
        <v>1</v>
      </c>
      <c r="R102" s="209">
        <f t="shared" si="38"/>
        <v>-1</v>
      </c>
    </row>
    <row r="103" spans="6:18" x14ac:dyDescent="0.3">
      <c r="F103" s="182" t="s">
        <v>113</v>
      </c>
      <c r="G103" s="206">
        <f t="shared" si="28"/>
        <v>0</v>
      </c>
      <c r="H103" s="207">
        <f t="shared" si="29"/>
        <v>0</v>
      </c>
      <c r="I103" s="206">
        <f t="shared" si="30"/>
        <v>1032694.3600000001</v>
      </c>
      <c r="J103" s="207">
        <f t="shared" si="31"/>
        <v>2.3724301099740965E-2</v>
      </c>
      <c r="K103" s="206">
        <f t="shared" si="32"/>
        <v>2202919.25</v>
      </c>
      <c r="L103" s="207">
        <f t="shared" si="33"/>
        <v>3.4456919762322867E-2</v>
      </c>
      <c r="M103" s="206">
        <f t="shared" si="34"/>
        <v>2127902.81</v>
      </c>
      <c r="N103" s="207">
        <f t="shared" si="35"/>
        <v>4.2441631081566407E-2</v>
      </c>
      <c r="O103" s="212"/>
      <c r="P103" s="209">
        <f t="shared" si="36"/>
        <v>1</v>
      </c>
      <c r="Q103" s="209">
        <f t="shared" si="37"/>
        <v>1.1331764124285524</v>
      </c>
      <c r="R103" s="209">
        <f t="shared" si="38"/>
        <v>-3.4053195549496373E-2</v>
      </c>
    </row>
    <row r="104" spans="6:18" ht="15" thickBot="1" x14ac:dyDescent="0.35">
      <c r="F104" s="199" t="s">
        <v>99</v>
      </c>
      <c r="G104" s="200">
        <f t="shared" si="28"/>
        <v>51646471.689999998</v>
      </c>
      <c r="H104" s="201">
        <f t="shared" si="29"/>
        <v>1.2860852815123469</v>
      </c>
      <c r="I104" s="200">
        <f t="shared" si="30"/>
        <v>56238837.720000006</v>
      </c>
      <c r="J104" s="201">
        <f t="shared" si="31"/>
        <v>1.2919864494745084</v>
      </c>
      <c r="K104" s="200">
        <f t="shared" si="32"/>
        <v>82274194.200000003</v>
      </c>
      <c r="L104" s="201">
        <f t="shared" si="33"/>
        <v>1.2868902516781626</v>
      </c>
      <c r="M104" s="200">
        <f t="shared" si="34"/>
        <v>65809272.609999992</v>
      </c>
      <c r="N104" s="201">
        <f t="shared" si="35"/>
        <v>1.3125847932217602</v>
      </c>
      <c r="O104" s="212"/>
      <c r="P104" s="201">
        <f t="shared" si="36"/>
        <v>8.8919259723393651E-2</v>
      </c>
      <c r="Q104" s="201">
        <f t="shared" si="37"/>
        <v>0.46294264845272837</v>
      </c>
      <c r="R104" s="201">
        <f t="shared" si="38"/>
        <v>-0.20012255057734751</v>
      </c>
    </row>
    <row r="105" spans="6:18" ht="15" thickTop="1" x14ac:dyDescent="0.3">
      <c r="F105" s="182" t="s">
        <v>114</v>
      </c>
      <c r="G105" s="206">
        <f t="shared" si="28"/>
        <v>-9237697.5099999998</v>
      </c>
      <c r="H105" s="207">
        <f t="shared" si="29"/>
        <v>-0.230034432438772</v>
      </c>
      <c r="I105" s="206">
        <f t="shared" si="30"/>
        <v>-9852389.9000000004</v>
      </c>
      <c r="J105" s="207">
        <f t="shared" si="31"/>
        <v>-0.22634099070672445</v>
      </c>
      <c r="K105" s="206">
        <f t="shared" si="32"/>
        <v>-13540369.529999999</v>
      </c>
      <c r="L105" s="207">
        <f t="shared" si="33"/>
        <v>-0.21179143377471113</v>
      </c>
      <c r="M105" s="206">
        <f t="shared" si="34"/>
        <v>-10930919.9</v>
      </c>
      <c r="N105" s="207">
        <f t="shared" si="35"/>
        <v>-0.2180203285590627</v>
      </c>
      <c r="O105" s="212"/>
      <c r="P105" s="209">
        <f t="shared" si="36"/>
        <v>6.6541731782685298E-2</v>
      </c>
      <c r="Q105" s="209">
        <f t="shared" si="37"/>
        <v>0.3743233537682058</v>
      </c>
      <c r="R105" s="209">
        <f t="shared" si="38"/>
        <v>-0.19271627884442233</v>
      </c>
    </row>
    <row r="106" spans="6:18" x14ac:dyDescent="0.3">
      <c r="F106" s="182" t="s">
        <v>115</v>
      </c>
      <c r="G106" s="206">
        <f t="shared" si="28"/>
        <v>-2250883.85</v>
      </c>
      <c r="H106" s="207">
        <f t="shared" si="29"/>
        <v>-5.6050849073574834E-2</v>
      </c>
      <c r="I106" s="206">
        <f t="shared" si="30"/>
        <v>-2857479.12</v>
      </c>
      <c r="J106" s="207">
        <f t="shared" si="31"/>
        <v>-6.5645458767783757E-2</v>
      </c>
      <c r="K106" s="206">
        <f t="shared" si="32"/>
        <v>-4801260.0299999993</v>
      </c>
      <c r="L106" s="207">
        <f t="shared" si="33"/>
        <v>-7.5098817903451451E-2</v>
      </c>
      <c r="M106" s="206">
        <f t="shared" si="34"/>
        <v>-4741193.6099999994</v>
      </c>
      <c r="N106" s="207">
        <f t="shared" si="35"/>
        <v>-9.4564464662697634E-2</v>
      </c>
      <c r="O106" s="212"/>
      <c r="P106" s="209">
        <f t="shared" si="36"/>
        <v>0.26949203531759314</v>
      </c>
      <c r="Q106" s="209">
        <f t="shared" si="37"/>
        <v>0.68024325931032492</v>
      </c>
      <c r="R106" s="209">
        <f t="shared" si="38"/>
        <v>-1.2510553401541169E-2</v>
      </c>
    </row>
    <row r="107" spans="6:18" ht="15" thickBot="1" x14ac:dyDescent="0.35">
      <c r="F107" s="199" t="s">
        <v>100</v>
      </c>
      <c r="G107" s="200">
        <f t="shared" si="28"/>
        <v>40157890.329999998</v>
      </c>
      <c r="H107" s="201">
        <f>G107/$G107</f>
        <v>1</v>
      </c>
      <c r="I107" s="200">
        <f t="shared" si="30"/>
        <v>43528968.700000003</v>
      </c>
      <c r="J107" s="201">
        <f>I107/$I$107</f>
        <v>1</v>
      </c>
      <c r="K107" s="200">
        <f t="shared" si="32"/>
        <v>63932564.640000001</v>
      </c>
      <c r="L107" s="201">
        <f>K107/$K$107</f>
        <v>1</v>
      </c>
      <c r="M107" s="200">
        <f t="shared" si="34"/>
        <v>50137159.100000001</v>
      </c>
      <c r="N107" s="201">
        <f>M107/$M$107</f>
        <v>1</v>
      </c>
      <c r="O107" s="212"/>
      <c r="P107" s="201">
        <f t="shared" si="36"/>
        <v>8.3945604270990293E-2</v>
      </c>
      <c r="Q107" s="201">
        <f t="shared" si="37"/>
        <v>0.46873602911708767</v>
      </c>
      <c r="R107" s="201">
        <f t="shared" si="38"/>
        <v>-0.21578057469899736</v>
      </c>
    </row>
    <row r="108" spans="6:18" ht="15" thickTop="1" x14ac:dyDescent="0.3">
      <c r="F108" s="182" t="s">
        <v>116</v>
      </c>
      <c r="G108" s="206">
        <f t="shared" si="28"/>
        <v>-25954360.600000001</v>
      </c>
      <c r="H108" s="207">
        <f t="shared" ref="H108:H129" si="39">G108/$G$107</f>
        <v>-0.64630787092445363</v>
      </c>
      <c r="I108" s="206">
        <f t="shared" si="30"/>
        <v>-28804427.890000001</v>
      </c>
      <c r="J108" s="207">
        <f t="shared" ref="J108:J129" si="40">I108/$I$107</f>
        <v>-0.66173007884746871</v>
      </c>
      <c r="K108" s="206">
        <f t="shared" si="32"/>
        <v>-44932460.620000005</v>
      </c>
      <c r="L108" s="207">
        <f t="shared" ref="L108:L129" si="41">K108/$K$107</f>
        <v>-0.70281023251627228</v>
      </c>
      <c r="M108" s="206">
        <f t="shared" si="34"/>
        <v>-35516939.470000006</v>
      </c>
      <c r="N108" s="207">
        <f t="shared" ref="N108:N129" si="42">M108/$M$107</f>
        <v>-0.70839553152902923</v>
      </c>
      <c r="O108" s="212"/>
      <c r="P108" s="209">
        <f t="shared" si="36"/>
        <v>0.10981073022465448</v>
      </c>
      <c r="Q108" s="209">
        <f t="shared" si="37"/>
        <v>0.55991505165770561</v>
      </c>
      <c r="R108" s="209">
        <f t="shared" si="38"/>
        <v>-0.20954830917514966</v>
      </c>
    </row>
    <row r="109" spans="6:18" ht="15" thickBot="1" x14ac:dyDescent="0.35">
      <c r="F109" s="199" t="s">
        <v>101</v>
      </c>
      <c r="G109" s="200">
        <f t="shared" si="28"/>
        <v>14203529.730000002</v>
      </c>
      <c r="H109" s="201">
        <f t="shared" si="39"/>
        <v>0.35369212907554654</v>
      </c>
      <c r="I109" s="200">
        <f t="shared" si="30"/>
        <v>14724540.809999997</v>
      </c>
      <c r="J109" s="201">
        <f t="shared" si="40"/>
        <v>0.33826992115253113</v>
      </c>
      <c r="K109" s="200">
        <f t="shared" si="32"/>
        <v>19000104.020000003</v>
      </c>
      <c r="L109" s="201">
        <f t="shared" si="41"/>
        <v>0.29718976748372788</v>
      </c>
      <c r="M109" s="200">
        <f t="shared" si="34"/>
        <v>14620219.629999999</v>
      </c>
      <c r="N109" s="201">
        <f t="shared" si="42"/>
        <v>0.29160446847097082</v>
      </c>
      <c r="O109" s="212"/>
      <c r="P109" s="201">
        <f t="shared" si="36"/>
        <v>3.6681803037982963E-2</v>
      </c>
      <c r="Q109" s="201">
        <f t="shared" si="37"/>
        <v>0.29036988420693621</v>
      </c>
      <c r="R109" s="201">
        <f t="shared" si="38"/>
        <v>-0.23051896902193925</v>
      </c>
    </row>
    <row r="110" spans="6:18" ht="15" thickTop="1" x14ac:dyDescent="0.3">
      <c r="F110" s="182" t="s">
        <v>117</v>
      </c>
      <c r="G110" s="206">
        <f t="shared" si="28"/>
        <v>-2876827.19</v>
      </c>
      <c r="H110" s="207">
        <f t="shared" si="39"/>
        <v>-7.1637906432820322E-2</v>
      </c>
      <c r="I110" s="206">
        <f t="shared" si="30"/>
        <v>-3462642.19</v>
      </c>
      <c r="J110" s="207">
        <f t="shared" si="40"/>
        <v>-7.9547995126289309E-2</v>
      </c>
      <c r="K110" s="206">
        <f t="shared" si="32"/>
        <v>-5310359</v>
      </c>
      <c r="L110" s="207">
        <f t="shared" si="41"/>
        <v>-8.3061879808862302E-2</v>
      </c>
      <c r="M110" s="206">
        <f t="shared" si="34"/>
        <v>-5508643.29</v>
      </c>
      <c r="N110" s="207">
        <f t="shared" si="42"/>
        <v>-0.10987146836566573</v>
      </c>
      <c r="O110" s="212"/>
      <c r="P110" s="209">
        <f t="shared" si="36"/>
        <v>0.2036323217593059</v>
      </c>
      <c r="Q110" s="209">
        <f t="shared" si="37"/>
        <v>0.53361471056297627</v>
      </c>
      <c r="R110" s="209">
        <f t="shared" si="38"/>
        <v>3.7339149763697677E-2</v>
      </c>
    </row>
    <row r="111" spans="6:18" x14ac:dyDescent="0.3">
      <c r="F111" s="182" t="s">
        <v>118</v>
      </c>
      <c r="G111" s="206">
        <f t="shared" si="28"/>
        <v>-1736408.3</v>
      </c>
      <c r="H111" s="207">
        <f t="shared" si="39"/>
        <v>-4.3239529908841209E-2</v>
      </c>
      <c r="I111" s="206">
        <f t="shared" si="30"/>
        <v>-2031016.47</v>
      </c>
      <c r="J111" s="207">
        <f t="shared" si="40"/>
        <v>-4.6658961391842023E-2</v>
      </c>
      <c r="K111" s="206">
        <f t="shared" si="32"/>
        <v>-2620348.98</v>
      </c>
      <c r="L111" s="207">
        <f t="shared" si="41"/>
        <v>-4.0986138984960327E-2</v>
      </c>
      <c r="M111" s="206">
        <f t="shared" si="34"/>
        <v>-3144446.5200000005</v>
      </c>
      <c r="N111" s="207">
        <f t="shared" si="42"/>
        <v>-6.2716886565677005E-2</v>
      </c>
      <c r="O111" s="212"/>
      <c r="P111" s="209">
        <f t="shared" si="36"/>
        <v>0.16966526248463554</v>
      </c>
      <c r="Q111" s="209">
        <f t="shared" si="37"/>
        <v>0.29016628801636446</v>
      </c>
      <c r="R111" s="209">
        <f t="shared" si="38"/>
        <v>0.20001058790268478</v>
      </c>
    </row>
    <row r="112" spans="6:18" x14ac:dyDescent="0.3">
      <c r="F112" s="182" t="s">
        <v>119</v>
      </c>
      <c r="G112" s="206">
        <f t="shared" si="28"/>
        <v>-14735.74</v>
      </c>
      <c r="H112" s="207">
        <f t="shared" si="39"/>
        <v>-3.6694507303317297E-4</v>
      </c>
      <c r="I112" s="206">
        <f t="shared" si="30"/>
        <v>-184234.30000000002</v>
      </c>
      <c r="J112" s="207">
        <f t="shared" si="40"/>
        <v>-4.232452674671339E-3</v>
      </c>
      <c r="K112" s="206">
        <f t="shared" si="32"/>
        <v>-231362.81999999998</v>
      </c>
      <c r="L112" s="207">
        <f t="shared" si="41"/>
        <v>-3.6188571708766662E-3</v>
      </c>
      <c r="M112" s="206">
        <f t="shared" si="34"/>
        <v>-254245.32999999996</v>
      </c>
      <c r="N112" s="207">
        <f t="shared" si="42"/>
        <v>-5.0709959352284069E-3</v>
      </c>
      <c r="O112" s="212"/>
      <c r="P112" s="209">
        <f t="shared" si="36"/>
        <v>11.50254822628521</v>
      </c>
      <c r="Q112" s="209">
        <f t="shared" si="37"/>
        <v>0.25580752335477142</v>
      </c>
      <c r="R112" s="209">
        <f t="shared" si="38"/>
        <v>9.8903142691638912E-2</v>
      </c>
    </row>
    <row r="113" spans="6:18" x14ac:dyDescent="0.3">
      <c r="F113" s="182" t="s">
        <v>120</v>
      </c>
      <c r="G113" s="206">
        <f t="shared" si="28"/>
        <v>-420329.66</v>
      </c>
      <c r="H113" s="207">
        <f t="shared" si="39"/>
        <v>-1.046692584062346E-2</v>
      </c>
      <c r="I113" s="206">
        <f t="shared" si="30"/>
        <v>-594848.79999999993</v>
      </c>
      <c r="J113" s="207">
        <f t="shared" si="40"/>
        <v>-1.3665584500741913E-2</v>
      </c>
      <c r="K113" s="206">
        <f t="shared" si="32"/>
        <v>-1374777.45</v>
      </c>
      <c r="L113" s="207">
        <f t="shared" si="41"/>
        <v>-2.1503555468817492E-2</v>
      </c>
      <c r="M113" s="206">
        <f t="shared" si="34"/>
        <v>-1444376.0599999998</v>
      </c>
      <c r="N113" s="207">
        <f t="shared" si="42"/>
        <v>-2.8808494257106798E-2</v>
      </c>
      <c r="O113" s="212"/>
      <c r="P113" s="209">
        <f t="shared" si="36"/>
        <v>0.41519587268716651</v>
      </c>
      <c r="Q113" s="209">
        <f t="shared" si="37"/>
        <v>1.3111376369927958</v>
      </c>
      <c r="R113" s="209">
        <f t="shared" si="38"/>
        <v>5.0625364854507859E-2</v>
      </c>
    </row>
    <row r="114" spans="6:18" ht="15" thickBot="1" x14ac:dyDescent="0.35">
      <c r="F114" s="199" t="s">
        <v>102</v>
      </c>
      <c r="G114" s="200">
        <f t="shared" si="28"/>
        <v>-5086300.8900000006</v>
      </c>
      <c r="H114" s="201">
        <f t="shared" si="39"/>
        <v>-0.12665757210358916</v>
      </c>
      <c r="I114" s="200">
        <f t="shared" si="30"/>
        <v>-6352741.7600000007</v>
      </c>
      <c r="J114" s="201">
        <f t="shared" si="40"/>
        <v>-0.14594285023803011</v>
      </c>
      <c r="K114" s="200">
        <f t="shared" si="32"/>
        <v>-9651848.25</v>
      </c>
      <c r="L114" s="201">
        <f t="shared" si="41"/>
        <v>-0.15096920175733466</v>
      </c>
      <c r="M114" s="200">
        <f t="shared" si="34"/>
        <v>-10547711.200000001</v>
      </c>
      <c r="N114" s="201">
        <f t="shared" si="42"/>
        <v>-0.21037712126772656</v>
      </c>
      <c r="O114" s="212"/>
      <c r="P114" s="201">
        <f t="shared" si="36"/>
        <v>0.24899055273939963</v>
      </c>
      <c r="Q114" s="201">
        <f t="shared" si="37"/>
        <v>0.51932010061746925</v>
      </c>
      <c r="R114" s="201">
        <f t="shared" si="38"/>
        <v>9.2817761613688932E-2</v>
      </c>
    </row>
    <row r="115" spans="6:18" ht="15.6" thickTop="1" thickBot="1" x14ac:dyDescent="0.35">
      <c r="F115" s="199" t="s">
        <v>103</v>
      </c>
      <c r="G115" s="200">
        <f t="shared" si="28"/>
        <v>9117228.8400000017</v>
      </c>
      <c r="H115" s="201">
        <f t="shared" si="39"/>
        <v>0.2270345569719574</v>
      </c>
      <c r="I115" s="200">
        <f t="shared" si="30"/>
        <v>8371799.049999997</v>
      </c>
      <c r="J115" s="201">
        <f t="shared" si="40"/>
        <v>0.19232707091450105</v>
      </c>
      <c r="K115" s="200">
        <f t="shared" si="32"/>
        <v>9348255.7700000014</v>
      </c>
      <c r="L115" s="201">
        <f t="shared" si="41"/>
        <v>0.14622056572639319</v>
      </c>
      <c r="M115" s="200">
        <f t="shared" si="34"/>
        <v>4072508.4299999992</v>
      </c>
      <c r="N115" s="201">
        <f t="shared" si="42"/>
        <v>8.1227347203244288E-2</v>
      </c>
      <c r="O115" s="212"/>
      <c r="P115" s="201">
        <f t="shared" si="36"/>
        <v>-8.1760565966007337E-2</v>
      </c>
      <c r="Q115" s="201">
        <f t="shared" si="37"/>
        <v>0.11663642595434776</v>
      </c>
      <c r="R115" s="201">
        <f t="shared" si="38"/>
        <v>-0.56435633232572557</v>
      </c>
    </row>
    <row r="116" spans="6:18" ht="15" thickTop="1" x14ac:dyDescent="0.3">
      <c r="F116" s="182" t="s">
        <v>121</v>
      </c>
      <c r="G116" s="206">
        <f t="shared" si="28"/>
        <v>897331.82000000007</v>
      </c>
      <c r="H116" s="207">
        <f t="shared" si="39"/>
        <v>2.2345093644763687E-2</v>
      </c>
      <c r="I116" s="206">
        <f t="shared" si="30"/>
        <v>986966.96000000008</v>
      </c>
      <c r="J116" s="207">
        <f t="shared" si="40"/>
        <v>2.2673796082837129E-2</v>
      </c>
      <c r="K116" s="206">
        <f t="shared" si="32"/>
        <v>887359.4</v>
      </c>
      <c r="L116" s="207">
        <f t="shared" si="41"/>
        <v>1.3879615263311608E-2</v>
      </c>
      <c r="M116" s="206">
        <f t="shared" si="34"/>
        <v>1334474.6599999999</v>
      </c>
      <c r="N116" s="207">
        <f t="shared" si="42"/>
        <v>2.6616479352935651E-2</v>
      </c>
      <c r="O116" s="212"/>
      <c r="P116" s="209">
        <f t="shared" si="36"/>
        <v>9.9890740528960631E-2</v>
      </c>
      <c r="Q116" s="209">
        <f t="shared" si="37"/>
        <v>-0.10092289208951843</v>
      </c>
      <c r="R116" s="209">
        <f t="shared" si="38"/>
        <v>0.5038716668804093</v>
      </c>
    </row>
    <row r="117" spans="6:18" x14ac:dyDescent="0.3">
      <c r="F117" s="182" t="s">
        <v>122</v>
      </c>
      <c r="G117" s="206">
        <f t="shared" si="28"/>
        <v>-1284051.25</v>
      </c>
      <c r="H117" s="207">
        <f t="shared" si="39"/>
        <v>-3.1975067401405495E-2</v>
      </c>
      <c r="I117" s="206">
        <f t="shared" si="30"/>
        <v>-1293106.21</v>
      </c>
      <c r="J117" s="207">
        <f t="shared" si="40"/>
        <v>-2.9706796384541954E-2</v>
      </c>
      <c r="K117" s="206">
        <f t="shared" si="32"/>
        <v>-2205754.0500000003</v>
      </c>
      <c r="L117" s="207">
        <f t="shared" si="41"/>
        <v>-3.4501260232879034E-2</v>
      </c>
      <c r="M117" s="206">
        <f t="shared" si="34"/>
        <v>-1953466.85</v>
      </c>
      <c r="N117" s="207">
        <f t="shared" si="42"/>
        <v>-3.8962455892320391E-2</v>
      </c>
      <c r="O117" s="212"/>
      <c r="P117" s="209">
        <f t="shared" si="36"/>
        <v>7.0518680621196594E-3</v>
      </c>
      <c r="Q117" s="209">
        <f t="shared" si="37"/>
        <v>0.70577948890988651</v>
      </c>
      <c r="R117" s="209">
        <f t="shared" si="38"/>
        <v>-0.11437684994843378</v>
      </c>
    </row>
    <row r="118" spans="6:18" x14ac:dyDescent="0.3">
      <c r="F118" s="182" t="s">
        <v>123</v>
      </c>
      <c r="G118" s="206">
        <f t="shared" si="28"/>
        <v>-5775.9500000000298</v>
      </c>
      <c r="H118" s="207">
        <f t="shared" si="39"/>
        <v>-1.4383101185186264E-4</v>
      </c>
      <c r="I118" s="206">
        <f t="shared" si="30"/>
        <v>12047.34000000004</v>
      </c>
      <c r="J118" s="207">
        <f t="shared" si="40"/>
        <v>2.7676603328302696E-4</v>
      </c>
      <c r="K118" s="206">
        <f t="shared" si="32"/>
        <v>-1028669.6499999998</v>
      </c>
      <c r="L118" s="207">
        <f t="shared" si="41"/>
        <v>-1.6089916864627126E-2</v>
      </c>
      <c r="M118" s="206">
        <f t="shared" si="34"/>
        <v>449411.06999999995</v>
      </c>
      <c r="N118" s="207">
        <f t="shared" si="42"/>
        <v>8.9636325246038907E-3</v>
      </c>
      <c r="O118" s="212"/>
      <c r="P118" s="209">
        <f t="shared" si="36"/>
        <v>-3.0857763657926363</v>
      </c>
      <c r="Q118" s="209">
        <f t="shared" si="37"/>
        <v>-86.385624544504964</v>
      </c>
      <c r="R118" s="209">
        <f t="shared" si="38"/>
        <v>-1.4368857096153269</v>
      </c>
    </row>
    <row r="119" spans="6:18" x14ac:dyDescent="0.3">
      <c r="F119" s="182" t="s">
        <v>166</v>
      </c>
      <c r="G119" s="197">
        <f t="shared" si="28"/>
        <v>0</v>
      </c>
      <c r="H119" s="207">
        <f t="shared" si="39"/>
        <v>0</v>
      </c>
      <c r="I119" s="206">
        <f t="shared" si="30"/>
        <v>0</v>
      </c>
      <c r="J119" s="207">
        <f t="shared" si="40"/>
        <v>0</v>
      </c>
      <c r="K119" s="206">
        <f t="shared" si="32"/>
        <v>0</v>
      </c>
      <c r="L119" s="207">
        <f t="shared" si="41"/>
        <v>0</v>
      </c>
      <c r="M119" s="206">
        <f t="shared" si="34"/>
        <v>0</v>
      </c>
      <c r="N119" s="207">
        <f t="shared" si="42"/>
        <v>0</v>
      </c>
      <c r="O119" s="212"/>
      <c r="P119" s="209">
        <f t="shared" si="36"/>
        <v>0</v>
      </c>
      <c r="Q119" s="209">
        <f t="shared" si="37"/>
        <v>0</v>
      </c>
      <c r="R119" s="209">
        <f t="shared" si="38"/>
        <v>0</v>
      </c>
    </row>
    <row r="120" spans="6:18" ht="15" thickBot="1" x14ac:dyDescent="0.35">
      <c r="F120" s="199" t="s">
        <v>104</v>
      </c>
      <c r="G120" s="200">
        <f t="shared" si="28"/>
        <v>-392495.38000000006</v>
      </c>
      <c r="H120" s="201">
        <f t="shared" si="39"/>
        <v>-9.7738047684936755E-3</v>
      </c>
      <c r="I120" s="200">
        <f t="shared" si="30"/>
        <v>-294091.90999999986</v>
      </c>
      <c r="J120" s="201">
        <f t="shared" si="40"/>
        <v>-6.7562342684217977E-3</v>
      </c>
      <c r="K120" s="200">
        <f t="shared" si="32"/>
        <v>-2347064.2999999998</v>
      </c>
      <c r="L120" s="201">
        <f t="shared" si="41"/>
        <v>-3.6711561834194543E-2</v>
      </c>
      <c r="M120" s="200">
        <f t="shared" si="34"/>
        <v>-169581.12000000005</v>
      </c>
      <c r="N120" s="201">
        <f t="shared" si="42"/>
        <v>-3.3823440147808465E-3</v>
      </c>
      <c r="O120" s="212"/>
      <c r="P120" s="201">
        <f t="shared" si="36"/>
        <v>-0.25071242876795186</v>
      </c>
      <c r="Q120" s="201">
        <f t="shared" si="37"/>
        <v>6.9807169806201097</v>
      </c>
      <c r="R120" s="201">
        <f t="shared" si="38"/>
        <v>-0.92774756107022716</v>
      </c>
    </row>
    <row r="121" spans="6:18" ht="15.6" thickTop="1" thickBot="1" x14ac:dyDescent="0.35">
      <c r="F121" s="199" t="s">
        <v>105</v>
      </c>
      <c r="G121" s="200">
        <f t="shared" si="28"/>
        <v>704424.28</v>
      </c>
      <c r="H121" s="201">
        <f t="shared" si="39"/>
        <v>1.754136669559454E-2</v>
      </c>
      <c r="I121" s="200">
        <f t="shared" si="30"/>
        <v>6</v>
      </c>
      <c r="J121" s="201">
        <f t="shared" si="40"/>
        <v>1.3783924083641337E-7</v>
      </c>
      <c r="K121" s="200">
        <f t="shared" si="32"/>
        <v>419195.18</v>
      </c>
      <c r="L121" s="201">
        <f t="shared" si="41"/>
        <v>6.5568334754042799E-3</v>
      </c>
      <c r="M121" s="200">
        <f t="shared" si="34"/>
        <v>175721.69</v>
      </c>
      <c r="N121" s="201">
        <f t="shared" si="42"/>
        <v>3.504819442392379E-3</v>
      </c>
      <c r="O121" s="212"/>
      <c r="P121" s="201">
        <f t="shared" si="36"/>
        <v>-0.99999148240602953</v>
      </c>
      <c r="Q121" s="201">
        <f t="shared" si="37"/>
        <v>69864.863333333327</v>
      </c>
      <c r="R121" s="201">
        <f t="shared" si="38"/>
        <v>-0.58081175933368323</v>
      </c>
    </row>
    <row r="122" spans="6:18" ht="15.6" thickTop="1" thickBot="1" x14ac:dyDescent="0.35">
      <c r="F122" s="199" t="s">
        <v>106</v>
      </c>
      <c r="G122" s="200">
        <f>G115+G120+G121</f>
        <v>9429157.7400000002</v>
      </c>
      <c r="H122" s="201">
        <f t="shared" si="39"/>
        <v>0.23480211889905822</v>
      </c>
      <c r="I122" s="200">
        <f>I115+I120+I121</f>
        <v>8077713.1399999969</v>
      </c>
      <c r="J122" s="201">
        <f t="shared" si="40"/>
        <v>0.18557097448532009</v>
      </c>
      <c r="K122" s="200">
        <f>K115+K120+K121</f>
        <v>7420386.6500000013</v>
      </c>
      <c r="L122" s="201">
        <f t="shared" si="41"/>
        <v>0.11606583736760293</v>
      </c>
      <c r="M122" s="200">
        <f>IFERROR(M115+M120+M121,"SEM DADOS")</f>
        <v>4078648.9999999991</v>
      </c>
      <c r="N122" s="201">
        <f t="shared" si="42"/>
        <v>8.1349822630855828E-2</v>
      </c>
      <c r="O122" s="212"/>
      <c r="P122" s="201">
        <f t="shared" si="36"/>
        <v>-0.14332612066366845</v>
      </c>
      <c r="Q122" s="201">
        <f t="shared" si="37"/>
        <v>-8.1375319797503454E-2</v>
      </c>
      <c r="R122" s="201">
        <f t="shared" si="38"/>
        <v>-0.45034548839850574</v>
      </c>
    </row>
    <row r="123" spans="6:18" ht="15" thickTop="1" x14ac:dyDescent="0.3">
      <c r="F123" s="182" t="s">
        <v>107</v>
      </c>
      <c r="G123" s="206">
        <f t="shared" ref="G123:G129" si="43">IFERROR(IF($G$9="SEM DADOS","SEM DADOS",VLOOKUP($F123,SELECDB,H$7-1,FALSE)+VLOOKUP($F123,SELECDB,H$7-2,FALSE)+VLOOKUP($F123,SELECDB,H$7-3,FALSE)+VLOOKUP($F123,SELECDB,H$7-4,FALSE)+VLOOKUP($F123,SELECDB,H$7-5,FALSE)+VLOOKUP($F123,SELECDB,H$7-6,FALSE)),0)</f>
        <v>153960.93</v>
      </c>
      <c r="H123" s="207">
        <f t="shared" si="39"/>
        <v>3.8338898964765415E-3</v>
      </c>
      <c r="I123" s="206">
        <f t="shared" ref="I123:I129" si="44">IFERROR(IF($G$9="SEM DADOS","SEM DADOS",VLOOKUP($F123,SELECDB,J$7-1,FALSE)+VLOOKUP($F123,SELECDB,J$7-2,FALSE)+VLOOKUP($F123,SELECDB,J$7-3,FALSE)+VLOOKUP($F123,SELECDB,J$7-4,FALSE)+VLOOKUP($F123,SELECDB,J$7-5,FALSE)+VLOOKUP($F123,SELECDB,J$7-6,FALSE)),0)</f>
        <v>-33669.040000000001</v>
      </c>
      <c r="J123" s="207">
        <f t="shared" si="40"/>
        <v>-7.7348581888180587E-4</v>
      </c>
      <c r="K123" s="206">
        <f t="shared" ref="K123:K129" si="45">IFERROR(IF($G$9="SEM DADOS","SEM DADOS",VLOOKUP($F123,SELECDB,L$7-1,FALSE)+VLOOKUP($F123,SELECDB,L$7-2,FALSE)+VLOOKUP($F123,SELECDB,L$7-3,FALSE)+VLOOKUP($F123,SELECDB,L$7-4,FALSE)+VLOOKUP($F123,SELECDB,L$7-5,FALSE)+VLOOKUP($F123,SELECDB,L$7-6,FALSE)),0)</f>
        <v>25716.679999999993</v>
      </c>
      <c r="L123" s="207">
        <f t="shared" si="41"/>
        <v>4.0224696357496215E-4</v>
      </c>
      <c r="M123" s="206">
        <f t="shared" ref="M123:M129" si="46">IFERROR(IF($G$9="SEM DADOS","SEM DADOS",VLOOKUP($F123,SELECDB,N$7-1,FALSE)+VLOOKUP($F123,SELECDB,N$7-2,FALSE)+VLOOKUP($F123,SELECDB,N$7-3,FALSE)+VLOOKUP($F123,SELECDB,N$7-4,FALSE)+VLOOKUP($F123,SELECDB,N$7-5,FALSE)+VLOOKUP($F123,SELECDB,N$7-6,FALSE)),0)</f>
        <v>69550.259999999951</v>
      </c>
      <c r="N123" s="207">
        <f t="shared" si="42"/>
        <v>1.3871998583182578E-3</v>
      </c>
      <c r="O123" s="212"/>
      <c r="P123" s="209">
        <f t="shared" si="36"/>
        <v>-1.2186856106935702</v>
      </c>
      <c r="Q123" s="209">
        <f t="shared" si="37"/>
        <v>-1.7638079374998514</v>
      </c>
      <c r="R123" s="209">
        <f t="shared" si="38"/>
        <v>1.7044805161474952</v>
      </c>
    </row>
    <row r="124" spans="6:18" ht="15" thickBot="1" x14ac:dyDescent="0.35">
      <c r="F124" s="199" t="s">
        <v>108</v>
      </c>
      <c r="G124" s="200">
        <f t="shared" si="43"/>
        <v>9583118.6700000018</v>
      </c>
      <c r="H124" s="201">
        <f t="shared" si="39"/>
        <v>0.23863600879553482</v>
      </c>
      <c r="I124" s="200">
        <f t="shared" si="44"/>
        <v>8044044.0999999968</v>
      </c>
      <c r="J124" s="201">
        <f t="shared" si="40"/>
        <v>0.18479748866643828</v>
      </c>
      <c r="K124" s="200">
        <f t="shared" si="45"/>
        <v>7446103.3300000019</v>
      </c>
      <c r="L124" s="201">
        <f t="shared" si="41"/>
        <v>0.11646808433117789</v>
      </c>
      <c r="M124" s="200">
        <f t="shared" si="46"/>
        <v>4148199.2599999993</v>
      </c>
      <c r="N124" s="201">
        <f t="shared" si="42"/>
        <v>8.2737022489174084E-2</v>
      </c>
      <c r="O124" s="212"/>
      <c r="P124" s="201">
        <f t="shared" si="36"/>
        <v>-0.16060268300945546</v>
      </c>
      <c r="Q124" s="201">
        <f t="shared" si="37"/>
        <v>-7.4333353045639705E-2</v>
      </c>
      <c r="R124" s="201">
        <f t="shared" si="38"/>
        <v>-0.44290334472164805</v>
      </c>
    </row>
    <row r="125" spans="6:18" ht="15" thickTop="1" x14ac:dyDescent="0.3">
      <c r="F125" s="182" t="s">
        <v>142</v>
      </c>
      <c r="G125" s="206">
        <f t="shared" si="43"/>
        <v>-2124317.4249999998</v>
      </c>
      <c r="H125" s="207">
        <f t="shared" si="39"/>
        <v>-5.289912910123732E-2</v>
      </c>
      <c r="I125" s="206">
        <f t="shared" si="44"/>
        <v>-2036745.7525000002</v>
      </c>
      <c r="J125" s="207">
        <f t="shared" si="40"/>
        <v>-4.6790581383564921E-2</v>
      </c>
      <c r="K125" s="206">
        <f t="shared" si="45"/>
        <v>-2095365.54</v>
      </c>
      <c r="L125" s="207">
        <f t="shared" si="41"/>
        <v>-3.2774620442631443E-2</v>
      </c>
      <c r="M125" s="206">
        <f t="shared" si="46"/>
        <v>-949592.4674999998</v>
      </c>
      <c r="N125" s="207">
        <f t="shared" si="42"/>
        <v>-1.8939893774316378E-2</v>
      </c>
      <c r="O125" s="212"/>
      <c r="P125" s="209">
        <f t="shared" si="36"/>
        <v>-4.1223440277528001E-2</v>
      </c>
      <c r="Q125" s="209">
        <f t="shared" si="37"/>
        <v>2.8781102122367175E-2</v>
      </c>
      <c r="R125" s="209">
        <f t="shared" si="38"/>
        <v>-0.54681297875119217</v>
      </c>
    </row>
    <row r="126" spans="6:18" x14ac:dyDescent="0.3">
      <c r="F126" s="182" t="s">
        <v>143</v>
      </c>
      <c r="G126" s="206">
        <f t="shared" si="43"/>
        <v>-818503.05999999994</v>
      </c>
      <c r="H126" s="207">
        <f t="shared" si="39"/>
        <v>-2.0382122996848176E-2</v>
      </c>
      <c r="I126" s="206">
        <f t="shared" si="44"/>
        <v>-766348.47090000007</v>
      </c>
      <c r="J126" s="207">
        <f t="shared" si="40"/>
        <v>-1.7605481907500373E-2</v>
      </c>
      <c r="K126" s="206">
        <f t="shared" si="45"/>
        <v>-800051.60000000009</v>
      </c>
      <c r="L126" s="207">
        <f t="shared" si="41"/>
        <v>-1.2513991961765294E-2</v>
      </c>
      <c r="M126" s="206">
        <f t="shared" si="46"/>
        <v>-346173.2882999999</v>
      </c>
      <c r="N126" s="207">
        <f t="shared" si="42"/>
        <v>-6.9045253962145593E-3</v>
      </c>
      <c r="O126" s="212"/>
      <c r="P126" s="209">
        <f t="shared" si="36"/>
        <v>-6.3719479680381275E-2</v>
      </c>
      <c r="Q126" s="209">
        <f t="shared" si="37"/>
        <v>4.3978856068465966E-2</v>
      </c>
      <c r="R126" s="209">
        <f t="shared" si="38"/>
        <v>-0.56731129804627622</v>
      </c>
    </row>
    <row r="127" spans="6:18" ht="15" thickBot="1" x14ac:dyDescent="0.35">
      <c r="F127" s="199" t="s">
        <v>144</v>
      </c>
      <c r="G127" s="200">
        <f t="shared" si="43"/>
        <v>6640298.1850000024</v>
      </c>
      <c r="H127" s="201">
        <f t="shared" si="39"/>
        <v>0.16535475669744931</v>
      </c>
      <c r="I127" s="200">
        <f t="shared" si="44"/>
        <v>5240949.8765999973</v>
      </c>
      <c r="J127" s="201">
        <f t="shared" si="40"/>
        <v>0.120401425375373</v>
      </c>
      <c r="K127" s="200">
        <f t="shared" si="45"/>
        <v>4550686.1900000023</v>
      </c>
      <c r="L127" s="201">
        <f t="shared" si="41"/>
        <v>7.117947192678116E-2</v>
      </c>
      <c r="M127" s="200">
        <f t="shared" si="46"/>
        <v>2852433.5041999999</v>
      </c>
      <c r="N127" s="201">
        <f t="shared" si="42"/>
        <v>5.6892603318643153E-2</v>
      </c>
      <c r="O127" s="212"/>
      <c r="P127" s="201">
        <f t="shared" si="36"/>
        <v>-0.21073576357776236</v>
      </c>
      <c r="Q127" s="201">
        <f t="shared" si="37"/>
        <v>-0.13170583631831934</v>
      </c>
      <c r="R127" s="201">
        <f t="shared" si="38"/>
        <v>-0.37318606796747755</v>
      </c>
    </row>
    <row r="128" spans="6:18" ht="15" thickTop="1" x14ac:dyDescent="0.3">
      <c r="F128" s="182" t="s">
        <v>843</v>
      </c>
      <c r="G128" s="206">
        <f t="shared" si="43"/>
        <v>1000000</v>
      </c>
      <c r="H128" s="207">
        <f t="shared" si="39"/>
        <v>2.4901706533446775E-2</v>
      </c>
      <c r="I128" s="206">
        <f t="shared" si="44"/>
        <v>1000000</v>
      </c>
      <c r="J128" s="207">
        <f t="shared" si="40"/>
        <v>2.2973206806068895E-2</v>
      </c>
      <c r="K128" s="206">
        <f t="shared" si="45"/>
        <v>1000000</v>
      </c>
      <c r="L128" s="207">
        <f t="shared" si="41"/>
        <v>1.564148107667717E-2</v>
      </c>
      <c r="M128" s="206">
        <f t="shared" si="46"/>
        <v>700000</v>
      </c>
      <c r="N128" s="207">
        <f t="shared" si="42"/>
        <v>1.3961700514459344E-2</v>
      </c>
      <c r="O128" s="212"/>
      <c r="P128" s="209">
        <f t="shared" si="36"/>
        <v>0</v>
      </c>
      <c r="Q128" s="209">
        <f t="shared" si="37"/>
        <v>0</v>
      </c>
      <c r="R128" s="209">
        <f t="shared" si="38"/>
        <v>-0.30000000000000004</v>
      </c>
    </row>
    <row r="129" spans="6:18" ht="15" thickBot="1" x14ac:dyDescent="0.35">
      <c r="F129" s="199" t="s">
        <v>835</v>
      </c>
      <c r="G129" s="200">
        <f t="shared" si="43"/>
        <v>7640298.1850000024</v>
      </c>
      <c r="H129" s="201">
        <f t="shared" si="39"/>
        <v>0.19025646323089609</v>
      </c>
      <c r="I129" s="200">
        <f t="shared" si="44"/>
        <v>6240949.8765999973</v>
      </c>
      <c r="J129" s="201">
        <f t="shared" si="40"/>
        <v>0.14337463218144189</v>
      </c>
      <c r="K129" s="200">
        <f t="shared" si="45"/>
        <v>5550686.1900000013</v>
      </c>
      <c r="L129" s="201">
        <f t="shared" si="41"/>
        <v>8.6820953003458323E-2</v>
      </c>
      <c r="M129" s="200">
        <f t="shared" si="46"/>
        <v>3552433.5041999999</v>
      </c>
      <c r="N129" s="201">
        <f t="shared" si="42"/>
        <v>7.0854303833102497E-2</v>
      </c>
      <c r="O129" s="212"/>
      <c r="P129" s="201">
        <f t="shared" si="36"/>
        <v>-0.18315362496549015</v>
      </c>
      <c r="Q129" s="201">
        <f t="shared" si="37"/>
        <v>-0.11060234423418314</v>
      </c>
      <c r="R129" s="201">
        <f t="shared" si="38"/>
        <v>-0.36000101922533667</v>
      </c>
    </row>
    <row r="130" spans="6:18" ht="15" thickTop="1" x14ac:dyDescent="0.3"/>
  </sheetData>
  <sheetProtection selectLockedCells="1" selectUnlockedCells="1"/>
  <mergeCells count="2">
    <mergeCell ref="F5:R6"/>
    <mergeCell ref="F97:R97"/>
  </mergeCells>
  <conditionalFormatting sqref="P12:P70 P74:P12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Q12:Q70 Q74:Q95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R12:R16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R77:R88 R64:R70 R49:R58 R35:R46 R31:R32 R21:R22 R7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R95 R93 R91 R89 R76 R63 R61 R59 R48 R34 R30 R28 R26 R24 R20 R18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Q99:Q12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R99:R1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P1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Q128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R128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P129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Q129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R12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D4:D31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P7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Q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R71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P72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Q7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R72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P73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Q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R73">
    <cfRule type="iconSet" priority="1">
      <iconSet iconSet="3Arrows">
        <cfvo type="percent" val="0"/>
        <cfvo type="num" val="0"/>
        <cfvo type="num" val="0" gte="0"/>
      </iconSet>
    </cfRule>
  </conditionalFormatting>
  <pageMargins left="0.25" right="0.25" top="0.75" bottom="0.75" header="0.3" footer="0.3"/>
  <pageSetup paperSize="9" scale="38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44386" r:id="rId4" name="PGDRETRIMMENOS">
          <controlPr defaultSize="0" autoLine="0" r:id="rId5">
            <anchor>
              <from>
                <xdr:col>15</xdr:col>
                <xdr:colOff>1325880</xdr:colOff>
                <xdr:row>4</xdr:row>
                <xdr:rowOff>7620</xdr:rowOff>
              </from>
              <to>
                <xdr:col>16</xdr:col>
                <xdr:colOff>434340</xdr:colOff>
                <xdr:row>6</xdr:row>
                <xdr:rowOff>7620</xdr:rowOff>
              </to>
            </anchor>
          </controlPr>
        </control>
      </mc:Choice>
      <mc:Fallback>
        <control shapeId="144386" r:id="rId4" name="PGDRETRIMMENOS"/>
      </mc:Fallback>
    </mc:AlternateContent>
    <mc:AlternateContent xmlns:mc="http://schemas.openxmlformats.org/markup-compatibility/2006">
      <mc:Choice Requires="x14">
        <control shapeId="144385" r:id="rId6" name="PGDRETRIMMAIS">
          <controlPr defaultSize="0" autoLine="0" r:id="rId7">
            <anchor>
              <from>
                <xdr:col>16</xdr:col>
                <xdr:colOff>518160</xdr:colOff>
                <xdr:row>4</xdr:row>
                <xdr:rowOff>7620</xdr:rowOff>
              </from>
              <to>
                <xdr:col>17</xdr:col>
                <xdr:colOff>15240</xdr:colOff>
                <xdr:row>6</xdr:row>
                <xdr:rowOff>7620</xdr:rowOff>
              </to>
            </anchor>
          </controlPr>
        </control>
      </mc:Choice>
      <mc:Fallback>
        <control shapeId="144385" r:id="rId6" name="PGDRETRIMMAI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BCDB-4661-472A-8E57-19E38DFFE82C}">
  <sheetPr codeName="PlanDados">
    <pageSetUpPr autoPageBreaks="0"/>
  </sheetPr>
  <dimension ref="A1:K100"/>
  <sheetViews>
    <sheetView showGridLines="0" showRowColHeaders="0" topLeftCell="D1" zoomScale="73" zoomScaleNormal="73" workbookViewId="0">
      <pane ySplit="9" topLeftCell="A10" activePane="bottomLeft" state="frozen"/>
      <selection activeCell="D1" sqref="D1"/>
      <selection pane="bottomLeft"/>
    </sheetView>
  </sheetViews>
  <sheetFormatPr defaultRowHeight="14.4" x14ac:dyDescent="0.3"/>
  <cols>
    <col min="1" max="3" width="0" hidden="1" customWidth="1"/>
    <col min="4" max="4" width="16.6640625" bestFit="1" customWidth="1"/>
    <col min="5" max="5" width="40.6640625" bestFit="1" customWidth="1"/>
    <col min="6" max="11" width="25.6640625" customWidth="1"/>
    <col min="12" max="12" width="9.33203125" bestFit="1" customWidth="1"/>
    <col min="13" max="13" width="12.33203125" bestFit="1" customWidth="1"/>
    <col min="14" max="18" width="9.33203125" bestFit="1" customWidth="1"/>
    <col min="19" max="19" width="16.88671875" bestFit="1" customWidth="1"/>
  </cols>
  <sheetData>
    <row r="1" spans="1:11" ht="7.5" customHeight="1" x14ac:dyDescent="0.3"/>
    <row r="2" spans="1:11" s="55" customFormat="1" ht="37.5" customHeight="1" x14ac:dyDescent="0.3">
      <c r="A2" s="54">
        <f ca="1">NOW()</f>
        <v>46240.707701736108</v>
      </c>
    </row>
    <row r="10" spans="1:11" ht="15" thickBot="1" x14ac:dyDescent="0.35">
      <c r="E10" s="265" t="s">
        <v>632</v>
      </c>
      <c r="F10" s="265"/>
      <c r="G10" s="265"/>
      <c r="H10" s="265"/>
      <c r="I10" s="265"/>
      <c r="J10" s="265"/>
    </row>
    <row r="11" spans="1:11" s="6" customFormat="1" ht="15" thickTop="1" x14ac:dyDescent="0.3">
      <c r="E11" s="44">
        <v>87</v>
      </c>
      <c r="F11" s="6">
        <f>E11+1</f>
        <v>88</v>
      </c>
      <c r="G11" s="6">
        <f>F11+1</f>
        <v>89</v>
      </c>
      <c r="H11" s="6">
        <f>G11+1</f>
        <v>90</v>
      </c>
      <c r="I11" s="6">
        <f>H11+1</f>
        <v>91</v>
      </c>
      <c r="J11" s="6">
        <f>I11+1</f>
        <v>92</v>
      </c>
    </row>
    <row r="12" spans="1:11" x14ac:dyDescent="0.3">
      <c r="E12" s="6">
        <f>IFERROR(DATE(YEAR(H12)-1,MONTH(H12),),"")</f>
        <v>45077</v>
      </c>
      <c r="F12" s="21">
        <f>IFERROR(IF(INDEX(TBBP[],1,F11+1)&gt;3000,INDEX(TBBP[],1,F11+1),"FIM DO EXERCICIO "&amp;YEAR(E12)),"SEM DADOS")</f>
        <v>45383</v>
      </c>
      <c r="G12" s="21">
        <f>IFERROR(IF(INDEX(TBBP[],1,G11+1)&gt;3000,INDEX(TBBP[],1,G11+1),"FIM DO EXERCICIO "&amp;YEAR(F12)),"SEM DADOS")</f>
        <v>45413</v>
      </c>
      <c r="H12" s="21">
        <f>IFERROR(IF(INDEX(TBBP[],1,H11+1)&gt;3000,INDEX(TBBP[],1,H11+1),"FIM DO EXERCICIO "&amp;YEAR(G12)),"SEM DADOS")</f>
        <v>45444</v>
      </c>
      <c r="I12" s="21">
        <f>IFERROR(IF(INDEX(TBBP[],1,I11+1)&gt;3000,INDEX(TBBP[],1,I11+1),"FIM DO EXERCICIO "&amp;YEAR(H12)),"SEM DADOS")</f>
        <v>45474</v>
      </c>
      <c r="J12" s="21">
        <f>IFERROR(IF(INDEX(TBBP[],1,J11+1)&gt;3000,INDEX(TBBP[],1,J11+1),"FIM DO EXERCICIO "&amp;YEAR(I12)),"SEM DADOS")</f>
        <v>45505</v>
      </c>
      <c r="K12" s="38"/>
    </row>
    <row r="13" spans="1:11" x14ac:dyDescent="0.3">
      <c r="E13" s="143" t="s">
        <v>0</v>
      </c>
      <c r="F13" s="4">
        <f>IF(F12="SEM DADOS","SEM DADOS",VLOOKUP($E$13,SELECDB,F11,FALSE))</f>
        <v>27463235.559999999</v>
      </c>
      <c r="G13" s="4">
        <f>IF(G12="SEM DADOS","SEM DADOS",VLOOKUP($E$13,SELECDB,G11,FALSE))</f>
        <v>27271151.850000001</v>
      </c>
      <c r="H13" s="4">
        <f>IF(H12="SEM DADOS","SEM DADOS",VLOOKUP($E$13,SELECDB,H11,FALSE))</f>
        <v>28533292.890000001</v>
      </c>
      <c r="I13" s="4">
        <f>IF(I12="SEM DADOS","SEM DADOS",VLOOKUP($E$13,SELECDB,I11,FALSE))</f>
        <v>26991904.280000001</v>
      </c>
      <c r="J13" s="4">
        <f>IF(J12="SEM DADOS","SEM DADOS",VLOOKUP($E$13,SELECDB,J11,FALSE))</f>
        <v>27685161.27</v>
      </c>
    </row>
    <row r="14" spans="1:11" ht="15" customHeight="1" x14ac:dyDescent="0.3">
      <c r="F14" s="266">
        <f>IFERROR(F17/F13-1,0)</f>
        <v>-2.52663768798842E-2</v>
      </c>
      <c r="G14" s="266">
        <f>IFERROR(G17/G13-1,0)</f>
        <v>-0.11273991567759922</v>
      </c>
      <c r="H14" s="266">
        <f>IFERROR(H17/H13-1,0)</f>
        <v>-7.2687043447651645E-2</v>
      </c>
      <c r="I14" s="266">
        <f>IFERROR(I17/I13-1,0)</f>
        <v>1.9997166350353979E-3</v>
      </c>
      <c r="J14" s="266">
        <f>IFERROR(J17/J13-1,0)</f>
        <v>-6.3093859666001451E-2</v>
      </c>
      <c r="K14" s="268"/>
    </row>
    <row r="15" spans="1:11" ht="15" customHeight="1" x14ac:dyDescent="0.3">
      <c r="F15" s="266"/>
      <c r="G15" s="266"/>
      <c r="H15" s="266"/>
      <c r="I15" s="266"/>
      <c r="J15" s="266"/>
      <c r="K15" s="268"/>
    </row>
    <row r="16" spans="1:11" ht="15" customHeight="1" x14ac:dyDescent="0.3">
      <c r="D16" s="146"/>
      <c r="E16" s="6">
        <f>IFERROR(DATE(YEAR(H16)-1,MONTH(H12),),"")</f>
        <v>45443</v>
      </c>
      <c r="F16" s="21">
        <f>IFERROR(IF(INDEX(TBBP[],1,F11+14)&gt;3000,INDEX(TBBP[],1,F11+14),"EXERCICIO "&amp;YEAR(E16)),"SEM DADOS")</f>
        <v>45748</v>
      </c>
      <c r="G16" s="21">
        <f>IFERROR(IF(INDEX(TBBP[],1,G11+14)&gt;3000,INDEX(TBBP[],1,G11+14),"EXERCICIO "&amp;YEAR(F16)),"SEM DADOS")</f>
        <v>45778</v>
      </c>
      <c r="H16" s="21">
        <f>IFERROR(IF(INDEX(TBBP[],1,H11+14)&gt;3000,INDEX(TBBP[],1,H11+14),"EXERCICIO "&amp;YEAR(G16)),"SEM DADOS")</f>
        <v>45809</v>
      </c>
      <c r="I16" s="21">
        <f>IFERROR(IF(INDEX(TBBP[],1,I11+14)&gt;3000,INDEX(TBBP[],1,I11+14),"EXERCICIO "&amp;YEAR(H16)),"SEM DADOS")</f>
        <v>45839</v>
      </c>
      <c r="J16" s="21">
        <f>IFERROR(IF(INDEX(TBBP[],1,J11+14)&gt;3000,INDEX(TBBP[],1,J11+14),"EXERCICIO "&amp;YEAR(I16)),"SEM DADOS")</f>
        <v>45870</v>
      </c>
      <c r="K16" s="35"/>
    </row>
    <row r="17" spans="4:10" x14ac:dyDescent="0.3">
      <c r="E17" s="144" t="str">
        <f>E13</f>
        <v>Estoques</v>
      </c>
      <c r="F17" s="16">
        <f>IF(F16="SEM DADOS",0,VLOOKUP($E$13,SELECDB,F11+13,FALSE))</f>
        <v>26769339.100000001</v>
      </c>
      <c r="G17" s="16">
        <f>IF(G16="SEM DADOS",0,VLOOKUP($E$13,SELECDB,G11+13,FALSE))</f>
        <v>24196604.489999998</v>
      </c>
      <c r="H17" s="16">
        <f>IF(H16="SEM DADOS",0,VLOOKUP($E$13,SELECDB,H11+13,FALSE))</f>
        <v>26459292.190000001</v>
      </c>
      <c r="I17" s="16">
        <f>IF(I16="SEM DADOS","SEM DADOS",VLOOKUP($E$13,SELECDB,I11+13,FALSE))</f>
        <v>27045880.440000001</v>
      </c>
      <c r="J17" s="16">
        <f>IF(J16="SEM DADOS","SEM DADOS",VLOOKUP($E$13,SELECDB,J11+13,FALSE))</f>
        <v>25938397.59</v>
      </c>
    </row>
    <row r="18" spans="4:10" ht="15" customHeight="1" x14ac:dyDescent="0.3">
      <c r="F18" s="145"/>
      <c r="G18" s="145"/>
      <c r="H18" s="145"/>
      <c r="I18" s="145"/>
      <c r="J18" s="145"/>
    </row>
    <row r="19" spans="4:10" ht="5.0999999999999996" customHeight="1" x14ac:dyDescent="0.3">
      <c r="E19" s="27"/>
      <c r="F19" s="27"/>
      <c r="G19" s="27"/>
      <c r="H19" s="27"/>
      <c r="I19" s="27"/>
      <c r="J19" s="27"/>
    </row>
    <row r="20" spans="4:10" x14ac:dyDescent="0.3">
      <c r="F20" s="36"/>
      <c r="G20" s="36"/>
      <c r="H20" s="36"/>
      <c r="I20" s="36"/>
      <c r="J20" s="36"/>
    </row>
    <row r="21" spans="4:10" ht="15" thickBot="1" x14ac:dyDescent="0.35">
      <c r="E21" s="265" t="s">
        <v>633</v>
      </c>
      <c r="F21" s="265"/>
      <c r="G21" s="265"/>
      <c r="H21" s="265"/>
      <c r="I21" s="265"/>
      <c r="J21" s="265"/>
    </row>
    <row r="22" spans="4:10" ht="15" thickTop="1" x14ac:dyDescent="0.3">
      <c r="E22" s="20" t="s">
        <v>628</v>
      </c>
      <c r="F22" s="20" t="s">
        <v>629</v>
      </c>
      <c r="G22" s="20" t="s">
        <v>174</v>
      </c>
      <c r="H22" s="20" t="s">
        <v>630</v>
      </c>
      <c r="J22" s="20" t="s">
        <v>631</v>
      </c>
    </row>
    <row r="23" spans="4:10" ht="15" thickBot="1" x14ac:dyDescent="0.35">
      <c r="E23" s="143" t="s">
        <v>688</v>
      </c>
      <c r="F23" s="143" t="s">
        <v>181</v>
      </c>
      <c r="G23" s="143" t="s">
        <v>1125</v>
      </c>
      <c r="H23" s="26">
        <f>DSUM(tbindicadores,Tabela1[[#Headers],[Valor]],DADOS!E22:G23)</f>
        <v>0.15249509819150403</v>
      </c>
      <c r="J23" s="269">
        <f>IFERROR(H23/H26-1,0)</f>
        <v>0.7608895697846052</v>
      </c>
    </row>
    <row r="24" spans="4:10" ht="15" thickTop="1" x14ac:dyDescent="0.3">
      <c r="J24" s="269"/>
    </row>
    <row r="25" spans="4:10" x14ac:dyDescent="0.3">
      <c r="E25" s="20" t="s">
        <v>628</v>
      </c>
      <c r="F25" s="20" t="s">
        <v>629</v>
      </c>
      <c r="G25" s="20" t="s">
        <v>174</v>
      </c>
      <c r="H25" s="20" t="s">
        <v>630</v>
      </c>
      <c r="J25" s="269"/>
    </row>
    <row r="26" spans="4:10" ht="15" thickBot="1" x14ac:dyDescent="0.35">
      <c r="E26" s="144" t="str">
        <f>E23</f>
        <v>MARGEM EBIT</v>
      </c>
      <c r="F26" s="144" t="str">
        <f>F23</f>
        <v>Julho</v>
      </c>
      <c r="G26" s="144">
        <f>G23-1</f>
        <v>2023</v>
      </c>
      <c r="H26" s="26">
        <f>DSUM(tbindicadores,Tabela1[[#Headers],[Valor]],DADOS!E25:G26)</f>
        <v>8.6601170685653775E-2</v>
      </c>
      <c r="J26" s="269"/>
    </row>
    <row r="27" spans="4:10" ht="15" thickTop="1" x14ac:dyDescent="0.3"/>
    <row r="28" spans="4:10" ht="15" thickBot="1" x14ac:dyDescent="0.35">
      <c r="E28" s="265" t="s">
        <v>668</v>
      </c>
      <c r="F28" s="265"/>
      <c r="G28" s="265"/>
      <c r="H28" s="265"/>
      <c r="I28" s="265"/>
      <c r="J28" s="265"/>
    </row>
    <row r="29" spans="4:10" ht="15" thickTop="1" x14ac:dyDescent="0.3">
      <c r="E29" s="45">
        <v>89</v>
      </c>
      <c r="F29" s="43"/>
      <c r="G29" s="43">
        <f>E29+1</f>
        <v>90</v>
      </c>
      <c r="H29" s="43"/>
      <c r="I29" s="43">
        <f>G29+1</f>
        <v>91</v>
      </c>
      <c r="J29" s="43"/>
    </row>
    <row r="30" spans="4:10" x14ac:dyDescent="0.3">
      <c r="E30" s="267"/>
      <c r="F30" s="267"/>
      <c r="G30" s="267"/>
      <c r="H30" s="267"/>
      <c r="I30" s="267"/>
      <c r="J30" s="267"/>
    </row>
    <row r="31" spans="4:10" ht="15" thickBot="1" x14ac:dyDescent="0.35">
      <c r="E31" s="172" t="s">
        <v>706</v>
      </c>
      <c r="F31" s="213" t="s">
        <v>707</v>
      </c>
      <c r="G31" s="214" t="s">
        <v>706</v>
      </c>
      <c r="H31" s="213" t="s">
        <v>707</v>
      </c>
      <c r="I31" s="214" t="s">
        <v>706</v>
      </c>
      <c r="J31" s="213" t="s">
        <v>707</v>
      </c>
    </row>
    <row r="32" spans="4:10" ht="15" thickTop="1" x14ac:dyDescent="0.3">
      <c r="D32" s="6">
        <f>IFERROR(DATE(YEAR(G32)-1,MONTH(G32),DAY(I32)),"")</f>
        <v>45108</v>
      </c>
      <c r="E32" s="271">
        <f>IFERROR(IF(INDEX(TBBP[],1,E29+2)&gt;3000,INDEX(TBBP[],1,E29+2),"EXERCICIO "&amp;YEAR(D32)),"SEM DADOS")</f>
        <v>45444</v>
      </c>
      <c r="F32" s="271"/>
      <c r="G32" s="271">
        <f>IFERROR(IF(INDEX(TBBP[],1,G29+2)&gt;3000,INDEX(TBBP[],1,G29+2),"EXERCICIO "&amp;YEAR(E32)),"SEM DADOS")</f>
        <v>45474</v>
      </c>
      <c r="H32" s="271"/>
      <c r="I32" s="271">
        <f>IFERROR(IF(INDEX(TBBP[],1,I29+2)&gt;3000,INDEX(TBBP[],1,I29+2),"EXERCICIO "&amp;YEAR(G32)),"SEM DADOS")</f>
        <v>45505</v>
      </c>
      <c r="J32" s="271"/>
    </row>
    <row r="33" spans="4:10" ht="15" customHeight="1" thickBot="1" x14ac:dyDescent="0.35">
      <c r="D33" s="270" t="s">
        <v>708</v>
      </c>
      <c r="E33" s="215">
        <f>IF(E32="SEM DADOS","SEM DADOS",VLOOKUP($D$33,SELECDB,$E$29+1,FALSE))</f>
        <v>7595893.7100000046</v>
      </c>
      <c r="F33" s="216">
        <f>IF(E32="SEM DADOS","SEM DADOS",VLOOKUP(DB!$B$129,SELECDB,$E$29+1,FALSE))</f>
        <v>3795513.6100000003</v>
      </c>
      <c r="G33" s="215">
        <f>IF(G32="SEM DADOS","SEM DADOS",VLOOKUP($D$33,SELECDB,$G$29+1,FALSE))</f>
        <v>9037754.269999994</v>
      </c>
      <c r="H33" s="216">
        <f>IF(G32="SEM DADOS","SEM DADOS",VLOOKUP(DB!$B$129,SELECDB,$G$29+1,FALSE))</f>
        <v>5317209.370000002</v>
      </c>
      <c r="I33" s="215">
        <f>IF(I32="SEM DADOS","SEM DADOS",VLOOKUP($D$33,SELECDB,$I$29+1,FALSE))</f>
        <v>6030476.6100000078</v>
      </c>
      <c r="J33" s="217">
        <f>IF(I32="SEM DADOS","SEM DADOS",VLOOKUP(DB!$B$129,SELECDB,$I$29+1,FALSE))</f>
        <v>3018940.1800000011</v>
      </c>
    </row>
    <row r="34" spans="4:10" ht="15" thickTop="1" x14ac:dyDescent="0.3">
      <c r="D34" s="270"/>
      <c r="E34" s="273">
        <f>IFERROR(F33/E33,0)</f>
        <v>0.49967966310576484</v>
      </c>
      <c r="F34" s="273"/>
      <c r="G34" s="273">
        <f>IFERROR(H33/G33,0)</f>
        <v>0.58833303176321095</v>
      </c>
      <c r="H34" s="273"/>
      <c r="I34" s="273">
        <f>IFERROR(J33/I33,0)</f>
        <v>0.50061386109911421</v>
      </c>
      <c r="J34" s="273"/>
    </row>
    <row r="35" spans="4:10" ht="15" customHeight="1" thickBot="1" x14ac:dyDescent="0.35">
      <c r="D35" s="270" t="s">
        <v>711</v>
      </c>
      <c r="E35" s="215">
        <f>IF(E32="SEM DADOS","SEM DADOS",VLOOKUP(D35,SELECDB,$E$29+1,FALSE))</f>
        <v>2911797.0799999982</v>
      </c>
      <c r="F35" s="216">
        <f>IF(F33="SEM DADOS","SEM DADOS",VLOOKUP(DB!B130,SELECDB,$E$29+1,FALSE))</f>
        <v>1182590.5</v>
      </c>
      <c r="G35" s="215">
        <f>IF(G33="SEM DADOS","SEM DADOS",VLOOKUP($D$35,SELECDB,$G$29+1,FALSE))</f>
        <v>2794902.7999999989</v>
      </c>
      <c r="H35" s="216">
        <f>IF(H33="SEM DADOS","SEM DADOS",VLOOKUP(DB!$B$130,SELECDB,$G$29+1,FALSE))</f>
        <v>1038864.02</v>
      </c>
      <c r="I35" s="215">
        <f>IF(I32="SEM DADOS","SEM DADOS",VLOOKUP($D$35,SELECDB,$I$29+1,FALSE))</f>
        <v>2704259.3000000003</v>
      </c>
      <c r="J35" s="217">
        <f>IF(I32="SEM DADOS","SEM DADOS",VLOOKUP(DB!$B$130,SELECDB,$I$29+1,FALSE))</f>
        <v>1083998.4399999985</v>
      </c>
    </row>
    <row r="36" spans="4:10" ht="15" thickTop="1" x14ac:dyDescent="0.3">
      <c r="D36" s="270"/>
      <c r="E36" s="273">
        <f>IFERROR(F35/E35,0)</f>
        <v>0.40613767632461556</v>
      </c>
      <c r="F36" s="273"/>
      <c r="G36" s="273">
        <f>IFERROR(H35/G35,0)</f>
        <v>0.37169951670591206</v>
      </c>
      <c r="H36" s="273"/>
      <c r="I36" s="273">
        <f>IFERROR(J35/I35,0)</f>
        <v>0.40084855768084016</v>
      </c>
      <c r="J36" s="273"/>
    </row>
    <row r="37" spans="4:10" ht="15" customHeight="1" thickBot="1" x14ac:dyDescent="0.35">
      <c r="D37" s="270" t="s">
        <v>709</v>
      </c>
      <c r="E37" s="215">
        <f>IF(E32="SEM DADOS","SEM DADOS",VLOOKUP(D37,SELECDB,$E$29+1,FALSE))</f>
        <v>35482.17</v>
      </c>
      <c r="F37" s="216">
        <f>IF(F33="SEM DADOS","SEM DADOS",VLOOKUP(DB!B131,SELECDB,$E$29+1,FALSE))</f>
        <v>193.92</v>
      </c>
      <c r="G37" s="215">
        <f>IF(G33="SEM DADOS","SEM DADOS",VLOOKUP($D$37,SELECDB,$G$29+1,FALSE))</f>
        <v>39386.829999999994</v>
      </c>
      <c r="H37" s="216">
        <f>IF(H33="SEM DADOS","SEM DADOS",VLOOKUP(DB!$B$131,SELECDB,$G$29+1,FALSE))</f>
        <v>0</v>
      </c>
      <c r="I37" s="215">
        <f>IF(I32="SEM DADOS","SEM DADOS",VLOOKUP($D$37,SELECDB,$I$29+1,FALSE))</f>
        <v>103951.43999999999</v>
      </c>
      <c r="J37" s="217">
        <f>IF(I32="SEM DADOS","SEM DADOS",VLOOKUP(DB!$B$131,SELECDB,$I$29+1,FALSE))</f>
        <v>9816.0400000000009</v>
      </c>
    </row>
    <row r="38" spans="4:10" ht="15" thickTop="1" x14ac:dyDescent="0.3">
      <c r="D38" s="270"/>
      <c r="E38" s="273">
        <f>IFERROR(F37/E37,0)</f>
        <v>5.4652801674756647E-3</v>
      </c>
      <c r="F38" s="273"/>
      <c r="G38" s="273">
        <f>IFERROR(H37/G37,0)</f>
        <v>0</v>
      </c>
      <c r="H38" s="273"/>
      <c r="I38" s="273">
        <f>IFERROR(J37/I37,0)</f>
        <v>9.442909112177765E-2</v>
      </c>
      <c r="J38" s="273"/>
    </row>
    <row r="40" spans="4:10" x14ac:dyDescent="0.3">
      <c r="E40" s="272" t="s">
        <v>1047</v>
      </c>
      <c r="F40" s="272"/>
      <c r="G40" s="272"/>
      <c r="H40" s="272"/>
      <c r="I40" s="272"/>
      <c r="J40" s="272"/>
    </row>
    <row r="62" spans="5:10" x14ac:dyDescent="0.3">
      <c r="E62" s="272" t="s">
        <v>1122</v>
      </c>
      <c r="F62" s="272"/>
      <c r="G62" s="272"/>
      <c r="H62" s="272"/>
      <c r="I62" s="272"/>
      <c r="J62" s="272"/>
    </row>
    <row r="100" spans="3:3" x14ac:dyDescent="0.3">
      <c r="C100">
        <v>1</v>
      </c>
    </row>
  </sheetData>
  <sheetProtection selectLockedCells="1"/>
  <mergeCells count="30">
    <mergeCell ref="E62:J62"/>
    <mergeCell ref="E40:J40"/>
    <mergeCell ref="I32:J32"/>
    <mergeCell ref="E34:F34"/>
    <mergeCell ref="E36:F36"/>
    <mergeCell ref="E38:F38"/>
    <mergeCell ref="G34:H34"/>
    <mergeCell ref="G36:H36"/>
    <mergeCell ref="G38:H38"/>
    <mergeCell ref="I34:J34"/>
    <mergeCell ref="I36:J36"/>
    <mergeCell ref="I38:J38"/>
    <mergeCell ref="D35:D36"/>
    <mergeCell ref="D37:D38"/>
    <mergeCell ref="D33:D34"/>
    <mergeCell ref="E32:F32"/>
    <mergeCell ref="G32:H32"/>
    <mergeCell ref="E30:F30"/>
    <mergeCell ref="G30:H30"/>
    <mergeCell ref="I30:J30"/>
    <mergeCell ref="E28:J28"/>
    <mergeCell ref="K14:K15"/>
    <mergeCell ref="F14:F15"/>
    <mergeCell ref="J23:J26"/>
    <mergeCell ref="E10:J10"/>
    <mergeCell ref="E21:J21"/>
    <mergeCell ref="G14:G15"/>
    <mergeCell ref="H14:H15"/>
    <mergeCell ref="I14:I15"/>
    <mergeCell ref="J14:J15"/>
  </mergeCells>
  <conditionalFormatting sqref="J23">
    <cfRule type="cellIs" dxfId="1481" priority="21" operator="greaterThan">
      <formula>0</formula>
    </cfRule>
    <cfRule type="cellIs" dxfId="1480" priority="22" operator="lessThan">
      <formula>0</formula>
    </cfRule>
  </conditionalFormatting>
  <conditionalFormatting sqref="G14">
    <cfRule type="cellIs" dxfId="1479" priority="18" operator="greaterThan">
      <formula>0</formula>
    </cfRule>
    <cfRule type="cellIs" dxfId="1478" priority="19" operator="lessThan">
      <formula>0</formula>
    </cfRule>
  </conditionalFormatting>
  <conditionalFormatting sqref="F18:J18">
    <cfRule type="cellIs" dxfId="1477" priority="15" operator="greaterThan">
      <formula>0</formula>
    </cfRule>
    <cfRule type="cellIs" dxfId="1476" priority="16" operator="lessThan">
      <formula>0</formula>
    </cfRule>
  </conditionalFormatting>
  <conditionalFormatting sqref="H14">
    <cfRule type="cellIs" dxfId="1475" priority="12" operator="greaterThan">
      <formula>0</formula>
    </cfRule>
    <cfRule type="cellIs" dxfId="1474" priority="13" operator="lessThan">
      <formula>0</formula>
    </cfRule>
  </conditionalFormatting>
  <conditionalFormatting sqref="I14">
    <cfRule type="cellIs" dxfId="1473" priority="9" operator="greaterThan">
      <formula>0</formula>
    </cfRule>
    <cfRule type="cellIs" dxfId="1472" priority="10" operator="lessThan">
      <formula>0</formula>
    </cfRule>
  </conditionalFormatting>
  <conditionalFormatting sqref="J14">
    <cfRule type="cellIs" dxfId="1471" priority="6" operator="greaterThan">
      <formula>0</formula>
    </cfRule>
    <cfRule type="cellIs" dxfId="1470" priority="7" operator="lessThan">
      <formula>0</formula>
    </cfRule>
  </conditionalFormatting>
  <conditionalFormatting sqref="K14:K15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F14">
    <cfRule type="cellIs" dxfId="1469" priority="2" operator="greaterThan">
      <formula>0</formula>
    </cfRule>
    <cfRule type="cellIs" dxfId="1468" priority="3" operator="lessThan">
      <formula>0</formula>
    </cfRule>
  </conditionalFormatting>
  <dataValidations disablePrompts="1" count="3">
    <dataValidation type="list" showInputMessage="1" showErrorMessage="1" sqref="F23" xr:uid="{827A6074-BDBA-420D-9463-29FE3ABFBB68}">
      <formula1>LISTAMES</formula1>
    </dataValidation>
    <dataValidation type="list" allowBlank="1" showInputMessage="1" showErrorMessage="1" sqref="G23" xr:uid="{545F33E1-CD4B-48EF-8653-319F04815EAC}">
      <formula1>LISTAANO</formula1>
    </dataValidation>
    <dataValidation showInputMessage="1" showErrorMessage="1" sqref="E26:F26 E17" xr:uid="{C340CB8E-D128-4BC0-A2DB-504D33704D84}"/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5 G37 I37 I35" formula="1"/>
  </ignoredErrors>
  <drawing r:id="rId2"/>
  <legacyDrawing r:id="rId3"/>
  <controls>
    <mc:AlternateContent xmlns:mc="http://schemas.openxmlformats.org/markup-compatibility/2006">
      <mc:Choice Requires="x14">
        <control shapeId="10254" r:id="rId4" name="TempCombo">
          <controlPr defaultSize="0" autoLine="0" autoPict="0" r:id="rId5">
            <anchor>
              <from>
                <xdr:col>3</xdr:col>
                <xdr:colOff>129540</xdr:colOff>
                <xdr:row>1</xdr:row>
                <xdr:rowOff>38100</xdr:rowOff>
              </from>
              <to>
                <xdr:col>3</xdr:col>
                <xdr:colOff>129540</xdr:colOff>
                <xdr:row>1</xdr:row>
                <xdr:rowOff>281940</xdr:rowOff>
              </to>
            </anchor>
          </controlPr>
        </control>
      </mc:Choice>
      <mc:Fallback>
        <control shapeId="10254" r:id="rId4" name="TempCombo"/>
      </mc:Fallback>
    </mc:AlternateContent>
    <mc:AlternateContent xmlns:mc="http://schemas.openxmlformats.org/markup-compatibility/2006">
      <mc:Choice Requires="x14">
        <control shapeId="10245" r:id="rId6" name="Scroll Bar 5">
          <controlPr defaultSize="0" autoPict="0">
            <anchor>
              <from>
                <xdr:col>3</xdr:col>
                <xdr:colOff>1089660</xdr:colOff>
                <xdr:row>10</xdr:row>
                <xdr:rowOff>38100</xdr:rowOff>
              </from>
              <to>
                <xdr:col>10</xdr:col>
                <xdr:colOff>22860</xdr:colOff>
                <xdr:row>10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7" r:id="rId7" name="Scroll Bar 7">
          <controlPr defaultSize="0" autoPict="0">
            <anchor moveWithCells="1">
              <from>
                <xdr:col>4</xdr:col>
                <xdr:colOff>7620</xdr:colOff>
                <xdr:row>28</xdr:row>
                <xdr:rowOff>38100</xdr:rowOff>
              </from>
              <to>
                <xdr:col>10</xdr:col>
                <xdr:colOff>0</xdr:colOff>
                <xdr:row>29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8" r:id="rId8" name="Button 8">
          <controlPr defaultSize="0" autoFill="0" autoPict="0" macro="[0]!BarrasOff">
            <anchor moveWithCells="1" sizeWithCells="1">
              <from>
                <xdr:col>4</xdr:col>
                <xdr:colOff>601980</xdr:colOff>
                <xdr:row>5</xdr:row>
                <xdr:rowOff>152400</xdr:rowOff>
              </from>
              <to>
                <xdr:col>4</xdr:col>
                <xdr:colOff>1188720</xdr:colOff>
                <xdr:row>7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9" r:id="rId9" name="Button 9">
          <controlPr defaultSize="0" autoFill="0" autoPict="0" macro="[0]!BarrasOn">
            <anchor moveWithCells="1" sizeWithCells="1">
              <from>
                <xdr:col>3</xdr:col>
                <xdr:colOff>1104900</xdr:colOff>
                <xdr:row>5</xdr:row>
                <xdr:rowOff>152400</xdr:rowOff>
              </from>
              <to>
                <xdr:col>4</xdr:col>
                <xdr:colOff>541020</xdr:colOff>
                <xdr:row>7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10" name="Group Box 10">
          <controlPr defaultSize="0" autoFill="0" autoPict="0">
            <anchor moveWithCells="1">
              <from>
                <xdr:col>3</xdr:col>
                <xdr:colOff>1036320</xdr:colOff>
                <xdr:row>4</xdr:row>
                <xdr:rowOff>106680</xdr:rowOff>
              </from>
              <to>
                <xdr:col>4</xdr:col>
                <xdr:colOff>1242060</xdr:colOff>
                <xdr:row>7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1" r:id="rId11" name="Button 11">
          <controlPr defaultSize="0" print="0" autoFill="0" autoPict="0" macro="[0]!_xlnm.Auto_Open">
            <anchor moveWithCells="1" sizeWithCells="1">
              <from>
                <xdr:col>9</xdr:col>
                <xdr:colOff>411480</xdr:colOff>
                <xdr:row>5</xdr:row>
                <xdr:rowOff>38100</xdr:rowOff>
              </from>
              <to>
                <xdr:col>9</xdr:col>
                <xdr:colOff>1592580</xdr:colOff>
                <xdr:row>6</xdr:row>
                <xdr:rowOff>121920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" id="{A3F10F2B-7FCB-4FCB-BC0A-2823E064F69C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J23</xm:sqref>
        </x14:conditionalFormatting>
        <x14:conditionalFormatting xmlns:xm="http://schemas.microsoft.com/office/excel/2006/main">
          <x14:cfRule type="iconSet" priority="17" id="{1D7B8450-1C0F-4FE8-A02D-116E3E067427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G14</xm:sqref>
        </x14:conditionalFormatting>
        <x14:conditionalFormatting xmlns:xm="http://schemas.microsoft.com/office/excel/2006/main">
          <x14:cfRule type="iconSet" priority="14" id="{4D089C9F-C0AA-48E9-A563-62D275F195AA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F18:J18</xm:sqref>
        </x14:conditionalFormatting>
        <x14:conditionalFormatting xmlns:xm="http://schemas.microsoft.com/office/excel/2006/main">
          <x14:cfRule type="iconSet" priority="11" id="{A9845FDC-79CC-40FC-8E95-59F83F0973DA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H14</xm:sqref>
        </x14:conditionalFormatting>
        <x14:conditionalFormatting xmlns:xm="http://schemas.microsoft.com/office/excel/2006/main">
          <x14:cfRule type="iconSet" priority="8" id="{F814B328-6C56-41E6-BA03-BA16437A1FCF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I14</xm:sqref>
        </x14:conditionalFormatting>
        <x14:conditionalFormatting xmlns:xm="http://schemas.microsoft.com/office/excel/2006/main">
          <x14:cfRule type="iconSet" priority="5" id="{E20B3D91-7D97-4FB3-934C-6A2C5C51F5AB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J14</xm:sqref>
        </x14:conditionalFormatting>
        <x14:conditionalFormatting xmlns:xm="http://schemas.microsoft.com/office/excel/2006/main">
          <x14:cfRule type="iconSet" priority="1" id="{B172110B-439B-496E-93C1-BD8943FC1067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F14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showInputMessage="1" showErrorMessage="1" xr:uid="{D3161743-329E-4D7A-80AF-8D2101C99218}">
          <x14:formula1>
            <xm:f>BDINDICADORES!#REF!</xm:f>
          </x14:formula1>
          <xm:sqref>E23</xm:sqref>
        </x14:dataValidation>
        <x14:dataValidation type="list" showInputMessage="1" showErrorMessage="1" xr:uid="{CDBFF28E-B157-4BAB-92BF-BEE9DC921C48}">
          <x14:formula1>
            <xm:f>DB!$B$5:$B$1048576</xm:f>
          </x14:formula1>
          <xm:sqref>E13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F40EB-C08E-46EB-A7FC-5CB25497A103}">
  <sheetPr codeName="Planilha9">
    <pageSetUpPr autoPageBreaks="0" fitToPage="1"/>
  </sheetPr>
  <dimension ref="A1:DV314"/>
  <sheetViews>
    <sheetView zoomScale="104" zoomScaleNormal="104" workbookViewId="0">
      <pane xSplit="2" ySplit="4" topLeftCell="DJ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4" x14ac:dyDescent="0.3"/>
  <cols>
    <col min="1" max="1" width="15.88671875" style="7" bestFit="1" customWidth="1"/>
    <col min="2" max="2" width="47.5546875" bestFit="1" customWidth="1"/>
    <col min="3" max="4" width="16.88671875" bestFit="1" customWidth="1"/>
    <col min="5" max="7" width="17.44140625" bestFit="1" customWidth="1"/>
    <col min="8" max="19" width="16.88671875" bestFit="1" customWidth="1"/>
    <col min="20" max="20" width="17.44140625" bestFit="1" customWidth="1"/>
    <col min="21" max="32" width="16.88671875" bestFit="1" customWidth="1"/>
    <col min="33" max="33" width="17.44140625" bestFit="1" customWidth="1"/>
    <col min="34" max="45" width="16.88671875" bestFit="1" customWidth="1"/>
    <col min="46" max="46" width="17.44140625" bestFit="1" customWidth="1"/>
    <col min="47" max="58" width="16.88671875" bestFit="1" customWidth="1"/>
    <col min="59" max="59" width="18" bestFit="1" customWidth="1"/>
    <col min="60" max="71" width="16.88671875" bestFit="1" customWidth="1"/>
    <col min="72" max="72" width="18" bestFit="1" customWidth="1"/>
    <col min="73" max="84" width="16.88671875" bestFit="1" customWidth="1"/>
    <col min="85" max="85" width="18" bestFit="1" customWidth="1"/>
    <col min="86" max="87" width="16.88671875" bestFit="1" customWidth="1"/>
    <col min="88" max="97" width="18" bestFit="1" customWidth="1"/>
    <col min="98" max="98" width="18.5546875" bestFit="1" customWidth="1"/>
    <col min="99" max="117" width="18" customWidth="1"/>
    <col min="118" max="118" width="31.5546875" bestFit="1" customWidth="1"/>
    <col min="119" max="119" width="35.44140625" bestFit="1" customWidth="1"/>
    <col min="120" max="121" width="17.5546875" bestFit="1" customWidth="1"/>
    <col min="122" max="122" width="17.33203125" bestFit="1" customWidth="1"/>
    <col min="123" max="123" width="8.21875" style="2" bestFit="1" customWidth="1"/>
    <col min="124" max="124" width="17.33203125" style="258" customWidth="1"/>
    <col min="125" max="125" width="18.109375" style="2" customWidth="1"/>
    <col min="126" max="127" width="18.109375" bestFit="1" customWidth="1"/>
    <col min="129" max="129" width="13.33203125" bestFit="1" customWidth="1"/>
  </cols>
  <sheetData>
    <row r="1" spans="1:125" x14ac:dyDescent="0.3">
      <c r="A1" s="7" t="s">
        <v>1133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7"/>
      <c r="V1" s="2"/>
      <c r="W1" s="2"/>
      <c r="X1" s="2"/>
      <c r="Y1" s="2"/>
      <c r="Z1" s="2"/>
      <c r="AA1" s="2"/>
      <c r="AB1" s="2"/>
      <c r="AC1" s="2"/>
      <c r="AD1" s="2"/>
      <c r="DN1" s="57" t="s">
        <v>736</v>
      </c>
      <c r="DO1" s="57" t="s">
        <v>1029</v>
      </c>
      <c r="DQ1" s="2">
        <v>2026</v>
      </c>
      <c r="DR1" s="2" t="str">
        <f>"&gt;="&amp;VLOOKUP(DQ1,numanos,4,0)</f>
        <v>&gt;=46023</v>
      </c>
      <c r="DS1" s="2">
        <f>MONTH(FORMULAS!A25)</f>
        <v>6</v>
      </c>
    </row>
    <row r="2" spans="1:125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239"/>
      <c r="DM2" s="239"/>
      <c r="DN2" s="4"/>
      <c r="DO2" s="9"/>
      <c r="DQ2" s="2">
        <v>2027</v>
      </c>
      <c r="DR2" s="2" t="str">
        <f>"&lt;"&amp;VLOOKUP(DQ2,numanos,4,0)</f>
        <v>&lt;46388</v>
      </c>
      <c r="DS2" s="2" t="str">
        <f>VLOOKUP(DS1,NUMMESES,2,)</f>
        <v>Junho</v>
      </c>
    </row>
    <row r="3" spans="1:125" s="109" customFormat="1" ht="15" thickBot="1" x14ac:dyDescent="0.35">
      <c r="A3" s="109" t="s">
        <v>776</v>
      </c>
      <c r="B3" s="109" t="s">
        <v>777</v>
      </c>
      <c r="C3" s="109" t="s">
        <v>783</v>
      </c>
      <c r="D3" s="109" t="s">
        <v>784</v>
      </c>
      <c r="E3" s="109" t="s">
        <v>785</v>
      </c>
      <c r="F3" s="109" t="s">
        <v>786</v>
      </c>
      <c r="G3" s="109" t="s">
        <v>787</v>
      </c>
      <c r="H3" s="109" t="s">
        <v>788</v>
      </c>
      <c r="I3" s="109" t="s">
        <v>789</v>
      </c>
      <c r="J3" s="109" t="s">
        <v>790</v>
      </c>
      <c r="K3" s="109" t="s">
        <v>791</v>
      </c>
      <c r="L3" s="109" t="s">
        <v>792</v>
      </c>
      <c r="M3" s="109" t="s">
        <v>793</v>
      </c>
      <c r="N3" s="109" t="s">
        <v>794</v>
      </c>
      <c r="O3" s="109" t="s">
        <v>796</v>
      </c>
      <c r="P3" s="109" t="s">
        <v>797</v>
      </c>
      <c r="Q3" s="109" t="s">
        <v>798</v>
      </c>
      <c r="R3" s="109" t="s">
        <v>799</v>
      </c>
      <c r="S3" s="109" t="s">
        <v>800</v>
      </c>
      <c r="T3" s="109" t="s">
        <v>801</v>
      </c>
      <c r="U3" s="109" t="s">
        <v>802</v>
      </c>
      <c r="V3" s="109" t="s">
        <v>803</v>
      </c>
      <c r="W3" s="109" t="s">
        <v>804</v>
      </c>
      <c r="X3" s="109" t="s">
        <v>805</v>
      </c>
      <c r="Y3" s="109" t="s">
        <v>806</v>
      </c>
      <c r="Z3" s="109" t="s">
        <v>782</v>
      </c>
      <c r="AA3" s="109" t="s">
        <v>778</v>
      </c>
      <c r="AB3" s="109" t="s">
        <v>779</v>
      </c>
      <c r="AC3" s="109" t="s">
        <v>780</v>
      </c>
      <c r="AD3" s="109" t="s">
        <v>781</v>
      </c>
      <c r="AE3" s="109" t="s">
        <v>807</v>
      </c>
      <c r="AF3" s="109" t="s">
        <v>809</v>
      </c>
      <c r="AG3" s="109" t="s">
        <v>795</v>
      </c>
      <c r="AH3" s="109" t="s">
        <v>808</v>
      </c>
      <c r="AI3" s="109" t="s">
        <v>810</v>
      </c>
      <c r="AJ3" s="109" t="s">
        <v>811</v>
      </c>
      <c r="AK3" s="109" t="s">
        <v>812</v>
      </c>
      <c r="AL3" s="109" t="s">
        <v>813</v>
      </c>
      <c r="AM3" s="109" t="s">
        <v>814</v>
      </c>
      <c r="AN3" s="109" t="s">
        <v>815</v>
      </c>
      <c r="AO3" s="109" t="s">
        <v>816</v>
      </c>
      <c r="AP3" s="109" t="s">
        <v>817</v>
      </c>
      <c r="AQ3" s="109" t="s">
        <v>818</v>
      </c>
      <c r="AR3" s="109" t="s">
        <v>819</v>
      </c>
      <c r="AS3" s="109" t="s">
        <v>820</v>
      </c>
      <c r="AT3" s="109" t="s">
        <v>821</v>
      </c>
      <c r="AU3" s="109" t="s">
        <v>822</v>
      </c>
      <c r="AV3" s="109" t="s">
        <v>823</v>
      </c>
      <c r="AW3" s="109" t="s">
        <v>824</v>
      </c>
      <c r="AX3" s="109" t="s">
        <v>825</v>
      </c>
      <c r="AY3" s="109" t="s">
        <v>826</v>
      </c>
      <c r="AZ3" s="109" t="s">
        <v>827</v>
      </c>
      <c r="BA3" s="109" t="s">
        <v>828</v>
      </c>
      <c r="BB3" s="109" t="s">
        <v>829</v>
      </c>
      <c r="BC3" s="109" t="s">
        <v>830</v>
      </c>
      <c r="BD3" s="109" t="s">
        <v>831</v>
      </c>
      <c r="BE3" s="109" t="s">
        <v>832</v>
      </c>
      <c r="BF3" s="109" t="s">
        <v>833</v>
      </c>
      <c r="BG3" s="109" t="s">
        <v>834</v>
      </c>
      <c r="BH3" s="109" t="s">
        <v>1067</v>
      </c>
      <c r="BI3" s="109" t="s">
        <v>1068</v>
      </c>
      <c r="BJ3" s="109" t="s">
        <v>1069</v>
      </c>
      <c r="BK3" s="109" t="s">
        <v>1070</v>
      </c>
      <c r="BL3" s="109" t="s">
        <v>1071</v>
      </c>
      <c r="BM3" s="109" t="s">
        <v>1072</v>
      </c>
      <c r="BN3" s="109" t="s">
        <v>1073</v>
      </c>
      <c r="BO3" s="109" t="s">
        <v>1074</v>
      </c>
      <c r="BP3" s="109" t="s">
        <v>1075</v>
      </c>
      <c r="BQ3" s="109" t="s">
        <v>1076</v>
      </c>
      <c r="BR3" s="109" t="s">
        <v>1077</v>
      </c>
      <c r="BS3" s="109" t="s">
        <v>1078</v>
      </c>
      <c r="BT3" s="109" t="s">
        <v>1079</v>
      </c>
      <c r="BU3" s="109" t="s">
        <v>1105</v>
      </c>
      <c r="BV3" s="109" t="s">
        <v>1106</v>
      </c>
      <c r="BW3" s="109" t="s">
        <v>1107</v>
      </c>
      <c r="BX3" s="109" t="s">
        <v>1108</v>
      </c>
      <c r="BY3" s="109" t="s">
        <v>1109</v>
      </c>
      <c r="BZ3" s="109" t="s">
        <v>1110</v>
      </c>
      <c r="CA3" s="109" t="s">
        <v>1111</v>
      </c>
      <c r="CB3" s="109" t="s">
        <v>1112</v>
      </c>
      <c r="CC3" s="109" t="s">
        <v>1113</v>
      </c>
      <c r="CD3" s="109" t="s">
        <v>1114</v>
      </c>
      <c r="CE3" s="109" t="s">
        <v>1115</v>
      </c>
      <c r="CF3" s="109" t="s">
        <v>1116</v>
      </c>
      <c r="CG3" s="109" t="s">
        <v>1117</v>
      </c>
      <c r="CH3" s="109" t="s">
        <v>1137</v>
      </c>
      <c r="CI3" s="109" t="s">
        <v>1138</v>
      </c>
      <c r="CJ3" s="109" t="s">
        <v>1139</v>
      </c>
      <c r="CK3" s="109" t="s">
        <v>1140</v>
      </c>
      <c r="CL3" s="109" t="s">
        <v>1141</v>
      </c>
      <c r="CM3" s="109" t="s">
        <v>1142</v>
      </c>
      <c r="CN3" s="109" t="s">
        <v>1143</v>
      </c>
      <c r="CO3" s="109" t="s">
        <v>1144</v>
      </c>
      <c r="CP3" s="109" t="s">
        <v>1145</v>
      </c>
      <c r="CQ3" s="109" t="s">
        <v>1146</v>
      </c>
      <c r="CR3" s="109" t="s">
        <v>1147</v>
      </c>
      <c r="CS3" s="109" t="s">
        <v>1148</v>
      </c>
      <c r="CT3" s="109" t="s">
        <v>1149</v>
      </c>
      <c r="CU3" s="109" t="s">
        <v>1164</v>
      </c>
      <c r="CV3" s="109" t="s">
        <v>1165</v>
      </c>
      <c r="CW3" s="109" t="s">
        <v>1166</v>
      </c>
      <c r="CX3" s="109" t="s">
        <v>1167</v>
      </c>
      <c r="CY3" s="109" t="s">
        <v>1168</v>
      </c>
      <c r="CZ3" s="109" t="s">
        <v>1169</v>
      </c>
      <c r="DA3" s="109" t="s">
        <v>1170</v>
      </c>
      <c r="DB3" s="109" t="s">
        <v>1171</v>
      </c>
      <c r="DC3" s="109" t="s">
        <v>1172</v>
      </c>
      <c r="DD3" s="109" t="s">
        <v>1173</v>
      </c>
      <c r="DE3" s="109" t="s">
        <v>1174</v>
      </c>
      <c r="DF3" s="109" t="s">
        <v>1175</v>
      </c>
      <c r="DG3" s="109" t="s">
        <v>1177</v>
      </c>
      <c r="DH3" s="109" t="s">
        <v>1178</v>
      </c>
      <c r="DI3" s="109" t="s">
        <v>1179</v>
      </c>
      <c r="DJ3" s="109" t="s">
        <v>1180</v>
      </c>
      <c r="DK3" s="109" t="s">
        <v>1181</v>
      </c>
      <c r="DL3" s="109" t="s">
        <v>1182</v>
      </c>
      <c r="DM3" s="109" t="s">
        <v>1183</v>
      </c>
      <c r="DP3" s="110"/>
      <c r="DQ3" s="110"/>
      <c r="DR3" s="110"/>
      <c r="DS3" s="110"/>
      <c r="DT3" s="110"/>
      <c r="DU3" s="108"/>
    </row>
    <row r="4" spans="1:125" ht="15.6" thickTop="1" thickBot="1" x14ac:dyDescent="0.35">
      <c r="A4" s="71" t="s">
        <v>68</v>
      </c>
      <c r="B4" s="3" t="s">
        <v>69</v>
      </c>
      <c r="C4" s="3">
        <v>41609</v>
      </c>
      <c r="D4" s="3">
        <v>41974</v>
      </c>
      <c r="E4" s="3">
        <v>42339</v>
      </c>
      <c r="F4" s="3">
        <v>42705</v>
      </c>
      <c r="G4" s="3">
        <v>43070</v>
      </c>
      <c r="H4" s="3">
        <v>43101</v>
      </c>
      <c r="I4" s="3">
        <v>43132</v>
      </c>
      <c r="J4" s="3">
        <v>43160</v>
      </c>
      <c r="K4" s="3">
        <v>43191</v>
      </c>
      <c r="L4" s="3">
        <v>43221</v>
      </c>
      <c r="M4" s="3">
        <v>43252</v>
      </c>
      <c r="N4" s="3">
        <v>43282</v>
      </c>
      <c r="O4" s="3">
        <v>43313</v>
      </c>
      <c r="P4" s="3">
        <v>43344</v>
      </c>
      <c r="Q4" s="3">
        <v>43374</v>
      </c>
      <c r="R4" s="3">
        <v>43405</v>
      </c>
      <c r="S4" s="3">
        <v>43435</v>
      </c>
      <c r="T4" s="2">
        <f>YEAR(TBBP[[#This Row],[Coluna19]])</f>
        <v>2018</v>
      </c>
      <c r="U4" s="3">
        <v>43466</v>
      </c>
      <c r="V4" s="3">
        <v>43497</v>
      </c>
      <c r="W4" s="3">
        <v>43525</v>
      </c>
      <c r="X4" s="3">
        <v>43556</v>
      </c>
      <c r="Y4" s="3">
        <v>43586</v>
      </c>
      <c r="Z4" s="3">
        <v>43617</v>
      </c>
      <c r="AA4" s="3">
        <v>43647</v>
      </c>
      <c r="AB4" s="3">
        <v>43678</v>
      </c>
      <c r="AC4" s="3">
        <v>43709</v>
      </c>
      <c r="AD4" s="3">
        <v>43739</v>
      </c>
      <c r="AE4" s="3">
        <v>43770</v>
      </c>
      <c r="AF4" s="3">
        <v>43800</v>
      </c>
      <c r="AG4" s="2">
        <f>YEAR(TBBP[[#This Row],[Coluna32]])</f>
        <v>2019</v>
      </c>
      <c r="AH4" s="3">
        <v>43831</v>
      </c>
      <c r="AI4" s="3">
        <v>43862</v>
      </c>
      <c r="AJ4" s="3">
        <v>43891</v>
      </c>
      <c r="AK4" s="3">
        <v>43922</v>
      </c>
      <c r="AL4" s="3">
        <v>43952</v>
      </c>
      <c r="AM4" s="3">
        <v>43983</v>
      </c>
      <c r="AN4" s="3">
        <v>44013</v>
      </c>
      <c r="AO4" s="3">
        <v>44044</v>
      </c>
      <c r="AP4" s="3">
        <v>44075</v>
      </c>
      <c r="AQ4" s="3">
        <v>44105</v>
      </c>
      <c r="AR4" s="3">
        <v>44136</v>
      </c>
      <c r="AS4" s="3">
        <v>44166</v>
      </c>
      <c r="AT4" s="58">
        <f>YEAR(TBBP[[#This Row],[Coluna45]])</f>
        <v>2020</v>
      </c>
      <c r="AU4" s="3">
        <v>44197</v>
      </c>
      <c r="AV4" s="3">
        <v>44228</v>
      </c>
      <c r="AW4" s="3">
        <v>44256</v>
      </c>
      <c r="AX4" s="3">
        <v>44287</v>
      </c>
      <c r="AY4" s="3">
        <v>44317</v>
      </c>
      <c r="AZ4" s="3">
        <v>44348</v>
      </c>
      <c r="BA4" s="3">
        <v>44378</v>
      </c>
      <c r="BB4" s="3">
        <v>44409</v>
      </c>
      <c r="BC4" s="3">
        <v>44440</v>
      </c>
      <c r="BD4" s="3">
        <v>44470</v>
      </c>
      <c r="BE4" s="3">
        <v>44501</v>
      </c>
      <c r="BF4" s="3">
        <v>44531</v>
      </c>
      <c r="BG4" s="2">
        <f>YEAR(TBBP[[#This Row],[Coluna58]])</f>
        <v>2021</v>
      </c>
      <c r="BH4" s="3">
        <v>44562</v>
      </c>
      <c r="BI4" s="3">
        <v>44593</v>
      </c>
      <c r="BJ4" s="3">
        <v>44621</v>
      </c>
      <c r="BK4" s="3">
        <v>44652</v>
      </c>
      <c r="BL4" s="3">
        <v>44682</v>
      </c>
      <c r="BM4" s="3">
        <v>44713</v>
      </c>
      <c r="BN4" s="3">
        <v>44743</v>
      </c>
      <c r="BO4" s="3">
        <v>44774</v>
      </c>
      <c r="BP4" s="3">
        <v>44805</v>
      </c>
      <c r="BQ4" s="3">
        <v>44835</v>
      </c>
      <c r="BR4" s="3">
        <v>44866</v>
      </c>
      <c r="BS4" s="3">
        <v>44896</v>
      </c>
      <c r="BT4" s="2">
        <f>YEAR(TBBP[[#This Row],[Coluna127]])</f>
        <v>2022</v>
      </c>
      <c r="BU4" s="3">
        <v>44927</v>
      </c>
      <c r="BV4" s="3">
        <v>44958</v>
      </c>
      <c r="BW4" s="3">
        <v>44986</v>
      </c>
      <c r="BX4" s="3">
        <v>45017</v>
      </c>
      <c r="BY4" s="3">
        <v>45047</v>
      </c>
      <c r="BZ4" s="3">
        <v>45078</v>
      </c>
      <c r="CA4" s="3">
        <v>45108</v>
      </c>
      <c r="CB4" s="3">
        <v>45139</v>
      </c>
      <c r="CC4" s="3">
        <v>45170</v>
      </c>
      <c r="CD4" s="3">
        <v>45200</v>
      </c>
      <c r="CE4" s="3">
        <v>45231</v>
      </c>
      <c r="CF4" s="3">
        <v>45261</v>
      </c>
      <c r="CG4" s="2">
        <f>YEAR(TBBP[[#This Row],[Coluna181]])</f>
        <v>2023</v>
      </c>
      <c r="CH4" s="3">
        <v>45292</v>
      </c>
      <c r="CI4" s="3">
        <v>45323</v>
      </c>
      <c r="CJ4" s="3">
        <v>45352</v>
      </c>
      <c r="CK4" s="3">
        <v>45383</v>
      </c>
      <c r="CL4" s="3">
        <v>45413</v>
      </c>
      <c r="CM4" s="3">
        <v>45444</v>
      </c>
      <c r="CN4" s="3">
        <v>45474</v>
      </c>
      <c r="CO4" s="3">
        <v>45505</v>
      </c>
      <c r="CP4" s="3">
        <v>45536</v>
      </c>
      <c r="CQ4" s="3">
        <v>45566</v>
      </c>
      <c r="CR4" s="3">
        <v>45597</v>
      </c>
      <c r="CS4" s="3">
        <v>45627</v>
      </c>
      <c r="CT4" s="2">
        <v>2024</v>
      </c>
      <c r="CU4" s="3">
        <v>45658</v>
      </c>
      <c r="CV4" s="3">
        <v>45689</v>
      </c>
      <c r="CW4" s="3">
        <v>45717</v>
      </c>
      <c r="CX4" s="3">
        <v>45748</v>
      </c>
      <c r="CY4" s="3">
        <v>45778</v>
      </c>
      <c r="CZ4" s="3">
        <v>45809</v>
      </c>
      <c r="DA4" s="3">
        <v>45839</v>
      </c>
      <c r="DB4" s="3">
        <v>45870</v>
      </c>
      <c r="DC4" s="3">
        <v>45901</v>
      </c>
      <c r="DD4" s="3">
        <v>45931</v>
      </c>
      <c r="DE4" s="3">
        <v>45962</v>
      </c>
      <c r="DF4" s="3">
        <v>45992</v>
      </c>
      <c r="DG4" s="259">
        <v>2025</v>
      </c>
      <c r="DH4" s="3">
        <v>46023</v>
      </c>
      <c r="DI4" s="3">
        <v>46054</v>
      </c>
      <c r="DJ4" s="3">
        <v>46082</v>
      </c>
      <c r="DK4" s="3">
        <v>46113</v>
      </c>
      <c r="DL4" s="3">
        <v>46143</v>
      </c>
      <c r="DM4" s="3">
        <v>46174</v>
      </c>
      <c r="DN4" s="3"/>
      <c r="DP4" s="110">
        <v>2026</v>
      </c>
      <c r="DQ4" s="110" t="s">
        <v>649</v>
      </c>
      <c r="DR4" s="110" t="s">
        <v>650</v>
      </c>
      <c r="DS4" s="110"/>
      <c r="DT4" s="110"/>
      <c r="DU4"/>
    </row>
    <row r="5" spans="1:125" ht="15" thickTop="1" x14ac:dyDescent="0.3">
      <c r="A5" s="72" t="s">
        <v>34</v>
      </c>
      <c r="B5" s="64" t="s">
        <v>33</v>
      </c>
      <c r="C5" s="65">
        <f t="shared" ref="C5:S5" si="0">C6+C34</f>
        <v>9164134.2300000004</v>
      </c>
      <c r="D5" s="65">
        <f t="shared" si="0"/>
        <v>15646996.620000001</v>
      </c>
      <c r="E5" s="65">
        <f t="shared" si="0"/>
        <v>18115640.609999999</v>
      </c>
      <c r="F5" s="65">
        <f t="shared" si="0"/>
        <v>19099089.050000001</v>
      </c>
      <c r="G5" s="65">
        <f t="shared" si="0"/>
        <v>20080671.909999996</v>
      </c>
      <c r="H5" s="65">
        <f t="shared" si="0"/>
        <v>19951358.100000001</v>
      </c>
      <c r="I5" s="65">
        <f t="shared" si="0"/>
        <v>20388146.799999997</v>
      </c>
      <c r="J5" s="65">
        <f t="shared" si="0"/>
        <v>21134725.100000001</v>
      </c>
      <c r="K5" s="65">
        <f t="shared" si="0"/>
        <v>21116567.900000006</v>
      </c>
      <c r="L5" s="65">
        <f t="shared" si="0"/>
        <v>20081934.699999999</v>
      </c>
      <c r="M5" s="65">
        <f t="shared" si="0"/>
        <v>20764089.520000003</v>
      </c>
      <c r="N5" s="65">
        <f t="shared" si="0"/>
        <v>20869035.569999993</v>
      </c>
      <c r="O5" s="65">
        <f t="shared" si="0"/>
        <v>21615281.310000002</v>
      </c>
      <c r="P5" s="65">
        <f t="shared" si="0"/>
        <v>23611777.510000002</v>
      </c>
      <c r="Q5" s="65">
        <f t="shared" si="0"/>
        <v>23698933.229999997</v>
      </c>
      <c r="R5" s="65">
        <f t="shared" si="0"/>
        <v>22820035.730000004</v>
      </c>
      <c r="S5" s="65">
        <f t="shared" si="0"/>
        <v>22561261.009999994</v>
      </c>
      <c r="T5" s="65">
        <f>IF(OR(MID(TBBP[[#This Row],[Coluna1]],1,1)="1",MID(TBBP[[#This Row],[Coluna1]],1,1)="2"),TBBP[[#This Row],[Coluna19]],SUM(H5:S5))</f>
        <v>22561261.009999994</v>
      </c>
      <c r="U5" s="65">
        <f t="shared" ref="U5:AF5" si="1">U6+U34</f>
        <v>23359306.809999999</v>
      </c>
      <c r="V5" s="65">
        <f t="shared" si="1"/>
        <v>23236741.439999998</v>
      </c>
      <c r="W5" s="65">
        <f t="shared" si="1"/>
        <v>24152712.580000002</v>
      </c>
      <c r="X5" s="65">
        <f t="shared" si="1"/>
        <v>24178445.159999996</v>
      </c>
      <c r="Y5" s="65">
        <f t="shared" si="1"/>
        <v>25145784.109999999</v>
      </c>
      <c r="Z5" s="65">
        <f t="shared" si="1"/>
        <v>25610028.329999998</v>
      </c>
      <c r="AA5" s="65">
        <f t="shared" si="1"/>
        <v>26333032.069999997</v>
      </c>
      <c r="AB5" s="65">
        <f t="shared" si="1"/>
        <v>26007283.130000003</v>
      </c>
      <c r="AC5" s="65">
        <f t="shared" si="1"/>
        <v>27405217.409999996</v>
      </c>
      <c r="AD5" s="65">
        <f t="shared" si="1"/>
        <v>26471722.390000001</v>
      </c>
      <c r="AE5" s="65">
        <f t="shared" si="1"/>
        <v>27273217.470000003</v>
      </c>
      <c r="AF5" s="65">
        <f t="shared" si="1"/>
        <v>26624542.579999998</v>
      </c>
      <c r="AG5" s="65">
        <f>IF(OR(MID(TBBP[[#This Row],[Coluna1]],1,1)="1",MID(TBBP[[#This Row],[Coluna1]],1,1)="2"),TBBP[[#This Row],[Coluna32]],SUM(U5:AF5))</f>
        <v>26624542.579999998</v>
      </c>
      <c r="AH5" s="65">
        <v>27192665.059999991</v>
      </c>
      <c r="AI5" s="65">
        <f t="shared" ref="AI5:AS5" si="2">AI6+AI34</f>
        <v>29082318.210000005</v>
      </c>
      <c r="AJ5" s="65">
        <f t="shared" si="2"/>
        <v>28289558.000000004</v>
      </c>
      <c r="AK5" s="65">
        <f t="shared" si="2"/>
        <v>27423588.280000001</v>
      </c>
      <c r="AL5" s="65">
        <f t="shared" si="2"/>
        <v>28750053.299999997</v>
      </c>
      <c r="AM5" s="65">
        <f t="shared" si="2"/>
        <v>30365438.349999998</v>
      </c>
      <c r="AN5" s="65">
        <f t="shared" si="2"/>
        <v>31502136.390000008</v>
      </c>
      <c r="AO5" s="65">
        <f t="shared" si="2"/>
        <v>34397397.199999996</v>
      </c>
      <c r="AP5" s="65">
        <f t="shared" si="2"/>
        <v>36041786.729999997</v>
      </c>
      <c r="AQ5" s="65">
        <f t="shared" si="2"/>
        <v>36662686.599999994</v>
      </c>
      <c r="AR5" s="65">
        <f t="shared" si="2"/>
        <v>38729756.100000009</v>
      </c>
      <c r="AS5" s="65">
        <f t="shared" si="2"/>
        <v>41534024.170000002</v>
      </c>
      <c r="AT5" s="65">
        <f>IF(OR(MID(TBBP[[#This Row],[Coluna1]],1,1)="1",MID(TBBP[[#This Row],[Coluna1]],1,1)="2"),TBBP[[#This Row],[Coluna45]],SUM(AH5:AS5))</f>
        <v>41534024.170000002</v>
      </c>
      <c r="AU5" s="65">
        <f t="shared" ref="AU5:BB5" si="3">AU6+AU34</f>
        <v>42427559.199999996</v>
      </c>
      <c r="AV5" s="65">
        <f t="shared" si="3"/>
        <v>45912597.200000003</v>
      </c>
      <c r="AW5" s="65">
        <f t="shared" si="3"/>
        <v>48717474.430000007</v>
      </c>
      <c r="AX5" s="65">
        <f t="shared" si="3"/>
        <v>51096883.649999999</v>
      </c>
      <c r="AY5" s="65">
        <f t="shared" si="3"/>
        <v>53608927.240000002</v>
      </c>
      <c r="AZ5" s="65">
        <v>54694782.700000003</v>
      </c>
      <c r="BA5" s="65">
        <v>56776794.970000006</v>
      </c>
      <c r="BB5" s="65">
        <f t="shared" si="3"/>
        <v>58327570.93</v>
      </c>
      <c r="BC5" s="65">
        <f t="shared" ref="BC5:CE5" si="4">BC6+BC34</f>
        <v>61348830.259999998</v>
      </c>
      <c r="BD5" s="65">
        <f t="shared" si="4"/>
        <v>62511484.950000003</v>
      </c>
      <c r="BE5" s="65">
        <f t="shared" si="4"/>
        <v>63205259.169999994</v>
      </c>
      <c r="BF5" s="65">
        <f t="shared" si="4"/>
        <v>63547764.300000004</v>
      </c>
      <c r="BG5" s="65">
        <f t="shared" si="4"/>
        <v>63547764.300000004</v>
      </c>
      <c r="BH5" s="65">
        <f t="shared" si="4"/>
        <v>63412138.479999997</v>
      </c>
      <c r="BI5" s="65">
        <f t="shared" si="4"/>
        <v>65824224.149999999</v>
      </c>
      <c r="BJ5" s="65">
        <f t="shared" si="4"/>
        <v>68592950.150000006</v>
      </c>
      <c r="BK5" s="65">
        <f t="shared" si="4"/>
        <v>69031893.650000006</v>
      </c>
      <c r="BL5" s="65">
        <f t="shared" si="4"/>
        <v>69788884.160000011</v>
      </c>
      <c r="BM5" s="65">
        <f t="shared" si="4"/>
        <v>71587626.930000007</v>
      </c>
      <c r="BN5" s="65">
        <f t="shared" si="4"/>
        <v>73415057.25999999</v>
      </c>
      <c r="BO5" s="65">
        <f t="shared" si="4"/>
        <v>75757290.719999999</v>
      </c>
      <c r="BP5" s="65">
        <f t="shared" si="4"/>
        <v>78253639.780000001</v>
      </c>
      <c r="BQ5" s="65">
        <f t="shared" si="4"/>
        <v>76388813.210000008</v>
      </c>
      <c r="BR5" s="65">
        <f t="shared" si="4"/>
        <v>77043825.959999993</v>
      </c>
      <c r="BS5" s="65">
        <f t="shared" si="4"/>
        <v>76043176.389999986</v>
      </c>
      <c r="BT5" s="65">
        <f t="shared" si="4"/>
        <v>76043176.389999986</v>
      </c>
      <c r="BU5" s="65">
        <f t="shared" si="4"/>
        <v>74190573.319999993</v>
      </c>
      <c r="BV5" s="65">
        <f t="shared" si="4"/>
        <v>75274518.700000003</v>
      </c>
      <c r="BW5" s="65">
        <f t="shared" si="4"/>
        <v>77782645.460000008</v>
      </c>
      <c r="BX5" s="65">
        <f t="shared" si="4"/>
        <v>78379491.810000002</v>
      </c>
      <c r="BY5" s="65">
        <f t="shared" si="4"/>
        <v>83420284.439999998</v>
      </c>
      <c r="BZ5" s="65">
        <f t="shared" si="4"/>
        <v>85271225.300000012</v>
      </c>
      <c r="CA5" s="65">
        <f t="shared" si="4"/>
        <v>85874413.510000005</v>
      </c>
      <c r="CB5" s="65">
        <f t="shared" si="4"/>
        <v>87306023.370000005</v>
      </c>
      <c r="CC5" s="65">
        <f t="shared" si="4"/>
        <v>91686341.680000007</v>
      </c>
      <c r="CD5" s="65">
        <f t="shared" si="4"/>
        <v>93252112.760000005</v>
      </c>
      <c r="CE5" s="65">
        <f t="shared" si="4"/>
        <v>92810911.739999995</v>
      </c>
      <c r="CF5" s="65">
        <v>93839012.410000011</v>
      </c>
      <c r="CG5" s="65">
        <f>CG6+CG34</f>
        <v>93839012.410000011</v>
      </c>
      <c r="CH5" s="65">
        <f t="shared" ref="CH5:CT5" si="5">CH6+CH34</f>
        <v>91025800.790000007</v>
      </c>
      <c r="CI5" s="65">
        <f t="shared" si="5"/>
        <v>95231819.299999997</v>
      </c>
      <c r="CJ5" s="65">
        <f t="shared" si="5"/>
        <v>100301773.40000001</v>
      </c>
      <c r="CK5" s="65">
        <f t="shared" si="5"/>
        <v>105880535.35000001</v>
      </c>
      <c r="CL5" s="65">
        <f t="shared" si="5"/>
        <v>112558936.43000001</v>
      </c>
      <c r="CM5" s="65">
        <f t="shared" si="5"/>
        <v>114834047.22000001</v>
      </c>
      <c r="CN5" s="65">
        <f t="shared" si="5"/>
        <v>129185378.56999999</v>
      </c>
      <c r="CO5" s="65">
        <f t="shared" si="5"/>
        <v>129967670.58999999</v>
      </c>
      <c r="CP5" s="65">
        <f t="shared" si="5"/>
        <v>130765469.53999999</v>
      </c>
      <c r="CQ5" s="65">
        <f t="shared" si="5"/>
        <v>132712331.10999998</v>
      </c>
      <c r="CR5" s="65">
        <f t="shared" si="5"/>
        <v>135102161.09999999</v>
      </c>
      <c r="CS5" s="65">
        <f t="shared" si="5"/>
        <v>135904935.95999998</v>
      </c>
      <c r="CT5" s="65">
        <f t="shared" si="5"/>
        <v>135904935.95999998</v>
      </c>
      <c r="CU5" s="65">
        <f t="shared" ref="CU5:DE5" si="6">CU6+CU34</f>
        <v>131399747.08</v>
      </c>
      <c r="CV5" s="65">
        <f t="shared" si="6"/>
        <v>131769858.88999999</v>
      </c>
      <c r="CW5" s="65">
        <f t="shared" si="6"/>
        <v>129916100.01000001</v>
      </c>
      <c r="CX5" s="65">
        <f t="shared" si="6"/>
        <v>131317701.05999999</v>
      </c>
      <c r="CY5" s="65">
        <f t="shared" si="6"/>
        <v>132946408.5</v>
      </c>
      <c r="CZ5" s="65">
        <f t="shared" si="6"/>
        <v>135734120.03</v>
      </c>
      <c r="DA5" s="65">
        <f t="shared" si="6"/>
        <v>141017342.06</v>
      </c>
      <c r="DB5" s="65">
        <f t="shared" si="6"/>
        <v>139833586.34999999</v>
      </c>
      <c r="DC5" s="65">
        <f t="shared" si="6"/>
        <v>139984170.94999999</v>
      </c>
      <c r="DD5" s="65">
        <f t="shared" si="6"/>
        <v>140983284.80000001</v>
      </c>
      <c r="DE5" s="65">
        <f t="shared" si="6"/>
        <v>141876186.97</v>
      </c>
      <c r="DF5" s="65">
        <f t="shared" ref="DF5:DG5" si="7">DF6+DF34</f>
        <v>133431095.73999998</v>
      </c>
      <c r="DG5" s="65">
        <f t="shared" si="7"/>
        <v>133431095.73999998</v>
      </c>
      <c r="DH5" s="65">
        <f t="shared" ref="DH5:DI5" si="8">DH6+DH34</f>
        <v>136263808.43000001</v>
      </c>
      <c r="DI5" s="65">
        <f t="shared" si="8"/>
        <v>135360443.59999999</v>
      </c>
      <c r="DJ5" s="65">
        <f t="shared" ref="DJ5:DK5" si="9">DJ6+DJ34</f>
        <v>136400847.29000002</v>
      </c>
      <c r="DK5" s="65">
        <f t="shared" si="9"/>
        <v>136360771.34</v>
      </c>
      <c r="DL5" s="65">
        <f t="shared" ref="DL5:DM5" si="10">DL6+DL34</f>
        <v>138222287.22</v>
      </c>
      <c r="DM5" s="65">
        <f t="shared" si="10"/>
        <v>138688409.66999999</v>
      </c>
      <c r="DP5" s="30" t="str">
        <f>IF(OR(MID(TBBP[[#This Row],[Coluna1]],1,1)="1",MID(TBBP[[#This Row],[Coluna1]],1,1)="2"),"-",SUMIFS(5:5,listaPeriodos,$DR$1,listaPeriodos,$DR$2))</f>
        <v>-</v>
      </c>
      <c r="DR5" s="30">
        <f t="shared" ref="DR5:DR40" si="11">DQ5*$DS$1</f>
        <v>0</v>
      </c>
      <c r="DS5" s="30"/>
      <c r="DT5" s="30"/>
      <c r="DU5"/>
    </row>
    <row r="6" spans="1:125" x14ac:dyDescent="0.3">
      <c r="A6" s="72" t="s">
        <v>35</v>
      </c>
      <c r="B6" s="64" t="s">
        <v>623</v>
      </c>
      <c r="C6" s="65">
        <f t="shared" ref="C6:S6" si="12">SUM(C7:C33)</f>
        <v>7936618</v>
      </c>
      <c r="D6" s="65">
        <f t="shared" si="12"/>
        <v>12638761.24</v>
      </c>
      <c r="E6" s="65">
        <f t="shared" si="12"/>
        <v>15024896.58</v>
      </c>
      <c r="F6" s="65">
        <f t="shared" si="12"/>
        <v>16066462.000000002</v>
      </c>
      <c r="G6" s="65">
        <f t="shared" si="12"/>
        <v>16194674.879999999</v>
      </c>
      <c r="H6" s="65">
        <f t="shared" si="12"/>
        <v>16134284.960000001</v>
      </c>
      <c r="I6" s="65">
        <f t="shared" si="12"/>
        <v>16626747.279999999</v>
      </c>
      <c r="J6" s="65">
        <f t="shared" si="12"/>
        <v>17608649.200000003</v>
      </c>
      <c r="K6" s="65">
        <f t="shared" si="12"/>
        <v>17623578.140000004</v>
      </c>
      <c r="L6" s="65">
        <f t="shared" si="12"/>
        <v>16623211.329999998</v>
      </c>
      <c r="M6" s="65">
        <f t="shared" si="12"/>
        <v>17318098.850000001</v>
      </c>
      <c r="N6" s="65">
        <f t="shared" si="12"/>
        <v>17579140.239999995</v>
      </c>
      <c r="O6" s="65">
        <f t="shared" si="12"/>
        <v>18204022.670000002</v>
      </c>
      <c r="P6" s="65">
        <f t="shared" si="12"/>
        <v>20314630.110000003</v>
      </c>
      <c r="Q6" s="65">
        <f t="shared" si="12"/>
        <v>19889074.659999996</v>
      </c>
      <c r="R6" s="65">
        <f t="shared" si="12"/>
        <v>19017667.510000002</v>
      </c>
      <c r="S6" s="65">
        <f t="shared" si="12"/>
        <v>18830603.019999996</v>
      </c>
      <c r="T6" s="65">
        <f>IF(OR(MID(TBBP[[#This Row],[Coluna1]],1,1)="1",MID(TBBP[[#This Row],[Coluna1]],1,1)="2"),TBBP[[#This Row],[Coluna19]],SUM(H6:S6))</f>
        <v>18830603.019999996</v>
      </c>
      <c r="U6" s="65">
        <f t="shared" ref="U6:AF6" si="13">SUM(U7:U33)</f>
        <v>19659648.02</v>
      </c>
      <c r="V6" s="65">
        <f t="shared" si="13"/>
        <v>19515574.269999996</v>
      </c>
      <c r="W6" s="65">
        <f t="shared" si="13"/>
        <v>20407357.09</v>
      </c>
      <c r="X6" s="65">
        <f t="shared" si="13"/>
        <v>20407771.189999998</v>
      </c>
      <c r="Y6" s="65">
        <f t="shared" si="13"/>
        <v>21362115.919999998</v>
      </c>
      <c r="Z6" s="65">
        <f t="shared" si="13"/>
        <v>21922944.799999997</v>
      </c>
      <c r="AA6" s="65">
        <f t="shared" si="13"/>
        <v>22586856.759999998</v>
      </c>
      <c r="AB6" s="65">
        <f t="shared" si="13"/>
        <v>22289156.530000001</v>
      </c>
      <c r="AC6" s="65">
        <f t="shared" si="13"/>
        <v>23718169.319999997</v>
      </c>
      <c r="AD6" s="65">
        <f t="shared" si="13"/>
        <v>22463046.720000003</v>
      </c>
      <c r="AE6" s="65">
        <f t="shared" si="13"/>
        <v>23286505.130000003</v>
      </c>
      <c r="AF6" s="65">
        <f t="shared" si="13"/>
        <v>22469986.809999999</v>
      </c>
      <c r="AG6" s="65">
        <f>IF(OR(MID(TBBP[[#This Row],[Coluna1]],1,1)="1",MID(TBBP[[#This Row],[Coluna1]],1,1)="2"),TBBP[[#This Row],[Coluna32]],SUM(U6:AF6))</f>
        <v>22469986.809999999</v>
      </c>
      <c r="AH6" s="65">
        <v>23028714.43999999</v>
      </c>
      <c r="AI6" s="65">
        <f t="shared" ref="AI6:AS6" si="14">SUM(AI7:AI33)</f>
        <v>24941719.550000004</v>
      </c>
      <c r="AJ6" s="65">
        <f t="shared" si="14"/>
        <v>24107089.660000004</v>
      </c>
      <c r="AK6" s="65">
        <f t="shared" si="14"/>
        <v>23404407.450000003</v>
      </c>
      <c r="AL6" s="65">
        <f t="shared" si="14"/>
        <v>24358938.169999998</v>
      </c>
      <c r="AM6" s="65">
        <f t="shared" si="14"/>
        <v>25780874.879999999</v>
      </c>
      <c r="AN6" s="65">
        <f t="shared" si="14"/>
        <v>26907983.070000008</v>
      </c>
      <c r="AO6" s="65">
        <f t="shared" si="14"/>
        <v>29697435.249999993</v>
      </c>
      <c r="AP6" s="65">
        <f t="shared" si="14"/>
        <v>31244374.869999997</v>
      </c>
      <c r="AQ6" s="65">
        <f t="shared" si="14"/>
        <v>31913795.989999998</v>
      </c>
      <c r="AR6" s="65">
        <f t="shared" si="14"/>
        <v>33891499.420000009</v>
      </c>
      <c r="AS6" s="65">
        <f t="shared" si="14"/>
        <v>36724556.980000004</v>
      </c>
      <c r="AT6" s="65">
        <f>IF(OR(MID(TBBP[[#This Row],[Coluna1]],1,1)="1",MID(TBBP[[#This Row],[Coluna1]],1,1)="2"),TBBP[[#This Row],[Coluna45]],SUM(AH6:AS6))</f>
        <v>36724556.980000004</v>
      </c>
      <c r="AU6" s="65">
        <f t="shared" ref="AU6:BA6" si="15">SUM(AU7:AU12)+SUM(AU22:AU33)</f>
        <v>37489056.269999996</v>
      </c>
      <c r="AV6" s="65">
        <f t="shared" si="15"/>
        <v>40670086.150000006</v>
      </c>
      <c r="AW6" s="65">
        <f t="shared" si="15"/>
        <v>43381997.050000004</v>
      </c>
      <c r="AX6" s="65">
        <f t="shared" si="15"/>
        <v>45765531.019999996</v>
      </c>
      <c r="AY6" s="65">
        <f t="shared" si="15"/>
        <v>48182948.530000001</v>
      </c>
      <c r="AZ6" s="65">
        <f t="shared" si="15"/>
        <v>49084363.93</v>
      </c>
      <c r="BA6" s="65">
        <f t="shared" si="15"/>
        <v>50964839.479999997</v>
      </c>
      <c r="BB6" s="65">
        <f t="shared" ref="BB6:CE6" si="16">SUM(BB7:BB12)+SUM(BB22:BB33)</f>
        <v>52625208.32</v>
      </c>
      <c r="BC6" s="65">
        <f t="shared" si="16"/>
        <v>55462569.469999999</v>
      </c>
      <c r="BD6" s="65">
        <f t="shared" si="16"/>
        <v>56379921.050000004</v>
      </c>
      <c r="BE6" s="65">
        <f t="shared" si="16"/>
        <v>56756417.649999991</v>
      </c>
      <c r="BF6" s="65">
        <f t="shared" si="16"/>
        <v>56985505.870000005</v>
      </c>
      <c r="BG6" s="65">
        <f t="shared" si="16"/>
        <v>56985505.870000005</v>
      </c>
      <c r="BH6" s="65">
        <f t="shared" si="16"/>
        <v>56922305.579999998</v>
      </c>
      <c r="BI6" s="65">
        <f t="shared" si="16"/>
        <v>59699752.140000001</v>
      </c>
      <c r="BJ6" s="65">
        <f t="shared" si="16"/>
        <v>61871812.07</v>
      </c>
      <c r="BK6" s="65">
        <f t="shared" si="16"/>
        <v>62113954.230000004</v>
      </c>
      <c r="BL6" s="65">
        <f t="shared" si="16"/>
        <v>62396171.250000007</v>
      </c>
      <c r="BM6" s="65">
        <f t="shared" si="16"/>
        <v>64196740.880000003</v>
      </c>
      <c r="BN6" s="65">
        <f t="shared" si="16"/>
        <v>65821771.439999998</v>
      </c>
      <c r="BO6" s="65">
        <f t="shared" si="16"/>
        <v>68097789.289999992</v>
      </c>
      <c r="BP6" s="65">
        <f t="shared" si="16"/>
        <v>69613161.599999994</v>
      </c>
      <c r="BQ6" s="65">
        <f t="shared" si="16"/>
        <v>67111883.300000012</v>
      </c>
      <c r="BR6" s="65">
        <f t="shared" si="16"/>
        <v>67548251.569999993</v>
      </c>
      <c r="BS6" s="65">
        <f t="shared" si="16"/>
        <v>66565451.819999993</v>
      </c>
      <c r="BT6" s="65">
        <f t="shared" si="16"/>
        <v>66565451.819999993</v>
      </c>
      <c r="BU6" s="65">
        <f t="shared" si="16"/>
        <v>64519060.789999999</v>
      </c>
      <c r="BV6" s="65">
        <f t="shared" si="16"/>
        <v>65501263.609999999</v>
      </c>
      <c r="BW6" s="65">
        <f t="shared" si="16"/>
        <v>68067993.100000009</v>
      </c>
      <c r="BX6" s="65">
        <f t="shared" si="16"/>
        <v>68509024.010000005</v>
      </c>
      <c r="BY6" s="65">
        <f t="shared" si="16"/>
        <v>73514568.530000001</v>
      </c>
      <c r="BZ6" s="65">
        <f t="shared" si="16"/>
        <v>75070373.540000007</v>
      </c>
      <c r="CA6" s="65">
        <f t="shared" si="16"/>
        <v>75182646.13000001</v>
      </c>
      <c r="CB6" s="65">
        <f t="shared" si="16"/>
        <v>76412819.010000005</v>
      </c>
      <c r="CC6" s="65">
        <f t="shared" si="16"/>
        <v>80714588.100000009</v>
      </c>
      <c r="CD6" s="65">
        <f t="shared" si="16"/>
        <v>81933083.74000001</v>
      </c>
      <c r="CE6" s="65">
        <f t="shared" si="16"/>
        <v>81189940.109999999</v>
      </c>
      <c r="CF6" s="65">
        <v>82221106.400000006</v>
      </c>
      <c r="CG6" s="65">
        <f>SUM(CG7:CG12)+SUM(CG22:CG33)</f>
        <v>82221106.400000006</v>
      </c>
      <c r="CH6" s="65">
        <f t="shared" ref="CH6:CT6" si="17">SUM(CH7:CH12)+SUM(CH22:CH33)</f>
        <v>78041900.560000002</v>
      </c>
      <c r="CI6" s="65">
        <f t="shared" si="17"/>
        <v>82108231.00999999</v>
      </c>
      <c r="CJ6" s="65">
        <f t="shared" si="17"/>
        <v>86417344.700000003</v>
      </c>
      <c r="CK6" s="65">
        <f t="shared" si="17"/>
        <v>91704192.600000009</v>
      </c>
      <c r="CL6" s="65">
        <f t="shared" si="17"/>
        <v>94932598.650000006</v>
      </c>
      <c r="CM6" s="65">
        <f t="shared" si="17"/>
        <v>96961297.270000011</v>
      </c>
      <c r="CN6" s="65">
        <f t="shared" si="17"/>
        <v>110260398.06999999</v>
      </c>
      <c r="CO6" s="65">
        <f t="shared" si="17"/>
        <v>110828835.50999999</v>
      </c>
      <c r="CP6" s="65">
        <f t="shared" si="17"/>
        <v>111795505.38</v>
      </c>
      <c r="CQ6" s="65">
        <f t="shared" si="17"/>
        <v>115291210.19999999</v>
      </c>
      <c r="CR6" s="65">
        <f t="shared" si="17"/>
        <v>117913212.14</v>
      </c>
      <c r="CS6" s="65">
        <f t="shared" si="17"/>
        <v>118785452.31999998</v>
      </c>
      <c r="CT6" s="65">
        <f t="shared" si="17"/>
        <v>118785452.31999998</v>
      </c>
      <c r="CU6" s="65">
        <f t="shared" ref="CU6:DE6" si="18">SUM(CU7:CU12)+SUM(CU22:CU33)</f>
        <v>114083226.53999999</v>
      </c>
      <c r="CV6" s="65">
        <f t="shared" si="18"/>
        <v>114536360.41999999</v>
      </c>
      <c r="CW6" s="65">
        <f t="shared" si="18"/>
        <v>112950464.97</v>
      </c>
      <c r="CX6" s="65">
        <f t="shared" si="18"/>
        <v>114617744.86999999</v>
      </c>
      <c r="CY6" s="65">
        <f t="shared" si="18"/>
        <v>115822456.42</v>
      </c>
      <c r="CZ6" s="65">
        <f t="shared" si="18"/>
        <v>118708341.06999999</v>
      </c>
      <c r="DA6" s="65">
        <f t="shared" si="18"/>
        <v>124010229.8</v>
      </c>
      <c r="DB6" s="65">
        <f t="shared" si="18"/>
        <v>123069016.41</v>
      </c>
      <c r="DC6" s="65">
        <f t="shared" si="18"/>
        <v>123143019.16</v>
      </c>
      <c r="DD6" s="65">
        <f t="shared" si="18"/>
        <v>124491471.53</v>
      </c>
      <c r="DE6" s="65">
        <f t="shared" si="18"/>
        <v>125543894.02999999</v>
      </c>
      <c r="DF6" s="65">
        <f t="shared" ref="DF6:DG6" si="19">SUM(DF7:DF12)+SUM(DF22:DF33)</f>
        <v>117163636.10999998</v>
      </c>
      <c r="DG6" s="65">
        <f t="shared" si="19"/>
        <v>117163636.10999998</v>
      </c>
      <c r="DH6" s="65">
        <f t="shared" ref="DH6:DI6" si="20">SUM(DH7:DH12)+SUM(DH22:DH33)</f>
        <v>120143597.24000001</v>
      </c>
      <c r="DI6" s="65">
        <f t="shared" si="20"/>
        <v>119478212.91999999</v>
      </c>
      <c r="DJ6" s="65">
        <f t="shared" ref="DJ6:DK6" si="21">SUM(DJ7:DJ12)+SUM(DJ22:DJ33)</f>
        <v>120738683.52000001</v>
      </c>
      <c r="DK6" s="65">
        <f t="shared" si="21"/>
        <v>120890894.34999999</v>
      </c>
      <c r="DL6" s="65">
        <f t="shared" ref="DL6:DM6" si="22">SUM(DL7:DL12)+SUM(DL22:DL33)</f>
        <v>122934106.47999999</v>
      </c>
      <c r="DM6" s="65">
        <f t="shared" si="22"/>
        <v>123527517.17999999</v>
      </c>
      <c r="DP6" s="30" t="str">
        <f>IF(OR(MID(TBBP[[#This Row],[Coluna1]],1,1)="1",MID(TBBP[[#This Row],[Coluna1]],1,1)="2"),"-",SUMIFS(6:6,listaPeriodos,$DR$1,listaPeriodos,$DR$2))</f>
        <v>-</v>
      </c>
      <c r="DR6" s="30">
        <f t="shared" si="11"/>
        <v>0</v>
      </c>
      <c r="DS6" s="30"/>
      <c r="DT6" s="30"/>
      <c r="DU6"/>
    </row>
    <row r="7" spans="1:125" x14ac:dyDescent="0.3">
      <c r="A7" s="7" t="s">
        <v>36</v>
      </c>
      <c r="B7" t="s">
        <v>721</v>
      </c>
      <c r="C7" s="4">
        <v>439350.76</v>
      </c>
      <c r="D7" s="4">
        <v>328372.90999999997</v>
      </c>
      <c r="E7" s="4">
        <v>326531.42</v>
      </c>
      <c r="F7" s="4">
        <v>359859.37</v>
      </c>
      <c r="G7" s="4">
        <v>338415.01</v>
      </c>
      <c r="H7" s="4">
        <v>634741.14</v>
      </c>
      <c r="I7" s="4">
        <v>116808.99</v>
      </c>
      <c r="J7" s="4">
        <v>371188.06</v>
      </c>
      <c r="K7" s="4">
        <v>345826.26</v>
      </c>
      <c r="L7" s="4">
        <v>396266.61</v>
      </c>
      <c r="M7" s="4">
        <v>532934.51</v>
      </c>
      <c r="N7" s="4">
        <v>420929.08</v>
      </c>
      <c r="O7" s="4">
        <v>200436.85</v>
      </c>
      <c r="P7" s="4">
        <v>290434.36</v>
      </c>
      <c r="Q7" s="4">
        <v>135838.35999999999</v>
      </c>
      <c r="R7" s="4">
        <v>218754.78</v>
      </c>
      <c r="S7" s="4">
        <v>580324.27</v>
      </c>
      <c r="T7" s="4">
        <f>IF(OR(MID(TBBP[[#This Row],[Coluna1]],1,1)="1",MID(TBBP[[#This Row],[Coluna1]],1,1)="2"),TBBP[[#This Row],[Coluna19]],SUM(H7:S7))</f>
        <v>580324.27</v>
      </c>
      <c r="U7" s="4">
        <v>282528.33</v>
      </c>
      <c r="V7" s="4">
        <v>725080.62</v>
      </c>
      <c r="W7" s="4">
        <v>869933.62</v>
      </c>
      <c r="X7" s="4">
        <v>118071.67</v>
      </c>
      <c r="Y7" s="4">
        <v>805267.72</v>
      </c>
      <c r="Z7" s="4">
        <v>400294.44</v>
      </c>
      <c r="AA7" s="4">
        <v>102364.04</v>
      </c>
      <c r="AB7" s="4">
        <v>671489.18</v>
      </c>
      <c r="AC7" s="4">
        <v>948975.69</v>
      </c>
      <c r="AD7" s="4">
        <v>53830.63</v>
      </c>
      <c r="AE7" s="4">
        <v>265424.84000000003</v>
      </c>
      <c r="AF7" s="4">
        <v>659702.43999999994</v>
      </c>
      <c r="AG7" s="4">
        <f>IF(OR(MID(TBBP[[#This Row],[Coluna1]],1,1)="1",MID(TBBP[[#This Row],[Coluna1]],1,1)="2"),TBBP[[#This Row],[Coluna32]],SUM(U7:AF7))</f>
        <v>659702.43999999994</v>
      </c>
      <c r="AH7" s="4">
        <v>501347.91</v>
      </c>
      <c r="AI7" s="4">
        <v>795811.22</v>
      </c>
      <c r="AJ7" s="4">
        <v>379854.27</v>
      </c>
      <c r="AK7" s="4">
        <v>1003448.27</v>
      </c>
      <c r="AL7" s="4">
        <v>1126120.18</v>
      </c>
      <c r="AM7" s="4">
        <v>1526451.24</v>
      </c>
      <c r="AN7" s="4">
        <v>775370.37</v>
      </c>
      <c r="AO7" s="4">
        <v>399196.41</v>
      </c>
      <c r="AP7" s="4">
        <v>744602.5</v>
      </c>
      <c r="AQ7" s="4">
        <v>734966.75</v>
      </c>
      <c r="AR7" s="4">
        <v>597733.28</v>
      </c>
      <c r="AS7" s="4">
        <v>941487.53</v>
      </c>
      <c r="AT7" s="4">
        <f>IF(OR(MID(TBBP[[#This Row],[Coluna1]],1,1)="1",MID(TBBP[[#This Row],[Coluna1]],1,1)="2"),TBBP[[#This Row],[Coluna45]],SUM(AH7:AS7))</f>
        <v>941487.53</v>
      </c>
      <c r="AU7" s="4">
        <v>859190.76</v>
      </c>
      <c r="AV7" s="4">
        <v>79143.77</v>
      </c>
      <c r="AW7" s="4">
        <v>830531.58</v>
      </c>
      <c r="AX7" s="4">
        <v>366843.72</v>
      </c>
      <c r="AY7" s="4">
        <v>765179.33</v>
      </c>
      <c r="AZ7" s="4">
        <v>531222.74</v>
      </c>
      <c r="BA7" s="4">
        <v>28355.7</v>
      </c>
      <c r="BB7" s="4">
        <v>314848.77</v>
      </c>
      <c r="BC7" s="4">
        <v>1148734.92</v>
      </c>
      <c r="BD7" s="4">
        <v>33850.31</v>
      </c>
      <c r="BE7" s="4">
        <v>1180885.27</v>
      </c>
      <c r="BF7" s="4">
        <v>2313172.7200000002</v>
      </c>
      <c r="BG7" s="4">
        <f>IF(OR(MID(TBBP[[#This Row],[Coluna1]],1,1)="1",MID(TBBP[[#This Row],[Coluna1]],1,1)="2"),TBBP[[#This Row],[Coluna58]],SUM(AU7:BF7))</f>
        <v>2313172.7200000002</v>
      </c>
      <c r="BH7" s="4">
        <v>853940.11</v>
      </c>
      <c r="BI7" s="4">
        <v>1355037.52</v>
      </c>
      <c r="BJ7" s="4">
        <v>1272954.53</v>
      </c>
      <c r="BK7" s="4">
        <v>149541.39000000001</v>
      </c>
      <c r="BL7" s="4">
        <v>1392104</v>
      </c>
      <c r="BM7" s="4">
        <v>755280.85</v>
      </c>
      <c r="BN7" s="4">
        <v>216883.8</v>
      </c>
      <c r="BO7" s="4">
        <v>1713156.72</v>
      </c>
      <c r="BP7" s="4">
        <v>624539.53</v>
      </c>
      <c r="BQ7" s="4">
        <v>128797.64</v>
      </c>
      <c r="BR7" s="4">
        <v>1050815.96</v>
      </c>
      <c r="BS7" s="4">
        <v>2345159.39</v>
      </c>
      <c r="BT7" s="4">
        <f>IF(OR(MID(TBBP[[#This Row],[Coluna1]],1,1)="1",MID(TBBP[[#This Row],[Coluna1]],1,1)="2"),TBBP[[#This Row],[Coluna127]],SUM(BH7:BS7))</f>
        <v>2345159.39</v>
      </c>
      <c r="BU7" s="4">
        <v>1576746.47</v>
      </c>
      <c r="BV7" s="4">
        <v>1775164.63</v>
      </c>
      <c r="BW7" s="4">
        <v>1904480.61</v>
      </c>
      <c r="BX7" s="4">
        <v>2030420.59</v>
      </c>
      <c r="BY7" s="4">
        <v>1418707.72</v>
      </c>
      <c r="BZ7" s="4">
        <v>853917.66</v>
      </c>
      <c r="CA7" s="4">
        <v>426638.01</v>
      </c>
      <c r="CB7" s="4">
        <v>863531.63</v>
      </c>
      <c r="CC7" s="4">
        <v>1415658.39</v>
      </c>
      <c r="CD7" s="4">
        <v>1247941.08</v>
      </c>
      <c r="CE7" s="4">
        <v>1157201.6200000001</v>
      </c>
      <c r="CF7" s="4">
        <v>2541493.4500000002</v>
      </c>
      <c r="CG7" s="4">
        <f>IF(OR(MID(TBBP[[#This Row],[Coluna1]],1,1)="1",MID(TBBP[[#This Row],[Coluna1]],1,1)="2"),CF7,SUM(BU7:CF7))</f>
        <v>2541493.4500000002</v>
      </c>
      <c r="CH7" s="4">
        <v>437629.48</v>
      </c>
      <c r="CI7" s="4">
        <v>371802.83</v>
      </c>
      <c r="CJ7" s="4">
        <v>576675.43999999994</v>
      </c>
      <c r="CK7" s="4">
        <v>2442324.92</v>
      </c>
      <c r="CL7" s="4">
        <v>643853.47</v>
      </c>
      <c r="CM7" s="4">
        <v>1795745.72</v>
      </c>
      <c r="CN7" s="4">
        <v>12784485.210000001</v>
      </c>
      <c r="CO7" s="4">
        <v>933618.73</v>
      </c>
      <c r="CP7" s="4">
        <v>742655.5</v>
      </c>
      <c r="CQ7" s="4">
        <v>2051063</v>
      </c>
      <c r="CR7" s="4">
        <v>718025.92</v>
      </c>
      <c r="CS7" s="4">
        <v>2426067.64</v>
      </c>
      <c r="CT7" s="4">
        <f>IF(OR(MID(TBBP[[#This Row],[Coluna1]],1,1)="1",MID(TBBP[[#This Row],[Coluna1]],1,1)="2"),CS7,SUM(CH7:CS7))</f>
        <v>2426067.64</v>
      </c>
      <c r="CU7" s="255">
        <v>1164418.05</v>
      </c>
      <c r="CV7" s="255">
        <v>784342.55</v>
      </c>
      <c r="CW7" s="255">
        <v>414300.26</v>
      </c>
      <c r="CX7" s="255">
        <v>1848407.22</v>
      </c>
      <c r="CY7" s="255">
        <v>1499527.31</v>
      </c>
      <c r="CZ7" s="255">
        <v>412263.07</v>
      </c>
      <c r="DA7" s="255">
        <v>2220786.83</v>
      </c>
      <c r="DB7" s="255">
        <v>1290658.6299999999</v>
      </c>
      <c r="DC7" s="255">
        <v>3248589.61</v>
      </c>
      <c r="DD7" s="255">
        <v>2099654.0099999998</v>
      </c>
      <c r="DE7" s="255">
        <v>1822375.42</v>
      </c>
      <c r="DF7" s="255">
        <v>2585574.63</v>
      </c>
      <c r="DG7" s="255">
        <v>2585574.63</v>
      </c>
      <c r="DH7" s="255">
        <v>3650462.48</v>
      </c>
      <c r="DI7" s="255">
        <v>722661.82</v>
      </c>
      <c r="DJ7" s="255">
        <v>1147566.7</v>
      </c>
      <c r="DK7" s="255">
        <v>2436170.69</v>
      </c>
      <c r="DL7" s="255">
        <v>1421522.16</v>
      </c>
      <c r="DM7" s="255">
        <v>720878.52</v>
      </c>
      <c r="DP7" s="30" t="str">
        <f>IF(OR(MID(TBBP[[#This Row],[Coluna1]],1,1)="1",MID(TBBP[[#This Row],[Coluna1]],1,1)="2"),"-",SUMIFS(7:7,listaPeriodos,$DR$1,listaPeriodos,$DR$2))</f>
        <v>-</v>
      </c>
      <c r="DR7" s="30">
        <f t="shared" si="11"/>
        <v>0</v>
      </c>
      <c r="DS7" s="30"/>
      <c r="DT7" s="30"/>
      <c r="DU7"/>
    </row>
    <row r="8" spans="1:125" x14ac:dyDescent="0.3">
      <c r="A8" s="7" t="s">
        <v>37</v>
      </c>
      <c r="B8" t="s">
        <v>8</v>
      </c>
      <c r="C8" s="4">
        <v>1291985.01</v>
      </c>
      <c r="D8" s="4">
        <v>3285899.31</v>
      </c>
      <c r="E8" s="4">
        <v>3418634.59</v>
      </c>
      <c r="F8" s="4">
        <v>2876612.59</v>
      </c>
      <c r="G8" s="4">
        <v>2316573.21</v>
      </c>
      <c r="H8" s="4">
        <v>2117273</v>
      </c>
      <c r="I8" s="4">
        <v>2448954.66</v>
      </c>
      <c r="J8" s="4">
        <v>3564772.7</v>
      </c>
      <c r="K8" s="4">
        <v>3780541.28</v>
      </c>
      <c r="L8" s="4">
        <v>2163831.19</v>
      </c>
      <c r="M8" s="4">
        <v>2572685.85</v>
      </c>
      <c r="N8" s="4">
        <v>2502320.0699999998</v>
      </c>
      <c r="O8" s="4">
        <v>3047018.04</v>
      </c>
      <c r="P8" s="4">
        <v>3084010.37</v>
      </c>
      <c r="Q8" s="4">
        <v>3698939.33</v>
      </c>
      <c r="R8" s="4">
        <v>2955067.97</v>
      </c>
      <c r="S8" s="4">
        <v>2845271.78</v>
      </c>
      <c r="T8" s="4">
        <f>IF(OR(MID(TBBP[[#This Row],[Coluna1]],1,1)="1",MID(TBBP[[#This Row],[Coluna1]],1,1)="2"),TBBP[[#This Row],[Coluna19]],SUM(H8:S8))</f>
        <v>2845271.78</v>
      </c>
      <c r="U8" s="4">
        <v>3446159.91</v>
      </c>
      <c r="V8" s="4">
        <v>3322317.26</v>
      </c>
      <c r="W8" s="4">
        <v>3849880.13</v>
      </c>
      <c r="X8" s="4">
        <v>3502323.6</v>
      </c>
      <c r="Y8" s="4">
        <v>3438872.63</v>
      </c>
      <c r="Z8" s="4">
        <v>2951684.11</v>
      </c>
      <c r="AA8" s="4">
        <v>3535177.86</v>
      </c>
      <c r="AB8" s="4">
        <v>3544017.7</v>
      </c>
      <c r="AC8" s="4">
        <v>4117280.08</v>
      </c>
      <c r="AD8" s="4">
        <v>2914804.96</v>
      </c>
      <c r="AE8" s="4">
        <v>2887688.99</v>
      </c>
      <c r="AF8" s="4">
        <v>2900373.58</v>
      </c>
      <c r="AG8" s="4">
        <f>IF(OR(MID(TBBP[[#This Row],[Coluna1]],1,1)="1",MID(TBBP[[#This Row],[Coluna1]],1,1)="2"),TBBP[[#This Row],[Coluna32]],SUM(U8:AF8))</f>
        <v>2900373.58</v>
      </c>
      <c r="AH8" s="4">
        <v>2864614.18</v>
      </c>
      <c r="AI8" s="4">
        <v>3828623.52</v>
      </c>
      <c r="AJ8" s="4">
        <v>2778712.39</v>
      </c>
      <c r="AK8" s="4">
        <v>2924928.81</v>
      </c>
      <c r="AL8" s="4">
        <v>3028350.34</v>
      </c>
      <c r="AM8" s="4">
        <v>4149496.5</v>
      </c>
      <c r="AN8" s="4">
        <v>4800290.63</v>
      </c>
      <c r="AO8" s="4">
        <v>6306284.6399999997</v>
      </c>
      <c r="AP8" s="4">
        <v>6461207.4299999997</v>
      </c>
      <c r="AQ8" s="4">
        <v>6365527.25</v>
      </c>
      <c r="AR8" s="4">
        <v>6555494.71</v>
      </c>
      <c r="AS8" s="4">
        <v>8038757.3899999997</v>
      </c>
      <c r="AT8" s="4">
        <f>IF(OR(MID(TBBP[[#This Row],[Coluna1]],1,1)="1",MID(TBBP[[#This Row],[Coluna1]],1,1)="2"),TBBP[[#This Row],[Coluna45]],SUM(AH8:AS8))</f>
        <v>8038757.3899999997</v>
      </c>
      <c r="AU8" s="4">
        <v>7519570.2699999996</v>
      </c>
      <c r="AV8" s="4">
        <v>8725079.3399999999</v>
      </c>
      <c r="AW8" s="4">
        <v>8770410.6999999993</v>
      </c>
      <c r="AX8" s="4">
        <v>8226773.25</v>
      </c>
      <c r="AY8" s="4">
        <v>9746718.3300000001</v>
      </c>
      <c r="AZ8" s="4">
        <v>7343031.71</v>
      </c>
      <c r="BA8" s="4">
        <v>6983669.29</v>
      </c>
      <c r="BB8" s="4">
        <v>6252155.4000000004</v>
      </c>
      <c r="BC8" s="4">
        <v>5993888.7300000004</v>
      </c>
      <c r="BD8" s="4">
        <v>7064938.4100000001</v>
      </c>
      <c r="BE8" s="4">
        <v>7275327.2699999996</v>
      </c>
      <c r="BF8" s="4">
        <v>8000565.7300000004</v>
      </c>
      <c r="BG8" s="4">
        <f>IF(OR(MID(TBBP[[#This Row],[Coluna1]],1,1)="1",MID(TBBP[[#This Row],[Coluna1]],1,1)="2"),TBBP[[#This Row],[Coluna58]],SUM(AU8:BF8))</f>
        <v>8000565.7300000004</v>
      </c>
      <c r="BH8" s="4">
        <v>9217442.1500000004</v>
      </c>
      <c r="BI8" s="4">
        <v>9225067.4700000007</v>
      </c>
      <c r="BJ8" s="4">
        <v>10580915.039999999</v>
      </c>
      <c r="BK8" s="4">
        <v>11086137.619999999</v>
      </c>
      <c r="BL8" s="4">
        <v>11491608.92</v>
      </c>
      <c r="BM8" s="4">
        <v>11019522.24</v>
      </c>
      <c r="BN8" s="4">
        <v>11080447.82</v>
      </c>
      <c r="BO8" s="4">
        <v>11796280.68</v>
      </c>
      <c r="BP8" s="4">
        <v>12293019.4</v>
      </c>
      <c r="BQ8" s="4">
        <v>11558784.210000001</v>
      </c>
      <c r="BR8" s="4">
        <v>11430139.449999999</v>
      </c>
      <c r="BS8" s="4">
        <v>11310943.779999999</v>
      </c>
      <c r="BT8" s="4">
        <f>IF(OR(MID(TBBP[[#This Row],[Coluna1]],1,1)="1",MID(TBBP[[#This Row],[Coluna1]],1,1)="2"),TBBP[[#This Row],[Coluna127]],SUM(BH8:BS8))</f>
        <v>11310943.779999999</v>
      </c>
      <c r="BU8" s="4">
        <v>12691518.85</v>
      </c>
      <c r="BV8" s="4">
        <v>12798273.84</v>
      </c>
      <c r="BW8" s="4">
        <v>12826654.390000001</v>
      </c>
      <c r="BX8" s="4">
        <v>12929295.43</v>
      </c>
      <c r="BY8" s="4">
        <v>14093215.470000001</v>
      </c>
      <c r="BZ8" s="4">
        <v>14095094.91</v>
      </c>
      <c r="CA8" s="4">
        <v>14097448.34</v>
      </c>
      <c r="CB8" s="4">
        <v>13098601.369999999</v>
      </c>
      <c r="CC8" s="4">
        <v>12283054.09</v>
      </c>
      <c r="CD8" s="4">
        <v>12411385.65</v>
      </c>
      <c r="CE8" s="4">
        <v>12458544.75</v>
      </c>
      <c r="CF8" s="4">
        <v>11668974.57</v>
      </c>
      <c r="CG8" s="4">
        <f>IF(OR(MID(TBBP[[#This Row],[Coluna1]],1,1)="1",MID(TBBP[[#This Row],[Coluna1]],1,1)="2"),CF8,SUM(BU8:CF8))</f>
        <v>11668974.57</v>
      </c>
      <c r="CH8" s="4">
        <v>12085395.42</v>
      </c>
      <c r="CI8" s="4">
        <v>13003455.529999999</v>
      </c>
      <c r="CJ8" s="4">
        <v>12781962.960000001</v>
      </c>
      <c r="CK8" s="4">
        <v>12755733.85</v>
      </c>
      <c r="CL8" s="4">
        <v>11014956.73</v>
      </c>
      <c r="CM8" s="4">
        <v>9425447.5899999999</v>
      </c>
      <c r="CN8" s="4">
        <v>7007533.3899999997</v>
      </c>
      <c r="CO8" s="4">
        <v>16125795.460000001</v>
      </c>
      <c r="CP8" s="4">
        <v>14988353.51</v>
      </c>
      <c r="CQ8" s="4">
        <v>16719353.890000001</v>
      </c>
      <c r="CR8" s="4">
        <v>18292487.940000001</v>
      </c>
      <c r="CS8" s="4">
        <v>18332604.77</v>
      </c>
      <c r="CT8" s="4">
        <f>IF(OR(MID(TBBP[[#This Row],[Coluna1]],1,1)="1",MID(TBBP[[#This Row],[Coluna1]],1,1)="2"),CS8,SUM(CH8:CS8))</f>
        <v>18332604.77</v>
      </c>
      <c r="CU8" s="255">
        <v>15993672.640000001</v>
      </c>
      <c r="CV8" s="255">
        <v>15634760.439999999</v>
      </c>
      <c r="CW8" s="255">
        <v>12809321.279999999</v>
      </c>
      <c r="CX8" s="255">
        <v>12763842.75</v>
      </c>
      <c r="CY8" s="255">
        <v>11564308.289999999</v>
      </c>
      <c r="CZ8" s="255">
        <v>10922055.92</v>
      </c>
      <c r="DA8" s="255">
        <v>15980026.27</v>
      </c>
      <c r="DB8" s="255">
        <v>15570751.880000001</v>
      </c>
      <c r="DC8" s="255">
        <v>14792677.390000001</v>
      </c>
      <c r="DD8" s="255">
        <v>17908853.870000001</v>
      </c>
      <c r="DE8" s="255">
        <v>18821229.23</v>
      </c>
      <c r="DF8" s="255">
        <v>15184695.77</v>
      </c>
      <c r="DG8" s="255">
        <v>15184695.77</v>
      </c>
      <c r="DH8" s="255">
        <v>15221510.140000001</v>
      </c>
      <c r="DI8" s="255">
        <v>15151393.300000001</v>
      </c>
      <c r="DJ8" s="255">
        <v>13625301.01</v>
      </c>
      <c r="DK8" s="255">
        <v>11871720.66</v>
      </c>
      <c r="DL8" s="255">
        <v>11919190.58</v>
      </c>
      <c r="DM8" s="255">
        <v>12053768.66</v>
      </c>
      <c r="DP8" s="30" t="str">
        <f>IF(OR(MID(TBBP[[#This Row],[Coluna1]],1,1)="1",MID(TBBP[[#This Row],[Coluna1]],1,1)="2"),"-",SUMIFS(8:8,listaPeriodos,$DR$1,listaPeriodos,$DR$2))</f>
        <v>-</v>
      </c>
      <c r="DR8" s="30">
        <f t="shared" si="11"/>
        <v>0</v>
      </c>
      <c r="DS8" s="30"/>
      <c r="DT8" s="30"/>
      <c r="DU8"/>
    </row>
    <row r="9" spans="1:125" x14ac:dyDescent="0.3">
      <c r="A9" s="7" t="s">
        <v>38</v>
      </c>
      <c r="B9" t="s">
        <v>9</v>
      </c>
      <c r="C9" s="4">
        <v>2125514.88</v>
      </c>
      <c r="D9" s="4">
        <v>3653840.3400000003</v>
      </c>
      <c r="E9" s="4">
        <v>5164967.38</v>
      </c>
      <c r="F9" s="4">
        <v>5472169.8600000003</v>
      </c>
      <c r="G9" s="4">
        <v>5000216.88</v>
      </c>
      <c r="H9" s="4">
        <v>5115280.13</v>
      </c>
      <c r="I9" s="4">
        <v>5402705.1799999997</v>
      </c>
      <c r="J9" s="4">
        <v>5797133.2300000004</v>
      </c>
      <c r="K9" s="4">
        <v>6028053.4199999999</v>
      </c>
      <c r="L9" s="4">
        <v>5880480.5999999996</v>
      </c>
      <c r="M9" s="4">
        <v>5887242.6200000001</v>
      </c>
      <c r="N9" s="4">
        <v>7290991.6200000001</v>
      </c>
      <c r="O9" s="4">
        <v>7748973.7800000003</v>
      </c>
      <c r="P9" s="4">
        <v>9404547.0500000007</v>
      </c>
      <c r="Q9" s="4">
        <v>8747359.3300000001</v>
      </c>
      <c r="R9" s="4">
        <v>8362919.3499999996</v>
      </c>
      <c r="S9" s="4">
        <v>8000617.8300000001</v>
      </c>
      <c r="T9" s="4">
        <f>IF(OR(MID(TBBP[[#This Row],[Coluna1]],1,1)="1",MID(TBBP[[#This Row],[Coluna1]],1,1)="2"),TBBP[[#This Row],[Coluna19]],SUM(H9:S9))</f>
        <v>8000617.8300000001</v>
      </c>
      <c r="U9" s="4">
        <v>7925688.0199999996</v>
      </c>
      <c r="V9" s="4">
        <v>7837368.2699999996</v>
      </c>
      <c r="W9" s="4">
        <v>7918032.7199999997</v>
      </c>
      <c r="X9" s="4">
        <v>8469576.7799999993</v>
      </c>
      <c r="Y9" s="4">
        <v>8698423.9700000007</v>
      </c>
      <c r="Z9" s="4">
        <v>9063208.4100000001</v>
      </c>
      <c r="AA9" s="4">
        <v>9426364.5500000007</v>
      </c>
      <c r="AB9" s="4">
        <v>8996834.0199999996</v>
      </c>
      <c r="AC9" s="4">
        <v>9934162.8499999996</v>
      </c>
      <c r="AD9" s="4">
        <v>11188258.83</v>
      </c>
      <c r="AE9" s="4">
        <v>11403819.619999999</v>
      </c>
      <c r="AF9" s="4">
        <v>10184387.82</v>
      </c>
      <c r="AG9" s="4">
        <f>IF(OR(MID(TBBP[[#This Row],[Coluna1]],1,1)="1",MID(TBBP[[#This Row],[Coluna1]],1,1)="2"),TBBP[[#This Row],[Coluna32]],SUM(U9:AF9))</f>
        <v>10184387.82</v>
      </c>
      <c r="AH9" s="4">
        <v>10591964.029999999</v>
      </c>
      <c r="AI9" s="4">
        <v>10033952.560000001</v>
      </c>
      <c r="AJ9" s="4">
        <v>9491216.2100000009</v>
      </c>
      <c r="AK9" s="4">
        <v>8579551.0700000003</v>
      </c>
      <c r="AL9" s="4">
        <v>8632663.7400000002</v>
      </c>
      <c r="AM9" s="4">
        <v>9637886.0700000003</v>
      </c>
      <c r="AN9" s="4">
        <v>10633389.75</v>
      </c>
      <c r="AO9" s="4">
        <v>12114533.279999999</v>
      </c>
      <c r="AP9" s="4">
        <v>12931647.09</v>
      </c>
      <c r="AQ9" s="4">
        <v>14227434.029999999</v>
      </c>
      <c r="AR9" s="4">
        <v>14898400.82</v>
      </c>
      <c r="AS9" s="4">
        <v>15214152.359999999</v>
      </c>
      <c r="AT9" s="4">
        <f>IF(OR(MID(TBBP[[#This Row],[Coluna1]],1,1)="1",MID(TBBP[[#This Row],[Coluna1]],1,1)="2"),TBBP[[#This Row],[Coluna45]],SUM(AH9:AS9))</f>
        <v>15214152.359999999</v>
      </c>
      <c r="AU9" s="4">
        <v>15875040.449999999</v>
      </c>
      <c r="AV9" s="4">
        <v>17495834.780000001</v>
      </c>
      <c r="AW9" s="4">
        <v>18173048</v>
      </c>
      <c r="AX9" s="4">
        <v>18869956.09</v>
      </c>
      <c r="AY9" s="4">
        <v>19423618.510000002</v>
      </c>
      <c r="AZ9" s="4">
        <v>22124561.16</v>
      </c>
      <c r="BA9" s="4">
        <v>25348956.620000001</v>
      </c>
      <c r="BB9" s="4">
        <v>25852456.120000001</v>
      </c>
      <c r="BC9" s="4">
        <v>27426545.579999998</v>
      </c>
      <c r="BD9" s="4">
        <v>27258592.09</v>
      </c>
      <c r="BE9" s="4">
        <v>26529405.120000001</v>
      </c>
      <c r="BF9" s="4">
        <v>24708720.460000001</v>
      </c>
      <c r="BG9" s="4">
        <f>IF(OR(MID(TBBP[[#This Row],[Coluna1]],1,1)="1",MID(TBBP[[#This Row],[Coluna1]],1,1)="2"),TBBP[[#This Row],[Coluna58]],SUM(AU9:BF9))</f>
        <v>24708720.460000001</v>
      </c>
      <c r="BH9" s="4">
        <v>24658572.079999998</v>
      </c>
      <c r="BI9" s="4">
        <v>26234597.32</v>
      </c>
      <c r="BJ9" s="4">
        <v>28761118.600000001</v>
      </c>
      <c r="BK9" s="4">
        <v>29699141.780000001</v>
      </c>
      <c r="BL9" s="4">
        <v>27501012.32</v>
      </c>
      <c r="BM9" s="4">
        <v>29575085.030000001</v>
      </c>
      <c r="BN9" s="4">
        <v>30008788.77</v>
      </c>
      <c r="BO9" s="4">
        <v>29736502.260000002</v>
      </c>
      <c r="BP9" s="4">
        <v>30399001.359999999</v>
      </c>
      <c r="BQ9" s="4">
        <v>29660876.190000001</v>
      </c>
      <c r="BR9" s="4">
        <v>28550498.02</v>
      </c>
      <c r="BS9" s="4">
        <v>26273938.719999999</v>
      </c>
      <c r="BT9" s="4">
        <f>IF(OR(MID(TBBP[[#This Row],[Coluna1]],1,1)="1",MID(TBBP[[#This Row],[Coluna1]],1,1)="2"),TBBP[[#This Row],[Coluna127]],SUM(BH9:BS9))</f>
        <v>26273938.719999999</v>
      </c>
      <c r="BU9" s="4">
        <v>23736817.829999998</v>
      </c>
      <c r="BV9" s="4">
        <v>24110186.710000001</v>
      </c>
      <c r="BW9" s="4">
        <v>25107899.149999999</v>
      </c>
      <c r="BX9" s="4">
        <v>25574862.870000001</v>
      </c>
      <c r="BY9" s="4">
        <v>29005282.239999998</v>
      </c>
      <c r="BZ9" s="4">
        <v>31439670.350000001</v>
      </c>
      <c r="CA9" s="4">
        <v>29550215.989999998</v>
      </c>
      <c r="CB9" s="4">
        <v>30722944.309999999</v>
      </c>
      <c r="CC9" s="4">
        <v>32564066.640000001</v>
      </c>
      <c r="CD9" s="4">
        <v>33920943.450000003</v>
      </c>
      <c r="CE9" s="4">
        <v>32750074.960000001</v>
      </c>
      <c r="CF9" s="4">
        <v>33491854.899999999</v>
      </c>
      <c r="CG9" s="4">
        <f>IF(OR(MID(TBBP[[#This Row],[Coluna1]],1,1)="1",MID(TBBP[[#This Row],[Coluna1]],1,1)="2"),CF9,SUM(BU9:CF9))</f>
        <v>33491854.899999999</v>
      </c>
      <c r="CH9" s="4">
        <v>33511490.280000001</v>
      </c>
      <c r="CI9" s="4">
        <v>35663746.259999998</v>
      </c>
      <c r="CJ9" s="4">
        <v>37732470.219999999</v>
      </c>
      <c r="CK9" s="4">
        <v>39583456.600000001</v>
      </c>
      <c r="CL9" s="4">
        <v>44141272.380000003</v>
      </c>
      <c r="CM9" s="4">
        <v>46854804.450000003</v>
      </c>
      <c r="CN9" s="4">
        <v>48355592.200000003</v>
      </c>
      <c r="CO9" s="4">
        <v>49460038.840000004</v>
      </c>
      <c r="CP9" s="4">
        <v>51980062.799999997</v>
      </c>
      <c r="CQ9" s="4">
        <v>52450626.770000003</v>
      </c>
      <c r="CR9" s="4">
        <v>53524500.090000004</v>
      </c>
      <c r="CS9" s="4">
        <v>55243276.909999996</v>
      </c>
      <c r="CT9" s="4">
        <f>IF(OR(MID(TBBP[[#This Row],[Coluna1]],1,1)="1",MID(TBBP[[#This Row],[Coluna1]],1,1)="2"),CS9,SUM(CH9:CS9))</f>
        <v>55243276.909999996</v>
      </c>
      <c r="CU9" s="255">
        <v>56472324.530000001</v>
      </c>
      <c r="CV9" s="255">
        <v>57496059.659999996</v>
      </c>
      <c r="CW9" s="255">
        <v>57119326.07</v>
      </c>
      <c r="CX9" s="255">
        <v>60748588.359999999</v>
      </c>
      <c r="CY9" s="255">
        <v>64571138.289999999</v>
      </c>
      <c r="CZ9" s="255">
        <v>65224180.439999998</v>
      </c>
      <c r="DA9" s="255">
        <v>62344574.939999998</v>
      </c>
      <c r="DB9" s="255">
        <v>63454464.259999998</v>
      </c>
      <c r="DC9" s="255">
        <v>63019215.219999999</v>
      </c>
      <c r="DD9" s="255">
        <v>59050397.990000002</v>
      </c>
      <c r="DE9" s="255">
        <v>60181646.270000003</v>
      </c>
      <c r="DF9" s="255">
        <v>56771817.329999998</v>
      </c>
      <c r="DG9" s="255">
        <v>56771817.329999998</v>
      </c>
      <c r="DH9" s="255">
        <v>57547496.810000002</v>
      </c>
      <c r="DI9" s="255">
        <v>58790540.520000003</v>
      </c>
      <c r="DJ9" s="255">
        <v>58532103.57</v>
      </c>
      <c r="DK9" s="255">
        <v>61946779.899999999</v>
      </c>
      <c r="DL9" s="255">
        <v>64096899.25</v>
      </c>
      <c r="DM9" s="255">
        <v>64953953.740000002</v>
      </c>
      <c r="DP9" s="30" t="str">
        <f>IF(OR(MID(TBBP[[#This Row],[Coluna1]],1,1)="1",MID(TBBP[[#This Row],[Coluna1]],1,1)="2"),"-",SUMIFS(9:9,listaPeriodos,$DR$1,listaPeriodos,$DR$2))</f>
        <v>-</v>
      </c>
      <c r="DR9" s="30">
        <f t="shared" si="11"/>
        <v>0</v>
      </c>
      <c r="DS9" s="30"/>
      <c r="DT9" s="30"/>
      <c r="DU9"/>
    </row>
    <row r="10" spans="1:125" x14ac:dyDescent="0.3">
      <c r="A10" s="7" t="s">
        <v>737</v>
      </c>
      <c r="B10" t="s">
        <v>738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>
        <f>SUM(TBBP[[#This Row],[Coluna8]:[Coluna19]])</f>
        <v>0</v>
      </c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>
        <v>330510</v>
      </c>
      <c r="AQ10" s="4">
        <v>336055</v>
      </c>
      <c r="AR10" s="4">
        <v>318995</v>
      </c>
      <c r="AS10" s="4">
        <v>318780</v>
      </c>
      <c r="AT10" s="4">
        <f>IF(OR(MID(TBBP[[#This Row],[Coluna1]],1,1)="1",MID(TBBP[[#This Row],[Coluna1]],1,1)="2"),TBBP[[#This Row],[Coluna45]],SUM(AH10:AS10))</f>
        <v>318780</v>
      </c>
      <c r="AU10" s="4">
        <v>332595</v>
      </c>
      <c r="AV10" s="4">
        <v>0</v>
      </c>
      <c r="AW10" s="4">
        <v>0</v>
      </c>
      <c r="AX10" s="4">
        <v>0</v>
      </c>
      <c r="AY10" s="4">
        <v>835407.2</v>
      </c>
      <c r="AZ10" s="4">
        <v>959789.3</v>
      </c>
      <c r="BA10" s="4">
        <v>562119.74</v>
      </c>
      <c r="BB10" s="4">
        <v>1214438.17</v>
      </c>
      <c r="BC10" s="4">
        <v>786164.22</v>
      </c>
      <c r="BD10" s="4">
        <v>1229319.8</v>
      </c>
      <c r="BE10" s="4">
        <v>1015025.66</v>
      </c>
      <c r="BF10" s="4">
        <v>1013918.46</v>
      </c>
      <c r="BG10" s="4">
        <f>IF(OR(MID(TBBP[[#This Row],[Coluna1]],1,1)="1",MID(TBBP[[#This Row],[Coluna1]],1,1)="2"),TBBP[[#This Row],[Coluna58]],SUM(AU10:BF10))</f>
        <v>1013918.46</v>
      </c>
      <c r="BH10" s="4">
        <v>963741.64</v>
      </c>
      <c r="BI10" s="4">
        <v>927091.86</v>
      </c>
      <c r="BJ10" s="4">
        <v>487590.40000000002</v>
      </c>
      <c r="BK10" s="4">
        <v>481011.87</v>
      </c>
      <c r="BL10" s="4">
        <v>817544.35</v>
      </c>
      <c r="BM10" s="4">
        <v>872948.37</v>
      </c>
      <c r="BN10" s="4">
        <v>842380.05</v>
      </c>
      <c r="BO10" s="4">
        <v>829484.04</v>
      </c>
      <c r="BP10" s="4">
        <v>842013.87</v>
      </c>
      <c r="BQ10" s="4">
        <v>593309.47</v>
      </c>
      <c r="BR10" s="4">
        <v>1012249.44</v>
      </c>
      <c r="BS10" s="4">
        <v>1033773.23</v>
      </c>
      <c r="BT10" s="4">
        <f>IF(OR(MID(TBBP[[#This Row],[Coluna1]],1,1)="1",MID(TBBP[[#This Row],[Coluna1]],1,1)="2"),TBBP[[#This Row],[Coluna127]],SUM(BH10:BS10))</f>
        <v>1033773.23</v>
      </c>
      <c r="BU10" s="4">
        <v>1028220.5</v>
      </c>
      <c r="BV10" s="4">
        <v>1025434.85</v>
      </c>
      <c r="BW10" s="4">
        <v>1025434.85</v>
      </c>
      <c r="BX10" s="4">
        <v>1025044.86</v>
      </c>
      <c r="BY10" s="4">
        <v>1007940.97</v>
      </c>
      <c r="BZ10" s="4">
        <v>1040998.02</v>
      </c>
      <c r="CA10" s="4">
        <v>1031003.38</v>
      </c>
      <c r="CB10" s="4">
        <v>1238654.3500000001</v>
      </c>
      <c r="CC10" s="4">
        <v>1236957.9099999999</v>
      </c>
      <c r="CD10" s="4">
        <v>1907687.35</v>
      </c>
      <c r="CE10" s="4">
        <v>1931991.49</v>
      </c>
      <c r="CF10" s="4">
        <v>1916323.91</v>
      </c>
      <c r="CG10" s="4">
        <f>IF(OR(MID(TBBP[[#This Row],[Coluna1]],1,1)="1",MID(TBBP[[#This Row],[Coluna1]],1,1)="2"),CF10,SUM(BU10:CF10))</f>
        <v>1916323.91</v>
      </c>
      <c r="CH10" s="4">
        <v>1934450.47</v>
      </c>
      <c r="CI10" s="4">
        <v>1939806.43</v>
      </c>
      <c r="CJ10" s="4">
        <v>1822005.99</v>
      </c>
      <c r="CK10" s="4">
        <v>2058985.35</v>
      </c>
      <c r="CL10" s="4">
        <v>2069880.96</v>
      </c>
      <c r="CM10" s="4">
        <v>2034360.8</v>
      </c>
      <c r="CN10" s="4">
        <v>4057162.81</v>
      </c>
      <c r="CO10" s="4">
        <v>4018012.23</v>
      </c>
      <c r="CP10" s="4">
        <v>3665216.24</v>
      </c>
      <c r="CQ10" s="4">
        <v>4000525.31</v>
      </c>
      <c r="CR10" s="4">
        <v>3857705.3</v>
      </c>
      <c r="CS10" s="4">
        <v>3844467.41</v>
      </c>
      <c r="CT10" s="4">
        <f>IF(OR(MID(TBBP[[#This Row],[Coluna1]],1,1)="1",MID(TBBP[[#This Row],[Coluna1]],1,1)="2"),CS10,SUM(CH10:CS10))</f>
        <v>3844467.41</v>
      </c>
      <c r="CU10" s="255">
        <v>3606404.11</v>
      </c>
      <c r="CV10" s="255">
        <v>3791112.9</v>
      </c>
      <c r="CW10" s="255">
        <v>3867108.53</v>
      </c>
      <c r="CX10" s="255">
        <v>3853910.85</v>
      </c>
      <c r="CY10" s="255">
        <v>5788660.3899999997</v>
      </c>
      <c r="CZ10" s="255">
        <v>5945227.1600000001</v>
      </c>
      <c r="DA10" s="255">
        <v>6406702.04</v>
      </c>
      <c r="DB10" s="255">
        <v>6985144.6699999999</v>
      </c>
      <c r="DC10" s="255">
        <v>5614537.9299999997</v>
      </c>
      <c r="DD10" s="255">
        <v>6829864.8399999999</v>
      </c>
      <c r="DE10" s="255">
        <v>7384637.4400000004</v>
      </c>
      <c r="DF10" s="255">
        <v>7329165.9900000002</v>
      </c>
      <c r="DG10" s="255">
        <v>7329165.9900000002</v>
      </c>
      <c r="DH10" s="255">
        <v>6999457.5800000001</v>
      </c>
      <c r="DI10" s="255">
        <v>7073668.5499999998</v>
      </c>
      <c r="DJ10" s="255">
        <v>7244296.0800000001</v>
      </c>
      <c r="DK10" s="255">
        <v>6513327.0999999996</v>
      </c>
      <c r="DL10" s="255">
        <v>6769078.5</v>
      </c>
      <c r="DM10" s="255">
        <v>7009817.21</v>
      </c>
      <c r="DP10" s="30" t="str">
        <f>IF(OR(MID(TBBP[[#This Row],[Coluna1]],1,1)="1",MID(TBBP[[#This Row],[Coluna1]],1,1)="2"),"-",SUMIFS(10:10,listaPeriodos,$DR$1,listaPeriodos,$DR$2))</f>
        <v>-</v>
      </c>
      <c r="DR10" s="30">
        <f t="shared" si="11"/>
        <v>0</v>
      </c>
      <c r="DS10" s="30"/>
      <c r="DT10" s="30"/>
      <c r="DU10"/>
    </row>
    <row r="11" spans="1:125" x14ac:dyDescent="0.3">
      <c r="A11" s="7" t="s">
        <v>39</v>
      </c>
      <c r="B11" t="s">
        <v>10</v>
      </c>
      <c r="C11" s="4">
        <v>0</v>
      </c>
      <c r="D11" s="4">
        <v>0</v>
      </c>
      <c r="E11" s="4">
        <v>-316311.89</v>
      </c>
      <c r="F11" s="4">
        <v>-344118.37</v>
      </c>
      <c r="G11" s="4">
        <v>-393852.68</v>
      </c>
      <c r="H11" s="4">
        <v>-393852.68</v>
      </c>
      <c r="I11" s="4">
        <v>-393852.68</v>
      </c>
      <c r="J11" s="4">
        <v>-393852.68</v>
      </c>
      <c r="K11" s="4">
        <v>-393852.68</v>
      </c>
      <c r="L11" s="4">
        <v>-346262.07</v>
      </c>
      <c r="M11" s="4">
        <v>-346262.07</v>
      </c>
      <c r="N11" s="4">
        <v>-346262.07</v>
      </c>
      <c r="O11" s="4">
        <v>-346262.07</v>
      </c>
      <c r="P11" s="4">
        <v>-346262.07</v>
      </c>
      <c r="Q11" s="4">
        <v>-346262.07</v>
      </c>
      <c r="R11" s="4">
        <v>-346262.07</v>
      </c>
      <c r="S11" s="4">
        <v>-346262.07</v>
      </c>
      <c r="T11" s="4">
        <f>IF(OR(MID(TBBP[[#This Row],[Coluna1]],1,1)="1",MID(TBBP[[#This Row],[Coluna1]],1,1)="2"),TBBP[[#This Row],[Coluna19]],SUM(H11:S11))</f>
        <v>-346262.07</v>
      </c>
      <c r="U11" s="4">
        <v>-346262.07</v>
      </c>
      <c r="V11" s="4">
        <v>-346262.07</v>
      </c>
      <c r="W11" s="4">
        <v>-346262.07</v>
      </c>
      <c r="X11" s="4">
        <v>-346262.07</v>
      </c>
      <c r="Y11" s="4">
        <v>-346262.07</v>
      </c>
      <c r="Z11" s="4">
        <v>-346262.07</v>
      </c>
      <c r="AA11" s="4">
        <v>-346262.07</v>
      </c>
      <c r="AB11" s="4">
        <v>-346262.07</v>
      </c>
      <c r="AC11" s="4">
        <v>-346262.07</v>
      </c>
      <c r="AD11" s="4">
        <v>-346262.07</v>
      </c>
      <c r="AE11" s="4">
        <v>-346262.07</v>
      </c>
      <c r="AF11" s="4">
        <v>-346262.07</v>
      </c>
      <c r="AG11" s="4">
        <f>IF(OR(MID(TBBP[[#This Row],[Coluna1]],1,1)="1",MID(TBBP[[#This Row],[Coluna1]],1,1)="2"),TBBP[[#This Row],[Coluna32]],SUM(U11:AF11))</f>
        <v>-346262.07</v>
      </c>
      <c r="AH11" s="4">
        <v>-346262.07</v>
      </c>
      <c r="AI11" s="4">
        <v>-346262.07</v>
      </c>
      <c r="AJ11" s="4">
        <v>-346262.07</v>
      </c>
      <c r="AK11" s="4">
        <v>-346262.07</v>
      </c>
      <c r="AL11" s="4">
        <v>-346262.07</v>
      </c>
      <c r="AM11" s="4">
        <v>-346262.07</v>
      </c>
      <c r="AN11" s="4">
        <v>-346262.07</v>
      </c>
      <c r="AO11" s="4">
        <v>-346262.07</v>
      </c>
      <c r="AP11" s="4">
        <v>-346262.07</v>
      </c>
      <c r="AQ11" s="4">
        <v>-346262.07</v>
      </c>
      <c r="AR11" s="4">
        <v>-346262.07</v>
      </c>
      <c r="AS11" s="4">
        <v>-346262.07</v>
      </c>
      <c r="AT11" s="4">
        <f>IF(OR(MID(TBBP[[#This Row],[Coluna1]],1,1)="1",MID(TBBP[[#This Row],[Coluna1]],1,1)="2"),TBBP[[#This Row],[Coluna45]],SUM(AH11:AS11))</f>
        <v>-346262.07</v>
      </c>
      <c r="AU11" s="4">
        <v>-346262.07</v>
      </c>
      <c r="AV11" s="4">
        <v>-346262.07</v>
      </c>
      <c r="AW11" s="4">
        <v>-346262.07</v>
      </c>
      <c r="AX11" s="4">
        <v>-346262.07</v>
      </c>
      <c r="AY11" s="4">
        <v>-346262.07</v>
      </c>
      <c r="AZ11" s="4">
        <v>-346262.07</v>
      </c>
      <c r="BA11" s="4">
        <v>-346262.07</v>
      </c>
      <c r="BB11" s="4">
        <v>-346262.07</v>
      </c>
      <c r="BC11" s="4">
        <v>-346262.07</v>
      </c>
      <c r="BD11" s="4">
        <v>-346262.07</v>
      </c>
      <c r="BE11" s="4">
        <v>-346262.07</v>
      </c>
      <c r="BF11" s="4">
        <v>-346262.07</v>
      </c>
      <c r="BG11" s="4">
        <f>IF(OR(MID(TBBP[[#This Row],[Coluna1]],1,1)="1",MID(TBBP[[#This Row],[Coluna1]],1,1)="2"),TBBP[[#This Row],[Coluna58]],SUM(AU11:BF11))</f>
        <v>-346262.07</v>
      </c>
      <c r="BH11" s="4">
        <v>-346262.07</v>
      </c>
      <c r="BI11" s="4">
        <v>-346262.07</v>
      </c>
      <c r="BJ11" s="4">
        <v>-346262.07</v>
      </c>
      <c r="BK11" s="4">
        <v>-346262.07</v>
      </c>
      <c r="BL11" s="4">
        <v>-346262.07</v>
      </c>
      <c r="BM11" s="4">
        <v>-346262.07</v>
      </c>
      <c r="BN11" s="4">
        <v>-346262.07</v>
      </c>
      <c r="BO11" s="4">
        <v>-346262.07</v>
      </c>
      <c r="BP11" s="4">
        <v>-346262.07</v>
      </c>
      <c r="BQ11" s="4">
        <v>-346262.07</v>
      </c>
      <c r="BR11" s="4">
        <v>-346262.07</v>
      </c>
      <c r="BS11" s="4">
        <v>-346262.07</v>
      </c>
      <c r="BT11" s="4">
        <f>IF(OR(MID(TBBP[[#This Row],[Coluna1]],1,1)="1",MID(TBBP[[#This Row],[Coluna1]],1,1)="2"),TBBP[[#This Row],[Coluna127]],SUM(BH11:BS11))</f>
        <v>-346262.07</v>
      </c>
      <c r="BU11" s="4">
        <v>-346262.07</v>
      </c>
      <c r="BV11" s="4">
        <v>-346262.07</v>
      </c>
      <c r="BW11" s="4">
        <v>-346262.07</v>
      </c>
      <c r="BX11" s="4">
        <v>-346262.07</v>
      </c>
      <c r="BY11" s="4">
        <v>-361098.92</v>
      </c>
      <c r="BZ11" s="4">
        <v>-375935.77</v>
      </c>
      <c r="CA11" s="4">
        <v>-394313.76</v>
      </c>
      <c r="CB11" s="4">
        <v>-394314.76</v>
      </c>
      <c r="CC11" s="4">
        <v>-394315.76</v>
      </c>
      <c r="CD11" s="4">
        <v>-394316.76</v>
      </c>
      <c r="CE11" s="4">
        <v>-394317.76</v>
      </c>
      <c r="CF11" s="4">
        <v>-394318.76</v>
      </c>
      <c r="CG11" s="4">
        <f>IF(OR(MID(TBBP[[#This Row],[Coluna1]],1,1)="1",MID(TBBP[[#This Row],[Coluna1]],1,1)="2"),CF11,SUM(BU11:CF11))</f>
        <v>-394318.76</v>
      </c>
      <c r="CH11" s="4">
        <v>-394319.76</v>
      </c>
      <c r="CI11" s="4">
        <v>-394320.76</v>
      </c>
      <c r="CJ11" s="4">
        <v>-394321.76</v>
      </c>
      <c r="CK11" s="4">
        <v>-394322.76</v>
      </c>
      <c r="CL11" s="4">
        <v>-394323.76</v>
      </c>
      <c r="CM11" s="4">
        <v>-394324.76</v>
      </c>
      <c r="CN11" s="4">
        <v>-394325.76000000001</v>
      </c>
      <c r="CO11" s="4">
        <v>-394326.76</v>
      </c>
      <c r="CP11" s="4">
        <v>-394327.76</v>
      </c>
      <c r="CQ11" s="4">
        <v>-394328.76</v>
      </c>
      <c r="CR11" s="4">
        <v>-394329.76</v>
      </c>
      <c r="CS11" s="4">
        <v>-394330.76</v>
      </c>
      <c r="CT11" s="4">
        <f>IF(OR(MID(TBBP[[#This Row],[Coluna1]],1,1)="1",MID(TBBP[[#This Row],[Coluna1]],1,1)="2"),CS11,SUM(CH11:CS11))</f>
        <v>-394330.76</v>
      </c>
      <c r="CU11" s="255">
        <v>-394331.76</v>
      </c>
      <c r="CV11" s="255">
        <v>-394332.76</v>
      </c>
      <c r="CW11" s="255">
        <v>-394333.76</v>
      </c>
      <c r="CX11" s="255">
        <v>-394334.76</v>
      </c>
      <c r="CY11" s="255">
        <v>-394335.76</v>
      </c>
      <c r="CZ11" s="255">
        <v>-394336.76</v>
      </c>
      <c r="DA11" s="255">
        <v>-394337.76</v>
      </c>
      <c r="DB11" s="255">
        <v>-394338.76</v>
      </c>
      <c r="DC11" s="255">
        <v>-394339.76</v>
      </c>
      <c r="DD11" s="255">
        <v>-394340.76</v>
      </c>
      <c r="DE11" s="255">
        <v>-394341.76</v>
      </c>
      <c r="DF11" s="255">
        <v>-394342.76</v>
      </c>
      <c r="DG11" s="255">
        <v>-394342.76</v>
      </c>
      <c r="DH11" s="255">
        <v>-394343.76</v>
      </c>
      <c r="DI11" s="255">
        <v>-394344.76</v>
      </c>
      <c r="DJ11" s="255">
        <v>-394345.76</v>
      </c>
      <c r="DK11" s="255">
        <v>-394346.76</v>
      </c>
      <c r="DL11" s="255">
        <v>-394347.76</v>
      </c>
      <c r="DM11" s="255">
        <v>-394348.76</v>
      </c>
      <c r="DP11" s="30" t="str">
        <f>IF(OR(MID(TBBP[[#This Row],[Coluna1]],1,1)="1",MID(TBBP[[#This Row],[Coluna1]],1,1)="2"),"-",SUMIFS(11:11,listaPeriodos,$DR$1,listaPeriodos,$DR$2))</f>
        <v>-</v>
      </c>
      <c r="DR11" s="30">
        <f t="shared" si="11"/>
        <v>0</v>
      </c>
      <c r="DS11" s="30"/>
      <c r="DT11" s="30"/>
      <c r="DU11"/>
    </row>
    <row r="12" spans="1:125" x14ac:dyDescent="0.3">
      <c r="A12" s="7" t="s">
        <v>40</v>
      </c>
      <c r="B12" t="s">
        <v>11</v>
      </c>
      <c r="C12" s="4">
        <v>202860.72</v>
      </c>
      <c r="D12" s="4">
        <v>69648.070000000007</v>
      </c>
      <c r="E12" s="4">
        <v>77158.36</v>
      </c>
      <c r="F12" s="4">
        <v>140345.48000000001</v>
      </c>
      <c r="G12" s="4">
        <v>191537.08</v>
      </c>
      <c r="H12" s="4">
        <v>164604.92000000001</v>
      </c>
      <c r="I12" s="4">
        <v>263171.26</v>
      </c>
      <c r="J12" s="4">
        <v>144733.73000000001</v>
      </c>
      <c r="K12" s="4">
        <v>154800.54999999999</v>
      </c>
      <c r="L12" s="4">
        <v>285027.09000000003</v>
      </c>
      <c r="M12" s="4">
        <v>225636.79</v>
      </c>
      <c r="N12" s="4">
        <v>60586.05</v>
      </c>
      <c r="O12" s="4">
        <v>127515.41</v>
      </c>
      <c r="P12" s="4">
        <v>99686.86</v>
      </c>
      <c r="Q12" s="4">
        <v>111817.8</v>
      </c>
      <c r="R12" s="4">
        <v>111958.82</v>
      </c>
      <c r="S12" s="4">
        <v>112100.96</v>
      </c>
      <c r="T12" s="4">
        <f>IF(OR(MID(TBBP[[#This Row],[Coluna1]],1,1)="1",MID(TBBP[[#This Row],[Coluna1]],1,1)="2"),TBBP[[#This Row],[Coluna19]],SUM(H12:S12))</f>
        <v>112100.96</v>
      </c>
      <c r="U12" s="4">
        <v>245767.49</v>
      </c>
      <c r="V12" s="4">
        <v>181874.52</v>
      </c>
      <c r="W12" s="4">
        <v>268515.36</v>
      </c>
      <c r="X12" s="4">
        <v>355997.35</v>
      </c>
      <c r="Y12" s="4">
        <v>307185.74</v>
      </c>
      <c r="Z12" s="4">
        <v>560849.5</v>
      </c>
      <c r="AA12" s="4">
        <v>428523.95</v>
      </c>
      <c r="AB12" s="4">
        <v>311374.03999999998</v>
      </c>
      <c r="AC12" s="4">
        <v>234753.61</v>
      </c>
      <c r="AD12" s="4">
        <v>188154.35</v>
      </c>
      <c r="AE12" s="4">
        <v>199018.41</v>
      </c>
      <c r="AF12" s="4">
        <v>131601.23000000001</v>
      </c>
      <c r="AG12" s="4">
        <f>IF(OR(MID(TBBP[[#This Row],[Coluna1]],1,1)="1",MID(TBBP[[#This Row],[Coluna1]],1,1)="2"),TBBP[[#This Row],[Coluna32]],SUM(U12:AF12))</f>
        <v>131601.23000000001</v>
      </c>
      <c r="AH12" s="4">
        <v>139973.13</v>
      </c>
      <c r="AI12" s="4">
        <v>314946.46000000002</v>
      </c>
      <c r="AJ12" s="4">
        <v>481089.61</v>
      </c>
      <c r="AK12" s="4">
        <v>420787.67</v>
      </c>
      <c r="AL12" s="4">
        <v>487472.77</v>
      </c>
      <c r="AM12" s="4">
        <v>203492.23</v>
      </c>
      <c r="AN12" s="4">
        <v>203304.27</v>
      </c>
      <c r="AO12" s="4">
        <v>157026.18</v>
      </c>
      <c r="AP12" s="4">
        <v>187563.36</v>
      </c>
      <c r="AQ12" s="4">
        <v>231130.95</v>
      </c>
      <c r="AR12" s="4">
        <v>440557.82</v>
      </c>
      <c r="AS12" s="4">
        <v>327689.59000000003</v>
      </c>
      <c r="AT12" s="4">
        <f>IF(OR(MID(TBBP[[#This Row],[Coluna1]],1,1)="1",MID(TBBP[[#This Row],[Coluna1]],1,1)="2"),TBBP[[#This Row],[Coluna45]],SUM(AH12:AS12))</f>
        <v>327689.59000000003</v>
      </c>
      <c r="AU12" s="4">
        <v>646762.30000000005</v>
      </c>
      <c r="AV12" s="4">
        <v>786763.26</v>
      </c>
      <c r="AW12" s="4">
        <v>739453.51</v>
      </c>
      <c r="AX12" s="4">
        <v>915230.58</v>
      </c>
      <c r="AY12" s="4">
        <v>697332.34</v>
      </c>
      <c r="AZ12" s="4">
        <v>911203.33</v>
      </c>
      <c r="BA12" s="4">
        <v>820318.45</v>
      </c>
      <c r="BB12" s="4">
        <v>993573.35</v>
      </c>
      <c r="BC12" s="4">
        <v>50284.42</v>
      </c>
      <c r="BD12" s="4">
        <v>106810.95</v>
      </c>
      <c r="BE12" s="4">
        <v>159402.26</v>
      </c>
      <c r="BF12" s="4">
        <v>158453.04999999999</v>
      </c>
      <c r="BG12" s="4">
        <f>IF(OR(MID(TBBP[[#This Row],[Coluna1]],1,1)="1",MID(TBBP[[#This Row],[Coluna1]],1,1)="2"),TBBP[[#This Row],[Coluna58]],SUM(AU12:BF12))</f>
        <v>158453.04999999999</v>
      </c>
      <c r="BH12" s="4">
        <v>526704.89</v>
      </c>
      <c r="BI12" s="4">
        <v>552399</v>
      </c>
      <c r="BJ12" s="4">
        <v>594520.57999999996</v>
      </c>
      <c r="BK12" s="4">
        <v>622879.81999999995</v>
      </c>
      <c r="BL12" s="4">
        <v>676242.51</v>
      </c>
      <c r="BM12" s="4">
        <v>654852.18999999994</v>
      </c>
      <c r="BN12" s="4">
        <v>699627.68</v>
      </c>
      <c r="BO12" s="4">
        <v>690337.48</v>
      </c>
      <c r="BP12" s="4">
        <v>660935.23</v>
      </c>
      <c r="BQ12" s="4">
        <v>335019.63</v>
      </c>
      <c r="BR12" s="4">
        <v>387993.11</v>
      </c>
      <c r="BS12" s="4">
        <v>262028.58</v>
      </c>
      <c r="BT12" s="4">
        <f>IF(OR(MID(TBBP[[#This Row],[Coluna1]],1,1)="1",MID(TBBP[[#This Row],[Coluna1]],1,1)="2"),TBBP[[#This Row],[Coluna127]],SUM(BH12:BS12))</f>
        <v>262028.58</v>
      </c>
      <c r="BU12" s="4">
        <v>288732.78999999998</v>
      </c>
      <c r="BV12" s="4">
        <v>561458.36</v>
      </c>
      <c r="BW12" s="4">
        <v>749081.14</v>
      </c>
      <c r="BX12" s="4">
        <v>987747.77</v>
      </c>
      <c r="BY12" s="4">
        <v>1405566.09</v>
      </c>
      <c r="BZ12" s="4">
        <v>1764778.82</v>
      </c>
      <c r="CA12" s="4">
        <v>2312408.77</v>
      </c>
      <c r="CB12" s="4">
        <v>2453576.5299999998</v>
      </c>
      <c r="CC12" s="4">
        <v>2985003.42</v>
      </c>
      <c r="CD12" s="4">
        <v>3399666.09</v>
      </c>
      <c r="CE12" s="4">
        <v>3917129.46</v>
      </c>
      <c r="CF12" s="4">
        <v>3627616.38</v>
      </c>
      <c r="CG12" s="4">
        <f>IF(OR(MID(TBBP[[#This Row],[Coluna1]],1,1)="1",MID(TBBP[[#This Row],[Coluna1]],1,1)="2"),CF12,SUM(BU12:CF12))</f>
        <v>3627616.38</v>
      </c>
      <c r="CH12" s="4">
        <v>992253.9</v>
      </c>
      <c r="CI12" s="4">
        <v>1190801.46</v>
      </c>
      <c r="CJ12" s="4">
        <v>1279935.1599999999</v>
      </c>
      <c r="CK12" s="4">
        <v>1711266.56</v>
      </c>
      <c r="CL12" s="4">
        <v>2272466.59</v>
      </c>
      <c r="CM12" s="4">
        <v>3006935.95</v>
      </c>
      <c r="CN12" s="4">
        <v>3519454.63</v>
      </c>
      <c r="CO12" s="4">
        <v>4257235.6900000004</v>
      </c>
      <c r="CP12" s="4">
        <v>4656060.4800000004</v>
      </c>
      <c r="CQ12" s="4">
        <v>4974707.18</v>
      </c>
      <c r="CR12" s="4">
        <v>5785468.0099999998</v>
      </c>
      <c r="CS12" s="4">
        <f>5573525.8</f>
        <v>5573525.7999999998</v>
      </c>
      <c r="CT12" s="4">
        <f>IF(OR(MID(TBBP[[#This Row],[Coluna1]],1,1)="1",MID(TBBP[[#This Row],[Coluna1]],1,1)="2"),CS12,SUM(CH12:CS12))</f>
        <v>5573525.7999999998</v>
      </c>
      <c r="CU12" s="255">
        <v>1109018.07</v>
      </c>
      <c r="CV12" s="255">
        <v>1311893.1200000001</v>
      </c>
      <c r="CW12" s="255">
        <v>1751500.51</v>
      </c>
      <c r="CX12" s="255">
        <v>2129456.06</v>
      </c>
      <c r="CY12" s="255">
        <v>2858342.43</v>
      </c>
      <c r="CZ12" s="255">
        <v>3696900.14</v>
      </c>
      <c r="DA12" s="255">
        <v>3828031.93</v>
      </c>
      <c r="DB12" s="255">
        <v>4486590.34</v>
      </c>
      <c r="DC12" s="255">
        <v>4798602.0999999996</v>
      </c>
      <c r="DD12" s="255">
        <v>5210928.18</v>
      </c>
      <c r="DE12" s="255">
        <v>5275300.0999999996</v>
      </c>
      <c r="DF12" s="255">
        <v>2427460.98</v>
      </c>
      <c r="DG12" s="255">
        <v>2427460.98</v>
      </c>
      <c r="DH12" s="255">
        <v>2397985.56</v>
      </c>
      <c r="DI12" s="255">
        <v>3055477.58</v>
      </c>
      <c r="DJ12" s="255">
        <v>4329676.7</v>
      </c>
      <c r="DK12" s="255">
        <v>3941148.89</v>
      </c>
      <c r="DL12" s="255">
        <v>4527475.7</v>
      </c>
      <c r="DM12" s="255">
        <v>5292292.62</v>
      </c>
      <c r="DO12" s="9"/>
      <c r="DP12" s="30" t="str">
        <f>IF(OR(MID(TBBP[[#This Row],[Coluna1]],1,1)="1",MID(TBBP[[#This Row],[Coluna1]],1,1)="2"),"-",SUMIFS(12:12,listaPeriodos,$DR$1,listaPeriodos,$DR$2))</f>
        <v>-</v>
      </c>
      <c r="DR12" s="30">
        <f t="shared" si="11"/>
        <v>0</v>
      </c>
      <c r="DS12" s="30"/>
      <c r="DT12" s="30"/>
      <c r="DU12"/>
    </row>
    <row r="13" spans="1:125" x14ac:dyDescent="0.3">
      <c r="A13" s="7" t="s">
        <v>969</v>
      </c>
      <c r="B13" t="s">
        <v>977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>
        <v>303101.53000000003</v>
      </c>
      <c r="AV13" s="4">
        <v>343504.52</v>
      </c>
      <c r="AW13" s="4">
        <v>420199.73</v>
      </c>
      <c r="AX13" s="4">
        <v>479954.39</v>
      </c>
      <c r="AY13" s="4">
        <v>537863.34</v>
      </c>
      <c r="AZ13" s="4">
        <v>648055.77</v>
      </c>
      <c r="BA13" s="4">
        <v>747925.82</v>
      </c>
      <c r="BB13" s="4">
        <v>80307.81</v>
      </c>
      <c r="BC13" s="4">
        <v>0</v>
      </c>
      <c r="BD13" s="4">
        <v>51108.37</v>
      </c>
      <c r="BE13" s="4">
        <v>61727.54</v>
      </c>
      <c r="BF13" s="4">
        <v>44725.18</v>
      </c>
      <c r="BG13" s="4">
        <v>44725.18</v>
      </c>
      <c r="BH13" s="4">
        <v>130187.36</v>
      </c>
      <c r="BI13" s="4">
        <v>163535.62</v>
      </c>
      <c r="BJ13" s="4">
        <v>170500.17</v>
      </c>
      <c r="BK13" s="4">
        <v>208454.59</v>
      </c>
      <c r="BL13" s="4">
        <v>243411.05</v>
      </c>
      <c r="BM13" s="4">
        <v>297554.58</v>
      </c>
      <c r="BN13" s="4">
        <v>337721.16</v>
      </c>
      <c r="BO13" s="4">
        <v>81445.56</v>
      </c>
      <c r="BP13" s="4">
        <v>0</v>
      </c>
      <c r="BQ13" s="4">
        <v>8346.1299999999992</v>
      </c>
      <c r="BR13" s="4">
        <v>7875.64</v>
      </c>
      <c r="BS13" s="4">
        <v>13400.88</v>
      </c>
      <c r="BT13" s="4">
        <f>IF(OR(MID(TBBP[[#This Row],[Coluna1]],1,1)="1",MID(TBBP[[#This Row],[Coluna1]],1,1)="2"),TBBP[[#This Row],[Coluna127]],SUM(BH13:BS13))</f>
        <v>13400.88</v>
      </c>
      <c r="BU13" s="4">
        <v>14398.52</v>
      </c>
      <c r="BV13" s="4">
        <v>21812.18</v>
      </c>
      <c r="BW13" s="4">
        <v>0</v>
      </c>
      <c r="BX13" s="4">
        <v>0</v>
      </c>
      <c r="BY13" s="4">
        <v>18537.12</v>
      </c>
      <c r="BZ13" s="4">
        <v>917.26</v>
      </c>
      <c r="CA13" s="4">
        <v>13797.38</v>
      </c>
      <c r="CB13" s="4">
        <v>17907.53</v>
      </c>
      <c r="CC13" s="4">
        <v>52561.61</v>
      </c>
      <c r="CD13" s="4">
        <v>40718.300000000003</v>
      </c>
      <c r="CE13" s="4">
        <v>42945.96</v>
      </c>
      <c r="CF13" s="4">
        <v>31596.13</v>
      </c>
      <c r="CG13" s="4">
        <f>IF(OR(MID(TBBP[[#This Row],[Coluna1]],1,1)="1",MID(TBBP[[#This Row],[Coluna1]],1,1)="2"),CF13,SUM(BU13:CF13))</f>
        <v>31596.13</v>
      </c>
      <c r="CH13" s="4">
        <v>89751.2</v>
      </c>
      <c r="CI13" s="4">
        <v>108020.96</v>
      </c>
      <c r="CJ13" s="4">
        <v>147447.07999999999</v>
      </c>
      <c r="CK13" s="4">
        <v>217122.43</v>
      </c>
      <c r="CL13" s="4">
        <v>275053.39</v>
      </c>
      <c r="CM13" s="4">
        <v>318504.87</v>
      </c>
      <c r="CN13" s="4">
        <v>360704.7</v>
      </c>
      <c r="CO13" s="4">
        <v>165706.09</v>
      </c>
      <c r="CP13" s="4">
        <v>238919.67999999999</v>
      </c>
      <c r="CQ13" s="4">
        <v>19477.150000000001</v>
      </c>
      <c r="CR13" s="4">
        <v>97908.24</v>
      </c>
      <c r="CS13" s="4">
        <v>128255.94</v>
      </c>
      <c r="CT13" s="4">
        <f>IF(OR(MID(TBBP[[#This Row],[Coluna1]],1,1)="1",MID(TBBP[[#This Row],[Coluna1]],1,1)="2"),CS13,SUM(CH13:CS13))</f>
        <v>128255.94</v>
      </c>
      <c r="CU13" s="255">
        <v>65144.15</v>
      </c>
      <c r="CV13" s="255">
        <v>116421.81</v>
      </c>
      <c r="CW13" s="255">
        <v>158214.5</v>
      </c>
      <c r="CX13" s="255">
        <v>7280.1</v>
      </c>
      <c r="CY13" s="255">
        <v>62156.639999999999</v>
      </c>
      <c r="CZ13" s="255">
        <v>138361.12</v>
      </c>
      <c r="DA13" s="255">
        <v>32030.78</v>
      </c>
      <c r="DB13" s="255">
        <v>38037.89</v>
      </c>
      <c r="DC13" s="255">
        <v>37348.61</v>
      </c>
      <c r="DD13" s="255">
        <v>68143.710000000006</v>
      </c>
      <c r="DE13" s="255">
        <v>60876.31</v>
      </c>
      <c r="DF13" s="255">
        <v>102512.96000000001</v>
      </c>
      <c r="DG13" s="255">
        <v>102512.96000000001</v>
      </c>
      <c r="DH13" s="255">
        <v>156305.51999999999</v>
      </c>
      <c r="DI13" s="255">
        <v>126754.67</v>
      </c>
      <c r="DJ13" s="255">
        <v>263653.21000000002</v>
      </c>
      <c r="DK13" s="255">
        <v>309246.95</v>
      </c>
      <c r="DL13" s="255">
        <v>133494.53</v>
      </c>
      <c r="DM13" s="255">
        <v>183204.74</v>
      </c>
      <c r="DO13" s="9"/>
      <c r="DP13" s="30" t="str">
        <f>IF(OR(MID(TBBP[[#This Row],[Coluna1]],1,1)="1",MID(TBBP[[#This Row],[Coluna1]],1,1)="2"),"-",SUMIFS(13:13,listaPeriodos,$DR$1,listaPeriodos,$DR$2))</f>
        <v>-</v>
      </c>
      <c r="DR13" s="30">
        <f t="shared" si="11"/>
        <v>0</v>
      </c>
      <c r="DS13" s="30"/>
      <c r="DT13" s="30"/>
      <c r="DU13"/>
    </row>
    <row r="14" spans="1:125" x14ac:dyDescent="0.3">
      <c r="A14" s="7" t="s">
        <v>968</v>
      </c>
      <c r="B14" t="s">
        <v>978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>
        <v>297553.84000000003</v>
      </c>
      <c r="AV14" s="4">
        <v>386592.46</v>
      </c>
      <c r="AW14" s="4">
        <v>270382.51</v>
      </c>
      <c r="AX14" s="4">
        <v>379774.41</v>
      </c>
      <c r="AY14" s="4">
        <v>104918.17</v>
      </c>
      <c r="AZ14" s="4">
        <v>0</v>
      </c>
      <c r="BA14" s="4">
        <v>0</v>
      </c>
      <c r="BB14" s="4">
        <v>19547.669999999998</v>
      </c>
      <c r="BC14" s="4">
        <v>6373.07</v>
      </c>
      <c r="BD14" s="4">
        <v>1556.17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17638.16</v>
      </c>
      <c r="BK14" s="4">
        <v>29395.69</v>
      </c>
      <c r="BL14" s="4">
        <v>22649.74</v>
      </c>
      <c r="BM14" s="4">
        <v>19660.560000000001</v>
      </c>
      <c r="BN14" s="4">
        <v>46998.720000000001</v>
      </c>
      <c r="BO14" s="4">
        <v>21587.09</v>
      </c>
      <c r="BP14" s="4">
        <v>16810.599999999999</v>
      </c>
      <c r="BQ14" s="4">
        <v>15767.72</v>
      </c>
      <c r="BR14" s="4">
        <v>21999.200000000001</v>
      </c>
      <c r="BS14" s="4">
        <v>16097.27</v>
      </c>
      <c r="BT14" s="4">
        <f>IF(OR(MID(TBBP[[#This Row],[Coluna1]],1,1)="1",MID(TBBP[[#This Row],[Coluna1]],1,1)="2"),TBBP[[#This Row],[Coluna127]],SUM(BH14:BS14))</f>
        <v>16097.27</v>
      </c>
      <c r="BU14" s="4">
        <v>10116.1</v>
      </c>
      <c r="BV14" s="4">
        <v>34144.22</v>
      </c>
      <c r="BW14" s="4">
        <v>5033.93</v>
      </c>
      <c r="BX14" s="4">
        <v>0</v>
      </c>
      <c r="BY14" s="4">
        <v>69193.78</v>
      </c>
      <c r="BZ14" s="4">
        <v>0</v>
      </c>
      <c r="CA14" s="4">
        <v>136681.24</v>
      </c>
      <c r="CB14" s="4">
        <v>2857.71</v>
      </c>
      <c r="CC14" s="4">
        <v>121859.55</v>
      </c>
      <c r="CD14" s="4">
        <v>98860.2</v>
      </c>
      <c r="CE14" s="4">
        <v>106432.19</v>
      </c>
      <c r="CF14" s="4">
        <v>16837.16</v>
      </c>
      <c r="CG14" s="4">
        <f>IF(OR(MID(TBBP[[#This Row],[Coluna1]],1,1)="1",MID(TBBP[[#This Row],[Coluna1]],1,1)="2"),CF14,SUM(BU14:CF14))</f>
        <v>16837.16</v>
      </c>
      <c r="CH14" s="4">
        <v>118936.98</v>
      </c>
      <c r="CI14" s="4">
        <v>39665.15</v>
      </c>
      <c r="CJ14" s="4">
        <v>21188.59</v>
      </c>
      <c r="CK14" s="4">
        <v>5246.04</v>
      </c>
      <c r="CL14" s="4">
        <v>1.04</v>
      </c>
      <c r="CM14" s="4">
        <v>167523.79999999999</v>
      </c>
      <c r="CN14" s="4">
        <v>68606.600000000006</v>
      </c>
      <c r="CO14" s="4">
        <v>207842.98</v>
      </c>
      <c r="CP14" s="4">
        <v>206027.86</v>
      </c>
      <c r="CQ14" s="4">
        <v>304025.82</v>
      </c>
      <c r="CR14" s="4">
        <v>468261.68</v>
      </c>
      <c r="CS14" s="4">
        <v>151445.9</v>
      </c>
      <c r="CT14" s="4">
        <f>IF(OR(MID(TBBP[[#This Row],[Coluna1]],1,1)="1",MID(TBBP[[#This Row],[Coluna1]],1,1)="2"),CS14,SUM(CH14:CS14))</f>
        <v>151445.9</v>
      </c>
      <c r="CU14" s="255">
        <v>294398.05</v>
      </c>
      <c r="CV14" s="255">
        <v>102930.05</v>
      </c>
      <c r="CW14" s="255">
        <v>1.04</v>
      </c>
      <c r="CX14" s="255">
        <v>5025.42</v>
      </c>
      <c r="CY14" s="255">
        <v>2602.58</v>
      </c>
      <c r="CZ14" s="255">
        <v>264444.96000000002</v>
      </c>
      <c r="DA14" s="255">
        <v>142756.69</v>
      </c>
      <c r="DB14" s="255">
        <v>87661.69</v>
      </c>
      <c r="DC14" s="255">
        <v>69030.600000000006</v>
      </c>
      <c r="DD14" s="255">
        <v>231615.1</v>
      </c>
      <c r="DE14" s="255">
        <v>362177.73</v>
      </c>
      <c r="DF14" s="255">
        <v>584651.82999999996</v>
      </c>
      <c r="DG14" s="255">
        <v>584651.82999999996</v>
      </c>
      <c r="DH14" s="255">
        <v>505097.53</v>
      </c>
      <c r="DI14" s="255">
        <v>735902.9</v>
      </c>
      <c r="DJ14" s="255">
        <v>1320239.8799999999</v>
      </c>
      <c r="DK14" s="255">
        <v>958499.28</v>
      </c>
      <c r="DL14" s="255">
        <v>922939.68</v>
      </c>
      <c r="DM14" s="255">
        <v>660273.39</v>
      </c>
      <c r="DO14" s="9"/>
      <c r="DP14" s="30" t="str">
        <f>IF(OR(MID(TBBP[[#This Row],[Coluna1]],1,1)="1",MID(TBBP[[#This Row],[Coluna1]],1,1)="2"),"-",SUMIFS(14:14,listaPeriodos,$DR$1,listaPeriodos,$DR$2))</f>
        <v>-</v>
      </c>
      <c r="DR14" s="30">
        <f t="shared" si="11"/>
        <v>0</v>
      </c>
      <c r="DS14" s="30"/>
      <c r="DT14" s="30"/>
      <c r="DU14"/>
    </row>
    <row r="15" spans="1:125" x14ac:dyDescent="0.3">
      <c r="A15" s="7" t="s">
        <v>1044</v>
      </c>
      <c r="B15" t="s">
        <v>1045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>
        <v>13976.5</v>
      </c>
      <c r="BH15" s="4">
        <v>15045.11</v>
      </c>
      <c r="BI15" s="4">
        <v>15045.11</v>
      </c>
      <c r="BJ15" s="4">
        <v>15045.11</v>
      </c>
      <c r="BK15" s="4">
        <v>15224.64</v>
      </c>
      <c r="BL15" s="4">
        <v>17754.64</v>
      </c>
      <c r="BM15" s="4">
        <v>18576.28</v>
      </c>
      <c r="BN15" s="4">
        <v>20666.28</v>
      </c>
      <c r="BO15" s="4">
        <v>28030</v>
      </c>
      <c r="BP15" s="4">
        <v>28030</v>
      </c>
      <c r="BQ15" s="4">
        <v>21351.23</v>
      </c>
      <c r="BR15" s="4">
        <v>21524.97</v>
      </c>
      <c r="BS15" s="4">
        <v>19781.5</v>
      </c>
      <c r="BT15" s="4">
        <f>IF(OR(MID(TBBP[[#This Row],[Coluna1]],1,1)="1",MID(TBBP[[#This Row],[Coluna1]],1,1)="2"),TBBP[[#This Row],[Coluna127]],SUM(BH15:BS15))</f>
        <v>19781.5</v>
      </c>
      <c r="BU15" s="4">
        <v>19781.5</v>
      </c>
      <c r="BV15" s="4">
        <v>19781.5</v>
      </c>
      <c r="BW15" s="4">
        <v>22861.5</v>
      </c>
      <c r="BX15" s="4">
        <v>22861.5</v>
      </c>
      <c r="BY15" s="4">
        <v>22861.5</v>
      </c>
      <c r="BZ15" s="4">
        <v>28074.97</v>
      </c>
      <c r="CA15" s="4">
        <v>28074.97</v>
      </c>
      <c r="CB15" s="4">
        <v>28074.97</v>
      </c>
      <c r="CC15" s="4">
        <v>25398.17</v>
      </c>
      <c r="CD15" s="4">
        <v>36498.17</v>
      </c>
      <c r="CE15" s="4">
        <v>36732.080000000002</v>
      </c>
      <c r="CF15" s="4">
        <v>42132.08</v>
      </c>
      <c r="CG15" s="4">
        <f>IF(OR(MID(TBBP[[#This Row],[Coluna1]],1,1)="1",MID(TBBP[[#This Row],[Coluna1]],1,1)="2"),CF15,SUM(BU15:CF15))</f>
        <v>42132.08</v>
      </c>
      <c r="CH15" s="4">
        <v>42132.08</v>
      </c>
      <c r="CI15" s="4">
        <v>42132.08</v>
      </c>
      <c r="CJ15" s="4">
        <v>42132.08</v>
      </c>
      <c r="CK15" s="4">
        <v>45553.46</v>
      </c>
      <c r="CL15" s="4">
        <v>45553.46</v>
      </c>
      <c r="CM15" s="4">
        <v>45553.46</v>
      </c>
      <c r="CN15" s="4">
        <v>48803.46</v>
      </c>
      <c r="CO15" s="4">
        <v>49047.65</v>
      </c>
      <c r="CP15" s="4">
        <v>49047.65</v>
      </c>
      <c r="CQ15" s="4">
        <v>49047.65</v>
      </c>
      <c r="CR15" s="4">
        <v>50304.77</v>
      </c>
      <c r="CS15" s="4">
        <v>50304.77</v>
      </c>
      <c r="CT15" s="4">
        <f>IF(OR(MID(TBBP[[#This Row],[Coluna1]],1,1)="1",MID(TBBP[[#This Row],[Coluna1]],1,1)="2"),CS15,SUM(CH15:CS15))</f>
        <v>50304.77</v>
      </c>
      <c r="CU15" s="255">
        <v>50304.77</v>
      </c>
      <c r="CV15" s="255">
        <v>51809.73</v>
      </c>
      <c r="CW15" s="255">
        <v>55059.73</v>
      </c>
      <c r="CX15" s="255">
        <v>70290.75</v>
      </c>
      <c r="CY15" s="255">
        <v>72015.56</v>
      </c>
      <c r="CZ15" s="255">
        <v>84513.3</v>
      </c>
      <c r="DA15" s="255">
        <v>86138.3</v>
      </c>
      <c r="DB15" s="255">
        <v>97713.81</v>
      </c>
      <c r="DC15" s="255">
        <v>98100.31</v>
      </c>
      <c r="DD15" s="255">
        <v>101443.33</v>
      </c>
      <c r="DE15" s="255">
        <v>128477.31</v>
      </c>
      <c r="DF15" s="255">
        <v>132951.07</v>
      </c>
      <c r="DG15" s="255">
        <v>132951.07</v>
      </c>
      <c r="DH15" s="255">
        <v>132951.07</v>
      </c>
      <c r="DI15" s="255">
        <v>138072.79999999999</v>
      </c>
      <c r="DJ15" s="255">
        <v>139493.76000000001</v>
      </c>
      <c r="DK15" s="255">
        <v>139957.39000000001</v>
      </c>
      <c r="DL15" s="255">
        <v>140819.43</v>
      </c>
      <c r="DM15" s="255">
        <v>140819.43</v>
      </c>
      <c r="DO15" s="9"/>
      <c r="DP15" s="30" t="str">
        <f>IF(OR(MID(TBBP[[#This Row],[Coluna1]],1,1)="1",MID(TBBP[[#This Row],[Coluna1]],1,1)="2"),"-",SUMIFS(15:15,listaPeriodos,$DR$1,listaPeriodos,$DR$2))</f>
        <v>-</v>
      </c>
      <c r="DR15" s="30">
        <f>DQ15*$DS$1</f>
        <v>0</v>
      </c>
      <c r="DS15" s="30"/>
      <c r="DT15" s="30"/>
      <c r="DU15"/>
    </row>
    <row r="16" spans="1:125" x14ac:dyDescent="0.3">
      <c r="A16" s="7" t="s">
        <v>1050</v>
      </c>
      <c r="B16" t="s">
        <v>1052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f>IF(OR(MID(TBBP[[#This Row],[Coluna1]],1,1)="1",MID(TBBP[[#This Row],[Coluna1]],1,1)="2"),TBBP[[#This Row],[Coluna127]],SUM(BH16:BS16))</f>
        <v>0</v>
      </c>
      <c r="BU16" s="4">
        <v>0</v>
      </c>
      <c r="BV16" s="4">
        <v>151376.94</v>
      </c>
      <c r="BW16" s="4">
        <v>304160.08</v>
      </c>
      <c r="BX16" s="4">
        <v>487609.66</v>
      </c>
      <c r="BY16" s="4">
        <v>670043.18999999994</v>
      </c>
      <c r="BZ16" s="4">
        <v>951629.54</v>
      </c>
      <c r="CA16" s="4">
        <v>1201586.42</v>
      </c>
      <c r="CB16" s="4">
        <v>1387194.57</v>
      </c>
      <c r="CC16" s="4">
        <v>1630386.01</v>
      </c>
      <c r="CD16" s="4">
        <v>1848790.08</v>
      </c>
      <c r="CE16" s="4">
        <v>2117238</v>
      </c>
      <c r="CF16" s="4">
        <v>2117238</v>
      </c>
      <c r="CG16" s="4">
        <f>IF(OR(MID(TBBP[[#This Row],[Coluna1]],1,1)="1",MID(TBBP[[#This Row],[Coluna1]],1,1)="2"),CF16,SUM(BU16:CF16))</f>
        <v>2117238</v>
      </c>
      <c r="CH16" s="4">
        <v>0</v>
      </c>
      <c r="CI16" s="4">
        <v>224234.32</v>
      </c>
      <c r="CJ16" s="4">
        <v>460107.55</v>
      </c>
      <c r="CK16" s="4">
        <v>686043.17</v>
      </c>
      <c r="CL16" s="4">
        <v>1005384.41</v>
      </c>
      <c r="CM16" s="4">
        <v>1330017.03</v>
      </c>
      <c r="CN16" s="4">
        <v>1625019.16</v>
      </c>
      <c r="CO16" s="4">
        <v>1945520.21</v>
      </c>
      <c r="CP16" s="4">
        <v>2212717.83</v>
      </c>
      <c r="CQ16" s="4">
        <v>2481048.66</v>
      </c>
      <c r="CR16" s="4">
        <v>2808237.02</v>
      </c>
      <c r="CS16" s="4">
        <v>3023984.18</v>
      </c>
      <c r="CT16" s="4">
        <f>IF(OR(MID(TBBP[[#This Row],[Coluna1]],1,1)="1",MID(TBBP[[#This Row],[Coluna1]],1,1)="2"),CS16,SUM(CH16:CS16))</f>
        <v>3023984.18</v>
      </c>
      <c r="CU16" s="255">
        <v>0</v>
      </c>
      <c r="CV16" s="255">
        <v>231405.22</v>
      </c>
      <c r="CW16" s="255">
        <v>501468.15</v>
      </c>
      <c r="CX16" s="255">
        <v>759911.75</v>
      </c>
      <c r="CY16" s="255">
        <v>1126656.1499999999</v>
      </c>
      <c r="CZ16" s="255">
        <v>1475305.42</v>
      </c>
      <c r="DA16" s="255">
        <v>1698319.88</v>
      </c>
      <c r="DB16" s="255">
        <v>1959743.38</v>
      </c>
      <c r="DC16" s="255">
        <v>2219877.9900000002</v>
      </c>
      <c r="DD16" s="255">
        <v>2471737.61</v>
      </c>
      <c r="DE16" s="255">
        <v>2471737.61</v>
      </c>
      <c r="DF16" s="255">
        <v>0</v>
      </c>
      <c r="DG16" s="255">
        <v>0</v>
      </c>
      <c r="DH16" s="255">
        <v>0</v>
      </c>
      <c r="DI16" s="255">
        <v>284493.64</v>
      </c>
      <c r="DJ16" s="255">
        <v>564136.81000000006</v>
      </c>
      <c r="DK16" s="255">
        <v>632008.76</v>
      </c>
      <c r="DL16" s="255">
        <v>967987.14</v>
      </c>
      <c r="DM16" s="255">
        <v>1267327.8400000001</v>
      </c>
      <c r="DO16" s="9"/>
      <c r="DP16" s="30" t="str">
        <f>IF(OR(MID(TBBP[[#This Row],[Coluna1]],1,1)="1",MID(TBBP[[#This Row],[Coluna1]],1,1)="2"),"-",SUMIFS(16:16,listaPeriodos,$DR$1,listaPeriodos,$DR$2))</f>
        <v>-</v>
      </c>
      <c r="DR16" s="30">
        <f>DQ16*$DS$1</f>
        <v>0</v>
      </c>
      <c r="DS16" s="30"/>
      <c r="DT16" s="30"/>
      <c r="DU16"/>
    </row>
    <row r="17" spans="1:125" x14ac:dyDescent="0.3">
      <c r="A17" s="7" t="s">
        <v>1051</v>
      </c>
      <c r="B17" t="s">
        <v>1053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f>IF(OR(MID(TBBP[[#This Row],[Coluna1]],1,1)="1",MID(TBBP[[#This Row],[Coluna1]],1,1)="2"),TBBP[[#This Row],[Coluna127]],SUM(BH17:BS17))</f>
        <v>0</v>
      </c>
      <c r="BU17" s="4">
        <v>0</v>
      </c>
      <c r="BV17" s="4">
        <v>74786.53</v>
      </c>
      <c r="BW17" s="4">
        <v>152032</v>
      </c>
      <c r="BX17" s="4">
        <v>245039.16</v>
      </c>
      <c r="BY17" s="4">
        <v>335075.53999999998</v>
      </c>
      <c r="BZ17" s="4">
        <v>475943.47</v>
      </c>
      <c r="CA17" s="4">
        <v>595712.59</v>
      </c>
      <c r="CB17" s="4">
        <v>685914.95</v>
      </c>
      <c r="CC17" s="4">
        <v>808597.82</v>
      </c>
      <c r="CD17" s="4">
        <v>919570.16</v>
      </c>
      <c r="CE17" s="4">
        <v>1054484.6200000001</v>
      </c>
      <c r="CF17" s="4">
        <v>1054484.6200000001</v>
      </c>
      <c r="CG17" s="4">
        <f>IF(OR(MID(TBBP[[#This Row],[Coluna1]],1,1)="1",MID(TBBP[[#This Row],[Coluna1]],1,1)="2"),CF17,SUM(BU17:CF17))</f>
        <v>1054484.6200000001</v>
      </c>
      <c r="CH17" s="4">
        <v>0</v>
      </c>
      <c r="CI17" s="4">
        <v>113706.22</v>
      </c>
      <c r="CJ17" s="4">
        <v>235328.34</v>
      </c>
      <c r="CK17" s="4">
        <v>350402.24</v>
      </c>
      <c r="CL17" s="4">
        <v>476938.74</v>
      </c>
      <c r="CM17" s="4">
        <v>645140.91</v>
      </c>
      <c r="CN17" s="4">
        <v>797143.04000000004</v>
      </c>
      <c r="CO17" s="4">
        <v>963273.43</v>
      </c>
      <c r="CP17" s="4">
        <v>1100453.7</v>
      </c>
      <c r="CQ17" s="4">
        <v>1242100.58</v>
      </c>
      <c r="CR17" s="4">
        <v>1407841</v>
      </c>
      <c r="CS17" s="4">
        <v>1522512.15</v>
      </c>
      <c r="CT17" s="4">
        <f>IF(OR(MID(TBBP[[#This Row],[Coluna1]],1,1)="1",MID(TBBP[[#This Row],[Coluna1]],1,1)="2"),CS17,SUM(CH17:CS17))</f>
        <v>1522512.15</v>
      </c>
      <c r="CU17" s="255">
        <v>0</v>
      </c>
      <c r="CV17" s="255">
        <v>119345.18</v>
      </c>
      <c r="CW17" s="255">
        <v>257040.77</v>
      </c>
      <c r="CX17" s="255">
        <v>390872.91</v>
      </c>
      <c r="CY17" s="255">
        <v>579990.31999999995</v>
      </c>
      <c r="CZ17" s="255">
        <v>764548.53</v>
      </c>
      <c r="DA17" s="255">
        <v>878949.56</v>
      </c>
      <c r="DB17" s="255">
        <v>1010228.37</v>
      </c>
      <c r="DC17" s="255">
        <v>1141582.3600000001</v>
      </c>
      <c r="DD17" s="255">
        <v>1268634.49</v>
      </c>
      <c r="DE17" s="255">
        <v>1268634.49</v>
      </c>
      <c r="DF17" s="255">
        <v>0</v>
      </c>
      <c r="DG17" s="255">
        <v>0</v>
      </c>
      <c r="DH17" s="255">
        <v>0</v>
      </c>
      <c r="DI17" s="255">
        <v>141464.78</v>
      </c>
      <c r="DJ17" s="255">
        <v>274666.05</v>
      </c>
      <c r="DK17" s="255">
        <v>274666.05</v>
      </c>
      <c r="DL17" s="255">
        <v>444229.48</v>
      </c>
      <c r="DM17" s="255">
        <v>595113.86</v>
      </c>
      <c r="DO17" s="9"/>
      <c r="DP17" s="30" t="str">
        <f>IF(OR(MID(TBBP[[#This Row],[Coluna1]],1,1)="1",MID(TBBP[[#This Row],[Coluna1]],1,1)="2"),"-",SUMIFS(17:17,listaPeriodos,$DR$1,listaPeriodos,$DR$2))</f>
        <v>-</v>
      </c>
      <c r="DR17" s="30">
        <f>DQ17*$DS$1</f>
        <v>0</v>
      </c>
      <c r="DS17" s="30"/>
      <c r="DT17" s="30"/>
      <c r="DU17"/>
    </row>
    <row r="18" spans="1:125" x14ac:dyDescent="0.3">
      <c r="A18" s="7" t="s">
        <v>971</v>
      </c>
      <c r="B18" t="s">
        <v>979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>
        <v>11104.23</v>
      </c>
      <c r="AV18" s="4">
        <v>6225.57</v>
      </c>
      <c r="AW18" s="4">
        <v>6572.22</v>
      </c>
      <c r="AX18" s="4">
        <v>5777.86</v>
      </c>
      <c r="AY18" s="4">
        <v>3665.08</v>
      </c>
      <c r="AZ18" s="4">
        <v>1704.79</v>
      </c>
      <c r="BA18" s="4">
        <v>6669.23</v>
      </c>
      <c r="BB18" s="4">
        <v>2649.66</v>
      </c>
      <c r="BC18" s="4">
        <v>4859.2299999999996</v>
      </c>
      <c r="BD18" s="4">
        <v>4191.2299999999996</v>
      </c>
      <c r="BE18" s="4">
        <v>6290.64</v>
      </c>
      <c r="BF18" s="4">
        <v>0.01</v>
      </c>
      <c r="BG18" s="4">
        <v>0.01</v>
      </c>
      <c r="BH18" s="4">
        <v>4358.22</v>
      </c>
      <c r="BI18" s="4">
        <v>4416.5600000000004</v>
      </c>
      <c r="BJ18" s="4">
        <v>4416.57</v>
      </c>
      <c r="BK18" s="4">
        <v>4416.57</v>
      </c>
      <c r="BL18" s="4">
        <v>4416.57</v>
      </c>
      <c r="BM18" s="4">
        <v>4416.57</v>
      </c>
      <c r="BN18" s="4">
        <v>3786.57</v>
      </c>
      <c r="BO18" s="4">
        <v>3786.57</v>
      </c>
      <c r="BP18" s="4">
        <v>3786.57</v>
      </c>
      <c r="BQ18" s="4">
        <v>0</v>
      </c>
      <c r="BR18" s="4">
        <v>0</v>
      </c>
      <c r="BS18" s="4">
        <v>0</v>
      </c>
      <c r="BT18" s="4">
        <f>IF(OR(MID(TBBP[[#This Row],[Coluna1]],1,1)="1",MID(TBBP[[#This Row],[Coluna1]],1,1)="2"),TBBP[[#This Row],[Coluna127]],SUM(BH18:BS18))</f>
        <v>0</v>
      </c>
      <c r="BU18" s="4">
        <v>6006.04</v>
      </c>
      <c r="BV18" s="4">
        <v>12375.58</v>
      </c>
      <c r="BW18" s="4">
        <v>18495.849999999999</v>
      </c>
      <c r="BX18" s="4">
        <v>25091.75</v>
      </c>
      <c r="BY18" s="4">
        <v>31431.11</v>
      </c>
      <c r="BZ18" s="4">
        <v>37837.160000000003</v>
      </c>
      <c r="CA18" s="4">
        <v>65314.22</v>
      </c>
      <c r="CB18" s="4">
        <v>50948.76</v>
      </c>
      <c r="CC18" s="4">
        <v>58034.39</v>
      </c>
      <c r="CD18" s="4">
        <v>65049.35</v>
      </c>
      <c r="CE18" s="4">
        <v>74885.38</v>
      </c>
      <c r="CF18" s="4">
        <v>78991.899999999994</v>
      </c>
      <c r="CG18" s="4">
        <f>IF(OR(MID(TBBP[[#This Row],[Coluna1]],1,1)="1",MID(TBBP[[#This Row],[Coluna1]],1,1)="2"),CF18,SUM(BU18:CF18))</f>
        <v>78991.899999999994</v>
      </c>
      <c r="CH18" s="4">
        <v>900</v>
      </c>
      <c r="CI18" s="4">
        <v>900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f>IF(OR(MID(TBBP[[#This Row],[Coluna1]],1,1)="1",MID(TBBP[[#This Row],[Coluna1]],1,1)="2"),CS18,SUM(CH18:CS18))</f>
        <v>0</v>
      </c>
      <c r="CU18" s="255">
        <v>0</v>
      </c>
      <c r="CV18" s="255">
        <v>0</v>
      </c>
      <c r="CW18" s="255">
        <v>0</v>
      </c>
      <c r="CX18" s="255">
        <v>0</v>
      </c>
      <c r="CY18" s="255">
        <v>0</v>
      </c>
      <c r="CZ18" s="255">
        <v>103949.8</v>
      </c>
      <c r="DA18" s="255">
        <v>0</v>
      </c>
      <c r="DB18" s="255">
        <v>0</v>
      </c>
      <c r="DC18" s="255">
        <v>0</v>
      </c>
      <c r="DD18" s="255">
        <v>0</v>
      </c>
      <c r="DE18" s="255">
        <v>1</v>
      </c>
      <c r="DF18" s="255">
        <v>1</v>
      </c>
      <c r="DG18" s="255">
        <v>1</v>
      </c>
      <c r="DH18" s="255">
        <v>0</v>
      </c>
      <c r="DI18" s="255">
        <v>0</v>
      </c>
      <c r="DJ18" s="255">
        <v>56075.5</v>
      </c>
      <c r="DK18" s="255">
        <v>0</v>
      </c>
      <c r="DL18" s="255">
        <v>0</v>
      </c>
      <c r="DM18" s="255">
        <v>557265.29</v>
      </c>
      <c r="DO18" s="9"/>
      <c r="DP18" s="30" t="str">
        <f>IF(OR(MID(TBBP[[#This Row],[Coluna1]],1,1)="1",MID(TBBP[[#This Row],[Coluna1]],1,1)="2"),"-",SUMIFS(18:18,listaPeriodos,$DR$1,listaPeriodos,$DR$2))</f>
        <v>-</v>
      </c>
      <c r="DR18" s="30">
        <f>DQ18*$DS$1</f>
        <v>0</v>
      </c>
      <c r="DS18" s="30"/>
      <c r="DT18" s="30"/>
      <c r="DU18"/>
    </row>
    <row r="19" spans="1:125" x14ac:dyDescent="0.3">
      <c r="A19" s="7" t="s">
        <v>970</v>
      </c>
      <c r="B19" t="s">
        <v>980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>
        <v>2405.92</v>
      </c>
      <c r="AV19" s="4">
        <v>1348.89</v>
      </c>
      <c r="AW19" s="4">
        <v>1424</v>
      </c>
      <c r="AX19" s="4">
        <v>1251.8900000000001</v>
      </c>
      <c r="AY19" s="4">
        <v>794.12</v>
      </c>
      <c r="AZ19" s="4">
        <v>369.39</v>
      </c>
      <c r="BA19" s="4">
        <v>1445.01</v>
      </c>
      <c r="BB19" s="4">
        <v>584.74</v>
      </c>
      <c r="BC19" s="4">
        <v>1052.8499999999999</v>
      </c>
      <c r="BD19" s="4">
        <v>908.11</v>
      </c>
      <c r="BE19" s="4">
        <v>1362.99</v>
      </c>
      <c r="BF19" s="4">
        <v>0.02</v>
      </c>
      <c r="BG19" s="4">
        <v>0.02</v>
      </c>
      <c r="BH19" s="4">
        <v>944.3</v>
      </c>
      <c r="BI19" s="4">
        <v>956.94</v>
      </c>
      <c r="BJ19" s="4">
        <v>956.96</v>
      </c>
      <c r="BK19" s="4">
        <v>956.96</v>
      </c>
      <c r="BL19" s="4">
        <v>956.96</v>
      </c>
      <c r="BM19" s="4">
        <v>956.96</v>
      </c>
      <c r="BN19" s="4">
        <v>820.46</v>
      </c>
      <c r="BO19" s="4">
        <v>820.46</v>
      </c>
      <c r="BP19" s="4">
        <v>820.46</v>
      </c>
      <c r="BQ19" s="4">
        <v>0</v>
      </c>
      <c r="BR19" s="4">
        <v>0</v>
      </c>
      <c r="BS19" s="4">
        <v>0</v>
      </c>
      <c r="BT19" s="4">
        <f>IF(OR(MID(TBBP[[#This Row],[Coluna1]],1,1)="1",MID(TBBP[[#This Row],[Coluna1]],1,1)="2"),TBBP[[#This Row],[Coluna127]],SUM(BH19:BS19))</f>
        <v>0</v>
      </c>
      <c r="BU19" s="4">
        <v>1303.95</v>
      </c>
      <c r="BV19" s="4">
        <v>2686.81</v>
      </c>
      <c r="BW19" s="4">
        <v>4015.56</v>
      </c>
      <c r="BX19" s="4">
        <v>5447.56</v>
      </c>
      <c r="BY19" s="4">
        <v>6823.87</v>
      </c>
      <c r="BZ19" s="4">
        <v>8214.66</v>
      </c>
      <c r="CA19" s="4">
        <v>15701.05</v>
      </c>
      <c r="CB19" s="4">
        <v>11061.27</v>
      </c>
      <c r="CC19" s="4">
        <v>12599.6</v>
      </c>
      <c r="CD19" s="4">
        <v>14122.58</v>
      </c>
      <c r="CE19" s="4">
        <v>16256.79</v>
      </c>
      <c r="CF19" s="4">
        <v>17149.59</v>
      </c>
      <c r="CG19" s="4">
        <f>IF(OR(MID(TBBP[[#This Row],[Coluna1]],1,1)="1",MID(TBBP[[#This Row],[Coluna1]],1,1)="2"),CF19,SUM(BU19:CF19))</f>
        <v>17149.59</v>
      </c>
      <c r="CH19" s="4">
        <v>195</v>
      </c>
      <c r="CI19" s="4">
        <v>195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f>IF(OR(MID(TBBP[[#This Row],[Coluna1]],1,1)="1",MID(TBBP[[#This Row],[Coluna1]],1,1)="2"),CS19,SUM(CH19:CS19))</f>
        <v>0</v>
      </c>
      <c r="CU19" s="255">
        <v>0</v>
      </c>
      <c r="CV19" s="255">
        <v>0</v>
      </c>
      <c r="CW19" s="255">
        <v>0</v>
      </c>
      <c r="CX19" s="255">
        <v>0</v>
      </c>
      <c r="CY19" s="255">
        <v>0</v>
      </c>
      <c r="CZ19" s="255">
        <v>24667.72</v>
      </c>
      <c r="DA19" s="255">
        <v>0</v>
      </c>
      <c r="DB19" s="255">
        <v>0</v>
      </c>
      <c r="DC19" s="255">
        <v>0</v>
      </c>
      <c r="DD19" s="255">
        <v>0</v>
      </c>
      <c r="DE19" s="255">
        <v>1</v>
      </c>
      <c r="DF19" s="255">
        <v>1</v>
      </c>
      <c r="DG19" s="255">
        <v>1</v>
      </c>
      <c r="DH19" s="255">
        <v>0</v>
      </c>
      <c r="DI19" s="255">
        <v>0</v>
      </c>
      <c r="DJ19" s="255">
        <v>13360.58</v>
      </c>
      <c r="DK19" s="255">
        <v>0</v>
      </c>
      <c r="DL19" s="255">
        <v>0</v>
      </c>
      <c r="DM19" s="255">
        <v>0</v>
      </c>
      <c r="DO19" s="9"/>
      <c r="DP19" s="30" t="str">
        <f>IF(OR(MID(TBBP[[#This Row],[Coluna1]],1,1)="1",MID(TBBP[[#This Row],[Coluna1]],1,1)="2"),"-",SUMIFS(19:19,listaPeriodos,$DR$1,listaPeriodos,$DR$2))</f>
        <v>-</v>
      </c>
      <c r="DR19" s="30">
        <f>DQ19*$DS$1</f>
        <v>0</v>
      </c>
      <c r="DS19" s="30"/>
      <c r="DT19" s="30"/>
      <c r="DU19"/>
    </row>
    <row r="20" spans="1:125" x14ac:dyDescent="0.3">
      <c r="A20" s="7" t="s">
        <v>981</v>
      </c>
      <c r="B20" t="s">
        <v>983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226110.66</v>
      </c>
      <c r="BA20" s="4">
        <v>22548.46</v>
      </c>
      <c r="BB20" s="4"/>
      <c r="BC20" s="4"/>
      <c r="BD20" s="4"/>
      <c r="BE20" s="4"/>
      <c r="BF20" s="4"/>
      <c r="BG20" s="4"/>
      <c r="BH20" s="4">
        <v>60</v>
      </c>
      <c r="BI20" s="4">
        <v>60</v>
      </c>
      <c r="BJ20" s="4">
        <v>60</v>
      </c>
      <c r="BK20" s="4">
        <v>60</v>
      </c>
      <c r="BL20" s="4">
        <v>60</v>
      </c>
      <c r="BM20" s="4">
        <v>60</v>
      </c>
      <c r="BN20" s="4">
        <v>60</v>
      </c>
      <c r="BO20" s="4">
        <v>297614.58</v>
      </c>
      <c r="BP20" s="4">
        <v>386425.94</v>
      </c>
      <c r="BQ20" s="4">
        <v>60</v>
      </c>
      <c r="BR20" s="4">
        <v>60</v>
      </c>
      <c r="BS20" s="4">
        <v>60</v>
      </c>
      <c r="BT20" s="4">
        <f>IF(OR(MID(TBBP[[#This Row],[Coluna1]],1,1)="1",MID(TBBP[[#This Row],[Coluna1]],1,1)="2"),TBBP[[#This Row],[Coluna127]],SUM(BH20:BS20))</f>
        <v>60</v>
      </c>
      <c r="BU20" s="4">
        <v>60</v>
      </c>
      <c r="BV20" s="4">
        <v>60</v>
      </c>
      <c r="BW20" s="4">
        <v>60</v>
      </c>
      <c r="BX20" s="4">
        <v>60</v>
      </c>
      <c r="BY20" s="4">
        <v>60</v>
      </c>
      <c r="BZ20" s="4">
        <v>60</v>
      </c>
      <c r="CA20" s="4">
        <v>87</v>
      </c>
      <c r="CB20" s="4">
        <v>87</v>
      </c>
      <c r="CC20" s="4">
        <v>87</v>
      </c>
      <c r="CD20" s="4">
        <v>52648.59</v>
      </c>
      <c r="CE20" s="4">
        <v>52648.59</v>
      </c>
      <c r="CF20" s="4">
        <v>44042.239999999998</v>
      </c>
      <c r="CG20" s="4">
        <f>IF(OR(MID(TBBP[[#This Row],[Coluna1]],1,1)="1",MID(TBBP[[#This Row],[Coluna1]],1,1)="2"),CF20,SUM(BU20:CF20))</f>
        <v>44042.239999999998</v>
      </c>
      <c r="CH20" s="4">
        <v>471074.15</v>
      </c>
      <c r="CI20" s="4">
        <v>388406.34</v>
      </c>
      <c r="CJ20" s="4">
        <v>34018.78</v>
      </c>
      <c r="CK20" s="4">
        <v>34018.78</v>
      </c>
      <c r="CL20" s="4">
        <v>87</v>
      </c>
      <c r="CM20" s="4">
        <v>87</v>
      </c>
      <c r="CN20" s="4">
        <v>87</v>
      </c>
      <c r="CO20" s="4">
        <v>275524.56</v>
      </c>
      <c r="CP20" s="4">
        <v>230451.97</v>
      </c>
      <c r="CQ20" s="4">
        <v>230451.97</v>
      </c>
      <c r="CR20" s="4">
        <v>230451.97</v>
      </c>
      <c r="CS20" s="4">
        <v>230451.97</v>
      </c>
      <c r="CT20" s="4">
        <f>IF(OR(MID(TBBP[[#This Row],[Coluna1]],1,1)="1",MID(TBBP[[#This Row],[Coluna1]],1,1)="2"),CS20,SUM(CH20:CS20))</f>
        <v>230451.97</v>
      </c>
      <c r="CU20" s="255">
        <v>230451.97</v>
      </c>
      <c r="CV20" s="255">
        <v>230451.97</v>
      </c>
      <c r="CW20" s="255">
        <v>230451.97</v>
      </c>
      <c r="CX20" s="255">
        <v>388666.47</v>
      </c>
      <c r="CY20" s="255">
        <v>388666.47</v>
      </c>
      <c r="CZ20" s="255">
        <v>230451.97</v>
      </c>
      <c r="DA20" s="255">
        <v>364706.66</v>
      </c>
      <c r="DB20" s="255">
        <v>681091.2</v>
      </c>
      <c r="DC20" s="255">
        <v>564836.81999999995</v>
      </c>
      <c r="DD20" s="255">
        <v>406427.27</v>
      </c>
      <c r="DE20" s="255">
        <v>277636.76</v>
      </c>
      <c r="DF20" s="255">
        <v>1249024.8400000001</v>
      </c>
      <c r="DG20" s="255">
        <v>1249024.8400000001</v>
      </c>
      <c r="DH20" s="255">
        <v>1249024.8400000001</v>
      </c>
      <c r="DI20" s="255">
        <v>1249024.8400000001</v>
      </c>
      <c r="DJ20" s="255">
        <v>1249024.8400000001</v>
      </c>
      <c r="DK20" s="255">
        <v>1249024.8400000001</v>
      </c>
      <c r="DL20" s="255">
        <v>1489400.83</v>
      </c>
      <c r="DM20" s="255">
        <v>1461558.96</v>
      </c>
      <c r="DO20" s="9"/>
      <c r="DP20" s="30" t="str">
        <f>IF(OR(MID(TBBP[[#This Row],[Coluna1]],1,1)="1",MID(TBBP[[#This Row],[Coluna1]],1,1)="2"),"-",SUMIFS(20:20,listaPeriodos,$DR$1,listaPeriodos,$DR$2))</f>
        <v>-</v>
      </c>
      <c r="DR20" s="30">
        <f t="shared" si="11"/>
        <v>0</v>
      </c>
      <c r="DS20" s="30"/>
      <c r="DT20" s="30"/>
      <c r="DU20"/>
    </row>
    <row r="21" spans="1:125" x14ac:dyDescent="0.3">
      <c r="A21" s="7" t="s">
        <v>982</v>
      </c>
      <c r="B21" t="s">
        <v>984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>
        <v>0</v>
      </c>
      <c r="AV21" s="4">
        <v>0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4"/>
      <c r="BC21" s="4"/>
      <c r="BD21" s="4"/>
      <c r="BE21" s="4"/>
      <c r="BF21" s="4"/>
      <c r="BG21" s="4"/>
      <c r="BH21" s="4">
        <v>35754</v>
      </c>
      <c r="BI21" s="4">
        <v>35754</v>
      </c>
      <c r="BJ21" s="4">
        <v>71129</v>
      </c>
      <c r="BK21" s="4">
        <v>74490.490000000005</v>
      </c>
      <c r="BL21" s="4">
        <v>97226.74</v>
      </c>
      <c r="BM21" s="4">
        <v>97226.74</v>
      </c>
      <c r="BN21" s="4">
        <v>97226.74</v>
      </c>
      <c r="BO21" s="4">
        <v>97226.74</v>
      </c>
      <c r="BP21" s="4">
        <v>97226.74</v>
      </c>
      <c r="BQ21" s="4">
        <v>152614.44</v>
      </c>
      <c r="BR21" s="4">
        <v>172116.92</v>
      </c>
      <c r="BS21" s="4">
        <v>172116.92</v>
      </c>
      <c r="BT21" s="4">
        <f>IF(OR(MID(TBBP[[#This Row],[Coluna1]],1,1)="1",MID(TBBP[[#This Row],[Coluna1]],1,1)="2"),TBBP[[#This Row],[Coluna127]],SUM(BH21:BS21))</f>
        <v>172116.92</v>
      </c>
      <c r="BU21" s="4">
        <v>172116.92</v>
      </c>
      <c r="BV21" s="4">
        <v>172116.92</v>
      </c>
      <c r="BW21" s="4">
        <v>172116.92</v>
      </c>
      <c r="BX21" s="4">
        <v>131408.31</v>
      </c>
      <c r="BY21" s="4">
        <v>127579.69</v>
      </c>
      <c r="BZ21" s="4">
        <v>126645.67</v>
      </c>
      <c r="CA21" s="4">
        <v>124230.28</v>
      </c>
      <c r="CB21" s="4">
        <v>120310.01</v>
      </c>
      <c r="CC21" s="4">
        <v>116387.25</v>
      </c>
      <c r="CD21" s="4">
        <v>152444.4</v>
      </c>
      <c r="CE21" s="4">
        <v>180800.29</v>
      </c>
      <c r="CF21" s="4">
        <v>176838.46</v>
      </c>
      <c r="CG21" s="4">
        <f>IF(OR(MID(TBBP[[#This Row],[Coluna1]],1,1)="1",MID(TBBP[[#This Row],[Coluna1]],1,1)="2"),CF21,SUM(BU21:CF21))</f>
        <v>176838.46</v>
      </c>
      <c r="CH21" s="4">
        <v>194735.79</v>
      </c>
      <c r="CI21" s="4">
        <v>188442.8</v>
      </c>
      <c r="CJ21" s="4">
        <v>270396.52</v>
      </c>
      <c r="CK21" s="4">
        <v>270065.96999999997</v>
      </c>
      <c r="CL21" s="4">
        <v>262455.78000000003</v>
      </c>
      <c r="CM21" s="4">
        <v>283138.21999999997</v>
      </c>
      <c r="CN21" s="4">
        <v>384850.5</v>
      </c>
      <c r="CO21" s="4">
        <v>374298.8</v>
      </c>
      <c r="CP21" s="4">
        <v>363747.1</v>
      </c>
      <c r="CQ21" s="4">
        <v>353195.3</v>
      </c>
      <c r="CR21" s="4">
        <v>342813.82</v>
      </c>
      <c r="CS21" s="4">
        <v>332262.12</v>
      </c>
      <c r="CT21" s="4">
        <f>IF(OR(MID(TBBP[[#This Row],[Coluna1]],1,1)="1",MID(TBBP[[#This Row],[Coluna1]],1,1)="2"),CS21,SUM(CH21:CS21))</f>
        <v>332262.12</v>
      </c>
      <c r="CU21" s="255">
        <v>321710.46000000002</v>
      </c>
      <c r="CV21" s="255">
        <v>311158.76</v>
      </c>
      <c r="CW21" s="255">
        <v>300610.74</v>
      </c>
      <c r="CX21" s="255">
        <v>290117.40000000002</v>
      </c>
      <c r="CY21" s="255">
        <v>315549.40999999997</v>
      </c>
      <c r="CZ21" s="255">
        <v>304232.01</v>
      </c>
      <c r="DA21" s="255">
        <v>292914.71000000002</v>
      </c>
      <c r="DB21" s="255">
        <v>302619.24</v>
      </c>
      <c r="DC21" s="255">
        <v>330649.28000000003</v>
      </c>
      <c r="DD21" s="255">
        <v>318206.32</v>
      </c>
      <c r="DE21" s="255">
        <v>306276.68</v>
      </c>
      <c r="DF21" s="255">
        <v>312839.58</v>
      </c>
      <c r="DG21" s="255">
        <v>312839.58</v>
      </c>
      <c r="DH21" s="255">
        <v>300591.52</v>
      </c>
      <c r="DI21" s="255">
        <v>288343.26</v>
      </c>
      <c r="DJ21" s="255">
        <v>277084.24</v>
      </c>
      <c r="DK21" s="255">
        <v>265661.84999999998</v>
      </c>
      <c r="DL21" s="255">
        <v>254696.15</v>
      </c>
      <c r="DM21" s="255">
        <v>252839.23</v>
      </c>
      <c r="DO21" s="9"/>
      <c r="DP21" s="30" t="str">
        <f>IF(OR(MID(TBBP[[#This Row],[Coluna1]],1,1)="1",MID(TBBP[[#This Row],[Coluna1]],1,1)="2"),"-",SUMIFS(21:21,listaPeriodos,$DR$1,listaPeriodos,$DR$2))</f>
        <v>-</v>
      </c>
      <c r="DR21" s="30">
        <f t="shared" si="11"/>
        <v>0</v>
      </c>
      <c r="DS21" s="30"/>
      <c r="DT21" s="30"/>
      <c r="DU21"/>
    </row>
    <row r="22" spans="1:125" x14ac:dyDescent="0.3">
      <c r="A22" s="7" t="s">
        <v>41</v>
      </c>
      <c r="B22" t="s">
        <v>0</v>
      </c>
      <c r="C22" s="4">
        <v>2924473.2</v>
      </c>
      <c r="D22" s="4">
        <v>4664327</v>
      </c>
      <c r="E22" s="4">
        <v>5868331.5899999999</v>
      </c>
      <c r="F22" s="4">
        <v>6973934.6900000004</v>
      </c>
      <c r="G22" s="4">
        <v>8095381.8700000001</v>
      </c>
      <c r="H22" s="4">
        <v>7906204.2400000002</v>
      </c>
      <c r="I22" s="4">
        <v>8234359.8499999996</v>
      </c>
      <c r="J22" s="4">
        <v>7556123.4299999997</v>
      </c>
      <c r="K22" s="4">
        <v>7068699.6900000004</v>
      </c>
      <c r="L22" s="4">
        <v>7473081.9900000002</v>
      </c>
      <c r="M22" s="4">
        <v>7622284.8799999999</v>
      </c>
      <c r="N22" s="4">
        <v>6904842.9100000001</v>
      </c>
      <c r="O22" s="4">
        <v>6854628.5999999996</v>
      </c>
      <c r="P22" s="4">
        <v>7018042.0199999996</v>
      </c>
      <c r="Q22" s="4">
        <v>6959623.9299999997</v>
      </c>
      <c r="R22" s="4">
        <v>7084404.3099999996</v>
      </c>
      <c r="S22" s="4">
        <v>6994030.21</v>
      </c>
      <c r="T22" s="4">
        <f>IF(OR(MID(TBBP[[#This Row],[Coluna1]],1,1)="1",MID(TBBP[[#This Row],[Coluna1]],1,1)="2"),TBBP[[#This Row],[Coluna19]],SUM(H22:S22))</f>
        <v>6994030.21</v>
      </c>
      <c r="U22" s="4">
        <v>7444779.7199999997</v>
      </c>
      <c r="V22" s="4">
        <v>7144820.0899999999</v>
      </c>
      <c r="W22" s="4">
        <v>7325202.21</v>
      </c>
      <c r="X22" s="4">
        <v>7807555.79</v>
      </c>
      <c r="Y22" s="4">
        <v>7966035.1500000004</v>
      </c>
      <c r="Z22" s="4">
        <v>8898383.9399999995</v>
      </c>
      <c r="AA22" s="4">
        <v>8891601.5700000003</v>
      </c>
      <c r="AB22" s="4">
        <v>8432534.9800000004</v>
      </c>
      <c r="AC22" s="4">
        <v>8377763.0499999998</v>
      </c>
      <c r="AD22" s="4">
        <v>8077792.1900000004</v>
      </c>
      <c r="AE22" s="4">
        <v>8307415.8700000001</v>
      </c>
      <c r="AF22" s="4">
        <v>8356882.7199999997</v>
      </c>
      <c r="AG22" s="4">
        <f>IF(OR(MID(TBBP[[#This Row],[Coluna1]],1,1)="1",MID(TBBP[[#This Row],[Coluna1]],1,1)="2"),TBBP[[#This Row],[Coluna32]],SUM(U22:AF22))</f>
        <v>8356882.7199999997</v>
      </c>
      <c r="AH22" s="4">
        <v>8439188.6899999995</v>
      </c>
      <c r="AI22" s="4">
        <v>9519422.7699999996</v>
      </c>
      <c r="AJ22" s="4">
        <v>10295639.220000001</v>
      </c>
      <c r="AK22" s="4">
        <v>10476929.59</v>
      </c>
      <c r="AL22" s="4">
        <v>10949630.15</v>
      </c>
      <c r="AM22" s="4">
        <v>9742907.4000000004</v>
      </c>
      <c r="AN22" s="4">
        <v>9615593.7200000007</v>
      </c>
      <c r="AO22" s="4">
        <v>8887998.7300000004</v>
      </c>
      <c r="AP22" s="4">
        <v>9174807.0899999999</v>
      </c>
      <c r="AQ22" s="4">
        <v>9436448.5600000005</v>
      </c>
      <c r="AR22" s="4">
        <v>10280625.1</v>
      </c>
      <c r="AS22" s="4">
        <v>9911262.5399999991</v>
      </c>
      <c r="AT22" s="4">
        <f>IF(OR(MID(TBBP[[#This Row],[Coluna1]],1,1)="1",MID(TBBP[[#This Row],[Coluna1]],1,1)="2"),TBBP[[#This Row],[Coluna45]],SUM(AH22:AS22))</f>
        <v>9911262.5399999991</v>
      </c>
      <c r="AU22" s="4">
        <v>11621824.4</v>
      </c>
      <c r="AV22" s="4">
        <v>13001211.98</v>
      </c>
      <c r="AW22" s="4">
        <v>13634107.82</v>
      </c>
      <c r="AX22" s="4">
        <v>15781065.609999999</v>
      </c>
      <c r="AY22" s="4">
        <v>14699793.75</v>
      </c>
      <c r="AZ22" s="4">
        <v>14721883</v>
      </c>
      <c r="BA22" s="4">
        <v>14576105.07</v>
      </c>
      <c r="BB22" s="4">
        <v>15801219.380000001</v>
      </c>
      <c r="BC22" s="4">
        <v>17739128.600000001</v>
      </c>
      <c r="BD22" s="4">
        <v>18554583.440000001</v>
      </c>
      <c r="BE22" s="4">
        <v>18491964.34</v>
      </c>
      <c r="BF22" s="4">
        <v>18291401.879999999</v>
      </c>
      <c r="BG22" s="4">
        <f>IF(OR(MID(TBBP[[#This Row],[Coluna1]],1,1)="1",MID(TBBP[[#This Row],[Coluna1]],1,1)="2"),TBBP[[#This Row],[Coluna58]],SUM(AU22:BF22))</f>
        <v>18291401.879999999</v>
      </c>
      <c r="BH22" s="4">
        <v>18409369.079999998</v>
      </c>
      <c r="BI22" s="4">
        <v>18994492.07</v>
      </c>
      <c r="BJ22" s="4">
        <v>18332996.879999999</v>
      </c>
      <c r="BK22" s="4">
        <v>17905140.609999999</v>
      </c>
      <c r="BL22" s="4">
        <v>17285432.850000001</v>
      </c>
      <c r="BM22" s="4">
        <v>18254885.530000001</v>
      </c>
      <c r="BN22" s="4">
        <v>19533008.609999999</v>
      </c>
      <c r="BO22" s="4">
        <v>20543942.18</v>
      </c>
      <c r="BP22" s="4">
        <v>21894545.670000002</v>
      </c>
      <c r="BQ22" s="4">
        <v>22278566.149999999</v>
      </c>
      <c r="BR22" s="4">
        <v>22025418.550000001</v>
      </c>
      <c r="BS22" s="4">
        <v>22997369.18</v>
      </c>
      <c r="BT22" s="4">
        <f>IF(OR(MID(TBBP[[#This Row],[Coluna1]],1,1)="1",MID(TBBP[[#This Row],[Coluna1]],1,1)="2"),TBBP[[#This Row],[Coluna127]],SUM(BH22:BS22))</f>
        <v>22997369.18</v>
      </c>
      <c r="BU22" s="4">
        <v>22886998.16</v>
      </c>
      <c r="BV22" s="4">
        <v>22837277.98</v>
      </c>
      <c r="BW22" s="4">
        <v>24261870.949999999</v>
      </c>
      <c r="BX22" s="4">
        <v>23475597.420000002</v>
      </c>
      <c r="BY22" s="4">
        <v>23509849.280000001</v>
      </c>
      <c r="BZ22" s="4">
        <v>22842595.829999998</v>
      </c>
      <c r="CA22" s="4">
        <v>24746789.890000001</v>
      </c>
      <c r="CB22" s="4">
        <v>23579720.16</v>
      </c>
      <c r="CC22" s="4">
        <v>24817492.75</v>
      </c>
      <c r="CD22" s="4">
        <v>24654821.489999998</v>
      </c>
      <c r="CE22" s="4">
        <v>25539862.07</v>
      </c>
      <c r="CF22" s="4">
        <v>25926588.920000002</v>
      </c>
      <c r="CG22" s="4">
        <f>IF(OR(MID(TBBP[[#This Row],[Coluna1]],1,1)="1",MID(TBBP[[#This Row],[Coluna1]],1,1)="2"),CF22,SUM(BU22:CF22))</f>
        <v>25926588.920000002</v>
      </c>
      <c r="CH22" s="4">
        <v>26849770.09</v>
      </c>
      <c r="CI22" s="4">
        <v>27094835.489999998</v>
      </c>
      <c r="CJ22" s="4">
        <v>27292852</v>
      </c>
      <c r="CK22" s="4">
        <v>27463235.559999999</v>
      </c>
      <c r="CL22" s="4">
        <v>27271151.850000001</v>
      </c>
      <c r="CM22" s="4">
        <v>28533292.890000001</v>
      </c>
      <c r="CN22" s="4">
        <v>26991904.280000001</v>
      </c>
      <c r="CO22" s="4">
        <v>27685161.27</v>
      </c>
      <c r="CP22" s="4">
        <v>27895759.57</v>
      </c>
      <c r="CQ22" s="4">
        <v>29722285.210000001</v>
      </c>
      <c r="CR22" s="4">
        <v>30488788.850000001</v>
      </c>
      <c r="CS22" s="4">
        <v>28358377.210000001</v>
      </c>
      <c r="CT22" s="4">
        <f>IF(OR(MID(TBBP[[#This Row],[Coluna1]],1,1)="1",MID(TBBP[[#This Row],[Coluna1]],1,1)="2"),CS22,SUM(CH22:CS22))</f>
        <v>28358377.210000001</v>
      </c>
      <c r="CU22" s="255">
        <v>30759078.059999999</v>
      </c>
      <c r="CV22" s="255">
        <v>30039837.460000001</v>
      </c>
      <c r="CW22" s="255">
        <v>29892099.329999998</v>
      </c>
      <c r="CX22" s="255">
        <v>26769339.100000001</v>
      </c>
      <c r="CY22" s="255">
        <v>24196604.489999998</v>
      </c>
      <c r="CZ22" s="255">
        <v>26459292.190000001</v>
      </c>
      <c r="DA22" s="255">
        <v>27045880.440000001</v>
      </c>
      <c r="DB22" s="255">
        <v>25938397.59</v>
      </c>
      <c r="DC22" s="255">
        <v>25995491.309999999</v>
      </c>
      <c r="DD22" s="255">
        <v>26672942.800000001</v>
      </c>
      <c r="DE22" s="255">
        <v>26031675.789999999</v>
      </c>
      <c r="DF22" s="255">
        <v>27286693.039999999</v>
      </c>
      <c r="DG22" s="255">
        <v>27286693.039999999</v>
      </c>
      <c r="DH22" s="255">
        <v>26862697.190000001</v>
      </c>
      <c r="DI22" s="255">
        <v>28910015.670000002</v>
      </c>
      <c r="DJ22" s="255">
        <v>31003280.18</v>
      </c>
      <c r="DK22" s="255">
        <v>29233060.140000001</v>
      </c>
      <c r="DL22" s="255">
        <f>28620298.04</f>
        <v>28620298.039999999</v>
      </c>
      <c r="DM22" s="255">
        <v>26830927.09</v>
      </c>
      <c r="DO22" s="9"/>
      <c r="DP22" s="30" t="str">
        <f>IF(OR(MID(TBBP[[#This Row],[Coluna1]],1,1)="1",MID(TBBP[[#This Row],[Coluna1]],1,1)="2"),"-",SUMIFS(22:22,listaPeriodos,$DR$1,listaPeriodos,$DR$2))</f>
        <v>-</v>
      </c>
      <c r="DR22" s="30">
        <f t="shared" si="11"/>
        <v>0</v>
      </c>
      <c r="DS22" s="30"/>
      <c r="DT22" s="30"/>
      <c r="DU22"/>
    </row>
    <row r="23" spans="1:125" x14ac:dyDescent="0.3">
      <c r="A23" s="7" t="s">
        <v>42</v>
      </c>
      <c r="B23" t="s">
        <v>1</v>
      </c>
      <c r="C23" s="4">
        <v>952433.42999999993</v>
      </c>
      <c r="D23" s="4">
        <v>191441.67</v>
      </c>
      <c r="E23" s="4">
        <v>317799.27</v>
      </c>
      <c r="F23" s="4">
        <v>433819.23</v>
      </c>
      <c r="G23" s="4">
        <v>403873.87</v>
      </c>
      <c r="H23" s="4">
        <v>430598.19</v>
      </c>
      <c r="I23" s="4">
        <v>455284.01</v>
      </c>
      <c r="J23" s="4">
        <v>464715.23</v>
      </c>
      <c r="K23" s="4">
        <v>484728.08</v>
      </c>
      <c r="L23" s="4">
        <v>538241.28000000003</v>
      </c>
      <c r="M23" s="4">
        <v>485991.51</v>
      </c>
      <c r="N23" s="4">
        <v>448300.83</v>
      </c>
      <c r="O23" s="4">
        <v>386525.81</v>
      </c>
      <c r="P23" s="4">
        <v>535200.81000000006</v>
      </c>
      <c r="Q23" s="4">
        <v>335446.28999999998</v>
      </c>
      <c r="R23" s="4">
        <v>392957.22</v>
      </c>
      <c r="S23" s="4">
        <v>259150.49</v>
      </c>
      <c r="T23" s="4">
        <f>IF(OR(MID(TBBP[[#This Row],[Coluna1]],1,1)="1",MID(TBBP[[#This Row],[Coluna1]],1,1)="2"),TBBP[[#This Row],[Coluna19]],SUM(H23:S23))</f>
        <v>259150.49</v>
      </c>
      <c r="U23" s="4">
        <v>252307.94</v>
      </c>
      <c r="V23" s="4">
        <v>192998.32</v>
      </c>
      <c r="W23" s="4">
        <v>158847.64000000001</v>
      </c>
      <c r="X23" s="4">
        <v>137125.18</v>
      </c>
      <c r="Y23" s="4">
        <v>115811.02</v>
      </c>
      <c r="Z23" s="4">
        <v>121365.08</v>
      </c>
      <c r="AA23" s="4">
        <v>201523.02</v>
      </c>
      <c r="AB23" s="4">
        <v>225764.48000000001</v>
      </c>
      <c r="AC23" s="4">
        <v>19608.759999999998</v>
      </c>
      <c r="AD23" s="4">
        <v>49753.82</v>
      </c>
      <c r="AE23" s="4">
        <v>81508.19</v>
      </c>
      <c r="AF23" s="4">
        <v>147856.68</v>
      </c>
      <c r="AG23" s="4">
        <f>IF(OR(MID(TBBP[[#This Row],[Coluna1]],1,1)="1",MID(TBBP[[#This Row],[Coluna1]],1,1)="2"),TBBP[[#This Row],[Coluna32]],SUM(U23:AF23))</f>
        <v>147856.68</v>
      </c>
      <c r="AH23" s="4">
        <v>163074.57999999999</v>
      </c>
      <c r="AI23" s="4">
        <v>151894.57999999999</v>
      </c>
      <c r="AJ23" s="4">
        <v>140462.17000000001</v>
      </c>
      <c r="AK23" s="4">
        <v>124215.69</v>
      </c>
      <c r="AL23" s="4">
        <v>133265.18</v>
      </c>
      <c r="AM23" s="4">
        <v>95566.31</v>
      </c>
      <c r="AN23" s="4">
        <v>101595.53</v>
      </c>
      <c r="AO23" s="4">
        <v>442152.08</v>
      </c>
      <c r="AP23" s="4">
        <v>129767.56</v>
      </c>
      <c r="AQ23" s="4">
        <v>184893.12</v>
      </c>
      <c r="AR23" s="4">
        <v>120806.6</v>
      </c>
      <c r="AS23" s="4">
        <v>201505.09</v>
      </c>
      <c r="AT23" s="4">
        <f>IF(OR(MID(TBBP[[#This Row],[Coluna1]],1,1)="1",MID(TBBP[[#This Row],[Coluna1]],1,1)="2"),TBBP[[#This Row],[Coluna45]],SUM(AH23:AS23))</f>
        <v>201505.09</v>
      </c>
      <c r="AU23" s="4">
        <v>210593.91</v>
      </c>
      <c r="AV23" s="4">
        <v>321989.15999999997</v>
      </c>
      <c r="AW23" s="4">
        <v>593617.57999999996</v>
      </c>
      <c r="AX23" s="4">
        <v>373708.4</v>
      </c>
      <c r="AY23" s="4">
        <v>573599.18000000005</v>
      </c>
      <c r="AZ23" s="4">
        <v>985020.6</v>
      </c>
      <c r="BA23" s="4">
        <v>881344.06</v>
      </c>
      <c r="BB23" s="4">
        <v>372579.83</v>
      </c>
      <c r="BC23" s="4">
        <v>416357.61</v>
      </c>
      <c r="BD23" s="4">
        <v>492952.77</v>
      </c>
      <c r="BE23" s="4">
        <v>445646.07</v>
      </c>
      <c r="BF23" s="4">
        <v>448485.75</v>
      </c>
      <c r="BG23" s="4">
        <f>IF(OR(MID(TBBP[[#This Row],[Coluna1]],1,1)="1",MID(TBBP[[#This Row],[Coluna1]],1,1)="2"),TBBP[[#This Row],[Coluna58]],SUM(AU23:BF23))</f>
        <v>448485.75</v>
      </c>
      <c r="BH23" s="4">
        <v>462359.33</v>
      </c>
      <c r="BI23" s="4">
        <v>435735.59</v>
      </c>
      <c r="BJ23" s="4">
        <v>539448.36</v>
      </c>
      <c r="BK23" s="4">
        <v>633764.5</v>
      </c>
      <c r="BL23" s="4">
        <v>533363.35</v>
      </c>
      <c r="BM23" s="4">
        <v>508391.95</v>
      </c>
      <c r="BN23" s="4">
        <v>554738.18999999994</v>
      </c>
      <c r="BO23" s="4">
        <v>631721.31000000006</v>
      </c>
      <c r="BP23" s="4">
        <v>631377.17000000004</v>
      </c>
      <c r="BQ23" s="4">
        <v>442129.34</v>
      </c>
      <c r="BR23" s="4">
        <v>453225.23</v>
      </c>
      <c r="BS23" s="4">
        <v>454255.56</v>
      </c>
      <c r="BT23" s="4">
        <f>IF(OR(MID(TBBP[[#This Row],[Coluna1]],1,1)="1",MID(TBBP[[#This Row],[Coluna1]],1,1)="2"),TBBP[[#This Row],[Coluna127]],SUM(BH23:BS23))</f>
        <v>454255.56</v>
      </c>
      <c r="BU23" s="4">
        <v>505367.08</v>
      </c>
      <c r="BV23" s="4">
        <v>509493.27</v>
      </c>
      <c r="BW23" s="4">
        <v>365751.53</v>
      </c>
      <c r="BX23" s="4">
        <v>423667.73</v>
      </c>
      <c r="BY23" s="4">
        <v>466391.46</v>
      </c>
      <c r="BZ23" s="4">
        <v>552272.85</v>
      </c>
      <c r="CA23" s="4">
        <v>738110.1</v>
      </c>
      <c r="CB23" s="4">
        <v>823345.74</v>
      </c>
      <c r="CC23" s="4">
        <v>697015.92</v>
      </c>
      <c r="CD23" s="4">
        <v>660036.9</v>
      </c>
      <c r="CE23" s="4">
        <v>690928.5</v>
      </c>
      <c r="CF23" s="4">
        <v>943835.05</v>
      </c>
      <c r="CG23" s="4">
        <f>IF(OR(MID(TBBP[[#This Row],[Coluna1]],1,1)="1",MID(TBBP[[#This Row],[Coluna1]],1,1)="2"),CF23,SUM(BU23:CF23))</f>
        <v>943835.05</v>
      </c>
      <c r="CH23" s="4">
        <v>777089.32</v>
      </c>
      <c r="CI23" s="4">
        <v>622380.94999999995</v>
      </c>
      <c r="CJ23" s="4">
        <v>825335.67</v>
      </c>
      <c r="CK23" s="4">
        <v>811356.74</v>
      </c>
      <c r="CL23" s="4">
        <v>2207798.48</v>
      </c>
      <c r="CM23" s="4">
        <v>618763.82999999996</v>
      </c>
      <c r="CN23" s="4">
        <v>569982.15</v>
      </c>
      <c r="CO23" s="4">
        <v>629163.06000000006</v>
      </c>
      <c r="CP23" s="4">
        <v>442643.19</v>
      </c>
      <c r="CQ23" s="4">
        <v>340865.98</v>
      </c>
      <c r="CR23" s="4">
        <v>329760.92</v>
      </c>
      <c r="CS23" s="4">
        <v>650990.61</v>
      </c>
      <c r="CT23" s="4">
        <f>IF(OR(MID(TBBP[[#This Row],[Coluna1]],1,1)="1",MID(TBBP[[#This Row],[Coluna1]],1,1)="2"),CS23,SUM(CH23:CS23))</f>
        <v>650990.61</v>
      </c>
      <c r="CU23" s="255">
        <v>433058.33</v>
      </c>
      <c r="CV23" s="255">
        <v>438900.64</v>
      </c>
      <c r="CW23" s="255">
        <v>515240.94</v>
      </c>
      <c r="CX23" s="255">
        <v>659794.71</v>
      </c>
      <c r="CY23" s="255">
        <v>898049.92</v>
      </c>
      <c r="CZ23" s="255">
        <v>688351.39</v>
      </c>
      <c r="DA23" s="255">
        <v>701207.64</v>
      </c>
      <c r="DB23" s="255">
        <v>714085.99</v>
      </c>
      <c r="DC23" s="255">
        <v>686345.19</v>
      </c>
      <c r="DD23" s="255">
        <v>640956.17000000004</v>
      </c>
      <c r="DE23" s="255">
        <v>672431.16</v>
      </c>
      <c r="DF23" s="255">
        <v>734154.29</v>
      </c>
      <c r="DG23" s="255">
        <v>734154.29</v>
      </c>
      <c r="DH23" s="255">
        <v>856293.73</v>
      </c>
      <c r="DI23" s="255">
        <v>1256394.51</v>
      </c>
      <c r="DJ23" s="255">
        <v>1035162.66</v>
      </c>
      <c r="DK23" s="255">
        <v>701720.99</v>
      </c>
      <c r="DL23" s="255">
        <v>826137.2</v>
      </c>
      <c r="DM23" s="255">
        <v>1056480.26</v>
      </c>
      <c r="DO23" s="9"/>
      <c r="DP23" s="30" t="str">
        <f>IF(OR(MID(TBBP[[#This Row],[Coluna1]],1,1)="1",MID(TBBP[[#This Row],[Coluna1]],1,1)="2"),"-",SUMIFS(23:23,listaPeriodos,$DR$1,listaPeriodos,$DR$2))</f>
        <v>-</v>
      </c>
      <c r="DR23" s="30">
        <f t="shared" si="11"/>
        <v>0</v>
      </c>
      <c r="DS23" s="30"/>
      <c r="DT23" s="30"/>
      <c r="DU23"/>
    </row>
    <row r="24" spans="1:125" x14ac:dyDescent="0.3">
      <c r="A24" s="7" t="s">
        <v>1104</v>
      </c>
      <c r="B24" t="s">
        <v>149</v>
      </c>
      <c r="C24" s="4">
        <v>0</v>
      </c>
      <c r="D24" s="4">
        <v>72607.360000000001</v>
      </c>
      <c r="E24" s="4">
        <v>48466.41</v>
      </c>
      <c r="F24" s="4">
        <v>678.39</v>
      </c>
      <c r="G24" s="4">
        <v>14432.79</v>
      </c>
      <c r="H24" s="4">
        <v>1474.96</v>
      </c>
      <c r="I24" s="4">
        <v>2052.61</v>
      </c>
      <c r="J24" s="4">
        <v>2052.61</v>
      </c>
      <c r="K24" s="4">
        <v>3105.62</v>
      </c>
      <c r="L24" s="4">
        <v>2052.61</v>
      </c>
      <c r="M24" s="4">
        <v>3669.8</v>
      </c>
      <c r="N24" s="4">
        <v>7390.61</v>
      </c>
      <c r="O24" s="4">
        <v>16167.25</v>
      </c>
      <c r="P24" s="4">
        <v>2512.19</v>
      </c>
      <c r="Q24" s="4">
        <v>18836.38</v>
      </c>
      <c r="R24" s="4">
        <v>31308.12</v>
      </c>
      <c r="S24" s="4">
        <v>22980.25</v>
      </c>
      <c r="T24" s="4">
        <f>IF(OR(MID(TBBP[[#This Row],[Coluna1]],1,1)="1",MID(TBBP[[#This Row],[Coluna1]],1,1)="2"),TBBP[[#This Row],[Coluna19]],SUM(H24:S24))</f>
        <v>22980.25</v>
      </c>
      <c r="U24" s="4">
        <v>1108.23</v>
      </c>
      <c r="V24" s="4">
        <v>1108.23</v>
      </c>
      <c r="W24" s="4">
        <v>1108.23</v>
      </c>
      <c r="X24" s="4">
        <v>-460.76</v>
      </c>
      <c r="Y24" s="4">
        <v>-7.75</v>
      </c>
      <c r="Z24" s="4">
        <v>-7.75</v>
      </c>
      <c r="AA24" s="4">
        <v>-7.75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f>IF(OR(MID(TBBP[[#This Row],[Coluna1]],1,1)="1",MID(TBBP[[#This Row],[Coluna1]],1,1)="2"),TBBP[[#This Row],[Coluna32]],SUM(U24:AF24))</f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f>IF(OR(MID(TBBP[[#This Row],[Coluna1]],1,1)="1",MID(TBBP[[#This Row],[Coluna1]],1,1)="2"),TBBP[[#This Row],[Coluna45]],SUM(AH24:AS24))</f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f>IF(OR(MID(TBBP[[#This Row],[Coluna1]],1,1)="1",MID(TBBP[[#This Row],[Coluna1]],1,1)="2"),TBBP[[#This Row],[Coluna58]],SUM(AU24:BF24))</f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f>IF(OR(MID(TBBP[[#This Row],[Coluna1]],1,1)="1",MID(TBBP[[#This Row],[Coluna1]],1,1)="2"),TBBP[[#This Row],[Coluna127]],SUM(BH24:BS24))</f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71521.27</v>
      </c>
      <c r="CF24" s="4">
        <v>71521.27</v>
      </c>
      <c r="CG24" s="4">
        <f>IF(OR(MID(TBBP[[#This Row],[Coluna1]],1,1)="1",MID(TBBP[[#This Row],[Coluna1]],1,1)="2"),CF24,SUM(BU24:CF24))</f>
        <v>71521.27</v>
      </c>
      <c r="CH24" s="4">
        <v>71521.27</v>
      </c>
      <c r="CI24" s="4">
        <v>71521.27</v>
      </c>
      <c r="CJ24" s="4">
        <v>71521.27</v>
      </c>
      <c r="CK24" s="4">
        <v>71521.27</v>
      </c>
      <c r="CL24" s="4">
        <v>71521.27</v>
      </c>
      <c r="CM24" s="4">
        <v>71521.27</v>
      </c>
      <c r="CN24" s="4">
        <v>71521.27</v>
      </c>
      <c r="CO24" s="4">
        <v>71521.27</v>
      </c>
      <c r="CP24" s="4">
        <v>71521.27</v>
      </c>
      <c r="CQ24" s="4">
        <v>71521.27</v>
      </c>
      <c r="CR24" s="4">
        <v>71521.27</v>
      </c>
      <c r="CS24" s="4">
        <v>71521.27</v>
      </c>
      <c r="CT24" s="4">
        <f>IF(OR(MID(TBBP[[#This Row],[Coluna1]],1,1)="1",MID(TBBP[[#This Row],[Coluna1]],1,1)="2"),CS24,SUM(CH24:CS24))</f>
        <v>71521.27</v>
      </c>
      <c r="CU24" s="255">
        <v>71521.27</v>
      </c>
      <c r="CV24" s="255">
        <v>71521.27</v>
      </c>
      <c r="CW24" s="255">
        <v>71521.27</v>
      </c>
      <c r="CX24" s="255">
        <v>71521.27</v>
      </c>
      <c r="CY24" s="255">
        <v>71521.27</v>
      </c>
      <c r="CZ24" s="255">
        <v>71521.27</v>
      </c>
      <c r="DA24" s="255">
        <v>71521.27</v>
      </c>
      <c r="DB24" s="255">
        <v>71521.27</v>
      </c>
      <c r="DC24" s="255">
        <v>71521.27</v>
      </c>
      <c r="DD24" s="255">
        <v>71521.27</v>
      </c>
      <c r="DE24" s="255">
        <v>71521.27</v>
      </c>
      <c r="DF24" s="255">
        <v>71521.27</v>
      </c>
      <c r="DG24" s="255">
        <v>71521.27</v>
      </c>
      <c r="DH24" s="255">
        <v>71521.27</v>
      </c>
      <c r="DI24" s="255">
        <v>71521.27</v>
      </c>
      <c r="DJ24" s="255">
        <v>71521.27</v>
      </c>
      <c r="DK24" s="255">
        <v>71521.27</v>
      </c>
      <c r="DL24" s="255">
        <v>71521.27</v>
      </c>
      <c r="DM24" s="255">
        <v>71521.27</v>
      </c>
      <c r="DO24" s="9"/>
      <c r="DP24" s="30" t="str">
        <f>IF(OR(MID(TBBP[[#This Row],[Coluna1]],1,1)="1",MID(TBBP[[#This Row],[Coluna1]],1,1)="2"),"-",SUMIFS(24:24,listaPeriodos,$DR$1,listaPeriodos,$DR$2))</f>
        <v>-</v>
      </c>
      <c r="DR24" s="30">
        <f t="shared" si="11"/>
        <v>0</v>
      </c>
      <c r="DS24" s="30"/>
      <c r="DT24" s="30"/>
      <c r="DU24"/>
    </row>
    <row r="25" spans="1:125" x14ac:dyDescent="0.3">
      <c r="A25" s="7" t="s">
        <v>739</v>
      </c>
      <c r="B25" t="s">
        <v>150</v>
      </c>
      <c r="C25" s="4">
        <v>0</v>
      </c>
      <c r="D25" s="4">
        <v>1000</v>
      </c>
      <c r="E25" s="4" t="s">
        <v>167</v>
      </c>
      <c r="F25" s="4">
        <v>4100</v>
      </c>
      <c r="G25" s="4">
        <v>1700</v>
      </c>
      <c r="H25" s="4">
        <v>1700</v>
      </c>
      <c r="I25" s="4">
        <v>1700</v>
      </c>
      <c r="J25" s="4">
        <v>1959.92</v>
      </c>
      <c r="K25" s="4">
        <v>1959.92</v>
      </c>
      <c r="L25" s="4">
        <v>5821.97</v>
      </c>
      <c r="M25" s="4">
        <v>2201.4699999999998</v>
      </c>
      <c r="N25" s="4">
        <v>1700</v>
      </c>
      <c r="O25" s="4">
        <v>1481.6</v>
      </c>
      <c r="P25" s="4">
        <v>1422.6</v>
      </c>
      <c r="Q25" s="4">
        <v>1311.09</v>
      </c>
      <c r="R25" s="4">
        <v>1711.09</v>
      </c>
      <c r="S25" s="4">
        <v>1271.54</v>
      </c>
      <c r="T25" s="4">
        <f>IF(OR(MID(TBBP[[#This Row],[Coluna1]],1,1)="1",MID(TBBP[[#This Row],[Coluna1]],1,1)="2"),TBBP[[#This Row],[Coluna19]],SUM(H25:S25))</f>
        <v>1271.54</v>
      </c>
      <c r="U25" s="4">
        <v>4271.54</v>
      </c>
      <c r="V25" s="4">
        <v>2509.9699999999998</v>
      </c>
      <c r="W25" s="4">
        <v>2509.9699999999998</v>
      </c>
      <c r="X25" s="4">
        <v>1748.75</v>
      </c>
      <c r="Y25" s="4">
        <v>1659.25</v>
      </c>
      <c r="Z25" s="4">
        <v>1659.25</v>
      </c>
      <c r="AA25" s="4">
        <v>1659.25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f>IF(OR(MID(TBBP[[#This Row],[Coluna1]],1,1)="1",MID(TBBP[[#This Row],[Coluna1]],1,1)="2"),TBBP[[#This Row],[Coluna32]],SUM(U25:AF25))</f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f>IF(OR(MID(TBBP[[#This Row],[Coluna1]],1,1)="1",MID(TBBP[[#This Row],[Coluna1]],1,1)="2"),TBBP[[#This Row],[Coluna45]],SUM(AH25:AS25))</f>
        <v>0</v>
      </c>
      <c r="AU25" s="4">
        <v>0</v>
      </c>
      <c r="AV25" s="4">
        <v>0</v>
      </c>
      <c r="AW25" s="4">
        <v>898.35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f>IF(OR(MID(TBBP[[#This Row],[Coluna1]],1,1)="1",MID(TBBP[[#This Row],[Coluna1]],1,1)="2"),TBBP[[#This Row],[Coluna58]],SUM(AU25:BF25))</f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2964.01</v>
      </c>
      <c r="BN25" s="4">
        <v>2964.01</v>
      </c>
      <c r="BO25" s="4">
        <v>3746.39</v>
      </c>
      <c r="BP25" s="4">
        <v>3746.39</v>
      </c>
      <c r="BQ25" s="4">
        <v>3746.39</v>
      </c>
      <c r="BR25" s="4">
        <v>3746.39</v>
      </c>
      <c r="BS25" s="4">
        <v>3746.39</v>
      </c>
      <c r="BT25" s="4">
        <f>IF(OR(MID(TBBP[[#This Row],[Coluna1]],1,1)="1",MID(TBBP[[#This Row],[Coluna1]],1,1)="2"),TBBP[[#This Row],[Coluna127]],SUM(BH25:BS25))</f>
        <v>3746.39</v>
      </c>
      <c r="BU25" s="4">
        <v>3746.39</v>
      </c>
      <c r="BV25" s="4">
        <v>3746.39</v>
      </c>
      <c r="BW25" s="4">
        <v>3746.39</v>
      </c>
      <c r="BX25" s="4">
        <v>3746.39</v>
      </c>
      <c r="BY25" s="4">
        <v>3746.39</v>
      </c>
      <c r="BZ25" s="4">
        <v>3746.39</v>
      </c>
      <c r="CA25" s="4">
        <v>3746.39</v>
      </c>
      <c r="CB25" s="4">
        <v>3746.39</v>
      </c>
      <c r="CC25" s="4">
        <v>3746.39</v>
      </c>
      <c r="CD25" s="4">
        <v>3746.39</v>
      </c>
      <c r="CE25" s="4">
        <v>3746.39</v>
      </c>
      <c r="CF25" s="4">
        <v>3746.39</v>
      </c>
      <c r="CG25" s="4">
        <f>IF(OR(MID(TBBP[[#This Row],[Coluna1]],1,1)="1",MID(TBBP[[#This Row],[Coluna1]],1,1)="2"),CF25,SUM(BU25:CF25))</f>
        <v>3746.39</v>
      </c>
      <c r="CH25" s="4">
        <v>3746.39</v>
      </c>
      <c r="CI25" s="4">
        <v>3746.39</v>
      </c>
      <c r="CJ25" s="4">
        <v>3746.39</v>
      </c>
      <c r="CK25" s="4">
        <v>3746.39</v>
      </c>
      <c r="CL25" s="4">
        <v>3746.39</v>
      </c>
      <c r="CM25" s="4">
        <v>3746.39</v>
      </c>
      <c r="CN25" s="4">
        <v>3746.39</v>
      </c>
      <c r="CO25" s="4">
        <v>3746.39</v>
      </c>
      <c r="CP25" s="4">
        <v>3746.39</v>
      </c>
      <c r="CQ25" s="4">
        <v>3746.39</v>
      </c>
      <c r="CR25" s="4">
        <v>3746.39</v>
      </c>
      <c r="CS25" s="4">
        <v>3746.39</v>
      </c>
      <c r="CT25" s="4">
        <f>IF(OR(MID(TBBP[[#This Row],[Coluna1]],1,1)="1",MID(TBBP[[#This Row],[Coluna1]],1,1)="2"),CS25,SUM(CH25:CS25))</f>
        <v>3746.39</v>
      </c>
      <c r="CU25" s="255">
        <v>3746.39</v>
      </c>
      <c r="CV25" s="255">
        <v>3746.39</v>
      </c>
      <c r="CW25" s="255">
        <v>4227.17</v>
      </c>
      <c r="CX25" s="255">
        <v>3746.39</v>
      </c>
      <c r="CY25" s="255">
        <v>3746.39</v>
      </c>
      <c r="CZ25" s="255">
        <v>3746.39</v>
      </c>
      <c r="DA25" s="255">
        <v>3746.39</v>
      </c>
      <c r="DB25" s="255">
        <v>3746.39</v>
      </c>
      <c r="DC25" s="255">
        <v>3746.39</v>
      </c>
      <c r="DD25" s="255">
        <v>3746.39</v>
      </c>
      <c r="DE25" s="255">
        <v>4255.1400000000003</v>
      </c>
      <c r="DF25" s="255">
        <v>4255.1400000000003</v>
      </c>
      <c r="DG25" s="255">
        <v>4255.1400000000003</v>
      </c>
      <c r="DH25" s="255">
        <v>2861.12</v>
      </c>
      <c r="DI25" s="255">
        <v>2861.12</v>
      </c>
      <c r="DJ25" s="255">
        <v>2861.12</v>
      </c>
      <c r="DK25" s="255">
        <v>2861.12</v>
      </c>
      <c r="DL25" s="255">
        <v>2861.12</v>
      </c>
      <c r="DM25" s="255">
        <v>2485</v>
      </c>
      <c r="DO25" s="9"/>
      <c r="DP25" s="30" t="str">
        <f>IF(OR(MID(TBBP[[#This Row],[Coluna1]],1,1)="1",MID(TBBP[[#This Row],[Coluna1]],1,1)="2"),"-",SUMIFS(25:25,listaPeriodos,$DR$1,listaPeriodos,$DR$2))</f>
        <v>-</v>
      </c>
      <c r="DR25" s="30">
        <f t="shared" si="11"/>
        <v>0</v>
      </c>
      <c r="DS25" s="30"/>
      <c r="DT25" s="30"/>
      <c r="DU25"/>
    </row>
    <row r="26" spans="1:125" x14ac:dyDescent="0.3">
      <c r="A26" s="7" t="s">
        <v>43</v>
      </c>
      <c r="B26" t="s">
        <v>14</v>
      </c>
      <c r="C26" s="4">
        <v>0</v>
      </c>
      <c r="D26" s="4">
        <v>21352.97</v>
      </c>
      <c r="E26" s="4">
        <v>18351.88</v>
      </c>
      <c r="F26" s="4">
        <v>49811.38</v>
      </c>
      <c r="G26" s="4">
        <v>36427.760000000002</v>
      </c>
      <c r="H26" s="4">
        <v>38610.22</v>
      </c>
      <c r="I26" s="4">
        <v>40064.14</v>
      </c>
      <c r="J26" s="4">
        <v>32851.07</v>
      </c>
      <c r="K26" s="4">
        <v>45267.03</v>
      </c>
      <c r="L26" s="4">
        <v>46361.38</v>
      </c>
      <c r="M26" s="4">
        <v>53719.02</v>
      </c>
      <c r="N26" s="4">
        <v>92811.33</v>
      </c>
      <c r="O26" s="4">
        <v>67587.37</v>
      </c>
      <c r="P26" s="4">
        <v>84977.01</v>
      </c>
      <c r="Q26" s="4">
        <v>67248.25</v>
      </c>
      <c r="R26" s="4">
        <v>71508.14</v>
      </c>
      <c r="S26" s="4">
        <v>60919.38</v>
      </c>
      <c r="T26" s="4">
        <f>IF(OR(MID(TBBP[[#This Row],[Coluna1]],1,1)="1",MID(TBBP[[#This Row],[Coluna1]],1,1)="2"),TBBP[[#This Row],[Coluna19]],SUM(H26:S26))</f>
        <v>60919.38</v>
      </c>
      <c r="U26" s="4">
        <v>48959.49</v>
      </c>
      <c r="V26" s="4">
        <v>67079.62</v>
      </c>
      <c r="W26" s="4">
        <v>72448.67</v>
      </c>
      <c r="X26" s="4">
        <v>74654.69</v>
      </c>
      <c r="Y26" s="4">
        <v>59970.35</v>
      </c>
      <c r="Z26" s="4">
        <v>58238.19</v>
      </c>
      <c r="AA26" s="4">
        <v>73621.820000000007</v>
      </c>
      <c r="AB26" s="4">
        <v>74808.87</v>
      </c>
      <c r="AC26" s="4">
        <v>93624.04</v>
      </c>
      <c r="AD26" s="4">
        <v>114437.19</v>
      </c>
      <c r="AE26" s="4">
        <v>142135.09</v>
      </c>
      <c r="AF26" s="4">
        <v>115579.85</v>
      </c>
      <c r="AG26" s="4">
        <f>IF(OR(MID(TBBP[[#This Row],[Coluna1]],1,1)="1",MID(TBBP[[#This Row],[Coluna1]],1,1)="2"),TBBP[[#This Row],[Coluna32]],SUM(U26:AF26))</f>
        <v>115579.85</v>
      </c>
      <c r="AH26" s="4">
        <v>88550.49</v>
      </c>
      <c r="AI26" s="4">
        <v>112853.67</v>
      </c>
      <c r="AJ26" s="4">
        <v>133890.76999999999</v>
      </c>
      <c r="AK26" s="4">
        <v>98423.01</v>
      </c>
      <c r="AL26" s="4">
        <v>49112.34</v>
      </c>
      <c r="AM26" s="4">
        <v>52195.79</v>
      </c>
      <c r="AN26" s="4">
        <v>63031.17</v>
      </c>
      <c r="AO26" s="4">
        <v>99791.15</v>
      </c>
      <c r="AP26" s="4">
        <v>101125.04</v>
      </c>
      <c r="AQ26" s="4">
        <v>110527.72</v>
      </c>
      <c r="AR26" s="4">
        <v>109959.42</v>
      </c>
      <c r="AS26" s="4">
        <v>109895.66</v>
      </c>
      <c r="AT26" s="4">
        <f>IF(OR(MID(TBBP[[#This Row],[Coluna1]],1,1)="1",MID(TBBP[[#This Row],[Coluna1]],1,1)="2"),TBBP[[#This Row],[Coluna45]],SUM(AH26:AS26))</f>
        <v>109895.66</v>
      </c>
      <c r="AU26" s="4">
        <v>137290.76999999999</v>
      </c>
      <c r="AV26" s="4">
        <v>137807.65</v>
      </c>
      <c r="AW26" s="4">
        <v>114591.33</v>
      </c>
      <c r="AX26" s="4">
        <v>121228.17</v>
      </c>
      <c r="AY26" s="4">
        <v>117617.52</v>
      </c>
      <c r="AZ26" s="4">
        <v>132460.46</v>
      </c>
      <c r="BA26" s="4">
        <v>178425.61</v>
      </c>
      <c r="BB26" s="4">
        <v>178300.51</v>
      </c>
      <c r="BC26" s="4">
        <v>225017.67</v>
      </c>
      <c r="BD26" s="4">
        <v>279097.31</v>
      </c>
      <c r="BE26" s="4">
        <v>305896.48</v>
      </c>
      <c r="BF26" s="4">
        <v>345495.17</v>
      </c>
      <c r="BG26" s="4">
        <f>IF(OR(MID(TBBP[[#This Row],[Coluna1]],1,1)="1",MID(TBBP[[#This Row],[Coluna1]],1,1)="2"),TBBP[[#This Row],[Coluna58]],SUM(AU26:BF26))</f>
        <v>345495.17</v>
      </c>
      <c r="BH26" s="4">
        <v>331851.78999999998</v>
      </c>
      <c r="BI26" s="4">
        <v>311262.81</v>
      </c>
      <c r="BJ26" s="4">
        <v>326143.78000000003</v>
      </c>
      <c r="BK26" s="4">
        <v>295488.84999999998</v>
      </c>
      <c r="BL26" s="4">
        <v>356756.6</v>
      </c>
      <c r="BM26" s="4">
        <v>351203.48</v>
      </c>
      <c r="BN26" s="4">
        <v>315171.69</v>
      </c>
      <c r="BO26" s="4">
        <v>366453.33</v>
      </c>
      <c r="BP26" s="4">
        <v>428895.19</v>
      </c>
      <c r="BQ26" s="4">
        <v>272733.71000000002</v>
      </c>
      <c r="BR26" s="4">
        <v>361520.45</v>
      </c>
      <c r="BS26" s="4">
        <v>325944.18</v>
      </c>
      <c r="BT26" s="4">
        <f>IF(OR(MID(TBBP[[#This Row],[Coluna1]],1,1)="1",MID(TBBP[[#This Row],[Coluna1]],1,1)="2"),TBBP[[#This Row],[Coluna127]],SUM(BH26:BS26))</f>
        <v>325944.18</v>
      </c>
      <c r="BU26" s="4">
        <v>337150.94</v>
      </c>
      <c r="BV26" s="4">
        <v>323563.78999999998</v>
      </c>
      <c r="BW26" s="4">
        <v>385943.09</v>
      </c>
      <c r="BX26" s="4">
        <v>395982.91</v>
      </c>
      <c r="BY26" s="4">
        <v>435618.03</v>
      </c>
      <c r="BZ26" s="4">
        <v>536391.96</v>
      </c>
      <c r="CA26" s="4">
        <v>518121.22</v>
      </c>
      <c r="CB26" s="4">
        <v>605397.99</v>
      </c>
      <c r="CC26" s="4">
        <v>692108.97</v>
      </c>
      <c r="CD26" s="4">
        <v>671529.7</v>
      </c>
      <c r="CE26" s="4">
        <v>600531.91</v>
      </c>
      <c r="CF26" s="4">
        <v>642806.73</v>
      </c>
      <c r="CG26" s="4">
        <f>IF(OR(MID(TBBP[[#This Row],[Coluna1]],1,1)="1",MID(TBBP[[#This Row],[Coluna1]],1,1)="2"),CF26,SUM(BU26:CF26))</f>
        <v>642806.73</v>
      </c>
      <c r="CH26" s="4">
        <v>363583.58</v>
      </c>
      <c r="CI26" s="4">
        <v>316321.03999999998</v>
      </c>
      <c r="CJ26" s="4">
        <v>324876.96999999997</v>
      </c>
      <c r="CK26" s="4">
        <v>340243.18</v>
      </c>
      <c r="CL26" s="4">
        <v>329402.99</v>
      </c>
      <c r="CM26" s="4">
        <v>338573.61</v>
      </c>
      <c r="CN26" s="4">
        <v>353504.8</v>
      </c>
      <c r="CO26" s="4">
        <v>431379.85</v>
      </c>
      <c r="CP26" s="4">
        <v>517202.67</v>
      </c>
      <c r="CQ26" s="4">
        <v>421960.26</v>
      </c>
      <c r="CR26" s="4">
        <v>349443.32</v>
      </c>
      <c r="CS26" s="4">
        <v>308283.59999999998</v>
      </c>
      <c r="CT26" s="4">
        <f>IF(OR(MID(TBBP[[#This Row],[Coluna1]],1,1)="1",MID(TBBP[[#This Row],[Coluna1]],1,1)="2"),CS26,SUM(CH26:CS26))</f>
        <v>308283.59999999998</v>
      </c>
      <c r="CU26" s="255">
        <v>204418.76</v>
      </c>
      <c r="CV26" s="255">
        <v>130405.06</v>
      </c>
      <c r="CW26" s="255">
        <v>134235.32</v>
      </c>
      <c r="CX26" s="255">
        <v>120204.69</v>
      </c>
      <c r="CY26" s="255">
        <v>130312.72</v>
      </c>
      <c r="CZ26" s="255">
        <v>131812.72</v>
      </c>
      <c r="DA26" s="255">
        <v>134312.72</v>
      </c>
      <c r="DB26" s="255">
        <v>134606.06</v>
      </c>
      <c r="DC26" s="255">
        <v>153439.39000000001</v>
      </c>
      <c r="DD26" s="255">
        <v>156695.49</v>
      </c>
      <c r="DE26" s="255">
        <v>84408.75</v>
      </c>
      <c r="DF26" s="255">
        <v>95932.09</v>
      </c>
      <c r="DG26" s="255">
        <v>95932.09</v>
      </c>
      <c r="DH26" s="255">
        <v>103796.09</v>
      </c>
      <c r="DI26" s="255">
        <v>103522.75</v>
      </c>
      <c r="DJ26" s="255">
        <v>117916.12</v>
      </c>
      <c r="DK26" s="255">
        <v>122616.12</v>
      </c>
      <c r="DL26" s="255">
        <v>126089.64</v>
      </c>
      <c r="DM26" s="255">
        <v>129521.75</v>
      </c>
      <c r="DO26" s="9"/>
      <c r="DP26" s="30" t="str">
        <f>IF(OR(MID(TBBP[[#This Row],[Coluna1]],1,1)="1",MID(TBBP[[#This Row],[Coluna1]],1,1)="2"),"-",SUMIFS(26:26,listaPeriodos,$DR$1,listaPeriodos,$DR$2))</f>
        <v>-</v>
      </c>
      <c r="DR26" s="30">
        <f t="shared" si="11"/>
        <v>0</v>
      </c>
      <c r="DS26" s="30"/>
      <c r="DT26" s="30"/>
      <c r="DU26"/>
    </row>
    <row r="27" spans="1:125" x14ac:dyDescent="0.3">
      <c r="A27" s="7" t="s">
        <v>44</v>
      </c>
      <c r="B27" t="s">
        <v>15</v>
      </c>
      <c r="C27" s="4">
        <v>0</v>
      </c>
      <c r="D27" s="4">
        <v>340461.87</v>
      </c>
      <c r="E27" s="4">
        <v>93784.18</v>
      </c>
      <c r="F27" s="4">
        <v>91484.01</v>
      </c>
      <c r="G27" s="4">
        <v>188369.05</v>
      </c>
      <c r="H27" s="4">
        <v>102976.91</v>
      </c>
      <c r="I27" s="4">
        <v>41519.25</v>
      </c>
      <c r="J27" s="4">
        <v>49527.39</v>
      </c>
      <c r="K27" s="4">
        <v>89062.24</v>
      </c>
      <c r="L27" s="4">
        <v>161611.45000000001</v>
      </c>
      <c r="M27" s="4">
        <v>267512.64</v>
      </c>
      <c r="N27" s="4">
        <v>188046.07999999999</v>
      </c>
      <c r="O27" s="4">
        <v>92714.5</v>
      </c>
      <c r="P27" s="4">
        <v>129535.42</v>
      </c>
      <c r="Q27" s="4">
        <v>149842.89000000001</v>
      </c>
      <c r="R27" s="4">
        <v>128721.14</v>
      </c>
      <c r="S27" s="4">
        <v>294881.06</v>
      </c>
      <c r="T27" s="4">
        <f>IF(OR(MID(TBBP[[#This Row],[Coluna1]],1,1)="1",MID(TBBP[[#This Row],[Coluna1]],1,1)="2"),TBBP[[#This Row],[Coluna19]],SUM(H27:S27))</f>
        <v>294881.06</v>
      </c>
      <c r="U27" s="4">
        <v>330295.01</v>
      </c>
      <c r="V27" s="4">
        <v>365370.2</v>
      </c>
      <c r="W27" s="4">
        <v>266866.25</v>
      </c>
      <c r="X27" s="4">
        <v>270194.83</v>
      </c>
      <c r="Y27" s="4">
        <v>300137.61</v>
      </c>
      <c r="Z27" s="4">
        <v>199161.98</v>
      </c>
      <c r="AA27" s="4">
        <v>262173.38</v>
      </c>
      <c r="AB27" s="4">
        <v>365218.97</v>
      </c>
      <c r="AC27" s="4">
        <v>324115.93</v>
      </c>
      <c r="AD27" s="4">
        <v>208386.18</v>
      </c>
      <c r="AE27" s="4">
        <v>340997.98</v>
      </c>
      <c r="AF27" s="4">
        <v>315103.65999999997</v>
      </c>
      <c r="AG27" s="4">
        <f>IF(OR(MID(TBBP[[#This Row],[Coluna1]],1,1)="1",MID(TBBP[[#This Row],[Coluna1]],1,1)="2"),TBBP[[#This Row],[Coluna32]],SUM(U27:AF27))</f>
        <v>315103.65999999997</v>
      </c>
      <c r="AH27" s="4">
        <v>505760.11</v>
      </c>
      <c r="AI27" s="4">
        <v>461487.17</v>
      </c>
      <c r="AJ27" s="4">
        <v>681673.31</v>
      </c>
      <c r="AK27" s="4">
        <v>71094.649999999994</v>
      </c>
      <c r="AL27" s="4">
        <v>253023.73</v>
      </c>
      <c r="AM27" s="4">
        <v>682120.35</v>
      </c>
      <c r="AN27" s="4">
        <v>1025741.09</v>
      </c>
      <c r="AO27" s="4">
        <v>1607665.49</v>
      </c>
      <c r="AP27" s="4">
        <v>1506427.76</v>
      </c>
      <c r="AQ27" s="4">
        <v>620165.81999999995</v>
      </c>
      <c r="AR27" s="4">
        <v>906061.93</v>
      </c>
      <c r="AS27" s="4">
        <v>1999742.82</v>
      </c>
      <c r="AT27" s="4">
        <f>IF(OR(MID(TBBP[[#This Row],[Coluna1]],1,1)="1",MID(TBBP[[#This Row],[Coluna1]],1,1)="2"),TBBP[[#This Row],[Coluna45]],SUM(AH27:AS27))</f>
        <v>1999742.82</v>
      </c>
      <c r="AU27" s="4">
        <v>605802.43999999994</v>
      </c>
      <c r="AV27" s="4">
        <v>439696.27</v>
      </c>
      <c r="AW27" s="4">
        <v>845404.17</v>
      </c>
      <c r="AX27" s="4">
        <v>1280394.82</v>
      </c>
      <c r="AY27" s="4">
        <v>1499446.47</v>
      </c>
      <c r="AZ27" s="4">
        <v>1561716.7</v>
      </c>
      <c r="BA27" s="4">
        <v>1774565.32</v>
      </c>
      <c r="BB27" s="4">
        <v>1829225.85</v>
      </c>
      <c r="BC27" s="4">
        <v>1860562.16</v>
      </c>
      <c r="BD27" s="4">
        <v>1555251.44</v>
      </c>
      <c r="BE27" s="4">
        <v>1499247.39</v>
      </c>
      <c r="BF27" s="4">
        <v>1779887.79</v>
      </c>
      <c r="BG27" s="4">
        <f>IF(OR(MID(TBBP[[#This Row],[Coluna1]],1,1)="1",MID(TBBP[[#This Row],[Coluna1]],1,1)="2"),TBBP[[#This Row],[Coluna58]],SUM(AU27:BF27))</f>
        <v>1779887.79</v>
      </c>
      <c r="BH27" s="4">
        <v>1548225.46</v>
      </c>
      <c r="BI27" s="4">
        <v>1696986.55</v>
      </c>
      <c r="BJ27" s="4">
        <v>1107025.45</v>
      </c>
      <c r="BK27" s="4">
        <v>1373152.21</v>
      </c>
      <c r="BL27" s="4">
        <v>2484630.1800000002</v>
      </c>
      <c r="BM27" s="4">
        <v>2342699.37</v>
      </c>
      <c r="BN27" s="4">
        <v>2558726.62</v>
      </c>
      <c r="BO27" s="4">
        <v>1783144.84</v>
      </c>
      <c r="BP27" s="4">
        <v>1842485.03</v>
      </c>
      <c r="BQ27" s="4">
        <v>1854522.24</v>
      </c>
      <c r="BR27" s="4">
        <v>2201073.56</v>
      </c>
      <c r="BS27" s="4">
        <v>1502200.37</v>
      </c>
      <c r="BT27" s="4">
        <f>IF(OR(MID(TBBP[[#This Row],[Coluna1]],1,1)="1",MID(TBBP[[#This Row],[Coluna1]],1,1)="2"),TBBP[[#This Row],[Coluna127]],SUM(BH27:BS27))</f>
        <v>1502200.37</v>
      </c>
      <c r="BU27" s="4">
        <v>1410908.41</v>
      </c>
      <c r="BV27" s="4">
        <v>1530492.22</v>
      </c>
      <c r="BW27" s="4">
        <v>1340070.03</v>
      </c>
      <c r="BX27" s="4">
        <v>1588236.2</v>
      </c>
      <c r="BY27" s="4">
        <v>2142005.0499999998</v>
      </c>
      <c r="BZ27" s="4">
        <v>1965436.92</v>
      </c>
      <c r="CA27" s="4">
        <v>1727687.63</v>
      </c>
      <c r="CB27" s="4">
        <v>2994928.97</v>
      </c>
      <c r="CC27" s="4">
        <v>3926598.62</v>
      </c>
      <c r="CD27" s="4">
        <v>2938452.18</v>
      </c>
      <c r="CE27" s="4">
        <v>1898462.31</v>
      </c>
      <c r="CF27" s="4">
        <v>1251038.07</v>
      </c>
      <c r="CG27" s="4">
        <f>IF(OR(MID(TBBP[[#This Row],[Coluna1]],1,1)="1",MID(TBBP[[#This Row],[Coluna1]],1,1)="2"),CF27,SUM(BU27:CF27))</f>
        <v>1251038.07</v>
      </c>
      <c r="CH27" s="4">
        <v>877571.21</v>
      </c>
      <c r="CI27" s="4">
        <v>1643613.13</v>
      </c>
      <c r="CJ27" s="4">
        <v>3318913.85</v>
      </c>
      <c r="CK27" s="4">
        <v>4068931.01</v>
      </c>
      <c r="CL27" s="4">
        <v>4591415.4400000004</v>
      </c>
      <c r="CM27" s="4">
        <v>3405803.66</v>
      </c>
      <c r="CN27" s="4">
        <v>3372017.47</v>
      </c>
      <c r="CO27" s="4">
        <v>3947182.03</v>
      </c>
      <c r="CP27" s="4">
        <v>3727402.51</v>
      </c>
      <c r="CQ27" s="4">
        <v>1423867.18</v>
      </c>
      <c r="CR27" s="4">
        <v>1409785.7</v>
      </c>
      <c r="CS27" s="4">
        <v>967387.33</v>
      </c>
      <c r="CT27" s="4">
        <f>IF(OR(MID(TBBP[[#This Row],[Coluna1]],1,1)="1",MID(TBBP[[#This Row],[Coluna1]],1,1)="2"),CS27,SUM(CH27:CS27))</f>
        <v>967387.33</v>
      </c>
      <c r="CU27" s="255">
        <v>1376408.08</v>
      </c>
      <c r="CV27" s="255">
        <v>2004404.45</v>
      </c>
      <c r="CW27" s="255">
        <v>3612057.78</v>
      </c>
      <c r="CX27" s="255">
        <v>3179856.07</v>
      </c>
      <c r="CY27" s="255">
        <v>1863899.15</v>
      </c>
      <c r="CZ27" s="255">
        <v>2783055.21</v>
      </c>
      <c r="DA27" s="255">
        <v>2468014.2799999998</v>
      </c>
      <c r="DB27" s="255">
        <v>1787845.62</v>
      </c>
      <c r="DC27" s="255">
        <v>2267149.2400000002</v>
      </c>
      <c r="DD27" s="255">
        <v>3454599.59</v>
      </c>
      <c r="DE27" s="255">
        <v>2808900.49</v>
      </c>
      <c r="DF27" s="255">
        <v>2315227.86</v>
      </c>
      <c r="DG27" s="255">
        <v>2315227.86</v>
      </c>
      <c r="DH27" s="255">
        <v>4273682.66</v>
      </c>
      <c r="DI27" s="255">
        <v>2328461.31</v>
      </c>
      <c r="DJ27" s="255">
        <v>1672158.5</v>
      </c>
      <c r="DK27" s="255">
        <v>2290096.08</v>
      </c>
      <c r="DL27" s="255">
        <v>2811787.47</v>
      </c>
      <c r="DM27" s="255">
        <v>3756918.65</v>
      </c>
      <c r="DO27" s="9"/>
      <c r="DP27" s="30" t="str">
        <f>IF(OR(MID(TBBP[[#This Row],[Coluna1]],1,1)="1",MID(TBBP[[#This Row],[Coluna1]],1,1)="2"),"-",SUMIFS(27:27,listaPeriodos,$DR$1,listaPeriodos,$DR$2))</f>
        <v>-</v>
      </c>
      <c r="DR27" s="30">
        <f t="shared" si="11"/>
        <v>0</v>
      </c>
      <c r="DS27" s="30"/>
      <c r="DT27" s="30"/>
      <c r="DU27"/>
    </row>
    <row r="28" spans="1:125" x14ac:dyDescent="0.3">
      <c r="A28" s="7" t="s">
        <v>720</v>
      </c>
      <c r="B28" t="s">
        <v>151</v>
      </c>
      <c r="C28" s="4"/>
      <c r="D28" s="4"/>
      <c r="E28" s="4"/>
      <c r="F28" s="4"/>
      <c r="G28" s="4">
        <v>0</v>
      </c>
      <c r="H28" s="4"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>
        <f>IF(OR(MID(TBBP[[#This Row],[Coluna1]],1,1)="1",MID(TBBP[[#This Row],[Coluna1]],1,1)="2"),TBBP[[#This Row],[Coluna19]],SUM(H28:S28))</f>
        <v>0</v>
      </c>
      <c r="U28" s="4"/>
      <c r="V28" s="4"/>
      <c r="W28" s="4"/>
      <c r="X28" s="4"/>
      <c r="Y28" s="4"/>
      <c r="Z28" s="4"/>
      <c r="AA28" s="4"/>
      <c r="AB28" s="4"/>
      <c r="AC28" s="4"/>
      <c r="AD28" s="4">
        <v>0</v>
      </c>
      <c r="AE28" s="4">
        <v>0</v>
      </c>
      <c r="AF28" s="4">
        <v>0</v>
      </c>
      <c r="AG28" s="4">
        <f>IF(OR(MID(TBBP[[#This Row],[Coluna1]],1,1)="1",MID(TBBP[[#This Row],[Coluna1]],1,1)="2"),TBBP[[#This Row],[Coluna32]],SUM(U28:AF28))</f>
        <v>0</v>
      </c>
      <c r="AH28" s="4">
        <v>50000</v>
      </c>
      <c r="AI28" s="4">
        <v>45000</v>
      </c>
      <c r="AJ28" s="4">
        <v>40000</v>
      </c>
      <c r="AK28" s="4">
        <v>32745.8</v>
      </c>
      <c r="AL28" s="4">
        <v>27745.8</v>
      </c>
      <c r="AM28" s="4">
        <v>22745.8</v>
      </c>
      <c r="AN28" s="4">
        <v>20000</v>
      </c>
      <c r="AO28" s="4">
        <v>15000</v>
      </c>
      <c r="AP28" s="4">
        <v>10000</v>
      </c>
      <c r="AQ28" s="4">
        <v>5000</v>
      </c>
      <c r="AR28" s="4">
        <v>0</v>
      </c>
      <c r="AS28" s="4">
        <v>0</v>
      </c>
      <c r="AT28" s="4">
        <f>IF(OR(MID(TBBP[[#This Row],[Coluna1]],1,1)="1",MID(TBBP[[#This Row],[Coluna1]],1,1)="2"),TBBP[[#This Row],[Coluna45]],SUM(AH28:AS28))</f>
        <v>0</v>
      </c>
      <c r="AU28" s="4">
        <v>0</v>
      </c>
      <c r="AV28" s="4">
        <v>0</v>
      </c>
      <c r="AW28" s="4">
        <v>0</v>
      </c>
      <c r="AX28" s="4">
        <v>150000</v>
      </c>
      <c r="AY28" s="4">
        <v>145000</v>
      </c>
      <c r="AZ28" s="4">
        <v>140000</v>
      </c>
      <c r="BA28" s="4">
        <v>135000</v>
      </c>
      <c r="BB28" s="4">
        <v>130000</v>
      </c>
      <c r="BC28" s="4">
        <v>130000</v>
      </c>
      <c r="BD28" s="4">
        <v>125000</v>
      </c>
      <c r="BE28" s="4">
        <v>120000</v>
      </c>
      <c r="BF28" s="4">
        <v>115000</v>
      </c>
      <c r="BG28" s="4">
        <f>IF(OR(MID(TBBP[[#This Row],[Coluna1]],1,1)="1",MID(TBBP[[#This Row],[Coluna1]],1,1)="2"),TBBP[[#This Row],[Coluna58]],SUM(AU28:BF28))</f>
        <v>115000</v>
      </c>
      <c r="BH28" s="4">
        <v>110000</v>
      </c>
      <c r="BI28" s="4">
        <v>105000</v>
      </c>
      <c r="BJ28" s="4">
        <v>100000</v>
      </c>
      <c r="BK28" s="4">
        <v>95000</v>
      </c>
      <c r="BL28" s="4">
        <v>90000</v>
      </c>
      <c r="BM28" s="4">
        <v>85000</v>
      </c>
      <c r="BN28" s="4">
        <v>80000</v>
      </c>
      <c r="BO28" s="4">
        <v>75000</v>
      </c>
      <c r="BP28" s="4">
        <v>70000</v>
      </c>
      <c r="BQ28" s="4">
        <v>65000</v>
      </c>
      <c r="BR28" s="4">
        <v>60000</v>
      </c>
      <c r="BS28" s="4">
        <v>55000</v>
      </c>
      <c r="BT28" s="4">
        <f>IF(OR(MID(TBBP[[#This Row],[Coluna1]],1,1)="1",MID(TBBP[[#This Row],[Coluna1]],1,1)="2"),TBBP[[#This Row],[Coluna127]],SUM(BH28:BS28))</f>
        <v>55000</v>
      </c>
      <c r="BU28" s="4">
        <v>50000</v>
      </c>
      <c r="BV28" s="4">
        <v>45000</v>
      </c>
      <c r="BW28" s="4">
        <v>40000</v>
      </c>
      <c r="BX28" s="4">
        <v>35000</v>
      </c>
      <c r="BY28" s="4">
        <v>30000</v>
      </c>
      <c r="BZ28" s="4">
        <v>25000</v>
      </c>
      <c r="CA28" s="4">
        <v>20000</v>
      </c>
      <c r="CB28" s="4">
        <v>15000</v>
      </c>
      <c r="CC28" s="4">
        <v>10000</v>
      </c>
      <c r="CD28" s="4">
        <v>5000</v>
      </c>
      <c r="CE28" s="4">
        <v>5000</v>
      </c>
      <c r="CF28" s="4">
        <v>5000</v>
      </c>
      <c r="CG28" s="4">
        <f>IF(OR(MID(TBBP[[#This Row],[Coluna1]],1,1)="1",MID(TBBP[[#This Row],[Coluna1]],1,1)="2"),CF28,SUM(BU28:CF28))</f>
        <v>5000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f>IF(OR(MID(TBBP[[#This Row],[Coluna1]],1,1)="1",MID(TBBP[[#This Row],[Coluna1]],1,1)="2"),CS28,SUM(CH28:CS28))</f>
        <v>0</v>
      </c>
      <c r="CU28" s="255">
        <v>0</v>
      </c>
      <c r="CV28" s="255">
        <v>0</v>
      </c>
      <c r="CW28" s="255">
        <v>0</v>
      </c>
      <c r="CX28" s="255">
        <v>0</v>
      </c>
      <c r="CY28" s="255">
        <v>0</v>
      </c>
      <c r="CZ28" s="255">
        <v>0</v>
      </c>
      <c r="DA28" s="255">
        <v>0</v>
      </c>
      <c r="DB28" s="255">
        <v>0</v>
      </c>
      <c r="DC28" s="255">
        <v>0</v>
      </c>
      <c r="DD28" s="255">
        <v>0</v>
      </c>
      <c r="DE28" s="255">
        <v>0</v>
      </c>
      <c r="DF28" s="255">
        <v>0</v>
      </c>
      <c r="DG28" s="255">
        <v>0</v>
      </c>
      <c r="DH28" s="255">
        <v>0</v>
      </c>
      <c r="DI28" s="255">
        <v>0</v>
      </c>
      <c r="DJ28" s="255">
        <v>0</v>
      </c>
      <c r="DK28" s="255">
        <v>0</v>
      </c>
      <c r="DL28" s="255">
        <v>0</v>
      </c>
      <c r="DM28" s="255">
        <v>0</v>
      </c>
      <c r="DO28" s="9"/>
      <c r="DP28" s="30" t="str">
        <f>IF(OR(MID(TBBP[[#This Row],[Coluna1]],1,1)="1",MID(TBBP[[#This Row],[Coluna1]],1,1)="2"),"-",SUMIFS(28:28,listaPeriodos,$DR$1,listaPeriodos,$DR$2))</f>
        <v>-</v>
      </c>
      <c r="DR28" s="30">
        <f t="shared" si="11"/>
        <v>0</v>
      </c>
      <c r="DS28" s="30"/>
      <c r="DT28" s="30"/>
      <c r="DU28"/>
    </row>
    <row r="29" spans="1:125" x14ac:dyDescent="0.3">
      <c r="A29" s="7" t="s">
        <v>743</v>
      </c>
      <c r="B29" t="s">
        <v>744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>
        <f>SUM(TBBP[[#This Row],[Coluna8]:[Coluna19]])</f>
        <v>0</v>
      </c>
      <c r="U29" s="4"/>
      <c r="V29" s="4"/>
      <c r="W29" s="4"/>
      <c r="X29" s="4"/>
      <c r="Y29" s="4"/>
      <c r="Z29" s="4"/>
      <c r="AA29" s="4"/>
      <c r="AB29" s="4"/>
      <c r="AC29" s="4"/>
      <c r="AD29" s="4"/>
      <c r="AE29" s="4">
        <v>0</v>
      </c>
      <c r="AF29" s="4"/>
      <c r="AG29" s="4">
        <f>IF(OR(MID(TBBP[[#This Row],[Coluna1]],1,1)="1",MID(TBBP[[#This Row],[Coluna1]],1,1)="2"),TBBP[[#This Row],[Coluna19]],SUM(U29:AF29))</f>
        <v>0</v>
      </c>
      <c r="AH29" s="4"/>
      <c r="AI29" s="4"/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4">
        <v>15000.03</v>
      </c>
      <c r="BC29" s="4">
        <v>15000.03</v>
      </c>
      <c r="BD29" s="4">
        <v>15000.03</v>
      </c>
      <c r="BE29" s="4">
        <v>15000.03</v>
      </c>
      <c r="BF29" s="4">
        <v>75000.03</v>
      </c>
      <c r="BG29" s="4">
        <f>IF(OR(MID(TBBP[[#This Row],[Coluna1]],1,1)="1",MID(TBBP[[#This Row],[Coluna1]],1,1)="2"),TBBP[[#This Row],[Coluna58]],SUM(AU29:BF29))</f>
        <v>75000.03</v>
      </c>
      <c r="BH29" s="4">
        <v>95000.03</v>
      </c>
      <c r="BI29" s="4">
        <v>115000.03</v>
      </c>
      <c r="BJ29" s="4">
        <v>20000.03</v>
      </c>
      <c r="BK29" s="4">
        <v>20000.03</v>
      </c>
      <c r="BL29" s="4">
        <v>25000.03</v>
      </c>
      <c r="BM29" s="4">
        <v>25000.03</v>
      </c>
      <c r="BN29" s="4">
        <v>25000.03</v>
      </c>
      <c r="BO29" s="4">
        <v>25000.03</v>
      </c>
      <c r="BP29" s="4">
        <v>30250.03</v>
      </c>
      <c r="BQ29" s="4">
        <v>35500.03</v>
      </c>
      <c r="BR29" s="4">
        <v>35500.03</v>
      </c>
      <c r="BS29" s="4">
        <v>35500.03</v>
      </c>
      <c r="BT29" s="4">
        <f>IF(OR(MID(TBBP[[#This Row],[Coluna1]],1,1)="1",MID(TBBP[[#This Row],[Coluna1]],1,1)="2"),TBBP[[#This Row],[Coluna127]],SUM(BH29:BS29))</f>
        <v>35500.03</v>
      </c>
      <c r="BU29" s="4">
        <v>35500.03</v>
      </c>
      <c r="BV29" s="4">
        <v>35500.03</v>
      </c>
      <c r="BW29" s="4">
        <v>35500.03</v>
      </c>
      <c r="BX29" s="4">
        <v>25000.03</v>
      </c>
      <c r="BY29" s="4">
        <v>25000.03</v>
      </c>
      <c r="BZ29" s="4">
        <v>25000.03</v>
      </c>
      <c r="CA29" s="4">
        <v>25000.03</v>
      </c>
      <c r="CB29" s="4">
        <v>25000.03</v>
      </c>
      <c r="CC29" s="4">
        <v>25000.03</v>
      </c>
      <c r="CD29" s="4">
        <v>50734.92</v>
      </c>
      <c r="CE29" s="4">
        <v>50734.92</v>
      </c>
      <c r="CF29" s="4">
        <v>50734.92</v>
      </c>
      <c r="CG29" s="4">
        <f>IF(OR(MID(TBBP[[#This Row],[Coluna1]],1,1)="1",MID(TBBP[[#This Row],[Coluna1]],1,1)="2"),CF29,SUM(BU29:CF29))</f>
        <v>50734.92</v>
      </c>
      <c r="CH29" s="4">
        <v>53273.94</v>
      </c>
      <c r="CI29" s="4">
        <v>53273.94</v>
      </c>
      <c r="CJ29" s="4">
        <v>53273.94</v>
      </c>
      <c r="CK29" s="4">
        <v>53509.94</v>
      </c>
      <c r="CL29" s="4">
        <v>53509.94</v>
      </c>
      <c r="CM29" s="4">
        <v>30652.81</v>
      </c>
      <c r="CN29" s="4">
        <v>30652.81</v>
      </c>
      <c r="CO29" s="4">
        <v>30652.81</v>
      </c>
      <c r="CP29" s="4">
        <v>30652.81</v>
      </c>
      <c r="CQ29" s="4">
        <v>30652.81</v>
      </c>
      <c r="CR29" s="4">
        <v>30652.81</v>
      </c>
      <c r="CS29" s="4">
        <v>30652.81</v>
      </c>
      <c r="CT29" s="4">
        <f>IF(OR(MID(TBBP[[#This Row],[Coluna1]],1,1)="1",MID(TBBP[[#This Row],[Coluna1]],1,1)="2"),CS29,SUM(CH29:CS29))</f>
        <v>30652.81</v>
      </c>
      <c r="CU29" s="255">
        <v>30652.81</v>
      </c>
      <c r="CV29" s="255">
        <v>30652.81</v>
      </c>
      <c r="CW29" s="255">
        <v>30652.81</v>
      </c>
      <c r="CX29" s="255">
        <v>30652.81</v>
      </c>
      <c r="CY29" s="255">
        <v>30652.81</v>
      </c>
      <c r="CZ29" s="255">
        <v>30652.81</v>
      </c>
      <c r="DA29" s="255">
        <v>30652.81</v>
      </c>
      <c r="DB29" s="255">
        <v>30652.81</v>
      </c>
      <c r="DC29" s="255">
        <v>30652.81</v>
      </c>
      <c r="DD29" s="255">
        <v>30652.81</v>
      </c>
      <c r="DE29" s="255">
        <v>30652.81</v>
      </c>
      <c r="DF29" s="255">
        <v>30652.81</v>
      </c>
      <c r="DG29" s="255">
        <v>30652.81</v>
      </c>
      <c r="DH29" s="255">
        <v>30652.81</v>
      </c>
      <c r="DI29" s="255">
        <v>30652.81</v>
      </c>
      <c r="DJ29" s="255">
        <v>30652.81</v>
      </c>
      <c r="DK29" s="255">
        <v>30652.81</v>
      </c>
      <c r="DL29" s="255">
        <v>30652.81</v>
      </c>
      <c r="DM29" s="255">
        <v>30652.81</v>
      </c>
      <c r="DO29" s="9"/>
      <c r="DP29" s="30" t="str">
        <f>IF(OR(MID(TBBP[[#This Row],[Coluna1]],1,1)="1",MID(TBBP[[#This Row],[Coluna1]],1,1)="2"),"-",SUMIFS(29:29,listaPeriodos,$DR$1,listaPeriodos,$DR$2))</f>
        <v>-</v>
      </c>
      <c r="DR29" s="30">
        <f t="shared" si="11"/>
        <v>0</v>
      </c>
      <c r="DS29" s="30"/>
      <c r="DT29" s="30"/>
      <c r="DU29"/>
    </row>
    <row r="30" spans="1:125" x14ac:dyDescent="0.3">
      <c r="A30" s="7" t="s">
        <v>45</v>
      </c>
      <c r="B30" t="s">
        <v>16</v>
      </c>
      <c r="C30" s="4">
        <v>0</v>
      </c>
      <c r="D30" s="4">
        <v>0</v>
      </c>
      <c r="E30" s="4">
        <v>0</v>
      </c>
      <c r="F30" s="4">
        <v>264.27999999999997</v>
      </c>
      <c r="G30" s="4">
        <v>762.86</v>
      </c>
      <c r="H30" s="4">
        <v>2035.36</v>
      </c>
      <c r="I30" s="4">
        <v>1001.87</v>
      </c>
      <c r="J30" s="4">
        <v>5504.37</v>
      </c>
      <c r="K30" s="4">
        <v>4484.59</v>
      </c>
      <c r="L30" s="4">
        <v>6833.09</v>
      </c>
      <c r="M30" s="4">
        <v>1655.69</v>
      </c>
      <c r="N30" s="4">
        <v>1039.5899999999999</v>
      </c>
      <c r="O30" s="4">
        <v>1829.39</v>
      </c>
      <c r="P30" s="4">
        <v>6095.59</v>
      </c>
      <c r="Q30" s="4">
        <v>5583.52</v>
      </c>
      <c r="R30" s="4">
        <v>2067.42</v>
      </c>
      <c r="S30" s="4">
        <v>3704.44</v>
      </c>
      <c r="T30" s="4">
        <f>IF(OR(MID(TBBP[[#This Row],[Coluna1]],1,1)="1",MID(TBBP[[#This Row],[Coluna1]],1,1)="2"),TBBP[[#This Row],[Coluna19]],SUM(H30:S30))</f>
        <v>3704.44</v>
      </c>
      <c r="U30" s="4">
        <v>5704.24</v>
      </c>
      <c r="V30" s="4">
        <v>4581.95</v>
      </c>
      <c r="W30" s="4">
        <v>5159.95</v>
      </c>
      <c r="X30" s="4">
        <v>3743.85</v>
      </c>
      <c r="Y30" s="4">
        <v>3133.65</v>
      </c>
      <c r="Z30" s="4">
        <v>4093.95</v>
      </c>
      <c r="AA30" s="4">
        <v>1454.25</v>
      </c>
      <c r="AB30" s="4">
        <v>6326.35</v>
      </c>
      <c r="AC30" s="4">
        <v>8710.25</v>
      </c>
      <c r="AD30" s="4">
        <v>10066.39</v>
      </c>
      <c r="AE30" s="4">
        <v>2546.84</v>
      </c>
      <c r="AF30" s="4">
        <v>4162.41</v>
      </c>
      <c r="AG30" s="4">
        <f>IF(OR(MID(TBBP[[#This Row],[Coluna1]],1,1)="1",MID(TBBP[[#This Row],[Coluna1]],1,1)="2"),TBBP[[#This Row],[Coluna32]],SUM(U30:AF30))</f>
        <v>4162.41</v>
      </c>
      <c r="AH30" s="4">
        <v>8668.65</v>
      </c>
      <c r="AI30" s="4">
        <v>4085.48</v>
      </c>
      <c r="AJ30" s="4">
        <v>12840.14</v>
      </c>
      <c r="AK30" s="4">
        <v>2501.87</v>
      </c>
      <c r="AL30" s="4">
        <v>3703.47</v>
      </c>
      <c r="AM30" s="4">
        <v>2093.27</v>
      </c>
      <c r="AN30" s="4">
        <v>5677.17</v>
      </c>
      <c r="AO30" s="4">
        <v>5728.47</v>
      </c>
      <c r="AP30" s="4">
        <v>6588.77</v>
      </c>
      <c r="AQ30" s="4">
        <v>3449.07</v>
      </c>
      <c r="AR30" s="4">
        <v>6597.57</v>
      </c>
      <c r="AS30" s="4">
        <v>7546.07</v>
      </c>
      <c r="AT30" s="4">
        <f>IF(OR(MID(TBBP[[#This Row],[Coluna1]],1,1)="1",MID(TBBP[[#This Row],[Coluna1]],1,1)="2"),TBBP[[#This Row],[Coluna45]],SUM(AH30:AS30))</f>
        <v>7546.07</v>
      </c>
      <c r="AU30" s="4">
        <v>3569.68</v>
      </c>
      <c r="AV30" s="4">
        <v>5542.34</v>
      </c>
      <c r="AW30" s="4">
        <v>5014.4399999999996</v>
      </c>
      <c r="AX30" s="4">
        <v>7508.84</v>
      </c>
      <c r="AY30" s="4">
        <v>8512.39</v>
      </c>
      <c r="AZ30" s="4">
        <v>4849.45</v>
      </c>
      <c r="BA30" s="4">
        <v>9452.17</v>
      </c>
      <c r="BB30" s="4">
        <v>6981.49</v>
      </c>
      <c r="BC30" s="4">
        <v>8554.14</v>
      </c>
      <c r="BD30" s="4">
        <v>4291.1400000000003</v>
      </c>
      <c r="BE30" s="4">
        <v>8675.68</v>
      </c>
      <c r="BF30" s="4">
        <v>10710.34</v>
      </c>
      <c r="BG30" s="4">
        <f>IF(OR(MID(TBBP[[#This Row],[Coluna1]],1,1)="1",MID(TBBP[[#This Row],[Coluna1]],1,1)="2"),TBBP[[#This Row],[Coluna58]],SUM(AU30:BF30))</f>
        <v>10710.34</v>
      </c>
      <c r="BH30" s="4">
        <v>2608.64</v>
      </c>
      <c r="BI30" s="4">
        <v>5298.51</v>
      </c>
      <c r="BJ30" s="4">
        <v>9526.7800000000007</v>
      </c>
      <c r="BK30" s="4">
        <v>11098.71</v>
      </c>
      <c r="BL30" s="4">
        <v>3264.91</v>
      </c>
      <c r="BM30" s="4">
        <v>13272.86</v>
      </c>
      <c r="BN30" s="4">
        <v>12771.16</v>
      </c>
      <c r="BO30" s="4">
        <v>15046.28</v>
      </c>
      <c r="BP30" s="4">
        <v>7966.33</v>
      </c>
      <c r="BQ30" s="4">
        <v>11072.66</v>
      </c>
      <c r="BR30" s="4">
        <v>7613.75</v>
      </c>
      <c r="BS30" s="4">
        <v>240.35</v>
      </c>
      <c r="BT30" s="4">
        <f>IF(OR(MID(TBBP[[#This Row],[Coluna1]],1,1)="1",MID(TBBP[[#This Row],[Coluna1]],1,1)="2"),TBBP[[#This Row],[Coluna127]],SUM(BH30:BS30))</f>
        <v>240.35</v>
      </c>
      <c r="BU30" s="4">
        <v>17459.650000000001</v>
      </c>
      <c r="BV30" s="4">
        <v>17694.46</v>
      </c>
      <c r="BW30" s="4">
        <v>17621.75</v>
      </c>
      <c r="BX30" s="4">
        <v>20772.849999999999</v>
      </c>
      <c r="BY30" s="4">
        <v>12031.07</v>
      </c>
      <c r="BZ30" s="4">
        <v>12065.29</v>
      </c>
      <c r="CA30" s="4">
        <v>11744.73</v>
      </c>
      <c r="CB30" s="4">
        <v>23822.73</v>
      </c>
      <c r="CC30" s="4">
        <v>19534.939999999999</v>
      </c>
      <c r="CD30" s="4">
        <v>24437.439999999999</v>
      </c>
      <c r="CE30" s="4">
        <v>14541.68</v>
      </c>
      <c r="CF30" s="4">
        <v>6756.28</v>
      </c>
      <c r="CG30" s="4">
        <f>IF(OR(MID(TBBP[[#This Row],[Coluna1]],1,1)="1",MID(TBBP[[#This Row],[Coluna1]],1,1)="2"),CF30,SUM(BU30:CF30))</f>
        <v>6756.28</v>
      </c>
      <c r="CH30" s="4">
        <v>12016.58</v>
      </c>
      <c r="CI30" s="4">
        <v>17645.439999999999</v>
      </c>
      <c r="CJ30" s="4">
        <v>13820.53</v>
      </c>
      <c r="CK30" s="4">
        <v>14001.13</v>
      </c>
      <c r="CL30" s="4">
        <v>8567.14</v>
      </c>
      <c r="CM30" s="4">
        <v>18944.95</v>
      </c>
      <c r="CN30" s="4">
        <v>12846.49</v>
      </c>
      <c r="CO30" s="4">
        <v>19149.27</v>
      </c>
      <c r="CP30" s="4">
        <v>17641.830000000002</v>
      </c>
      <c r="CQ30" s="4">
        <v>28859.85</v>
      </c>
      <c r="CR30" s="4">
        <v>0</v>
      </c>
      <c r="CS30" s="4">
        <v>0</v>
      </c>
      <c r="CT30" s="4">
        <f>IF(OR(MID(TBBP[[#This Row],[Coluna1]],1,1)="1",MID(TBBP[[#This Row],[Coluna1]],1,1)="2"),CS30,SUM(CH30:CS30))</f>
        <v>0</v>
      </c>
      <c r="CU30" s="255">
        <v>0</v>
      </c>
      <c r="CV30" s="255">
        <v>0</v>
      </c>
      <c r="CW30" s="255">
        <v>0</v>
      </c>
      <c r="CX30" s="255">
        <v>0</v>
      </c>
      <c r="CY30" s="255">
        <v>0</v>
      </c>
      <c r="CZ30" s="255">
        <v>0</v>
      </c>
      <c r="DA30" s="255">
        <v>0</v>
      </c>
      <c r="DB30" s="255">
        <v>0</v>
      </c>
      <c r="DC30" s="255">
        <v>0</v>
      </c>
      <c r="DD30" s="255">
        <v>0</v>
      </c>
      <c r="DE30" s="255">
        <v>0</v>
      </c>
      <c r="DF30" s="255">
        <v>0</v>
      </c>
      <c r="DG30" s="255">
        <v>0</v>
      </c>
      <c r="DH30" s="255">
        <v>0</v>
      </c>
      <c r="DI30" s="255">
        <v>0</v>
      </c>
      <c r="DJ30" s="255">
        <v>0</v>
      </c>
      <c r="DK30" s="255">
        <v>0</v>
      </c>
      <c r="DL30" s="255">
        <v>0</v>
      </c>
      <c r="DM30" s="255">
        <v>0</v>
      </c>
      <c r="DO30" s="9"/>
      <c r="DP30" s="30" t="str">
        <f>IF(OR(MID(TBBP[[#This Row],[Coluna1]],1,1)="1",MID(TBBP[[#This Row],[Coluna1]],1,1)="2"),"-",SUMIFS(30:30,listaPeriodos,$DR$1,listaPeriodos,$DR$2))</f>
        <v>-</v>
      </c>
      <c r="DR30" s="30">
        <f t="shared" si="11"/>
        <v>0</v>
      </c>
      <c r="DS30" s="30"/>
      <c r="DT30" s="30"/>
      <c r="DU30"/>
    </row>
    <row r="31" spans="1:125" x14ac:dyDescent="0.3">
      <c r="A31" s="7" t="s">
        <v>765</v>
      </c>
      <c r="B31" t="s">
        <v>766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86">
        <f>SUM(TBBP[[#This Row],[Coluna8]:[Coluna19]])</f>
        <v>0</v>
      </c>
      <c r="U31" s="4"/>
      <c r="V31" s="4"/>
      <c r="W31" s="4"/>
      <c r="X31" s="4"/>
      <c r="Y31" s="4"/>
      <c r="Z31" s="4"/>
      <c r="AA31" s="4"/>
      <c r="AB31" s="4"/>
      <c r="AC31" s="4"/>
      <c r="AD31" s="4"/>
      <c r="AE31" s="4">
        <v>0</v>
      </c>
      <c r="AF31" s="4"/>
      <c r="AG31" s="4">
        <f>IF(OR(MID(TBBP[[#This Row],[Coluna1]],1,1)="1",MID(TBBP[[#This Row],[Coluna1]],1,1)="2"),TBBP[[#This Row],[Coluna19]],SUM(U31:AF31))</f>
        <v>0</v>
      </c>
      <c r="AH31" s="4"/>
      <c r="AI31" s="4"/>
      <c r="AJ31" s="4"/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17000</v>
      </c>
      <c r="BG31" s="4">
        <f>IF(OR(MID(TBBP[[#This Row],[Coluna1]],1,1)="1",MID(TBBP[[#This Row],[Coluna1]],1,1)="2"),TBBP[[#This Row],[Coluna58]],SUM(AU31:BF31))</f>
        <v>17000</v>
      </c>
      <c r="BH31" s="4">
        <v>17000</v>
      </c>
      <c r="BI31" s="4">
        <v>17000</v>
      </c>
      <c r="BJ31" s="4">
        <v>17000</v>
      </c>
      <c r="BK31" s="4">
        <v>17000</v>
      </c>
      <c r="BL31" s="4">
        <v>17000</v>
      </c>
      <c r="BM31" s="4">
        <v>17000</v>
      </c>
      <c r="BN31" s="4">
        <v>17000</v>
      </c>
      <c r="BO31" s="4">
        <v>17000</v>
      </c>
      <c r="BP31" s="4">
        <v>17000</v>
      </c>
      <c r="BQ31" s="4">
        <v>17000</v>
      </c>
      <c r="BR31" s="4">
        <v>17000</v>
      </c>
      <c r="BS31" s="4">
        <v>17000</v>
      </c>
      <c r="BT31" s="4">
        <f>IF(OR(MID(TBBP[[#This Row],[Coluna1]],1,1)="1",MID(TBBP[[#This Row],[Coluna1]],1,1)="2"),TBBP[[#This Row],[Coluna127]],SUM(BH31:BS31))</f>
        <v>17000</v>
      </c>
      <c r="BU31" s="4">
        <v>17000</v>
      </c>
      <c r="BV31" s="4">
        <v>17000</v>
      </c>
      <c r="BW31" s="4">
        <v>17000</v>
      </c>
      <c r="BX31" s="4">
        <v>17000</v>
      </c>
      <c r="BY31" s="4">
        <v>17000</v>
      </c>
      <c r="BZ31" s="4">
        <v>17000</v>
      </c>
      <c r="CA31" s="4">
        <v>17000</v>
      </c>
      <c r="CB31" s="4">
        <v>17000</v>
      </c>
      <c r="CC31" s="4">
        <v>17000</v>
      </c>
      <c r="CD31" s="4">
        <v>17000</v>
      </c>
      <c r="CE31" s="4">
        <v>17000</v>
      </c>
      <c r="CF31" s="4">
        <v>17000</v>
      </c>
      <c r="CG31" s="4">
        <f>IF(OR(MID(TBBP[[#This Row],[Coluna1]],1,1)="1",MID(TBBP[[#This Row],[Coluna1]],1,1)="2"),CF31,SUM(BU31:CF31))</f>
        <v>17000</v>
      </c>
      <c r="CH31" s="4">
        <v>17000</v>
      </c>
      <c r="CI31" s="4">
        <v>17000</v>
      </c>
      <c r="CJ31" s="4">
        <v>17000</v>
      </c>
      <c r="CK31" s="4">
        <v>17000</v>
      </c>
      <c r="CL31" s="4">
        <v>17000</v>
      </c>
      <c r="CM31" s="4">
        <v>17000</v>
      </c>
      <c r="CN31" s="4">
        <v>17000</v>
      </c>
      <c r="CO31" s="4">
        <v>17000</v>
      </c>
      <c r="CP31" s="4">
        <v>2125.6799999999998</v>
      </c>
      <c r="CQ31" s="4">
        <v>2125.6799999999998</v>
      </c>
      <c r="CR31" s="4">
        <v>2125.6799999999998</v>
      </c>
      <c r="CS31" s="4">
        <v>2125.6799999999998</v>
      </c>
      <c r="CT31" s="4">
        <f>IF(OR(MID(TBBP[[#This Row],[Coluna1]],1,1)="1",MID(TBBP[[#This Row],[Coluna1]],1,1)="2"),CS31,SUM(CH31:CS31))</f>
        <v>2125.6799999999998</v>
      </c>
      <c r="CU31" s="255">
        <v>2125.6799999999998</v>
      </c>
      <c r="CV31" s="255">
        <v>2125.6799999999998</v>
      </c>
      <c r="CW31" s="255">
        <v>2125.6799999999998</v>
      </c>
      <c r="CX31" s="255">
        <v>2125.6799999999998</v>
      </c>
      <c r="CY31" s="255">
        <v>2125.6799999999998</v>
      </c>
      <c r="CZ31" s="255">
        <v>2125.6799999999998</v>
      </c>
      <c r="DA31" s="255">
        <v>2125.6799999999998</v>
      </c>
      <c r="DB31" s="255">
        <v>2125.6799999999998</v>
      </c>
      <c r="DC31" s="255">
        <v>2125.6799999999998</v>
      </c>
      <c r="DD31" s="255">
        <v>2125.6799999999998</v>
      </c>
      <c r="DE31" s="255">
        <v>2125.6799999999998</v>
      </c>
      <c r="DF31" s="255">
        <v>2125.6799999999998</v>
      </c>
      <c r="DG31" s="255">
        <v>2125.6799999999998</v>
      </c>
      <c r="DH31" s="255">
        <v>2125.6799999999998</v>
      </c>
      <c r="DI31" s="255">
        <v>2125.6799999999998</v>
      </c>
      <c r="DJ31" s="255">
        <v>2125.6799999999998</v>
      </c>
      <c r="DK31" s="255">
        <v>2125.6799999999998</v>
      </c>
      <c r="DL31" s="255">
        <v>2125.6799999999998</v>
      </c>
      <c r="DM31" s="255">
        <v>2125.6799999999998</v>
      </c>
      <c r="DO31" s="9"/>
      <c r="DP31" s="30" t="str">
        <f>IF(OR(MID(TBBP[[#This Row],[Coluna1]],1,1)="1",MID(TBBP[[#This Row],[Coluna1]],1,1)="2"),"-",SUMIFS(31:31,listaPeriodos,$DR$1,listaPeriodos,$DR$2))</f>
        <v>-</v>
      </c>
      <c r="DR31" s="30">
        <f t="shared" si="11"/>
        <v>0</v>
      </c>
      <c r="DS31" s="30"/>
      <c r="DT31" s="30"/>
      <c r="DU31"/>
    </row>
    <row r="32" spans="1:125" x14ac:dyDescent="0.3">
      <c r="A32" s="7" t="s">
        <v>1041</v>
      </c>
      <c r="B32" t="s">
        <v>162</v>
      </c>
      <c r="C32" s="4">
        <v>0</v>
      </c>
      <c r="D32" s="4">
        <v>0</v>
      </c>
      <c r="E32" s="4">
        <v>0</v>
      </c>
      <c r="F32" s="4">
        <v>0</v>
      </c>
      <c r="G32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/>
      <c r="P32" s="4"/>
      <c r="Q32" s="4"/>
      <c r="R32" s="4"/>
      <c r="S32" s="4"/>
      <c r="T32" s="4">
        <f>IF(OR(MID(TBBP[[#This Row],[Coluna1]],1,1)="1",MID(TBBP[[#This Row],[Coluna1]],1,1)="2"),TBBP[[#This Row],[Coluna19]],SUM(H32:S32))</f>
        <v>0</v>
      </c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>
        <f>IF(OR(MID(TBBP[[#This Row],[Coluna1]],1,1)="1",MID(TBBP[[#This Row],[Coluna1]],1,1)="2"),TBBP[[#This Row],[Coluna32]],SUM(U32:AF32))</f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f>IF(OR(MID(TBBP[[#This Row],[Coluna1]],1,1)="1",MID(TBBP[[#This Row],[Coluna1]],1,1)="2"),TBBP[[#This Row],[Coluna45]],SUM(AH32:AS32))</f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f>IF(OR(MID(TBBP[[#This Row],[Coluna1]],1,1)="1",MID(TBBP[[#This Row],[Coluna1]],1,1)="2"),TBBP[[#This Row],[Coluna58]],SUM(AU32:BF32))</f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f>IF(OR(MID(TBBP[[#This Row],[Coluna1]],1,1)="1",MID(TBBP[[#This Row],[Coluna1]],1,1)="2"),TBBP[[#This Row],[Coluna127]],SUM(BH32:BS32))</f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f>IF(OR(MID(TBBP[[#This Row],[Coluna1]],1,1)="1",MID(TBBP[[#This Row],[Coluna1]],1,1)="2"),CF32,SUM(BU32:CF32))</f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f>IF(OR(MID(TBBP[[#This Row],[Coluna1]],1,1)="1",MID(TBBP[[#This Row],[Coluna1]],1,1)="2"),CS32,SUM(CH32:CS32))</f>
        <v>0</v>
      </c>
      <c r="CU32" s="255">
        <v>0</v>
      </c>
      <c r="CV32" s="255">
        <v>0</v>
      </c>
      <c r="CW32" s="255">
        <v>0</v>
      </c>
      <c r="CX32" s="255">
        <v>0</v>
      </c>
      <c r="CY32" s="255">
        <v>0</v>
      </c>
      <c r="CZ32" s="255">
        <v>0</v>
      </c>
      <c r="DA32" s="255">
        <v>0</v>
      </c>
      <c r="DB32" s="255">
        <v>0</v>
      </c>
      <c r="DC32" s="255">
        <v>0</v>
      </c>
      <c r="DD32" s="255">
        <v>0</v>
      </c>
      <c r="DE32" s="255">
        <v>1756</v>
      </c>
      <c r="DF32" s="255">
        <v>1756</v>
      </c>
      <c r="DG32" s="255">
        <v>1756</v>
      </c>
      <c r="DH32" s="255">
        <v>3566.93</v>
      </c>
      <c r="DI32" s="255">
        <v>3566.93</v>
      </c>
      <c r="DJ32" s="255">
        <v>16699.46</v>
      </c>
      <c r="DK32" s="255">
        <v>11880.18</v>
      </c>
      <c r="DL32" s="255">
        <v>11880.18</v>
      </c>
      <c r="DM32" s="255">
        <v>11880.18</v>
      </c>
      <c r="DO32" s="9"/>
      <c r="DP32" s="30" t="str">
        <f>IF(OR(MID(TBBP[[#This Row],[Coluna1]],1,1)="1",MID(TBBP[[#This Row],[Coluna1]],1,1)="2"),"-",SUMIFS(32:32,listaPeriodos,$DR$1,listaPeriodos,$DR$2))</f>
        <v>-</v>
      </c>
      <c r="DR32" s="30">
        <f t="shared" si="11"/>
        <v>0</v>
      </c>
      <c r="DS32" s="30"/>
      <c r="DT32" s="30"/>
      <c r="DU32"/>
    </row>
    <row r="33" spans="1:125" x14ac:dyDescent="0.3">
      <c r="A33" s="7" t="s">
        <v>46</v>
      </c>
      <c r="B33" t="s">
        <v>12</v>
      </c>
      <c r="C33" s="8">
        <v>0</v>
      </c>
      <c r="D33" s="8">
        <v>9809.74</v>
      </c>
      <c r="E33" s="8">
        <v>7183.3899999999994</v>
      </c>
      <c r="F33" s="8">
        <v>7501.09</v>
      </c>
      <c r="G33" s="8">
        <v>837.18</v>
      </c>
      <c r="H33" s="4">
        <v>12638.57</v>
      </c>
      <c r="I33" s="4">
        <v>12978.14</v>
      </c>
      <c r="J33" s="4">
        <v>11940.14</v>
      </c>
      <c r="K33" s="4">
        <v>10902.14</v>
      </c>
      <c r="L33" s="4">
        <v>9864.14</v>
      </c>
      <c r="M33" s="4">
        <v>8826.14</v>
      </c>
      <c r="N33" s="4">
        <v>6444.14</v>
      </c>
      <c r="O33" s="4">
        <v>5406.14</v>
      </c>
      <c r="P33" s="4">
        <v>4427.8999999999996</v>
      </c>
      <c r="Q33" s="4">
        <v>3489.56</v>
      </c>
      <c r="R33" s="4">
        <v>2551.2199999999998</v>
      </c>
      <c r="S33" s="4">
        <v>1612.88</v>
      </c>
      <c r="T33" s="4">
        <f>IF(OR(MID(TBBP[[#This Row],[Coluna1]],1,1)="1",MID(TBBP[[#This Row],[Coluna1]],1,1)="2"),TBBP[[#This Row],[Coluna19]],SUM(H33:S33))</f>
        <v>1612.88</v>
      </c>
      <c r="U33" s="4">
        <v>18340.169999999998</v>
      </c>
      <c r="V33" s="4">
        <v>16727.29</v>
      </c>
      <c r="W33" s="4">
        <v>15114.41</v>
      </c>
      <c r="X33" s="4">
        <v>13501.53</v>
      </c>
      <c r="Y33" s="4">
        <v>11888.65</v>
      </c>
      <c r="Z33" s="4">
        <v>10275.77</v>
      </c>
      <c r="AA33" s="4">
        <v>8662.89</v>
      </c>
      <c r="AB33" s="4">
        <v>7050.01</v>
      </c>
      <c r="AC33" s="4">
        <v>5437.13</v>
      </c>
      <c r="AD33" s="4">
        <v>3824.25</v>
      </c>
      <c r="AE33" s="4">
        <v>2211.37</v>
      </c>
      <c r="AF33" s="4">
        <v>598.49</v>
      </c>
      <c r="AG33" s="4">
        <f>IF(OR(MID(TBBP[[#This Row],[Coluna1]],1,1)="1",MID(TBBP[[#This Row],[Coluna1]],1,1)="2"),TBBP[[#This Row],[Coluna32]],SUM(U33:AF33))</f>
        <v>598.49</v>
      </c>
      <c r="AH33" s="4">
        <v>21834.74</v>
      </c>
      <c r="AI33" s="4">
        <v>19904.189999999999</v>
      </c>
      <c r="AJ33" s="4">
        <v>17973.64</v>
      </c>
      <c r="AK33" s="4">
        <v>16043.09</v>
      </c>
      <c r="AL33" s="4">
        <v>14112.54</v>
      </c>
      <c r="AM33" s="4">
        <v>12181.99</v>
      </c>
      <c r="AN33" s="4">
        <v>10251.44</v>
      </c>
      <c r="AO33" s="4">
        <v>8320.89</v>
      </c>
      <c r="AP33" s="4">
        <v>6390.34</v>
      </c>
      <c r="AQ33" s="4">
        <v>4459.79</v>
      </c>
      <c r="AR33" s="4">
        <v>2529.2399999999998</v>
      </c>
      <c r="AS33" s="4">
        <v>0</v>
      </c>
      <c r="AT33" s="4">
        <f>IF(OR(MID(TBBP[[#This Row],[Coluna1]],1,1)="1",MID(TBBP[[#This Row],[Coluna1]],1,1)="2"),TBBP[[#This Row],[Coluna45]],SUM(AH33:AS33))</f>
        <v>0</v>
      </c>
      <c r="AU33" s="4">
        <v>23078.36</v>
      </c>
      <c r="AV33" s="4">
        <v>23279.67</v>
      </c>
      <c r="AW33" s="4">
        <v>21181.64</v>
      </c>
      <c r="AX33" s="4">
        <v>19083.61</v>
      </c>
      <c r="AY33" s="4">
        <v>16985.580000000002</v>
      </c>
      <c r="AZ33" s="4">
        <v>14887.55</v>
      </c>
      <c r="BA33" s="4">
        <v>12789.52</v>
      </c>
      <c r="BB33" s="4">
        <v>10691.49</v>
      </c>
      <c r="BC33" s="4">
        <v>8593.4599999999991</v>
      </c>
      <c r="BD33" s="4">
        <v>6495.43</v>
      </c>
      <c r="BE33" s="4">
        <v>56204.15</v>
      </c>
      <c r="BF33" s="4">
        <v>53956.56</v>
      </c>
      <c r="BG33" s="4">
        <f>IF(OR(MID(TBBP[[#This Row],[Coluna1]],1,1)="1",MID(TBBP[[#This Row],[Coluna1]],1,1)="2"),TBBP[[#This Row],[Coluna58]],SUM(AU33:BF33))</f>
        <v>53956.56</v>
      </c>
      <c r="BH33" s="4">
        <v>71752.45</v>
      </c>
      <c r="BI33" s="4">
        <v>71045.48</v>
      </c>
      <c r="BJ33" s="4">
        <v>68833.710000000006</v>
      </c>
      <c r="BK33" s="4">
        <v>70858.91</v>
      </c>
      <c r="BL33" s="4">
        <v>68473.3</v>
      </c>
      <c r="BM33" s="4">
        <v>64897.04</v>
      </c>
      <c r="BN33" s="4">
        <v>220525.08</v>
      </c>
      <c r="BO33" s="4">
        <v>217235.82</v>
      </c>
      <c r="BP33" s="4">
        <v>213648.47</v>
      </c>
      <c r="BQ33" s="4">
        <v>201087.71</v>
      </c>
      <c r="BR33" s="4">
        <v>297719.7</v>
      </c>
      <c r="BS33" s="4">
        <v>294614.13</v>
      </c>
      <c r="BT33" s="4">
        <f>IF(OR(MID(TBBP[[#This Row],[Coluna1]],1,1)="1",MID(TBBP[[#This Row],[Coluna1]],1,1)="2"),TBBP[[#This Row],[Coluna127]],SUM(BH33:BS33))</f>
        <v>294614.13</v>
      </c>
      <c r="BU33" s="4">
        <v>279155.76</v>
      </c>
      <c r="BV33" s="4">
        <v>257239.15</v>
      </c>
      <c r="BW33" s="4">
        <v>333201.26</v>
      </c>
      <c r="BX33" s="4">
        <v>322911.03000000003</v>
      </c>
      <c r="BY33" s="4">
        <v>303313.65000000002</v>
      </c>
      <c r="BZ33" s="4">
        <v>272340.28000000003</v>
      </c>
      <c r="CA33" s="4">
        <v>351045.41</v>
      </c>
      <c r="CB33" s="4">
        <v>341863.57</v>
      </c>
      <c r="CC33" s="4">
        <v>415665.79</v>
      </c>
      <c r="CD33" s="4">
        <v>414017.86</v>
      </c>
      <c r="CE33" s="4">
        <v>476986.54</v>
      </c>
      <c r="CF33" s="4">
        <v>450134.32</v>
      </c>
      <c r="CG33" s="4">
        <f>IF(OR(MID(TBBP[[#This Row],[Coluna1]],1,1)="1",MID(TBBP[[#This Row],[Coluna1]],1,1)="2"),CF33,SUM(BU33:CF33))</f>
        <v>450134.32</v>
      </c>
      <c r="CH33" s="4">
        <v>449428.39</v>
      </c>
      <c r="CI33" s="4">
        <v>492601.61</v>
      </c>
      <c r="CJ33" s="4">
        <v>697276.07</v>
      </c>
      <c r="CK33" s="4">
        <v>703202.86</v>
      </c>
      <c r="CL33" s="4">
        <v>630378.78</v>
      </c>
      <c r="CM33" s="4">
        <v>1200028.1100000001</v>
      </c>
      <c r="CN33" s="4">
        <v>3507319.93</v>
      </c>
      <c r="CO33" s="4">
        <v>3593505.37</v>
      </c>
      <c r="CP33" s="4">
        <v>3448788.69</v>
      </c>
      <c r="CQ33" s="4">
        <v>3443378.18</v>
      </c>
      <c r="CR33" s="4">
        <v>3443529.7</v>
      </c>
      <c r="CS33" s="4">
        <v>3366755.65</v>
      </c>
      <c r="CT33" s="4">
        <f>IF(OR(MID(TBBP[[#This Row],[Coluna1]],1,1)="1",MID(TBBP[[#This Row],[Coluna1]],1,1)="2"),CS33,SUM(CH33:CS33))</f>
        <v>3366755.65</v>
      </c>
      <c r="CU33" s="255">
        <v>3250711.52</v>
      </c>
      <c r="CV33" s="255">
        <v>3190930.75</v>
      </c>
      <c r="CW33" s="255">
        <v>3121081.78</v>
      </c>
      <c r="CX33" s="255">
        <v>2830633.67</v>
      </c>
      <c r="CY33" s="255">
        <v>2737903.04</v>
      </c>
      <c r="CZ33" s="255">
        <v>2731493.44</v>
      </c>
      <c r="DA33" s="255">
        <v>3166984.32</v>
      </c>
      <c r="DB33" s="255">
        <v>2992763.98</v>
      </c>
      <c r="DC33" s="255">
        <v>2853265.39</v>
      </c>
      <c r="DD33" s="255">
        <v>2752873.2</v>
      </c>
      <c r="DE33" s="255">
        <v>2745320.24</v>
      </c>
      <c r="DF33" s="255">
        <v>2716945.99</v>
      </c>
      <c r="DG33" s="255">
        <v>2716945.99</v>
      </c>
      <c r="DH33" s="255">
        <v>2513830.9500000002</v>
      </c>
      <c r="DI33" s="255">
        <v>2369693.86</v>
      </c>
      <c r="DJ33" s="255">
        <v>2301707.42</v>
      </c>
      <c r="DK33" s="255">
        <v>2109559.48</v>
      </c>
      <c r="DL33" s="255">
        <v>2090934.64</v>
      </c>
      <c r="DM33" s="255">
        <v>1998642.5</v>
      </c>
      <c r="DO33" s="9"/>
      <c r="DP33" s="30" t="str">
        <f>IF(OR(MID(TBBP[[#This Row],[Coluna1]],1,1)="1",MID(TBBP[[#This Row],[Coluna1]],1,1)="2"),"-",SUMIFS(33:33,listaPeriodos,$DR$1,listaPeriodos,$DR$2))</f>
        <v>-</v>
      </c>
      <c r="DR33" s="30">
        <f t="shared" si="11"/>
        <v>0</v>
      </c>
      <c r="DS33" s="30"/>
      <c r="DT33" s="30"/>
      <c r="DU33"/>
    </row>
    <row r="34" spans="1:125" x14ac:dyDescent="0.3">
      <c r="A34" s="72" t="s">
        <v>47</v>
      </c>
      <c r="B34" s="64" t="s">
        <v>624</v>
      </c>
      <c r="C34" s="65">
        <f t="shared" ref="C34:S34" si="23">C35+C39+C42+C58</f>
        <v>1227516.2300000002</v>
      </c>
      <c r="D34" s="65">
        <f t="shared" si="23"/>
        <v>3008235.38</v>
      </c>
      <c r="E34" s="65">
        <f t="shared" si="23"/>
        <v>3090744.0300000003</v>
      </c>
      <c r="F34" s="65">
        <f t="shared" si="23"/>
        <v>3032627.05</v>
      </c>
      <c r="G34" s="65">
        <f t="shared" si="23"/>
        <v>3885997.0299999989</v>
      </c>
      <c r="H34" s="65">
        <f t="shared" si="23"/>
        <v>3817073.1399999997</v>
      </c>
      <c r="I34" s="65">
        <f t="shared" si="23"/>
        <v>3761399.5199999991</v>
      </c>
      <c r="J34" s="65">
        <f t="shared" si="23"/>
        <v>3526075.9</v>
      </c>
      <c r="K34" s="65">
        <f t="shared" si="23"/>
        <v>3492989.7600000002</v>
      </c>
      <c r="L34" s="65">
        <f t="shared" si="23"/>
        <v>3458723.37</v>
      </c>
      <c r="M34" s="65">
        <f t="shared" si="23"/>
        <v>3445990.67</v>
      </c>
      <c r="N34" s="65">
        <f t="shared" si="23"/>
        <v>3289895.33</v>
      </c>
      <c r="O34" s="65">
        <f t="shared" si="23"/>
        <v>3411258.6399999992</v>
      </c>
      <c r="P34" s="65">
        <f t="shared" si="23"/>
        <v>3297147.3999999994</v>
      </c>
      <c r="Q34" s="65">
        <f t="shared" si="23"/>
        <v>3809858.5700000003</v>
      </c>
      <c r="R34" s="65">
        <f t="shared" si="23"/>
        <v>3802368.2200000007</v>
      </c>
      <c r="S34" s="65">
        <f t="shared" si="23"/>
        <v>3730657.9899999998</v>
      </c>
      <c r="T34" s="65">
        <f>IF(OR(MID(TBBP[[#This Row],[Coluna1]],1,1)="1",MID(TBBP[[#This Row],[Coluna1]],1,1)="2"),TBBP[[#This Row],[Coluna19]],SUM(H34:S34))</f>
        <v>3730657.9899999998</v>
      </c>
      <c r="U34" s="65">
        <f t="shared" ref="U34:AF34" si="24">U35+U39+U42+U58</f>
        <v>3699658.7899999996</v>
      </c>
      <c r="V34" s="65">
        <f t="shared" si="24"/>
        <v>3721167.1700000009</v>
      </c>
      <c r="W34" s="65">
        <f t="shared" si="24"/>
        <v>3745355.4900000007</v>
      </c>
      <c r="X34" s="65">
        <f t="shared" si="24"/>
        <v>3770673.9700000007</v>
      </c>
      <c r="Y34" s="65">
        <f t="shared" si="24"/>
        <v>3783668.1900000004</v>
      </c>
      <c r="Z34" s="65">
        <f t="shared" si="24"/>
        <v>3687083.53</v>
      </c>
      <c r="AA34" s="65">
        <f t="shared" si="24"/>
        <v>3746175.31</v>
      </c>
      <c r="AB34" s="65">
        <f t="shared" si="24"/>
        <v>3718126.6</v>
      </c>
      <c r="AC34" s="65">
        <f t="shared" si="24"/>
        <v>3687048.0899999994</v>
      </c>
      <c r="AD34" s="65">
        <f t="shared" si="24"/>
        <v>4008675.67</v>
      </c>
      <c r="AE34" s="65">
        <f t="shared" si="24"/>
        <v>3986712.3400000008</v>
      </c>
      <c r="AF34" s="65">
        <f t="shared" si="24"/>
        <v>4154555.7700000005</v>
      </c>
      <c r="AG34" s="65">
        <f>IF(OR(MID(TBBP[[#This Row],[Coluna1]],1,1)="1",MID(TBBP[[#This Row],[Coluna1]],1,1)="2"),TBBP[[#This Row],[Coluna32]],SUM(U34:AF34))</f>
        <v>4154555.7700000005</v>
      </c>
      <c r="AH34" s="65">
        <f t="shared" ref="AH34:AS34" si="25">AH35+AH39+AH42+AH58</f>
        <v>4163950.6200000006</v>
      </c>
      <c r="AI34" s="65">
        <f t="shared" si="25"/>
        <v>4140598.6599999992</v>
      </c>
      <c r="AJ34" s="65">
        <f t="shared" si="25"/>
        <v>4182468.34</v>
      </c>
      <c r="AK34" s="65">
        <f t="shared" si="25"/>
        <v>4019180.83</v>
      </c>
      <c r="AL34" s="65">
        <f t="shared" si="25"/>
        <v>4391115.129999999</v>
      </c>
      <c r="AM34" s="65">
        <f t="shared" si="25"/>
        <v>4584563.4699999988</v>
      </c>
      <c r="AN34" s="65">
        <f t="shared" si="25"/>
        <v>4594153.3199999994</v>
      </c>
      <c r="AO34" s="65">
        <f t="shared" si="25"/>
        <v>4699961.95</v>
      </c>
      <c r="AP34" s="65">
        <f t="shared" si="25"/>
        <v>4797411.8599999994</v>
      </c>
      <c r="AQ34" s="65">
        <f t="shared" si="25"/>
        <v>4748890.6099999994</v>
      </c>
      <c r="AR34" s="65">
        <f t="shared" si="25"/>
        <v>4838256.68</v>
      </c>
      <c r="AS34" s="65">
        <f t="shared" si="25"/>
        <v>4809467.1899999995</v>
      </c>
      <c r="AT34" s="65">
        <f>IF(OR(MID(TBBP[[#This Row],[Coluna1]],1,1)="1",MID(TBBP[[#This Row],[Coluna1]],1,1)="2"),TBBP[[#This Row],[Coluna45]],SUM(AH34:AS34))</f>
        <v>4809467.1899999995</v>
      </c>
      <c r="AU34" s="65">
        <f t="shared" ref="AU34:BG34" si="26">AU35+AU39+AU42+AU58</f>
        <v>4938502.93</v>
      </c>
      <c r="AV34" s="65">
        <f t="shared" si="26"/>
        <v>5242511.05</v>
      </c>
      <c r="AW34" s="65">
        <f t="shared" si="26"/>
        <v>5335477.3800000008</v>
      </c>
      <c r="AX34" s="65">
        <f t="shared" si="26"/>
        <v>5331352.6300000008</v>
      </c>
      <c r="AY34" s="65">
        <f t="shared" si="26"/>
        <v>5425978.71</v>
      </c>
      <c r="AZ34" s="65">
        <f t="shared" si="26"/>
        <v>5610418.7700000005</v>
      </c>
      <c r="BA34" s="65">
        <f t="shared" si="26"/>
        <v>5811955.4900000002</v>
      </c>
      <c r="BB34" s="65">
        <f t="shared" si="26"/>
        <v>5702362.6099999994</v>
      </c>
      <c r="BC34" s="65">
        <f t="shared" si="26"/>
        <v>5886260.790000001</v>
      </c>
      <c r="BD34" s="65">
        <f t="shared" si="26"/>
        <v>6131563.8999999994</v>
      </c>
      <c r="BE34" s="65">
        <f t="shared" si="26"/>
        <v>6448841.5200000005</v>
      </c>
      <c r="BF34" s="65">
        <f t="shared" si="26"/>
        <v>6562258.4299999997</v>
      </c>
      <c r="BG34" s="65">
        <f t="shared" si="26"/>
        <v>6562258.4299999997</v>
      </c>
      <c r="BH34" s="65">
        <f>BH35+BH39+BH42+BH58</f>
        <v>6489832.8999999994</v>
      </c>
      <c r="BI34" s="65">
        <f>BI35+BI39+BI42+BI58</f>
        <v>6124472.0099999998</v>
      </c>
      <c r="BJ34" s="65">
        <f>BJ35+BJ39+BJ42+BJ58</f>
        <v>6721138.0799999991</v>
      </c>
      <c r="BK34" s="65">
        <f t="shared" ref="BK34:BQ34" si="27">BK35+BK39+BK42+BK58</f>
        <v>6917939.419999999</v>
      </c>
      <c r="BL34" s="65">
        <f t="shared" si="27"/>
        <v>7392712.9099999983</v>
      </c>
      <c r="BM34" s="65">
        <f t="shared" si="27"/>
        <v>7390886.0499999989</v>
      </c>
      <c r="BN34" s="65">
        <f t="shared" si="27"/>
        <v>7593285.8200000003</v>
      </c>
      <c r="BO34" s="65">
        <f t="shared" si="27"/>
        <v>7659501.4299999997</v>
      </c>
      <c r="BP34" s="65">
        <f t="shared" si="27"/>
        <v>8640478.1800000016</v>
      </c>
      <c r="BQ34" s="65">
        <f t="shared" si="27"/>
        <v>9276929.9100000001</v>
      </c>
      <c r="BR34" s="65">
        <f t="shared" ref="BR34:CE34" si="28">BR35+BR39+BR42+BR58</f>
        <v>9495574.3899999987</v>
      </c>
      <c r="BS34" s="65">
        <f t="shared" si="28"/>
        <v>9477724.5700000003</v>
      </c>
      <c r="BT34" s="65">
        <f t="shared" si="28"/>
        <v>9477724.5700000003</v>
      </c>
      <c r="BU34" s="65">
        <f t="shared" si="28"/>
        <v>9671512.5299999993</v>
      </c>
      <c r="BV34" s="65">
        <f t="shared" si="28"/>
        <v>9773255.089999998</v>
      </c>
      <c r="BW34" s="65">
        <f t="shared" si="28"/>
        <v>9714652.3600000013</v>
      </c>
      <c r="BX34" s="65">
        <f t="shared" si="28"/>
        <v>9870467.8000000007</v>
      </c>
      <c r="BY34" s="65">
        <f t="shared" si="28"/>
        <v>9905715.9100000001</v>
      </c>
      <c r="BZ34" s="65">
        <f t="shared" si="28"/>
        <v>10200851.76</v>
      </c>
      <c r="CA34" s="65">
        <f t="shared" si="28"/>
        <v>10691767.379999999</v>
      </c>
      <c r="CB34" s="65">
        <f t="shared" si="28"/>
        <v>10893204.360000001</v>
      </c>
      <c r="CC34" s="65">
        <f t="shared" si="28"/>
        <v>10971753.58</v>
      </c>
      <c r="CD34" s="65">
        <f t="shared" si="28"/>
        <v>11319029.020000001</v>
      </c>
      <c r="CE34" s="65">
        <f t="shared" si="28"/>
        <v>11620971.630000001</v>
      </c>
      <c r="CF34" s="65">
        <v>11617906.010000002</v>
      </c>
      <c r="CG34" s="65">
        <f>CG35+CG39+CG42+CG58</f>
        <v>11617906.010000002</v>
      </c>
      <c r="CH34" s="65">
        <f t="shared" ref="CH34:CT34" si="29">CH35+CH39+CH42+CH58</f>
        <v>12983900.229999999</v>
      </c>
      <c r="CI34" s="65">
        <f t="shared" si="29"/>
        <v>13123588.290000003</v>
      </c>
      <c r="CJ34" s="65">
        <f t="shared" si="29"/>
        <v>13884428.700000001</v>
      </c>
      <c r="CK34" s="65">
        <f t="shared" si="29"/>
        <v>14176342.75</v>
      </c>
      <c r="CL34" s="65">
        <f t="shared" si="29"/>
        <v>17626337.780000001</v>
      </c>
      <c r="CM34" s="65">
        <f t="shared" si="29"/>
        <v>17872749.950000003</v>
      </c>
      <c r="CN34" s="65">
        <f t="shared" si="29"/>
        <v>18924980.500000004</v>
      </c>
      <c r="CO34" s="65">
        <f t="shared" si="29"/>
        <v>19138835.079999998</v>
      </c>
      <c r="CP34" s="65">
        <f t="shared" si="29"/>
        <v>18969964.16</v>
      </c>
      <c r="CQ34" s="65">
        <f t="shared" si="29"/>
        <v>17421120.91</v>
      </c>
      <c r="CR34" s="65">
        <f t="shared" si="29"/>
        <v>17188948.960000001</v>
      </c>
      <c r="CS34" s="65">
        <f t="shared" si="29"/>
        <v>17119483.640000001</v>
      </c>
      <c r="CT34" s="65">
        <f t="shared" si="29"/>
        <v>17119483.640000001</v>
      </c>
      <c r="CU34" s="65">
        <f t="shared" ref="CU34:DE34" si="30">CU35+CU39+CU42+CU58</f>
        <v>17316520.540000003</v>
      </c>
      <c r="CV34" s="65">
        <f t="shared" si="30"/>
        <v>17233498.470000006</v>
      </c>
      <c r="CW34" s="65">
        <f t="shared" si="30"/>
        <v>16965635.040000007</v>
      </c>
      <c r="CX34" s="65">
        <f t="shared" si="30"/>
        <v>16699956.190000001</v>
      </c>
      <c r="CY34" s="65">
        <f t="shared" si="30"/>
        <v>17123952.080000002</v>
      </c>
      <c r="CZ34" s="65">
        <f t="shared" si="30"/>
        <v>17025778.959999997</v>
      </c>
      <c r="DA34" s="65">
        <f t="shared" si="30"/>
        <v>17007112.260000005</v>
      </c>
      <c r="DB34" s="65">
        <f t="shared" si="30"/>
        <v>16764569.940000001</v>
      </c>
      <c r="DC34" s="65">
        <f t="shared" si="30"/>
        <v>16841151.790000003</v>
      </c>
      <c r="DD34" s="65">
        <f t="shared" si="30"/>
        <v>16491813.270000001</v>
      </c>
      <c r="DE34" s="65">
        <f t="shared" si="30"/>
        <v>16332292.940000003</v>
      </c>
      <c r="DF34" s="65">
        <f t="shared" ref="DF34:DG34" si="31">DF35+DF39+DF42+DF58</f>
        <v>16267459.630000003</v>
      </c>
      <c r="DG34" s="65">
        <f t="shared" si="31"/>
        <v>16267459.630000003</v>
      </c>
      <c r="DH34" s="65">
        <f t="shared" ref="DH34:DI34" si="32">DH35+DH39+DH42+DH58</f>
        <v>16120211.190000001</v>
      </c>
      <c r="DI34" s="65">
        <f t="shared" si="32"/>
        <v>15882230.680000003</v>
      </c>
      <c r="DJ34" s="65">
        <f t="shared" ref="DJ34:DK34" si="33">DJ35+DJ39+DJ42+DJ58</f>
        <v>15662163.77</v>
      </c>
      <c r="DK34" s="65">
        <f t="shared" si="33"/>
        <v>15469876.990000006</v>
      </c>
      <c r="DL34" s="65">
        <f t="shared" ref="DL34:DM34" si="34">DL35+DL39+DL42+DL58</f>
        <v>15288180.740000006</v>
      </c>
      <c r="DM34" s="65">
        <f t="shared" si="34"/>
        <v>15160892.490000004</v>
      </c>
      <c r="DO34" s="9"/>
      <c r="DP34" s="30" t="str">
        <f>IF(OR(MID(TBBP[[#This Row],[Coluna1]],1,1)="1",MID(TBBP[[#This Row],[Coluna1]],1,1)="2"),"-",SUMIFS(34:34,listaPeriodos,$DR$1,listaPeriodos,$DR$2))</f>
        <v>-</v>
      </c>
      <c r="DR34" s="30">
        <f t="shared" si="11"/>
        <v>0</v>
      </c>
      <c r="DS34" s="30"/>
      <c r="DT34" s="30"/>
      <c r="DU34"/>
    </row>
    <row r="35" spans="1:125" x14ac:dyDescent="0.3">
      <c r="A35" s="72" t="s">
        <v>48</v>
      </c>
      <c r="B35" s="64" t="s">
        <v>2</v>
      </c>
      <c r="C35" s="65">
        <f>C36+C37</f>
        <v>22219.06</v>
      </c>
      <c r="D35" s="65">
        <f t="shared" ref="D35:AJ35" si="35">D36+D37</f>
        <v>39665.03</v>
      </c>
      <c r="E35" s="65">
        <f t="shared" si="35"/>
        <v>55428.98</v>
      </c>
      <c r="F35" s="65">
        <f t="shared" si="35"/>
        <v>67037.69</v>
      </c>
      <c r="G35" s="65">
        <f t="shared" si="35"/>
        <v>62037.69</v>
      </c>
      <c r="H35" s="65">
        <f t="shared" si="35"/>
        <v>62037.69</v>
      </c>
      <c r="I35" s="65">
        <f t="shared" si="35"/>
        <v>62037.69</v>
      </c>
      <c r="J35" s="65">
        <f t="shared" si="35"/>
        <v>62037.69</v>
      </c>
      <c r="K35" s="65">
        <f t="shared" si="35"/>
        <v>62037.69</v>
      </c>
      <c r="L35" s="65">
        <f t="shared" si="35"/>
        <v>62037.69</v>
      </c>
      <c r="M35" s="65">
        <f t="shared" si="35"/>
        <v>62037.69</v>
      </c>
      <c r="N35" s="65">
        <f t="shared" si="35"/>
        <v>62037.69</v>
      </c>
      <c r="O35" s="65">
        <f t="shared" si="35"/>
        <v>62037.69</v>
      </c>
      <c r="P35" s="65">
        <f t="shared" si="35"/>
        <v>62037.69</v>
      </c>
      <c r="Q35" s="65">
        <f t="shared" si="35"/>
        <v>62037.69</v>
      </c>
      <c r="R35" s="65">
        <f t="shared" si="35"/>
        <v>62037.69</v>
      </c>
      <c r="S35" s="65">
        <f t="shared" si="35"/>
        <v>62037.69</v>
      </c>
      <c r="T35" s="65">
        <f>IF(OR(MID(TBBP[[#This Row],[Coluna1]],1,1)="1",MID(TBBP[[#This Row],[Coluna1]],1,1)="2"),TBBP[[#This Row],[Coluna19]],SUM(H35:S35))</f>
        <v>62037.69</v>
      </c>
      <c r="U35" s="65">
        <f t="shared" si="35"/>
        <v>62037.69</v>
      </c>
      <c r="V35" s="65">
        <f t="shared" si="35"/>
        <v>62037.69</v>
      </c>
      <c r="W35" s="65">
        <f t="shared" si="35"/>
        <v>62037.69</v>
      </c>
      <c r="X35" s="65">
        <f t="shared" si="35"/>
        <v>62037.69</v>
      </c>
      <c r="Y35" s="65">
        <f t="shared" si="35"/>
        <v>62037.69</v>
      </c>
      <c r="Z35" s="65">
        <f t="shared" si="35"/>
        <v>62037.69</v>
      </c>
      <c r="AA35" s="65">
        <f t="shared" si="35"/>
        <v>62037.69</v>
      </c>
      <c r="AB35" s="65">
        <f t="shared" si="35"/>
        <v>62037.69</v>
      </c>
      <c r="AC35" s="65">
        <f t="shared" si="35"/>
        <v>62037.69</v>
      </c>
      <c r="AD35" s="65">
        <f t="shared" si="35"/>
        <v>62037.69</v>
      </c>
      <c r="AE35" s="65">
        <f t="shared" si="35"/>
        <v>62037.69</v>
      </c>
      <c r="AF35" s="65">
        <f t="shared" si="35"/>
        <v>62037.69</v>
      </c>
      <c r="AG35" s="65">
        <f>IF(OR(MID(TBBP[[#This Row],[Coluna1]],1,1)="1",MID(TBBP[[#This Row],[Coluna1]],1,1)="2"),TBBP[[#This Row],[Coluna32]],SUM(U35:AF35))</f>
        <v>62037.69</v>
      </c>
      <c r="AH35" s="65">
        <f t="shared" si="35"/>
        <v>62037.69</v>
      </c>
      <c r="AI35" s="65">
        <f t="shared" si="35"/>
        <v>62037.69</v>
      </c>
      <c r="AJ35" s="65">
        <f t="shared" si="35"/>
        <v>62037.69</v>
      </c>
      <c r="AK35" s="65">
        <f t="shared" ref="AK35:AS35" si="36">AK36+AK37</f>
        <v>62037.69</v>
      </c>
      <c r="AL35" s="65">
        <f t="shared" si="36"/>
        <v>62037.69</v>
      </c>
      <c r="AM35" s="65">
        <f t="shared" si="36"/>
        <v>62037.69</v>
      </c>
      <c r="AN35" s="65">
        <f t="shared" si="36"/>
        <v>62037.69</v>
      </c>
      <c r="AO35" s="65">
        <f t="shared" si="36"/>
        <v>62037.69</v>
      </c>
      <c r="AP35" s="65">
        <f t="shared" si="36"/>
        <v>62037.69</v>
      </c>
      <c r="AQ35" s="65">
        <f t="shared" si="36"/>
        <v>62037.69</v>
      </c>
      <c r="AR35" s="65">
        <f t="shared" si="36"/>
        <v>62037.69</v>
      </c>
      <c r="AS35" s="65">
        <f t="shared" si="36"/>
        <v>62037.69</v>
      </c>
      <c r="AT35" s="65">
        <f>IF(OR(MID(TBBP[[#This Row],[Coluna1]],1,1)="1",MID(TBBP[[#This Row],[Coluna1]],1,1)="2"),TBBP[[#This Row],[Coluna45]],SUM(AH35:AS35))</f>
        <v>62037.69</v>
      </c>
      <c r="AU35" s="65">
        <f t="shared" ref="AU35:BE35" si="37">AU36+AU37</f>
        <v>62037.69</v>
      </c>
      <c r="AV35" s="65">
        <f t="shared" si="37"/>
        <v>62037.69</v>
      </c>
      <c r="AW35" s="65">
        <f t="shared" si="37"/>
        <v>62037.69</v>
      </c>
      <c r="AX35" s="65">
        <f t="shared" si="37"/>
        <v>62037.69</v>
      </c>
      <c r="AY35" s="65">
        <f t="shared" si="37"/>
        <v>62037.69</v>
      </c>
      <c r="AZ35" s="65">
        <f t="shared" si="37"/>
        <v>62037.69</v>
      </c>
      <c r="BA35" s="65">
        <f t="shared" si="37"/>
        <v>62037.69</v>
      </c>
      <c r="BB35" s="65">
        <f t="shared" si="37"/>
        <v>62037.69</v>
      </c>
      <c r="BC35" s="65">
        <f t="shared" si="37"/>
        <v>62037.69</v>
      </c>
      <c r="BD35" s="65">
        <f t="shared" si="37"/>
        <v>62037.69</v>
      </c>
      <c r="BE35" s="65">
        <f t="shared" si="37"/>
        <v>62037.69</v>
      </c>
      <c r="BF35" s="65">
        <f>BF36+BF37</f>
        <v>62037.69</v>
      </c>
      <c r="BG35" s="65">
        <f>BG36+BG37</f>
        <v>62037.69</v>
      </c>
      <c r="BH35" s="65">
        <f>BH36+BH37</f>
        <v>62037.69</v>
      </c>
      <c r="BI35" s="65">
        <f>BI36+BI37</f>
        <v>62037.69</v>
      </c>
      <c r="BJ35" s="65">
        <f>BJ36+BJ37</f>
        <v>62037.69</v>
      </c>
      <c r="BK35" s="65">
        <f t="shared" ref="BK35:BQ35" si="38">BK36+BK37</f>
        <v>62037.69</v>
      </c>
      <c r="BL35" s="65">
        <f t="shared" si="38"/>
        <v>62037.69</v>
      </c>
      <c r="BM35" s="65">
        <f t="shared" si="38"/>
        <v>62037.69</v>
      </c>
      <c r="BN35" s="65">
        <f t="shared" si="38"/>
        <v>62037.69</v>
      </c>
      <c r="BO35" s="65">
        <f t="shared" si="38"/>
        <v>62037.69</v>
      </c>
      <c r="BP35" s="65">
        <f t="shared" si="38"/>
        <v>62037.69</v>
      </c>
      <c r="BQ35" s="65">
        <f t="shared" si="38"/>
        <v>62037.69</v>
      </c>
      <c r="BR35" s="65">
        <f t="shared" ref="BR35:CE35" si="39">BR36+BR37</f>
        <v>62037.69</v>
      </c>
      <c r="BS35" s="65">
        <f t="shared" si="39"/>
        <v>62037.69</v>
      </c>
      <c r="BT35" s="65">
        <f t="shared" si="39"/>
        <v>62037.69</v>
      </c>
      <c r="BU35" s="65">
        <f t="shared" si="39"/>
        <v>62037.69</v>
      </c>
      <c r="BV35" s="65">
        <f t="shared" si="39"/>
        <v>62037.69</v>
      </c>
      <c r="BW35" s="65">
        <f t="shared" si="39"/>
        <v>62037.69</v>
      </c>
      <c r="BX35" s="65">
        <f t="shared" si="39"/>
        <v>62037.69</v>
      </c>
      <c r="BY35" s="65">
        <f t="shared" si="39"/>
        <v>76687.360000000001</v>
      </c>
      <c r="BZ35" s="65">
        <f t="shared" si="39"/>
        <v>76687.360000000001</v>
      </c>
      <c r="CA35" s="65">
        <f t="shared" si="39"/>
        <v>76687.360000000001</v>
      </c>
      <c r="CB35" s="65">
        <f t="shared" si="39"/>
        <v>77037.69</v>
      </c>
      <c r="CC35" s="65">
        <f t="shared" si="39"/>
        <v>77037.69</v>
      </c>
      <c r="CD35" s="65">
        <f t="shared" si="39"/>
        <v>77037.69</v>
      </c>
      <c r="CE35" s="65">
        <f t="shared" si="39"/>
        <v>77037.69</v>
      </c>
      <c r="CF35" s="65">
        <v>77037.69</v>
      </c>
      <c r="CG35" s="65">
        <f>CG36+CG37</f>
        <v>77037.69</v>
      </c>
      <c r="CH35" s="65">
        <f t="shared" ref="CH35:CT35" si="40">CH36+CH37</f>
        <v>77037.69</v>
      </c>
      <c r="CI35" s="65">
        <f t="shared" si="40"/>
        <v>77037.69</v>
      </c>
      <c r="CJ35" s="65">
        <f t="shared" si="40"/>
        <v>77037.69</v>
      </c>
      <c r="CK35" s="65">
        <f t="shared" si="40"/>
        <v>77037.69</v>
      </c>
      <c r="CL35" s="65">
        <f t="shared" si="40"/>
        <v>77037.69</v>
      </c>
      <c r="CM35" s="65">
        <f t="shared" si="40"/>
        <v>77037.69</v>
      </c>
      <c r="CN35" s="65">
        <f t="shared" si="40"/>
        <v>77037.69</v>
      </c>
      <c r="CO35" s="65">
        <f t="shared" si="40"/>
        <v>77037.69</v>
      </c>
      <c r="CP35" s="65">
        <f t="shared" si="40"/>
        <v>62037.69</v>
      </c>
      <c r="CQ35" s="65">
        <f t="shared" si="40"/>
        <v>62037.69</v>
      </c>
      <c r="CR35" s="65">
        <f t="shared" si="40"/>
        <v>62037.69</v>
      </c>
      <c r="CS35" s="65">
        <f t="shared" si="40"/>
        <v>62037.69</v>
      </c>
      <c r="CT35" s="65">
        <f t="shared" si="40"/>
        <v>62037.69</v>
      </c>
      <c r="CU35" s="65">
        <f t="shared" ref="CU35:DA35" si="41">CU36+CU37</f>
        <v>62037.69</v>
      </c>
      <c r="CV35" s="65">
        <f t="shared" si="41"/>
        <v>62037.69</v>
      </c>
      <c r="CW35" s="65">
        <f t="shared" si="41"/>
        <v>62037.69</v>
      </c>
      <c r="CX35" s="65">
        <f t="shared" si="41"/>
        <v>62037.69</v>
      </c>
      <c r="CY35" s="65">
        <f t="shared" si="41"/>
        <v>62037.69</v>
      </c>
      <c r="CZ35" s="65">
        <f t="shared" si="41"/>
        <v>62037.69</v>
      </c>
      <c r="DA35" s="65">
        <f t="shared" si="41"/>
        <v>62037.69</v>
      </c>
      <c r="DB35" s="65">
        <f t="shared" ref="DB35:DG35" si="42">DB36+DB37+DB38</f>
        <v>3202798.51</v>
      </c>
      <c r="DC35" s="65">
        <f t="shared" si="42"/>
        <v>3202798.51</v>
      </c>
      <c r="DD35" s="65">
        <f t="shared" si="42"/>
        <v>3202798.51</v>
      </c>
      <c r="DE35" s="65">
        <f t="shared" si="42"/>
        <v>3202798.51</v>
      </c>
      <c r="DF35" s="65">
        <f t="shared" si="42"/>
        <v>3202798.51</v>
      </c>
      <c r="DG35" s="65">
        <f t="shared" si="42"/>
        <v>3202798.51</v>
      </c>
      <c r="DH35" s="65">
        <f t="shared" ref="DH35:DI35" si="43">DH36+DH37+DH38</f>
        <v>3203302.51</v>
      </c>
      <c r="DI35" s="65">
        <f t="shared" si="43"/>
        <v>3203302.51</v>
      </c>
      <c r="DJ35" s="65">
        <f t="shared" ref="DJ35:DK35" si="44">DJ36+DJ37+DJ38</f>
        <v>3203302.51</v>
      </c>
      <c r="DK35" s="65">
        <f t="shared" si="44"/>
        <v>3203302.51</v>
      </c>
      <c r="DL35" s="65">
        <f t="shared" ref="DL35:DM35" si="45">DL36+DL37+DL38</f>
        <v>3203302.51</v>
      </c>
      <c r="DM35" s="65">
        <f t="shared" si="45"/>
        <v>3203302.51</v>
      </c>
      <c r="DO35" s="9"/>
      <c r="DP35" s="30" t="str">
        <f>IF(OR(MID(TBBP[[#This Row],[Coluna1]],1,1)="1",MID(TBBP[[#This Row],[Coluna1]],1,1)="2"),"-",SUMIFS(35:35,listaPeriodos,$DR$1,listaPeriodos,$DR$2))</f>
        <v>-</v>
      </c>
      <c r="DR35" s="30">
        <f t="shared" si="11"/>
        <v>0</v>
      </c>
      <c r="DS35" s="30"/>
      <c r="DT35" s="30"/>
      <c r="DU35"/>
    </row>
    <row r="36" spans="1:125" x14ac:dyDescent="0.3">
      <c r="A36" s="7" t="s">
        <v>49</v>
      </c>
      <c r="B36" t="s">
        <v>13</v>
      </c>
      <c r="C36" s="4">
        <v>17219.060000000001</v>
      </c>
      <c r="D36" s="4">
        <v>28665.03</v>
      </c>
      <c r="E36" s="4">
        <v>44428.98</v>
      </c>
      <c r="F36" s="4">
        <v>62037.69</v>
      </c>
      <c r="G36" s="4">
        <v>62037.69</v>
      </c>
      <c r="H36" s="4">
        <v>62037.69</v>
      </c>
      <c r="I36" s="4">
        <v>62037.69</v>
      </c>
      <c r="J36" s="4">
        <v>62037.69</v>
      </c>
      <c r="K36" s="4">
        <v>62037.69</v>
      </c>
      <c r="L36" s="4">
        <v>62037.69</v>
      </c>
      <c r="M36" s="4">
        <v>62037.69</v>
      </c>
      <c r="N36" s="4">
        <v>62037.69</v>
      </c>
      <c r="O36" s="4">
        <v>62037.69</v>
      </c>
      <c r="P36" s="4">
        <v>62037.69</v>
      </c>
      <c r="Q36" s="4">
        <v>62037.69</v>
      </c>
      <c r="R36" s="4">
        <v>62037.69</v>
      </c>
      <c r="S36" s="4">
        <v>62037.69</v>
      </c>
      <c r="T36" s="4">
        <f>IF(OR(MID(TBBP[[#This Row],[Coluna1]],1,1)="1",MID(TBBP[[#This Row],[Coluna1]],1,1)="2"),TBBP[[#This Row],[Coluna19]],SUM(H36:S36))</f>
        <v>62037.69</v>
      </c>
      <c r="U36" s="4">
        <v>62037.69</v>
      </c>
      <c r="V36" s="4">
        <v>62037.69</v>
      </c>
      <c r="W36" s="4">
        <v>62037.69</v>
      </c>
      <c r="X36" s="4">
        <v>62037.69</v>
      </c>
      <c r="Y36" s="4">
        <v>62037.69</v>
      </c>
      <c r="Z36" s="4">
        <v>62037.69</v>
      </c>
      <c r="AA36" s="4">
        <v>62037.69</v>
      </c>
      <c r="AB36" s="4">
        <v>62037.69</v>
      </c>
      <c r="AC36" s="4">
        <v>62037.69</v>
      </c>
      <c r="AD36" s="4">
        <v>62037.69</v>
      </c>
      <c r="AE36" s="4">
        <v>62037.69</v>
      </c>
      <c r="AF36" s="11">
        <v>62037.69</v>
      </c>
      <c r="AG36" s="11">
        <f>IF(OR(MID(TBBP[[#This Row],[Coluna1]],1,1)="1",MID(TBBP[[#This Row],[Coluna1]],1,1)="2"),TBBP[[#This Row],[Coluna32]],SUM(U36:AF36))</f>
        <v>62037.69</v>
      </c>
      <c r="AH36" s="11">
        <v>62037.69</v>
      </c>
      <c r="AI36" s="11">
        <v>62037.69</v>
      </c>
      <c r="AJ36" s="11">
        <v>62037.69</v>
      </c>
      <c r="AK36" s="11">
        <v>62037.69</v>
      </c>
      <c r="AL36" s="4">
        <v>62037.69</v>
      </c>
      <c r="AM36" s="4">
        <v>62037.69</v>
      </c>
      <c r="AN36" s="4">
        <v>62037.69</v>
      </c>
      <c r="AO36" s="4">
        <v>62037.69</v>
      </c>
      <c r="AP36" s="4">
        <v>62037.69</v>
      </c>
      <c r="AQ36" s="4">
        <v>62037.69</v>
      </c>
      <c r="AR36" s="4">
        <v>62037.69</v>
      </c>
      <c r="AS36" s="4">
        <v>62037.69</v>
      </c>
      <c r="AT36" s="11">
        <f>IF(OR(MID(TBBP[[#This Row],[Coluna1]],1,1)="1",MID(TBBP[[#This Row],[Coluna1]],1,1)="2"),TBBP[[#This Row],[Coluna45]],SUM(AH36:AS36))</f>
        <v>62037.69</v>
      </c>
      <c r="AU36" s="11">
        <v>62037.69</v>
      </c>
      <c r="AV36" s="11">
        <v>62037.69</v>
      </c>
      <c r="AW36" s="11">
        <v>62037.69</v>
      </c>
      <c r="AX36" s="11">
        <v>62037.69</v>
      </c>
      <c r="AY36" s="11">
        <v>62037.69</v>
      </c>
      <c r="AZ36" s="11">
        <v>62037.69</v>
      </c>
      <c r="BA36" s="11">
        <v>62037.69</v>
      </c>
      <c r="BB36" s="11">
        <v>62037.69</v>
      </c>
      <c r="BC36" s="11">
        <v>62037.69</v>
      </c>
      <c r="BD36" s="11">
        <v>62037.69</v>
      </c>
      <c r="BE36" s="11">
        <v>62037.69</v>
      </c>
      <c r="BF36" s="11">
        <v>62037.69</v>
      </c>
      <c r="BG36" s="11">
        <f>IF(OR(MID(TBBP[[#This Row],[Coluna1]],1,1)="1",MID(TBBP[[#This Row],[Coluna1]],1,1)="2"),TBBP[[#This Row],[Coluna58]],SUM(AU36:BF36))</f>
        <v>62037.69</v>
      </c>
      <c r="BH36" s="11">
        <v>62037.69</v>
      </c>
      <c r="BI36" s="11">
        <v>62037.69</v>
      </c>
      <c r="BJ36" s="11">
        <v>62037.69</v>
      </c>
      <c r="BK36" s="11">
        <v>62037.69</v>
      </c>
      <c r="BL36" s="11">
        <v>62037.69</v>
      </c>
      <c r="BM36" s="11">
        <v>62037.69</v>
      </c>
      <c r="BN36" s="11">
        <v>62037.69</v>
      </c>
      <c r="BO36" s="11">
        <v>62037.69</v>
      </c>
      <c r="BP36" s="11">
        <v>62037.69</v>
      </c>
      <c r="BQ36" s="11">
        <v>62037.69</v>
      </c>
      <c r="BR36" s="11">
        <v>62037.69</v>
      </c>
      <c r="BS36" s="11">
        <v>62037.69</v>
      </c>
      <c r="BT36" s="11">
        <f>IF(OR(MID(TBBP[[#This Row],[Coluna1]],1,1)="1",MID(TBBP[[#This Row],[Coluna1]],1,1)="2"),TBBP[[#This Row],[Coluna127]],SUM(BH36:BS36))</f>
        <v>62037.69</v>
      </c>
      <c r="BU36" s="11">
        <v>62037.69</v>
      </c>
      <c r="BV36" s="11">
        <v>62037.69</v>
      </c>
      <c r="BW36" s="11">
        <v>62037.69</v>
      </c>
      <c r="BX36" s="11">
        <v>62037.69</v>
      </c>
      <c r="BY36" s="11">
        <v>76687.360000000001</v>
      </c>
      <c r="BZ36" s="11">
        <v>76687.360000000001</v>
      </c>
      <c r="CA36" s="11">
        <v>76687.360000000001</v>
      </c>
      <c r="CB36" s="11">
        <v>77037.69</v>
      </c>
      <c r="CC36" s="11">
        <v>77037.69</v>
      </c>
      <c r="CD36" s="11">
        <v>77037.69</v>
      </c>
      <c r="CE36" s="11">
        <v>77037.69</v>
      </c>
      <c r="CF36" s="11">
        <v>77037.69</v>
      </c>
      <c r="CG36" s="11">
        <f>IF(OR(MID(TBBP[[#This Row],[Coluna1]],1,1)="1",MID(TBBP[[#This Row],[Coluna1]],1,1)="2"),CF36,SUM(BU36:CF36))</f>
        <v>77037.69</v>
      </c>
      <c r="CH36" s="11">
        <v>77037.69</v>
      </c>
      <c r="CI36" s="11">
        <v>77037.69</v>
      </c>
      <c r="CJ36" s="11">
        <v>77037.69</v>
      </c>
      <c r="CK36" s="11">
        <v>77037.69</v>
      </c>
      <c r="CL36" s="11">
        <v>77037.69</v>
      </c>
      <c r="CM36" s="11">
        <v>77037.69</v>
      </c>
      <c r="CN36" s="11">
        <v>77037.69</v>
      </c>
      <c r="CO36" s="11">
        <v>77037.69</v>
      </c>
      <c r="CP36" s="11">
        <v>62037.69</v>
      </c>
      <c r="CQ36" s="11">
        <v>62037.69</v>
      </c>
      <c r="CR36" s="11">
        <v>62037.69</v>
      </c>
      <c r="CS36" s="11">
        <v>62037.69</v>
      </c>
      <c r="CT36" s="11">
        <f>IF(OR(MID(TBBP[[#This Row],[Coluna1]],1,1)="1",MID(TBBP[[#This Row],[Coluna1]],1,1)="2"),CS36,SUM(CH36:CS36))</f>
        <v>62037.69</v>
      </c>
      <c r="CU36" s="256">
        <v>62037.69</v>
      </c>
      <c r="CV36" s="256">
        <v>62037.69</v>
      </c>
      <c r="CW36" s="256">
        <v>62037.69</v>
      </c>
      <c r="CX36" s="256">
        <v>62037.69</v>
      </c>
      <c r="CY36" s="256">
        <v>62037.69</v>
      </c>
      <c r="CZ36" s="256">
        <v>62037.69</v>
      </c>
      <c r="DA36" s="256">
        <v>62037.69</v>
      </c>
      <c r="DB36" s="256">
        <v>63237.69</v>
      </c>
      <c r="DC36" s="256">
        <v>63237.69</v>
      </c>
      <c r="DD36" s="256">
        <v>63237.69</v>
      </c>
      <c r="DE36" s="256">
        <v>63237.69</v>
      </c>
      <c r="DF36" s="256">
        <v>63237.69</v>
      </c>
      <c r="DG36" s="256">
        <v>63237.69</v>
      </c>
      <c r="DH36" s="256">
        <v>63741.69</v>
      </c>
      <c r="DI36" s="256">
        <v>63741.69</v>
      </c>
      <c r="DJ36" s="256">
        <v>63741.69</v>
      </c>
      <c r="DK36" s="256">
        <v>63741.69</v>
      </c>
      <c r="DL36" s="256">
        <v>63741.69</v>
      </c>
      <c r="DM36" s="256">
        <v>63741.69</v>
      </c>
      <c r="DO36" s="9"/>
      <c r="DP36" s="30" t="str">
        <f>IF(OR(MID(TBBP[[#This Row],[Coluna1]],1,1)="1",MID(TBBP[[#This Row],[Coluna1]],1,1)="2"),"-",SUMIFS(36:36,listaPeriodos,$DR$1,listaPeriodos,$DR$2))</f>
        <v>-</v>
      </c>
      <c r="DR36" s="30">
        <f t="shared" si="11"/>
        <v>0</v>
      </c>
      <c r="DS36" s="30"/>
      <c r="DT36" s="30"/>
      <c r="DU36"/>
    </row>
    <row r="37" spans="1:125" x14ac:dyDescent="0.3">
      <c r="A37" s="7" t="s">
        <v>249</v>
      </c>
      <c r="B37" t="s">
        <v>164</v>
      </c>
      <c r="C37" s="4">
        <v>5000</v>
      </c>
      <c r="D37" s="4">
        <v>11000</v>
      </c>
      <c r="E37" s="4">
        <v>11000</v>
      </c>
      <c r="F37" s="4">
        <v>5000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/>
      <c r="O37" s="4"/>
      <c r="P37" s="4"/>
      <c r="Q37" s="4"/>
      <c r="R37" s="4"/>
      <c r="S37" s="4"/>
      <c r="T37" s="4">
        <f>IF(OR(MID(TBBP[[#This Row],[Coluna1]],1,1)="1",MID(TBBP[[#This Row],[Coluna1]],1,1)="2"),TBBP[[#This Row],[Coluna19]],SUM(H37:S37))</f>
        <v>0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11"/>
      <c r="AG37" s="11">
        <f>IF(OR(MID(TBBP[[#This Row],[Coluna1]],1,1)="1",MID(TBBP[[#This Row],[Coluna1]],1,1)="2"),TBBP[[#This Row],[Coluna32]],SUM(U37:AF37))</f>
        <v>0</v>
      </c>
      <c r="AH37" s="11"/>
      <c r="AI37" s="11"/>
      <c r="AJ37" s="11"/>
      <c r="AK37" s="11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11">
        <f>IF(OR(MID(TBBP[[#This Row],[Coluna1]],1,1)="1",MID(TBBP[[#This Row],[Coluna1]],1,1)="2"),TBBP[[#This Row],[Coluna45]],SUM(AH37:AS37))</f>
        <v>0</v>
      </c>
      <c r="AU37" s="11">
        <v>0</v>
      </c>
      <c r="AV37" s="11">
        <v>0</v>
      </c>
      <c r="AW37" s="11">
        <v>0</v>
      </c>
      <c r="AX37" s="11">
        <v>0</v>
      </c>
      <c r="AY37" s="11">
        <v>0</v>
      </c>
      <c r="AZ37" s="11">
        <v>0</v>
      </c>
      <c r="BA37" s="11">
        <v>0</v>
      </c>
      <c r="BB37" s="11">
        <v>0</v>
      </c>
      <c r="BC37" s="11">
        <v>0</v>
      </c>
      <c r="BD37" s="11">
        <v>0</v>
      </c>
      <c r="BE37" s="11">
        <v>0</v>
      </c>
      <c r="BF37" s="11">
        <v>0</v>
      </c>
      <c r="BG37" s="11">
        <f>IF(OR(MID(TBBP[[#This Row],[Coluna1]],1,1)="1",MID(TBBP[[#This Row],[Coluna1]],1,1)="2"),TBBP[[#This Row],[Coluna58]],SUM(AU37:BF37))</f>
        <v>0</v>
      </c>
      <c r="BH37" s="11">
        <v>0</v>
      </c>
      <c r="BI37" s="11">
        <v>0</v>
      </c>
      <c r="BJ37" s="11">
        <v>0</v>
      </c>
      <c r="BK37" s="11">
        <v>0</v>
      </c>
      <c r="BL37" s="11">
        <v>0</v>
      </c>
      <c r="BM37" s="11">
        <v>0</v>
      </c>
      <c r="BN37" s="11">
        <v>0</v>
      </c>
      <c r="BO37" s="11">
        <v>0</v>
      </c>
      <c r="BP37" s="11">
        <v>0</v>
      </c>
      <c r="BQ37" s="11">
        <v>0</v>
      </c>
      <c r="BR37" s="11">
        <v>0</v>
      </c>
      <c r="BS37" s="11">
        <v>0</v>
      </c>
      <c r="BT37" s="11">
        <f>IF(OR(MID(TBBP[[#This Row],[Coluna1]],1,1)="1",MID(TBBP[[#This Row],[Coluna1]],1,1)="2"),TBBP[[#This Row],[Coluna127]],SUM(BH37:BS37))</f>
        <v>0</v>
      </c>
      <c r="BU37" s="11">
        <v>0</v>
      </c>
      <c r="BV37" s="11">
        <v>0</v>
      </c>
      <c r="BW37" s="11">
        <v>0</v>
      </c>
      <c r="BX37" s="11">
        <v>0</v>
      </c>
      <c r="BY37" s="11">
        <v>0</v>
      </c>
      <c r="BZ37" s="11">
        <v>0</v>
      </c>
      <c r="CA37" s="11">
        <v>0</v>
      </c>
      <c r="CB37" s="11">
        <v>0</v>
      </c>
      <c r="CC37" s="11">
        <v>0</v>
      </c>
      <c r="CD37" s="11">
        <v>0</v>
      </c>
      <c r="CE37" s="11">
        <v>0</v>
      </c>
      <c r="CF37" s="11">
        <v>0</v>
      </c>
      <c r="CG37" s="11">
        <f>IF(OR(MID(TBBP[[#This Row],[Coluna1]],1,1)="1",MID(TBBP[[#This Row],[Coluna1]],1,1)="2"),CF37,SUM(BU37:CF37))</f>
        <v>0</v>
      </c>
      <c r="CH37" s="11">
        <v>0</v>
      </c>
      <c r="CI37" s="11">
        <v>0</v>
      </c>
      <c r="CJ37" s="11">
        <v>0</v>
      </c>
      <c r="CK37" s="11">
        <v>0</v>
      </c>
      <c r="CL37" s="11">
        <v>0</v>
      </c>
      <c r="CM37" s="11">
        <v>0</v>
      </c>
      <c r="CN37" s="11">
        <v>0</v>
      </c>
      <c r="CO37" s="11">
        <v>0</v>
      </c>
      <c r="CP37" s="11">
        <v>0</v>
      </c>
      <c r="CQ37" s="11">
        <v>0</v>
      </c>
      <c r="CR37" s="11">
        <v>0</v>
      </c>
      <c r="CS37" s="11">
        <v>0</v>
      </c>
      <c r="CT37" s="11">
        <f>IF(OR(MID(TBBP[[#This Row],[Coluna1]],1,1)="1",MID(TBBP[[#This Row],[Coluna1]],1,1)="2"),CS37,SUM(CH37:CS37))</f>
        <v>0</v>
      </c>
      <c r="CU37" s="256">
        <v>0</v>
      </c>
      <c r="CV37" s="256">
        <v>0</v>
      </c>
      <c r="CW37" s="256">
        <v>0</v>
      </c>
      <c r="CX37" s="256">
        <v>0</v>
      </c>
      <c r="CY37" s="256">
        <v>0</v>
      </c>
      <c r="CZ37" s="256">
        <v>0</v>
      </c>
      <c r="DA37" s="256">
        <v>0</v>
      </c>
      <c r="DB37" s="256">
        <v>0</v>
      </c>
      <c r="DC37" s="256">
        <v>0</v>
      </c>
      <c r="DD37" s="256">
        <v>0</v>
      </c>
      <c r="DE37" s="256">
        <v>0</v>
      </c>
      <c r="DF37" s="256">
        <v>0</v>
      </c>
      <c r="DG37" s="256">
        <v>0</v>
      </c>
      <c r="DH37" s="256">
        <v>0</v>
      </c>
      <c r="DI37" s="256">
        <v>0</v>
      </c>
      <c r="DJ37" s="256">
        <v>0</v>
      </c>
      <c r="DK37" s="256">
        <v>0</v>
      </c>
      <c r="DL37" s="256">
        <v>0</v>
      </c>
      <c r="DM37" s="256">
        <v>0</v>
      </c>
      <c r="DO37" s="9"/>
      <c r="DP37" s="30" t="str">
        <f>IF(OR(MID(TBBP[[#This Row],[Coluna1]],1,1)="1",MID(TBBP[[#This Row],[Coluna1]],1,1)="2"),"-",SUMIFS(37:37,listaPeriodos,$DR$1,listaPeriodos,$DR$2))</f>
        <v>-</v>
      </c>
      <c r="DR37" s="30">
        <f t="shared" si="11"/>
        <v>0</v>
      </c>
      <c r="DS37" s="30"/>
      <c r="DT37" s="30"/>
      <c r="DU37"/>
    </row>
    <row r="38" spans="1:125" x14ac:dyDescent="0.3">
      <c r="A38" s="7" t="s">
        <v>1162</v>
      </c>
      <c r="B38" t="s">
        <v>1163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11"/>
      <c r="AG38" s="11"/>
      <c r="AH38" s="11"/>
      <c r="AI38" s="11"/>
      <c r="AJ38" s="11"/>
      <c r="AK38" s="11"/>
      <c r="AL38" s="4"/>
      <c r="AM38" s="4"/>
      <c r="AN38" s="4"/>
      <c r="AO38" s="4"/>
      <c r="AP38" s="4"/>
      <c r="AQ38" s="4"/>
      <c r="AR38" s="4"/>
      <c r="AS38" s="4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256">
        <v>0</v>
      </c>
      <c r="CV38" s="256">
        <v>0</v>
      </c>
      <c r="CW38" s="256">
        <v>0</v>
      </c>
      <c r="CX38" s="256">
        <v>0</v>
      </c>
      <c r="CY38" s="256">
        <v>0</v>
      </c>
      <c r="CZ38" s="256">
        <v>0</v>
      </c>
      <c r="DA38" s="256">
        <v>0</v>
      </c>
      <c r="DB38" s="256">
        <v>3139560.82</v>
      </c>
      <c r="DC38" s="256">
        <v>3139560.82</v>
      </c>
      <c r="DD38" s="256">
        <v>3139560.82</v>
      </c>
      <c r="DE38" s="256">
        <v>3139560.82</v>
      </c>
      <c r="DF38" s="256">
        <v>3139560.82</v>
      </c>
      <c r="DG38" s="256">
        <v>3139560.82</v>
      </c>
      <c r="DH38" s="256">
        <v>3139560.82</v>
      </c>
      <c r="DI38" s="256">
        <v>3139560.82</v>
      </c>
      <c r="DJ38" s="256">
        <v>3139560.82</v>
      </c>
      <c r="DK38" s="256">
        <v>3139560.82</v>
      </c>
      <c r="DL38" s="256">
        <v>3139560.82</v>
      </c>
      <c r="DM38" s="256">
        <v>3139560.82</v>
      </c>
      <c r="DO38" s="9"/>
      <c r="DP38" s="30"/>
      <c r="DR38" s="30"/>
      <c r="DS38" s="30"/>
      <c r="DT38" s="30"/>
      <c r="DU38"/>
    </row>
    <row r="39" spans="1:125" x14ac:dyDescent="0.3">
      <c r="A39" s="72" t="s">
        <v>50</v>
      </c>
      <c r="B39" s="64" t="s">
        <v>3</v>
      </c>
      <c r="C39" s="65">
        <f t="shared" ref="C39:BG39" si="46">SUM(C40:C41)</f>
        <v>0</v>
      </c>
      <c r="D39" s="65">
        <f t="shared" si="46"/>
        <v>0</v>
      </c>
      <c r="E39" s="65">
        <f t="shared" si="46"/>
        <v>0</v>
      </c>
      <c r="F39" s="65">
        <f t="shared" si="46"/>
        <v>0</v>
      </c>
      <c r="G39" s="65">
        <f t="shared" si="46"/>
        <v>292500</v>
      </c>
      <c r="H39" s="65">
        <f t="shared" si="46"/>
        <v>292500</v>
      </c>
      <c r="I39" s="65">
        <f t="shared" si="46"/>
        <v>292500</v>
      </c>
      <c r="J39" s="65">
        <f t="shared" si="46"/>
        <v>292500</v>
      </c>
      <c r="K39" s="65">
        <f t="shared" si="46"/>
        <v>292500</v>
      </c>
      <c r="L39" s="65">
        <f t="shared" si="46"/>
        <v>292500</v>
      </c>
      <c r="M39" s="65">
        <f t="shared" si="46"/>
        <v>311159.58</v>
      </c>
      <c r="N39" s="65">
        <f t="shared" si="46"/>
        <v>311159.58</v>
      </c>
      <c r="O39" s="65">
        <f t="shared" si="46"/>
        <v>311159.58</v>
      </c>
      <c r="P39" s="65">
        <f t="shared" si="46"/>
        <v>362352.02</v>
      </c>
      <c r="Q39" s="65">
        <f t="shared" si="46"/>
        <v>361891.02</v>
      </c>
      <c r="R39" s="65">
        <f t="shared" si="46"/>
        <v>389460.25</v>
      </c>
      <c r="S39" s="65">
        <f t="shared" si="46"/>
        <v>369041.39</v>
      </c>
      <c r="T39" s="65">
        <f t="shared" si="46"/>
        <v>369041.39</v>
      </c>
      <c r="U39" s="65">
        <f t="shared" si="46"/>
        <v>377762.51</v>
      </c>
      <c r="V39" s="65">
        <f t="shared" si="46"/>
        <v>375672.77</v>
      </c>
      <c r="W39" s="65">
        <f t="shared" si="46"/>
        <v>375672.77</v>
      </c>
      <c r="X39" s="65">
        <f t="shared" si="46"/>
        <v>395007.07</v>
      </c>
      <c r="Y39" s="65">
        <f t="shared" si="46"/>
        <v>412437.03</v>
      </c>
      <c r="Z39" s="65">
        <f t="shared" si="46"/>
        <v>430509.34</v>
      </c>
      <c r="AA39" s="65">
        <f t="shared" si="46"/>
        <v>443408.49</v>
      </c>
      <c r="AB39" s="65">
        <f t="shared" si="46"/>
        <v>468577.97</v>
      </c>
      <c r="AC39" s="65">
        <f t="shared" si="46"/>
        <v>504895.67</v>
      </c>
      <c r="AD39" s="65">
        <f t="shared" si="46"/>
        <v>517917.61</v>
      </c>
      <c r="AE39" s="65">
        <f t="shared" si="46"/>
        <v>538293.18999999994</v>
      </c>
      <c r="AF39" s="65">
        <f t="shared" si="46"/>
        <v>543243.09</v>
      </c>
      <c r="AG39" s="65">
        <f t="shared" si="46"/>
        <v>543243.09</v>
      </c>
      <c r="AH39" s="65">
        <f t="shared" si="46"/>
        <v>562302.87</v>
      </c>
      <c r="AI39" s="65">
        <f t="shared" si="46"/>
        <v>578537.94999999995</v>
      </c>
      <c r="AJ39" s="65">
        <f t="shared" si="46"/>
        <v>625376.76</v>
      </c>
      <c r="AK39" s="65">
        <f t="shared" si="46"/>
        <v>517254.59</v>
      </c>
      <c r="AL39" s="65">
        <f t="shared" si="46"/>
        <v>549444.43999999994</v>
      </c>
      <c r="AM39" s="65">
        <f t="shared" si="46"/>
        <v>582278.68999999994</v>
      </c>
      <c r="AN39" s="65">
        <f t="shared" si="46"/>
        <v>600663.06999999995</v>
      </c>
      <c r="AO39" s="65">
        <f t="shared" si="46"/>
        <v>611368.69999999995</v>
      </c>
      <c r="AP39" s="65">
        <f t="shared" si="46"/>
        <v>630599.96</v>
      </c>
      <c r="AQ39" s="65">
        <f t="shared" si="46"/>
        <v>630599.97</v>
      </c>
      <c r="AR39" s="65">
        <f t="shared" si="46"/>
        <v>680984.68</v>
      </c>
      <c r="AS39" s="65">
        <f t="shared" si="46"/>
        <v>635942.27</v>
      </c>
      <c r="AT39" s="65">
        <f t="shared" si="46"/>
        <v>635942.27</v>
      </c>
      <c r="AU39" s="65">
        <f t="shared" si="46"/>
        <v>650123.61</v>
      </c>
      <c r="AV39" s="65">
        <f t="shared" si="46"/>
        <v>699882.05</v>
      </c>
      <c r="AW39" s="65">
        <f t="shared" si="46"/>
        <v>740388.41</v>
      </c>
      <c r="AX39" s="65">
        <f t="shared" si="46"/>
        <v>749491.61</v>
      </c>
      <c r="AY39" s="65">
        <f t="shared" si="46"/>
        <v>721941.77</v>
      </c>
      <c r="AZ39" s="65">
        <f t="shared" si="46"/>
        <v>861529.13</v>
      </c>
      <c r="BA39" s="65">
        <f t="shared" si="46"/>
        <v>969092.58</v>
      </c>
      <c r="BB39" s="65">
        <f t="shared" si="46"/>
        <v>920770.45</v>
      </c>
      <c r="BC39" s="65">
        <f t="shared" si="46"/>
        <v>1081070.77</v>
      </c>
      <c r="BD39" s="65">
        <f t="shared" si="46"/>
        <v>1322211.42</v>
      </c>
      <c r="BE39" s="65">
        <f t="shared" si="46"/>
        <v>1451551.84</v>
      </c>
      <c r="BF39" s="65">
        <f t="shared" si="46"/>
        <v>1245826.92</v>
      </c>
      <c r="BG39" s="65">
        <f t="shared" si="46"/>
        <v>1245826.92</v>
      </c>
      <c r="BH39" s="65">
        <f t="shared" ref="BH39:BS39" si="47">SUM(BH40:BH41)</f>
        <v>1289715.69</v>
      </c>
      <c r="BI39" s="65">
        <f t="shared" si="47"/>
        <v>1444725.74</v>
      </c>
      <c r="BJ39" s="65">
        <f t="shared" si="47"/>
        <v>1483230.69</v>
      </c>
      <c r="BK39" s="65">
        <f t="shared" si="47"/>
        <v>1512964.91</v>
      </c>
      <c r="BL39" s="65">
        <f t="shared" si="47"/>
        <v>1746824.47</v>
      </c>
      <c r="BM39" s="65">
        <f t="shared" si="47"/>
        <v>1778539.35</v>
      </c>
      <c r="BN39" s="65">
        <f t="shared" si="47"/>
        <v>2001970.66</v>
      </c>
      <c r="BO39" s="65">
        <f t="shared" si="47"/>
        <v>2075959.8</v>
      </c>
      <c r="BP39" s="65">
        <f t="shared" si="47"/>
        <v>3216944.71</v>
      </c>
      <c r="BQ39" s="65">
        <f t="shared" si="47"/>
        <v>3341239.45</v>
      </c>
      <c r="BR39" s="65">
        <f t="shared" si="47"/>
        <v>3501176.17</v>
      </c>
      <c r="BS39" s="65">
        <f t="shared" si="47"/>
        <v>3523360.87</v>
      </c>
      <c r="BT39" s="65">
        <f t="shared" ref="BT39:DG39" si="48">SUM(BT40:BT41)</f>
        <v>3523360.87</v>
      </c>
      <c r="BU39" s="65">
        <f t="shared" si="48"/>
        <v>3743375</v>
      </c>
      <c r="BV39" s="65">
        <f t="shared" si="48"/>
        <v>3854741.69</v>
      </c>
      <c r="BW39" s="65">
        <f t="shared" si="48"/>
        <v>3852352.24</v>
      </c>
      <c r="BX39" s="65">
        <f t="shared" si="48"/>
        <v>3864274.87</v>
      </c>
      <c r="BY39" s="65">
        <f t="shared" si="48"/>
        <v>3879025.4299999997</v>
      </c>
      <c r="BZ39" s="65">
        <f t="shared" si="48"/>
        <v>3893291.1799999997</v>
      </c>
      <c r="CA39" s="65">
        <f t="shared" si="48"/>
        <v>3907740.62</v>
      </c>
      <c r="CB39" s="65">
        <f t="shared" si="48"/>
        <v>3923295.84</v>
      </c>
      <c r="CC39" s="65">
        <f t="shared" si="48"/>
        <v>3892935.8000000003</v>
      </c>
      <c r="CD39" s="65">
        <f t="shared" si="48"/>
        <v>3906902.46</v>
      </c>
      <c r="CE39" s="65">
        <f t="shared" si="48"/>
        <v>3919904.9000000004</v>
      </c>
      <c r="CF39" s="65">
        <v>3932743.12</v>
      </c>
      <c r="CG39" s="65">
        <f t="shared" si="48"/>
        <v>3932743.12</v>
      </c>
      <c r="CH39" s="65">
        <f t="shared" si="48"/>
        <v>5048067.0299999993</v>
      </c>
      <c r="CI39" s="65">
        <f t="shared" si="48"/>
        <v>5127301.4800000004</v>
      </c>
      <c r="CJ39" s="65">
        <f t="shared" si="48"/>
        <v>5039925.04</v>
      </c>
      <c r="CK39" s="65">
        <f t="shared" si="48"/>
        <v>5300395.57</v>
      </c>
      <c r="CL39" s="65">
        <f t="shared" si="48"/>
        <v>3839362.5700000003</v>
      </c>
      <c r="CM39" s="65">
        <f t="shared" si="48"/>
        <v>3943763.68</v>
      </c>
      <c r="CN39" s="65">
        <f t="shared" si="48"/>
        <v>4039746.8200000003</v>
      </c>
      <c r="CO39" s="65">
        <f t="shared" si="48"/>
        <v>4238515.51</v>
      </c>
      <c r="CP39" s="65">
        <f t="shared" si="48"/>
        <v>4310513.99</v>
      </c>
      <c r="CQ39" s="65">
        <f t="shared" si="48"/>
        <v>2920761.46</v>
      </c>
      <c r="CR39" s="65">
        <f t="shared" si="48"/>
        <v>2970671.3</v>
      </c>
      <c r="CS39" s="65">
        <f t="shared" si="48"/>
        <v>3081714.38</v>
      </c>
      <c r="CT39" s="65">
        <f t="shared" si="48"/>
        <v>3081714.38</v>
      </c>
      <c r="CU39" s="65">
        <f t="shared" si="48"/>
        <v>3376875.38</v>
      </c>
      <c r="CV39" s="65">
        <f t="shared" si="48"/>
        <v>3173499.5</v>
      </c>
      <c r="CW39" s="65">
        <f t="shared" si="48"/>
        <v>3100871.31</v>
      </c>
      <c r="CX39" s="65">
        <f t="shared" si="48"/>
        <v>3097752.17</v>
      </c>
      <c r="CY39" s="65">
        <f t="shared" si="48"/>
        <v>3244523.66</v>
      </c>
      <c r="CZ39" s="65">
        <f t="shared" si="48"/>
        <v>3340820.15</v>
      </c>
      <c r="DA39" s="65">
        <f t="shared" si="48"/>
        <v>3383656.2</v>
      </c>
      <c r="DB39" s="65">
        <f t="shared" si="48"/>
        <v>0</v>
      </c>
      <c r="DC39" s="65">
        <f t="shared" si="48"/>
        <v>0</v>
      </c>
      <c r="DD39" s="65">
        <f t="shared" si="48"/>
        <v>0</v>
      </c>
      <c r="DE39" s="65">
        <f t="shared" si="48"/>
        <v>0</v>
      </c>
      <c r="DF39" s="65">
        <f t="shared" si="48"/>
        <v>0</v>
      </c>
      <c r="DG39" s="65">
        <f t="shared" si="48"/>
        <v>0</v>
      </c>
      <c r="DH39" s="65">
        <f t="shared" ref="DH39:DM39" si="49">SUM(DH40:DH41)</f>
        <v>0</v>
      </c>
      <c r="DI39" s="65">
        <f t="shared" si="49"/>
        <v>0</v>
      </c>
      <c r="DJ39" s="65">
        <f t="shared" si="49"/>
        <v>0</v>
      </c>
      <c r="DK39" s="65">
        <f t="shared" si="49"/>
        <v>0</v>
      </c>
      <c r="DL39" s="65">
        <f t="shared" si="49"/>
        <v>0</v>
      </c>
      <c r="DM39" s="65">
        <f t="shared" si="49"/>
        <v>0</v>
      </c>
      <c r="DO39" s="9"/>
      <c r="DP39" s="30" t="str">
        <f>IF(OR(MID(TBBP[[#This Row],[Coluna1]],1,1)="1",MID(TBBP[[#This Row],[Coluna1]],1,1)="2"),"-",SUMIFS(39:39,listaPeriodos,$DR$1,listaPeriodos,$DR$2))</f>
        <v>-</v>
      </c>
      <c r="DR39" s="30">
        <f t="shared" si="11"/>
        <v>0</v>
      </c>
      <c r="DS39" s="30"/>
      <c r="DT39" s="30"/>
      <c r="DU39"/>
    </row>
    <row r="40" spans="1:125" x14ac:dyDescent="0.3">
      <c r="A40" s="7" t="s">
        <v>994</v>
      </c>
      <c r="B40" t="s">
        <v>996</v>
      </c>
      <c r="C40" s="4">
        <v>0</v>
      </c>
      <c r="D40" s="4">
        <v>0</v>
      </c>
      <c r="E40" s="4">
        <v>0</v>
      </c>
      <c r="F40" s="4">
        <v>0</v>
      </c>
      <c r="G40" s="4">
        <v>292500</v>
      </c>
      <c r="H40" s="4">
        <v>292500</v>
      </c>
      <c r="I40" s="4">
        <v>292500</v>
      </c>
      <c r="J40" s="4">
        <v>292500</v>
      </c>
      <c r="K40" s="4">
        <v>292500</v>
      </c>
      <c r="L40" s="4">
        <v>292500</v>
      </c>
      <c r="M40" s="4">
        <v>311159.58</v>
      </c>
      <c r="N40" s="4">
        <v>311159.58</v>
      </c>
      <c r="O40" s="4">
        <v>311159.58</v>
      </c>
      <c r="P40" s="4">
        <v>362352.02</v>
      </c>
      <c r="Q40" s="4">
        <v>361891.02</v>
      </c>
      <c r="R40" s="4">
        <v>389460.25</v>
      </c>
      <c r="S40" s="4">
        <v>369041.39</v>
      </c>
      <c r="T40" s="4">
        <v>369041.39</v>
      </c>
      <c r="U40" s="4">
        <v>377762.51</v>
      </c>
      <c r="V40" s="4">
        <v>375672.77</v>
      </c>
      <c r="W40" s="4">
        <v>375672.77</v>
      </c>
      <c r="X40" s="4">
        <v>395007.07</v>
      </c>
      <c r="Y40" s="4">
        <v>412437.03</v>
      </c>
      <c r="Z40" s="4">
        <v>430509.34</v>
      </c>
      <c r="AA40" s="4">
        <v>443408.49</v>
      </c>
      <c r="AB40" s="4">
        <v>468577.97</v>
      </c>
      <c r="AC40" s="4">
        <v>504895.67</v>
      </c>
      <c r="AD40" s="4">
        <v>517917.61</v>
      </c>
      <c r="AE40" s="4">
        <v>538293.18999999994</v>
      </c>
      <c r="AF40" s="11">
        <v>543243.09</v>
      </c>
      <c r="AG40" s="11">
        <v>543243.09</v>
      </c>
      <c r="AH40" s="11">
        <v>562302.87</v>
      </c>
      <c r="AI40" s="11">
        <v>578537.94999999995</v>
      </c>
      <c r="AJ40" s="11">
        <v>625376.76</v>
      </c>
      <c r="AK40" s="11">
        <v>517254.59</v>
      </c>
      <c r="AL40" s="4">
        <v>549444.43999999994</v>
      </c>
      <c r="AM40" s="4">
        <v>582278.68999999994</v>
      </c>
      <c r="AN40" s="4">
        <v>600663.06999999995</v>
      </c>
      <c r="AO40" s="4">
        <v>611368.69999999995</v>
      </c>
      <c r="AP40" s="4">
        <v>630599.96</v>
      </c>
      <c r="AQ40" s="4">
        <v>630599.97</v>
      </c>
      <c r="AR40" s="4">
        <v>680984.68</v>
      </c>
      <c r="AS40" s="4">
        <v>635942.27</v>
      </c>
      <c r="AT40" s="11">
        <v>635942.27</v>
      </c>
      <c r="AU40" s="11">
        <v>650123.61</v>
      </c>
      <c r="AV40" s="11">
        <v>699882.05</v>
      </c>
      <c r="AW40" s="11">
        <v>740388.41</v>
      </c>
      <c r="AX40" s="11">
        <v>749491.61</v>
      </c>
      <c r="AY40" s="11">
        <v>721941.77</v>
      </c>
      <c r="AZ40" s="11">
        <v>861529.13</v>
      </c>
      <c r="BA40" s="11">
        <v>969092.58</v>
      </c>
      <c r="BB40" s="11">
        <v>920770.45</v>
      </c>
      <c r="BC40" s="11">
        <v>1081070.77</v>
      </c>
      <c r="BD40" s="11">
        <v>1322211.42</v>
      </c>
      <c r="BE40" s="11">
        <v>1451551.84</v>
      </c>
      <c r="BF40" s="11">
        <v>1245826.92</v>
      </c>
      <c r="BG40" s="11">
        <v>1245826.92</v>
      </c>
      <c r="BH40" s="4">
        <v>1289715.69</v>
      </c>
      <c r="BI40" s="4">
        <v>1444725.74</v>
      </c>
      <c r="BJ40" s="4">
        <v>1483230.69</v>
      </c>
      <c r="BK40" s="4">
        <v>1512964.91</v>
      </c>
      <c r="BL40" s="4">
        <v>1746824.47</v>
      </c>
      <c r="BM40" s="4">
        <v>1778539.35</v>
      </c>
      <c r="BN40" s="4">
        <v>2001970.66</v>
      </c>
      <c r="BO40" s="4">
        <v>2075959.8</v>
      </c>
      <c r="BP40" s="4">
        <v>2215115.23</v>
      </c>
      <c r="BQ40" s="4">
        <v>2327127.58</v>
      </c>
      <c r="BR40" s="4">
        <v>2474631.3199999998</v>
      </c>
      <c r="BS40" s="4">
        <v>2482963.63</v>
      </c>
      <c r="BT40" s="4">
        <f>IF(OR(MID(TBBP[[#This Row],[Coluna1]],1,1)="1",MID(TBBP[[#This Row],[Coluna1]],1,1)="2"),TBBP[[#This Row],[Coluna127]],SUM(BH40:BS40))</f>
        <v>2482963.63</v>
      </c>
      <c r="BU40" s="4">
        <v>2688938.44</v>
      </c>
      <c r="BV40" s="4">
        <v>2788677.61</v>
      </c>
      <c r="BW40" s="4">
        <v>2771244</v>
      </c>
      <c r="BX40" s="4">
        <v>2771245</v>
      </c>
      <c r="BY40" s="4">
        <v>2771246</v>
      </c>
      <c r="BZ40" s="4">
        <v>2771247</v>
      </c>
      <c r="CA40" s="4">
        <v>2771248</v>
      </c>
      <c r="CB40" s="4">
        <v>2771249</v>
      </c>
      <c r="CC40" s="4">
        <v>2727401.93</v>
      </c>
      <c r="CD40" s="4">
        <v>2727402.93</v>
      </c>
      <c r="CE40" s="4">
        <v>2727403.93</v>
      </c>
      <c r="CF40" s="4">
        <v>2727404.93</v>
      </c>
      <c r="CG40" s="4">
        <f>IF(OR(MID(TBBP[[#This Row],[Coluna1]],1,1)="1",MID(TBBP[[#This Row],[Coluna1]],1,1)="2"),CF40,SUM(BU40:CF40))</f>
        <v>2727404.93</v>
      </c>
      <c r="CH40" s="4">
        <v>3828733.63</v>
      </c>
      <c r="CI40" s="4">
        <v>3896224.27</v>
      </c>
      <c r="CJ40" s="4">
        <v>3796525.16</v>
      </c>
      <c r="CK40" s="4">
        <v>4043743.44</v>
      </c>
      <c r="CL40" s="4">
        <v>2570133.89</v>
      </c>
      <c r="CM40" s="4">
        <v>2662519.2000000002</v>
      </c>
      <c r="CN40" s="4">
        <v>2744543.47</v>
      </c>
      <c r="CO40" s="4">
        <v>2929817.91</v>
      </c>
      <c r="CP40" s="4">
        <v>2988704.74</v>
      </c>
      <c r="CQ40" s="4">
        <v>2920761.46</v>
      </c>
      <c r="CR40" s="4">
        <v>2970671.3</v>
      </c>
      <c r="CS40" s="4">
        <v>3081714.38</v>
      </c>
      <c r="CT40" s="4">
        <f>IF(OR(MID(TBBP[[#This Row],[Coluna1]],1,1)="1",MID(TBBP[[#This Row],[Coluna1]],1,1)="2"),CS40,SUM(CH40:CS40))</f>
        <v>3081714.38</v>
      </c>
      <c r="CU40" s="255">
        <v>3376875.38</v>
      </c>
      <c r="CV40" s="255">
        <v>3173499.5</v>
      </c>
      <c r="CW40" s="255">
        <v>3100871.31</v>
      </c>
      <c r="CX40" s="255">
        <v>3097752.17</v>
      </c>
      <c r="CY40" s="255">
        <v>3244523.66</v>
      </c>
      <c r="CZ40" s="255">
        <v>3340820.15</v>
      </c>
      <c r="DA40" s="255">
        <v>3383656.2</v>
      </c>
      <c r="DB40" s="255">
        <v>0</v>
      </c>
      <c r="DC40" s="255">
        <v>0</v>
      </c>
      <c r="DD40" s="255">
        <v>0</v>
      </c>
      <c r="DE40" s="255">
        <v>0</v>
      </c>
      <c r="DF40" s="255">
        <v>0</v>
      </c>
      <c r="DG40" s="255">
        <v>0</v>
      </c>
      <c r="DH40" s="255">
        <v>0</v>
      </c>
      <c r="DI40" s="255">
        <v>0</v>
      </c>
      <c r="DJ40" s="255">
        <v>0</v>
      </c>
      <c r="DK40" s="255">
        <v>0</v>
      </c>
      <c r="DL40" s="255">
        <v>0</v>
      </c>
      <c r="DM40" s="255">
        <v>0</v>
      </c>
      <c r="DO40" s="9"/>
      <c r="DP40" s="30" t="str">
        <f>IF(OR(MID(TBBP[[#This Row],[Coluna1]],1,1)="1",MID(TBBP[[#This Row],[Coluna1]],1,1)="2"),"-",SUMIFS(40:40,listaPeriodos,$DR$1,listaPeriodos,$DR$2))</f>
        <v>-</v>
      </c>
      <c r="DR40" s="30">
        <f t="shared" si="11"/>
        <v>0</v>
      </c>
      <c r="DS40" s="30"/>
      <c r="DT40" s="30"/>
      <c r="DU40"/>
    </row>
    <row r="41" spans="1:125" x14ac:dyDescent="0.3">
      <c r="A41" s="7" t="s">
        <v>995</v>
      </c>
      <c r="B41" t="s">
        <v>997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11">
        <v>0</v>
      </c>
      <c r="AG41" s="11">
        <v>0</v>
      </c>
      <c r="AH41" s="11">
        <v>0</v>
      </c>
      <c r="AI41" s="11">
        <v>0</v>
      </c>
      <c r="AJ41" s="11">
        <v>0</v>
      </c>
      <c r="AK41" s="11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11">
        <v>0</v>
      </c>
      <c r="AU41" s="11">
        <v>0</v>
      </c>
      <c r="AV41" s="11">
        <v>0</v>
      </c>
      <c r="AW41" s="11">
        <v>0</v>
      </c>
      <c r="AX41" s="11">
        <v>0</v>
      </c>
      <c r="AY41" s="11">
        <v>0</v>
      </c>
      <c r="AZ41" s="11">
        <v>0</v>
      </c>
      <c r="BA41" s="11">
        <v>0</v>
      </c>
      <c r="BB41" s="11">
        <v>0</v>
      </c>
      <c r="BC41" s="11">
        <v>0</v>
      </c>
      <c r="BD41" s="11">
        <v>0</v>
      </c>
      <c r="BE41" s="11">
        <v>0</v>
      </c>
      <c r="BF41" s="11">
        <v>0</v>
      </c>
      <c r="BG41" s="11">
        <v>0</v>
      </c>
      <c r="BH41" s="11">
        <v>0</v>
      </c>
      <c r="BI41" s="11">
        <v>0</v>
      </c>
      <c r="BJ41" s="11">
        <v>0</v>
      </c>
      <c r="BK41" s="11">
        <v>0</v>
      </c>
      <c r="BL41" s="11">
        <v>0</v>
      </c>
      <c r="BM41" s="11">
        <v>0</v>
      </c>
      <c r="BN41" s="11">
        <v>0</v>
      </c>
      <c r="BO41" s="11">
        <v>0</v>
      </c>
      <c r="BP41" s="11">
        <v>1001829.48</v>
      </c>
      <c r="BQ41" s="11">
        <v>1014111.87</v>
      </c>
      <c r="BR41" s="11">
        <v>1026544.85</v>
      </c>
      <c r="BS41" s="11">
        <v>1040397.24</v>
      </c>
      <c r="BT41" s="11">
        <f>IF(OR(MID(TBBP[[#This Row],[Coluna1]],1,1)="1",MID(TBBP[[#This Row],[Coluna1]],1,1)="2"),TBBP[[#This Row],[Coluna127]],SUM(BH41:BS41))</f>
        <v>1040397.24</v>
      </c>
      <c r="BU41" s="11">
        <v>1054436.56</v>
      </c>
      <c r="BV41" s="11">
        <v>1066064.08</v>
      </c>
      <c r="BW41" s="11">
        <v>1081108.24</v>
      </c>
      <c r="BX41" s="11">
        <v>1093029.8700000001</v>
      </c>
      <c r="BY41" s="11">
        <v>1107779.43</v>
      </c>
      <c r="BZ41" s="11">
        <v>1122044.18</v>
      </c>
      <c r="CA41" s="11">
        <v>1136492.6200000001</v>
      </c>
      <c r="CB41" s="11">
        <v>1152046.8400000001</v>
      </c>
      <c r="CC41" s="11">
        <v>1165533.8700000001</v>
      </c>
      <c r="CD41" s="11">
        <v>1179499.53</v>
      </c>
      <c r="CE41" s="11">
        <v>1192500.97</v>
      </c>
      <c r="CF41" s="11">
        <v>1205338.19</v>
      </c>
      <c r="CG41" s="11">
        <f>IF(OR(MID(TBBP[[#This Row],[Coluna1]],1,1)="1",MID(TBBP[[#This Row],[Coluna1]],1,1)="2"),CF41,SUM(BU41:CF41))</f>
        <v>1205338.19</v>
      </c>
      <c r="CH41" s="11">
        <v>1219333.3999999999</v>
      </c>
      <c r="CI41" s="11">
        <v>1231077.21</v>
      </c>
      <c r="CJ41" s="11">
        <v>1243399.8799999999</v>
      </c>
      <c r="CK41" s="11">
        <v>1256652.1299999999</v>
      </c>
      <c r="CL41" s="11">
        <v>1269228.68</v>
      </c>
      <c r="CM41" s="11">
        <v>1281244.48</v>
      </c>
      <c r="CN41" s="11">
        <v>1295203.3500000001</v>
      </c>
      <c r="CO41" s="11">
        <v>1308697.6000000001</v>
      </c>
      <c r="CP41" s="11">
        <v>1321809.25</v>
      </c>
      <c r="CQ41" s="11">
        <v>0</v>
      </c>
      <c r="CR41" s="11">
        <v>0</v>
      </c>
      <c r="CS41" s="11">
        <v>0</v>
      </c>
      <c r="CT41" s="11">
        <f>IF(OR(MID(TBBP[[#This Row],[Coluna1]],1,1)="1",MID(TBBP[[#This Row],[Coluna1]],1,1)="2"),CS41,SUM(CH41:CS41))</f>
        <v>0</v>
      </c>
      <c r="CU41" s="256">
        <v>0</v>
      </c>
      <c r="CV41" s="256">
        <v>0</v>
      </c>
      <c r="CW41" s="256">
        <v>0</v>
      </c>
      <c r="CX41" s="256">
        <v>0</v>
      </c>
      <c r="CY41" s="256">
        <v>0</v>
      </c>
      <c r="CZ41" s="256">
        <v>0</v>
      </c>
      <c r="DA41" s="256">
        <v>0</v>
      </c>
      <c r="DB41" s="256">
        <v>0</v>
      </c>
      <c r="DC41" s="256">
        <v>0</v>
      </c>
      <c r="DD41" s="256">
        <v>0</v>
      </c>
      <c r="DE41" s="256">
        <v>0</v>
      </c>
      <c r="DF41" s="256">
        <v>0</v>
      </c>
      <c r="DG41" s="256">
        <v>0</v>
      </c>
      <c r="DH41" s="256">
        <v>0</v>
      </c>
      <c r="DI41" s="256">
        <v>0</v>
      </c>
      <c r="DJ41" s="256">
        <v>0</v>
      </c>
      <c r="DK41" s="256">
        <v>0</v>
      </c>
      <c r="DL41" s="256">
        <v>0</v>
      </c>
      <c r="DM41" s="256">
        <v>0</v>
      </c>
      <c r="DO41" s="9"/>
      <c r="DP41" s="30" t="str">
        <f>IF(OR(MID(TBBP[[#This Row],[Coluna1]],1,1)="1",MID(TBBP[[#This Row],[Coluna1]],1,1)="2"),"-",SUMIFS(41:41,listaPeriodos,$DR$1,listaPeriodos,$DR$2))</f>
        <v>-</v>
      </c>
      <c r="DR41" s="30">
        <f t="shared" ref="DR41:DR75" si="50">DQ41*$DS$1</f>
        <v>0</v>
      </c>
      <c r="DS41" s="30"/>
      <c r="DT41" s="30"/>
      <c r="DU41"/>
    </row>
    <row r="42" spans="1:125" x14ac:dyDescent="0.3">
      <c r="A42" s="72" t="s">
        <v>51</v>
      </c>
      <c r="B42" s="64" t="s">
        <v>17</v>
      </c>
      <c r="C42" s="65">
        <f>SUM(C43:C57)</f>
        <v>1195182.1700000002</v>
      </c>
      <c r="D42" s="65">
        <f t="shared" ref="D42:AI42" si="51">SUM(D43:D57)</f>
        <v>2823704.42</v>
      </c>
      <c r="E42" s="65">
        <f t="shared" si="51"/>
        <v>2921165.83</v>
      </c>
      <c r="F42" s="65">
        <f t="shared" si="51"/>
        <v>2882083.58</v>
      </c>
      <c r="G42" s="65">
        <f t="shared" si="51"/>
        <v>3478596.9999999991</v>
      </c>
      <c r="H42" s="65">
        <f t="shared" si="51"/>
        <v>3412226.7299999995</v>
      </c>
      <c r="I42" s="65">
        <f t="shared" si="51"/>
        <v>3359106.7299999991</v>
      </c>
      <c r="J42" s="65">
        <f t="shared" si="51"/>
        <v>3126336.73</v>
      </c>
      <c r="K42" s="65">
        <f t="shared" si="51"/>
        <v>3095804.2100000004</v>
      </c>
      <c r="L42" s="65">
        <f t="shared" si="51"/>
        <v>3064091.44</v>
      </c>
      <c r="M42" s="65">
        <f t="shared" si="51"/>
        <v>3035252.78</v>
      </c>
      <c r="N42" s="65">
        <f t="shared" si="51"/>
        <v>2881711.06</v>
      </c>
      <c r="O42" s="65">
        <f t="shared" si="51"/>
        <v>3005627.9899999993</v>
      </c>
      <c r="P42" s="65">
        <f t="shared" si="51"/>
        <v>2842877.9299999997</v>
      </c>
      <c r="Q42" s="65">
        <f t="shared" si="51"/>
        <v>3358603.72</v>
      </c>
      <c r="R42" s="65">
        <f t="shared" si="51"/>
        <v>3326097.7600000007</v>
      </c>
      <c r="S42" s="65">
        <f t="shared" si="51"/>
        <v>3277360.01</v>
      </c>
      <c r="T42" s="65">
        <f>IF(OR(MID(TBBP[[#This Row],[Coluna1]],1,1)="1",MID(TBBP[[#This Row],[Coluna1]],1,1)="2"),TBBP[[#This Row],[Coluna19]],SUM(H42:S42))</f>
        <v>3277360.01</v>
      </c>
      <c r="U42" s="65">
        <f t="shared" si="51"/>
        <v>3240193.3099999996</v>
      </c>
      <c r="V42" s="65">
        <f t="shared" si="51"/>
        <v>3266345.0500000007</v>
      </c>
      <c r="W42" s="65">
        <f t="shared" si="51"/>
        <v>3293086.9900000007</v>
      </c>
      <c r="X42" s="65">
        <f t="shared" si="51"/>
        <v>3301624.7900000005</v>
      </c>
      <c r="Y42" s="65">
        <f t="shared" si="51"/>
        <v>3299742.6700000004</v>
      </c>
      <c r="Z42" s="65">
        <f t="shared" si="51"/>
        <v>3187639.32</v>
      </c>
      <c r="AA42" s="65">
        <f t="shared" si="51"/>
        <v>3236385.57</v>
      </c>
      <c r="AB42" s="65">
        <f t="shared" si="51"/>
        <v>3185721</v>
      </c>
      <c r="AC42" s="65">
        <f t="shared" si="51"/>
        <v>3119759.7299999995</v>
      </c>
      <c r="AD42" s="65">
        <f t="shared" si="51"/>
        <v>3128365.3699999996</v>
      </c>
      <c r="AE42" s="65">
        <f t="shared" si="51"/>
        <v>3091026.4600000009</v>
      </c>
      <c r="AF42" s="65">
        <f t="shared" si="51"/>
        <v>3258919.9900000007</v>
      </c>
      <c r="AG42" s="65">
        <f>IF(OR(MID(TBBP[[#This Row],[Coluna1]],1,1)="1",MID(TBBP[[#This Row],[Coluna1]],1,1)="2"),TBBP[[#This Row],[Coluna32]],SUM(U42:AF42))</f>
        <v>3258919.9900000007</v>
      </c>
      <c r="AH42" s="65">
        <f t="shared" si="51"/>
        <v>3254255.0600000005</v>
      </c>
      <c r="AI42" s="65">
        <f t="shared" si="51"/>
        <v>3219668.0199999996</v>
      </c>
      <c r="AJ42" s="65">
        <f t="shared" ref="AJ42:AS42" si="52">SUM(AJ43:AJ57)</f>
        <v>3219698.8899999997</v>
      </c>
      <c r="AK42" s="65">
        <f t="shared" si="52"/>
        <v>3169533.55</v>
      </c>
      <c r="AL42" s="65">
        <f t="shared" si="52"/>
        <v>3514277.9999999995</v>
      </c>
      <c r="AM42" s="65">
        <f t="shared" si="52"/>
        <v>3679892.0899999989</v>
      </c>
      <c r="AN42" s="65">
        <f t="shared" si="52"/>
        <v>3676097.5599999996</v>
      </c>
      <c r="AO42" s="65">
        <f t="shared" si="52"/>
        <v>3746634.8200000003</v>
      </c>
      <c r="AP42" s="65">
        <f t="shared" si="52"/>
        <v>3830346.23</v>
      </c>
      <c r="AQ42" s="65">
        <f t="shared" si="52"/>
        <v>3787317.73</v>
      </c>
      <c r="AR42" s="65">
        <f t="shared" si="52"/>
        <v>3831791.8499999996</v>
      </c>
      <c r="AS42" s="65">
        <f t="shared" si="52"/>
        <v>3838845.89</v>
      </c>
      <c r="AT42" s="65">
        <f>IF(OR(MID(TBBP[[#This Row],[Coluna1]],1,1)="1",MID(TBBP[[#This Row],[Coluna1]],1,1)="2"),TBBP[[#This Row],[Coluna45]],SUM(AH42:AS42))</f>
        <v>3838845.89</v>
      </c>
      <c r="AU42" s="65">
        <f t="shared" ref="AU42:BF42" si="53">SUM(AU43:AU57)</f>
        <v>3959437.91</v>
      </c>
      <c r="AV42" s="65">
        <f t="shared" si="53"/>
        <v>4219425.21</v>
      </c>
      <c r="AW42" s="65">
        <f t="shared" si="53"/>
        <v>4277622.8000000007</v>
      </c>
      <c r="AX42" s="65">
        <f t="shared" si="53"/>
        <v>4270132.4700000007</v>
      </c>
      <c r="AY42" s="65">
        <f t="shared" si="53"/>
        <v>4398046.01</v>
      </c>
      <c r="AZ42" s="65">
        <f t="shared" si="53"/>
        <v>4448636.33</v>
      </c>
      <c r="BA42" s="65">
        <f t="shared" si="53"/>
        <v>4548347.2200000007</v>
      </c>
      <c r="BB42" s="65">
        <f t="shared" si="53"/>
        <v>4492814.09</v>
      </c>
      <c r="BC42" s="65">
        <f t="shared" si="53"/>
        <v>4503572.3100000005</v>
      </c>
      <c r="BD42" s="65">
        <f t="shared" si="53"/>
        <v>4513782.01</v>
      </c>
      <c r="BE42" s="65">
        <f t="shared" si="53"/>
        <v>4707766.45</v>
      </c>
      <c r="BF42" s="65">
        <f t="shared" si="53"/>
        <v>5026955.57</v>
      </c>
      <c r="BG42" s="65">
        <f>SUM(BG43:BG57)</f>
        <v>5026955.57</v>
      </c>
      <c r="BH42" s="65">
        <f t="shared" ref="BH42:BS42" si="54">SUM(BH43:BH57)</f>
        <v>4916688.51</v>
      </c>
      <c r="BI42" s="65">
        <f t="shared" si="54"/>
        <v>4402364.8099999996</v>
      </c>
      <c r="BJ42" s="65">
        <f t="shared" si="54"/>
        <v>4692052.4999999991</v>
      </c>
      <c r="BK42" s="65">
        <f t="shared" si="54"/>
        <v>4865575.5399999991</v>
      </c>
      <c r="BL42" s="65">
        <f t="shared" si="54"/>
        <v>5112945.3899999978</v>
      </c>
      <c r="BM42" s="65">
        <f t="shared" si="54"/>
        <v>5085859.5699999984</v>
      </c>
      <c r="BN42" s="65">
        <f t="shared" si="54"/>
        <v>5071283.9500000011</v>
      </c>
      <c r="BO42" s="65">
        <f t="shared" si="54"/>
        <v>5069966.34</v>
      </c>
      <c r="BP42" s="65">
        <f t="shared" si="54"/>
        <v>4916414.1000000015</v>
      </c>
      <c r="BQ42" s="65">
        <f t="shared" si="54"/>
        <v>5435027.0100000007</v>
      </c>
      <c r="BR42" s="65">
        <f t="shared" si="54"/>
        <v>5504357.3599999994</v>
      </c>
      <c r="BS42" s="65">
        <f t="shared" si="54"/>
        <v>5474945.4299999997</v>
      </c>
      <c r="BT42" s="65">
        <f t="shared" ref="BT42:DM42" si="55">SUM(BT43:BT57)</f>
        <v>5474945.4299999997</v>
      </c>
      <c r="BU42" s="65">
        <f t="shared" si="55"/>
        <v>5459341.8499999996</v>
      </c>
      <c r="BV42" s="65">
        <f t="shared" si="55"/>
        <v>5460340.3099999987</v>
      </c>
      <c r="BW42" s="65">
        <f t="shared" si="55"/>
        <v>5414749.6200000001</v>
      </c>
      <c r="BX42" s="65">
        <f t="shared" si="55"/>
        <v>5550154.9000000004</v>
      </c>
      <c r="BY42" s="65">
        <f t="shared" si="55"/>
        <v>5566943.8700000001</v>
      </c>
      <c r="BZ42" s="65">
        <f t="shared" si="55"/>
        <v>5610642.3799999999</v>
      </c>
      <c r="CA42" s="65">
        <f t="shared" si="55"/>
        <v>5602184.8699999992</v>
      </c>
      <c r="CB42" s="65">
        <f t="shared" si="55"/>
        <v>5811125.9400000013</v>
      </c>
      <c r="CC42" s="65">
        <f t="shared" si="55"/>
        <v>5943444.8399999999</v>
      </c>
      <c r="CD42" s="65">
        <f t="shared" si="55"/>
        <v>6300163.2600000016</v>
      </c>
      <c r="CE42" s="65">
        <f t="shared" si="55"/>
        <v>6612513.0700000003</v>
      </c>
      <c r="CF42" s="65">
        <v>6620018.870000001</v>
      </c>
      <c r="CG42" s="65">
        <f t="shared" si="55"/>
        <v>6620018.870000001</v>
      </c>
      <c r="CH42" s="65">
        <f t="shared" si="55"/>
        <v>6894098.8200000003</v>
      </c>
      <c r="CI42" s="65">
        <f t="shared" si="55"/>
        <v>6977962.0700000003</v>
      </c>
      <c r="CJ42" s="65">
        <f t="shared" si="55"/>
        <v>7849588.5600000005</v>
      </c>
      <c r="CK42" s="65">
        <f t="shared" si="55"/>
        <v>7904441.7199999988</v>
      </c>
      <c r="CL42" s="65">
        <f t="shared" si="55"/>
        <v>12739154.32</v>
      </c>
      <c r="CM42" s="65">
        <f t="shared" si="55"/>
        <v>12906237.100000003</v>
      </c>
      <c r="CN42" s="65">
        <f t="shared" si="55"/>
        <v>13887556.23</v>
      </c>
      <c r="CO42" s="65">
        <f t="shared" si="55"/>
        <v>13927713.839999998</v>
      </c>
      <c r="CP42" s="65">
        <f t="shared" si="55"/>
        <v>13726916.16</v>
      </c>
      <c r="CQ42" s="65">
        <f t="shared" si="55"/>
        <v>13587897.16</v>
      </c>
      <c r="CR42" s="65">
        <f t="shared" si="55"/>
        <v>13325855.279999999</v>
      </c>
      <c r="CS42" s="65">
        <f t="shared" si="55"/>
        <v>13165418.600000001</v>
      </c>
      <c r="CT42" s="65">
        <f t="shared" si="55"/>
        <v>13165418.600000001</v>
      </c>
      <c r="CU42" s="65">
        <f t="shared" si="55"/>
        <v>13087312.220000003</v>
      </c>
      <c r="CV42" s="65">
        <f t="shared" si="55"/>
        <v>12923933.750000006</v>
      </c>
      <c r="CW42" s="65">
        <f t="shared" si="55"/>
        <v>12753833.630000006</v>
      </c>
      <c r="CX42" s="65">
        <f t="shared" si="55"/>
        <v>12516409.040000001</v>
      </c>
      <c r="CY42" s="65">
        <f t="shared" si="55"/>
        <v>12758768.560000001</v>
      </c>
      <c r="CZ42" s="65">
        <f t="shared" si="55"/>
        <v>12589434.069999998</v>
      </c>
      <c r="DA42" s="65">
        <f t="shared" si="55"/>
        <v>12554066.440000005</v>
      </c>
      <c r="DB42" s="65">
        <f t="shared" si="55"/>
        <v>12585554.620000001</v>
      </c>
      <c r="DC42" s="65">
        <f t="shared" si="55"/>
        <v>12687778.830000002</v>
      </c>
      <c r="DD42" s="65">
        <f t="shared" si="55"/>
        <v>12364082.670000002</v>
      </c>
      <c r="DE42" s="65">
        <f t="shared" si="55"/>
        <v>12167204.700000003</v>
      </c>
      <c r="DF42" s="65">
        <f t="shared" si="55"/>
        <v>12128013.750000004</v>
      </c>
      <c r="DG42" s="65">
        <f t="shared" si="55"/>
        <v>12128013.750000004</v>
      </c>
      <c r="DH42" s="65">
        <f t="shared" si="55"/>
        <v>12006708.810000002</v>
      </c>
      <c r="DI42" s="65">
        <f t="shared" si="55"/>
        <v>11795175.800000004</v>
      </c>
      <c r="DJ42" s="65">
        <f t="shared" si="55"/>
        <v>11601556.390000001</v>
      </c>
      <c r="DK42" s="65">
        <f t="shared" si="55"/>
        <v>11435717.110000005</v>
      </c>
      <c r="DL42" s="65">
        <f t="shared" si="55"/>
        <v>11282604.100000005</v>
      </c>
      <c r="DM42" s="65">
        <f t="shared" si="55"/>
        <v>11181763.350000003</v>
      </c>
      <c r="DO42" s="9"/>
      <c r="DP42" s="30" t="str">
        <f>IF(OR(MID(TBBP[[#This Row],[Coluna1]],1,1)="1",MID(TBBP[[#This Row],[Coluna1]],1,1)="2"),"-",SUMIFS(42:42,listaPeriodos,$DR$1,listaPeriodos,$DR$2))</f>
        <v>-</v>
      </c>
      <c r="DR42" s="30">
        <f t="shared" si="50"/>
        <v>0</v>
      </c>
      <c r="DS42" s="30"/>
      <c r="DT42" s="30"/>
      <c r="DU42"/>
    </row>
    <row r="43" spans="1:125" x14ac:dyDescent="0.3">
      <c r="A43" s="7" t="s">
        <v>52</v>
      </c>
      <c r="B43" t="s">
        <v>18</v>
      </c>
      <c r="C43" s="4">
        <v>46932.24</v>
      </c>
      <c r="D43" s="4">
        <v>68069.100000000006</v>
      </c>
      <c r="E43" s="4">
        <v>68872.070000000007</v>
      </c>
      <c r="F43" s="4">
        <v>86842.01</v>
      </c>
      <c r="G43" s="4">
        <v>98641.919999999998</v>
      </c>
      <c r="H43" s="4">
        <v>98641.919999999998</v>
      </c>
      <c r="I43" s="4">
        <v>98641.919999999998</v>
      </c>
      <c r="J43" s="4">
        <v>98641.919999999998</v>
      </c>
      <c r="K43" s="4">
        <v>100121.92</v>
      </c>
      <c r="L43" s="4">
        <v>106791.92</v>
      </c>
      <c r="M43" s="4">
        <v>108389.92</v>
      </c>
      <c r="N43" s="4">
        <v>108389.92</v>
      </c>
      <c r="O43" s="4">
        <v>109520.8</v>
      </c>
      <c r="P43" s="4">
        <v>109520.8</v>
      </c>
      <c r="Q43" s="4">
        <v>109520.8</v>
      </c>
      <c r="R43" s="4">
        <v>110077.88</v>
      </c>
      <c r="S43" s="4">
        <v>110077.88</v>
      </c>
      <c r="T43" s="4">
        <f>IF(OR(MID(TBBP[[#This Row],[Coluna1]],1,1)="1",MID(TBBP[[#This Row],[Coluna1]],1,1)="2"),TBBP[[#This Row],[Coluna19]],SUM(H43:S43))</f>
        <v>110077.88</v>
      </c>
      <c r="U43" s="4">
        <v>110077.88</v>
      </c>
      <c r="V43" s="4">
        <v>110077.88</v>
      </c>
      <c r="W43" s="4">
        <v>110077.88</v>
      </c>
      <c r="X43" s="4">
        <v>110077.88</v>
      </c>
      <c r="Y43" s="4">
        <v>110390.13</v>
      </c>
      <c r="Z43" s="4">
        <v>110390.13</v>
      </c>
      <c r="AA43" s="4">
        <v>110390.13</v>
      </c>
      <c r="AB43" s="4">
        <v>111789.13</v>
      </c>
      <c r="AC43" s="4">
        <v>112566.07</v>
      </c>
      <c r="AD43" s="4">
        <v>112566.07</v>
      </c>
      <c r="AE43" s="4">
        <v>112566.07</v>
      </c>
      <c r="AF43" s="4">
        <v>112566.07</v>
      </c>
      <c r="AG43" s="4">
        <f>IF(OR(MID(TBBP[[#This Row],[Coluna1]],1,1)="1",MID(TBBP[[#This Row],[Coluna1]],1,1)="2"),TBBP[[#This Row],[Coluna32]],SUM(U43:AF43))</f>
        <v>112566.07</v>
      </c>
      <c r="AH43" s="4">
        <v>112566.07</v>
      </c>
      <c r="AI43" s="4">
        <v>112566.07</v>
      </c>
      <c r="AJ43" s="4">
        <v>112566.07</v>
      </c>
      <c r="AK43" s="4">
        <v>112566.07</v>
      </c>
      <c r="AL43" s="4">
        <v>112566.07</v>
      </c>
      <c r="AM43" s="4">
        <v>112566.07</v>
      </c>
      <c r="AN43" s="4">
        <v>113888.33</v>
      </c>
      <c r="AO43" s="4">
        <v>116937.03</v>
      </c>
      <c r="AP43" s="4">
        <v>117578.25</v>
      </c>
      <c r="AQ43" s="4">
        <v>122251.86</v>
      </c>
      <c r="AR43" s="4">
        <v>124001.16</v>
      </c>
      <c r="AS43" s="4">
        <v>132954.82</v>
      </c>
      <c r="AT43" s="4">
        <f>IF(OR(MID(TBBP[[#This Row],[Coluna1]],1,1)="1",MID(TBBP[[#This Row],[Coluna1]],1,1)="2"),TBBP[[#This Row],[Coluna45]],SUM(AH43:AS43))</f>
        <v>132954.82</v>
      </c>
      <c r="AU43" s="4">
        <v>132954.82</v>
      </c>
      <c r="AV43" s="4">
        <v>134373.75</v>
      </c>
      <c r="AW43" s="4">
        <v>139179.01999999999</v>
      </c>
      <c r="AX43" s="4">
        <v>145349.72</v>
      </c>
      <c r="AY43" s="4">
        <v>148942.28</v>
      </c>
      <c r="AZ43" s="4">
        <v>153682.28</v>
      </c>
      <c r="BA43" s="4">
        <v>157006.43</v>
      </c>
      <c r="BB43" s="4">
        <v>157006.43</v>
      </c>
      <c r="BC43" s="4">
        <v>167660.35999999999</v>
      </c>
      <c r="BD43" s="4">
        <v>169316.08</v>
      </c>
      <c r="BE43" s="4">
        <v>172240.21</v>
      </c>
      <c r="BF43" s="4">
        <v>173691.51</v>
      </c>
      <c r="BG43" s="4">
        <f>IF(OR(MID(TBBP[[#This Row],[Coluna1]],1,1)="1",MID(TBBP[[#This Row],[Coluna1]],1,1)="2"),TBBP[[#This Row],[Coluna58]],SUM(AU43:BF43))</f>
        <v>173691.51</v>
      </c>
      <c r="BH43" s="4">
        <v>173691.51</v>
      </c>
      <c r="BI43" s="4">
        <v>171633.54</v>
      </c>
      <c r="BJ43" s="4">
        <v>172521.65</v>
      </c>
      <c r="BK43" s="4">
        <v>172521.65</v>
      </c>
      <c r="BL43" s="4">
        <v>172521.65</v>
      </c>
      <c r="BM43" s="4">
        <v>174110.63</v>
      </c>
      <c r="BN43" s="4">
        <v>179953.9</v>
      </c>
      <c r="BO43" s="4">
        <v>184912.82</v>
      </c>
      <c r="BP43" s="4">
        <v>190556.82</v>
      </c>
      <c r="BQ43" s="4">
        <v>188624.9</v>
      </c>
      <c r="BR43" s="4">
        <v>188624.9</v>
      </c>
      <c r="BS43" s="4">
        <v>188624.9</v>
      </c>
      <c r="BT43" s="4">
        <f>IF(OR(MID(TBBP[[#This Row],[Coluna1]],1,1)="1",MID(TBBP[[#This Row],[Coluna1]],1,1)="2"),TBBP[[#This Row],[Coluna127]],SUM(BH43:BS43))</f>
        <v>188624.9</v>
      </c>
      <c r="BU43" s="4">
        <v>193385.9</v>
      </c>
      <c r="BV43" s="4">
        <v>193972.9</v>
      </c>
      <c r="BW43" s="4">
        <v>195840.2</v>
      </c>
      <c r="BX43" s="4">
        <v>196693.74</v>
      </c>
      <c r="BY43" s="4">
        <v>196693.74</v>
      </c>
      <c r="BZ43" s="4">
        <v>202293.74</v>
      </c>
      <c r="CA43" s="4">
        <v>202731.55</v>
      </c>
      <c r="CB43" s="4">
        <v>209743.66</v>
      </c>
      <c r="CC43" s="4">
        <v>216065.91</v>
      </c>
      <c r="CD43" s="4">
        <v>220600.61</v>
      </c>
      <c r="CE43" s="4">
        <v>226252.68</v>
      </c>
      <c r="CF43" s="4">
        <v>227039.81</v>
      </c>
      <c r="CG43" s="4">
        <f>IF(OR(MID(TBBP[[#This Row],[Coluna1]],1,1)="1",MID(TBBP[[#This Row],[Coluna1]],1,1)="2"),CF43,SUM(BU43:CF43))</f>
        <v>227039.81</v>
      </c>
      <c r="CH43" s="4">
        <v>231491.41</v>
      </c>
      <c r="CI43" s="4">
        <v>233519.85</v>
      </c>
      <c r="CJ43" s="4">
        <v>236221.71</v>
      </c>
      <c r="CK43" s="4">
        <v>238042.25</v>
      </c>
      <c r="CL43" s="4">
        <v>238932.25</v>
      </c>
      <c r="CM43" s="4">
        <v>245369.44</v>
      </c>
      <c r="CN43" s="4">
        <v>254362.73</v>
      </c>
      <c r="CO43" s="4">
        <v>256288.7</v>
      </c>
      <c r="CP43" s="4">
        <v>257833.2</v>
      </c>
      <c r="CQ43" s="4">
        <v>267780.96999999997</v>
      </c>
      <c r="CR43" s="4">
        <v>277081.51</v>
      </c>
      <c r="CS43" s="4">
        <v>277537.76</v>
      </c>
      <c r="CT43" s="4">
        <f>IF(OR(MID(TBBP[[#This Row],[Coluna1]],1,1)="1",MID(TBBP[[#This Row],[Coluna1]],1,1)="2"),CS43,SUM(CH43:CS43))</f>
        <v>277537.76</v>
      </c>
      <c r="CU43" s="255">
        <v>279357.15999999997</v>
      </c>
      <c r="CV43" s="255">
        <v>283451.69</v>
      </c>
      <c r="CW43" s="255">
        <v>283451.69</v>
      </c>
      <c r="CX43" s="255">
        <v>288730.46000000002</v>
      </c>
      <c r="CY43" s="255">
        <v>290876.5</v>
      </c>
      <c r="CZ43" s="255">
        <v>293571.53000000003</v>
      </c>
      <c r="DA43" s="255">
        <v>296291.46000000002</v>
      </c>
      <c r="DB43" s="255">
        <v>296291.46000000002</v>
      </c>
      <c r="DC43" s="255">
        <v>296446.46000000002</v>
      </c>
      <c r="DD43" s="255">
        <v>296446.46000000002</v>
      </c>
      <c r="DE43" s="255">
        <v>307922.24</v>
      </c>
      <c r="DF43" s="255">
        <v>308158.23</v>
      </c>
      <c r="DG43" s="255">
        <v>308158.23</v>
      </c>
      <c r="DH43" s="255">
        <v>308952.31</v>
      </c>
      <c r="DI43" s="255">
        <v>309453.07</v>
      </c>
      <c r="DJ43" s="255">
        <v>311213.07</v>
      </c>
      <c r="DK43" s="255">
        <v>312952.06</v>
      </c>
      <c r="DL43" s="255">
        <v>317658.55</v>
      </c>
      <c r="DM43" s="255">
        <v>325067.59000000003</v>
      </c>
      <c r="DO43" s="9"/>
      <c r="DP43" s="30" t="str">
        <f>IF(OR(MID(TBBP[[#This Row],[Coluna1]],1,1)="1",MID(TBBP[[#This Row],[Coluna1]],1,1)="2"),"-",SUMIFS(43:43,listaPeriodos,$DR$1,listaPeriodos,$DR$2))</f>
        <v>-</v>
      </c>
      <c r="DR43" s="30">
        <f t="shared" si="50"/>
        <v>0</v>
      </c>
      <c r="DS43" s="30"/>
      <c r="DT43" s="30"/>
      <c r="DU43"/>
    </row>
    <row r="44" spans="1:125" x14ac:dyDescent="0.3">
      <c r="A44" s="7" t="s">
        <v>53</v>
      </c>
      <c r="B44" t="s">
        <v>19</v>
      </c>
      <c r="C44" s="4">
        <v>165809.78</v>
      </c>
      <c r="D44" s="4">
        <v>245423.95</v>
      </c>
      <c r="E44" s="4">
        <v>343106.38</v>
      </c>
      <c r="F44" s="4">
        <v>324809.36</v>
      </c>
      <c r="G44" s="4">
        <v>790541.62</v>
      </c>
      <c r="H44" s="4">
        <v>775541.62</v>
      </c>
      <c r="I44" s="4">
        <v>775541.62</v>
      </c>
      <c r="J44" s="4">
        <v>747231.1</v>
      </c>
      <c r="K44" s="4">
        <v>747231.1</v>
      </c>
      <c r="L44" s="4">
        <v>747231.1</v>
      </c>
      <c r="M44" s="4">
        <v>762564.44</v>
      </c>
      <c r="N44" s="4">
        <v>762564.44</v>
      </c>
      <c r="O44" s="4">
        <v>922564.44</v>
      </c>
      <c r="P44" s="4">
        <v>799681.22</v>
      </c>
      <c r="Q44" s="4">
        <v>799681.22</v>
      </c>
      <c r="R44" s="4">
        <v>799681.22</v>
      </c>
      <c r="S44" s="4">
        <v>799681.22</v>
      </c>
      <c r="T44" s="4">
        <f>IF(OR(MID(TBBP[[#This Row],[Coluna1]],1,1)="1",MID(TBBP[[#This Row],[Coluna1]],1,1)="2"),TBBP[[#This Row],[Coluna19]],SUM(H44:S44))</f>
        <v>799681.22</v>
      </c>
      <c r="U44" s="4">
        <v>799681.22</v>
      </c>
      <c r="V44" s="4">
        <v>783932.41</v>
      </c>
      <c r="W44" s="4">
        <v>856932.41</v>
      </c>
      <c r="X44" s="4">
        <v>856932.41</v>
      </c>
      <c r="Y44" s="4">
        <v>856183.27</v>
      </c>
      <c r="Z44" s="4">
        <v>756183.27</v>
      </c>
      <c r="AA44" s="4">
        <v>834209.9</v>
      </c>
      <c r="AB44" s="4">
        <v>834209.9</v>
      </c>
      <c r="AC44" s="4">
        <v>772322.86</v>
      </c>
      <c r="AD44" s="4">
        <v>811349.49</v>
      </c>
      <c r="AE44" s="4">
        <v>811349.49</v>
      </c>
      <c r="AF44" s="4">
        <v>811349.49</v>
      </c>
      <c r="AG44" s="4">
        <f>IF(OR(MID(TBBP[[#This Row],[Coluna1]],1,1)="1",MID(TBBP[[#This Row],[Coluna1]],1,1)="2"),TBBP[[#This Row],[Coluna32]],SUM(U44:AF44))</f>
        <v>811349.49</v>
      </c>
      <c r="AH44" s="4">
        <v>811349.49</v>
      </c>
      <c r="AI44" s="4">
        <v>872764.69</v>
      </c>
      <c r="AJ44" s="4">
        <v>912198.52</v>
      </c>
      <c r="AK44" s="4">
        <v>912198.52</v>
      </c>
      <c r="AL44" s="4">
        <v>912198.52</v>
      </c>
      <c r="AM44" s="4">
        <v>912198.52</v>
      </c>
      <c r="AN44" s="4">
        <v>960843.52</v>
      </c>
      <c r="AO44" s="4">
        <v>960843.52</v>
      </c>
      <c r="AP44" s="4">
        <v>960843.52</v>
      </c>
      <c r="AQ44" s="4">
        <v>960843.52</v>
      </c>
      <c r="AR44" s="4">
        <v>960843.52</v>
      </c>
      <c r="AS44" s="4">
        <v>960843.52</v>
      </c>
      <c r="AT44" s="4">
        <f>IF(OR(MID(TBBP[[#This Row],[Coluna1]],1,1)="1",MID(TBBP[[#This Row],[Coluna1]],1,1)="2"),TBBP[[#This Row],[Coluna45]],SUM(AH44:AS44))</f>
        <v>960843.52</v>
      </c>
      <c r="AU44" s="4">
        <v>960843.52</v>
      </c>
      <c r="AV44" s="4">
        <v>1006076.5</v>
      </c>
      <c r="AW44" s="4">
        <v>1006076.5</v>
      </c>
      <c r="AX44" s="4">
        <v>1006076.5</v>
      </c>
      <c r="AY44" s="4">
        <v>1006076.5</v>
      </c>
      <c r="AZ44" s="4">
        <v>1006076.5</v>
      </c>
      <c r="BA44" s="4">
        <v>1006076.5</v>
      </c>
      <c r="BB44" s="4">
        <v>1006076.5</v>
      </c>
      <c r="BC44" s="4">
        <v>1006076.5</v>
      </c>
      <c r="BD44" s="4">
        <v>1006076.5</v>
      </c>
      <c r="BE44" s="4">
        <v>1219358.5</v>
      </c>
      <c r="BF44" s="4">
        <v>859358.5</v>
      </c>
      <c r="BG44" s="4">
        <f>IF(OR(MID(TBBP[[#This Row],[Coluna1]],1,1)="1",MID(TBBP[[#This Row],[Coluna1]],1,1)="2"),TBBP[[#This Row],[Coluna58]],SUM(AU44:BF44))</f>
        <v>859358.5</v>
      </c>
      <c r="BH44" s="4">
        <v>879322.5</v>
      </c>
      <c r="BI44" s="4">
        <v>828911.73</v>
      </c>
      <c r="BJ44" s="4">
        <v>828911.73</v>
      </c>
      <c r="BK44" s="4">
        <v>828911.73</v>
      </c>
      <c r="BL44" s="4">
        <v>828911.73</v>
      </c>
      <c r="BM44" s="4">
        <v>828911.73</v>
      </c>
      <c r="BN44" s="4">
        <v>828911.73</v>
      </c>
      <c r="BO44" s="4">
        <v>828911.73</v>
      </c>
      <c r="BP44" s="4">
        <v>828911.73</v>
      </c>
      <c r="BQ44" s="4">
        <v>828911.73</v>
      </c>
      <c r="BR44" s="4">
        <v>828911.73</v>
      </c>
      <c r="BS44" s="4">
        <v>828911.73</v>
      </c>
      <c r="BT44" s="4">
        <f>IF(OR(MID(TBBP[[#This Row],[Coluna1]],1,1)="1",MID(TBBP[[#This Row],[Coluna1]],1,1)="2"),TBBP[[#This Row],[Coluna127]],SUM(BH44:BS44))</f>
        <v>828911.73</v>
      </c>
      <c r="BU44" s="4">
        <v>828911.73</v>
      </c>
      <c r="BV44" s="4">
        <v>828911.73</v>
      </c>
      <c r="BW44" s="4">
        <v>828911.73</v>
      </c>
      <c r="BX44" s="4">
        <v>984091.24</v>
      </c>
      <c r="BY44" s="4">
        <v>984259.83</v>
      </c>
      <c r="BZ44" s="4">
        <v>984428.43</v>
      </c>
      <c r="CA44" s="4">
        <v>984597.03</v>
      </c>
      <c r="CB44" s="4">
        <v>1061303.04</v>
      </c>
      <c r="CC44" s="4">
        <v>1111625.1399999999</v>
      </c>
      <c r="CD44" s="4">
        <v>1111794.3400000001</v>
      </c>
      <c r="CE44" s="4">
        <v>1192098.04</v>
      </c>
      <c r="CF44" s="4">
        <v>1192295.93</v>
      </c>
      <c r="CG44" s="4">
        <f>IF(OR(MID(TBBP[[#This Row],[Coluna1]],1,1)="1",MID(TBBP[[#This Row],[Coluna1]],1,1)="2"),CF44,SUM(BU44:CF44))</f>
        <v>1192295.93</v>
      </c>
      <c r="CH44" s="4">
        <v>1161786.3600000001</v>
      </c>
      <c r="CI44" s="4">
        <v>1238834.75</v>
      </c>
      <c r="CJ44" s="4">
        <v>1800033.37</v>
      </c>
      <c r="CK44" s="4">
        <v>1800033.37</v>
      </c>
      <c r="CL44" s="4">
        <v>6666797.7000000002</v>
      </c>
      <c r="CM44" s="4">
        <v>6666797.7000000002</v>
      </c>
      <c r="CN44" s="4">
        <v>6745263</v>
      </c>
      <c r="CO44" s="4">
        <v>6965263</v>
      </c>
      <c r="CP44" s="4">
        <v>6965263</v>
      </c>
      <c r="CQ44" s="4">
        <v>6965263</v>
      </c>
      <c r="CR44" s="4">
        <v>6823369.5099999998</v>
      </c>
      <c r="CS44" s="4">
        <v>6823369.5099999998</v>
      </c>
      <c r="CT44" s="4">
        <f>IF(OR(MID(TBBP[[#This Row],[Coluna1]],1,1)="1",MID(TBBP[[#This Row],[Coluna1]],1,1)="2"),CS44,SUM(CH44:CS44))</f>
        <v>6823369.5099999998</v>
      </c>
      <c r="CU44" s="255">
        <v>6906706.6200000001</v>
      </c>
      <c r="CV44" s="255">
        <v>6906706.6200000001</v>
      </c>
      <c r="CW44" s="255">
        <v>6896706.6200000001</v>
      </c>
      <c r="CX44" s="255">
        <v>6896706.6200000001</v>
      </c>
      <c r="CY44" s="255">
        <v>6896706.6200000001</v>
      </c>
      <c r="CZ44" s="255">
        <v>6896706.6200000001</v>
      </c>
      <c r="DA44" s="255">
        <v>6896706.6200000001</v>
      </c>
      <c r="DB44" s="255">
        <v>6896706.6200000001</v>
      </c>
      <c r="DC44" s="255">
        <v>6896706.6200000001</v>
      </c>
      <c r="DD44" s="255">
        <v>6896706.6200000001</v>
      </c>
      <c r="DE44" s="255">
        <v>6896706.6200000001</v>
      </c>
      <c r="DF44" s="255">
        <v>6896706.6200000001</v>
      </c>
      <c r="DG44" s="255">
        <v>6896706.6200000001</v>
      </c>
      <c r="DH44" s="255">
        <v>6966706.6200000001</v>
      </c>
      <c r="DI44" s="255">
        <v>6966706.6200000001</v>
      </c>
      <c r="DJ44" s="255">
        <v>6966706.6200000001</v>
      </c>
      <c r="DK44" s="255">
        <v>6966706.6200000001</v>
      </c>
      <c r="DL44" s="255">
        <v>6966706.6200000001</v>
      </c>
      <c r="DM44" s="255">
        <v>6966706.6200000001</v>
      </c>
      <c r="DO44" s="9"/>
      <c r="DP44" s="30" t="str">
        <f>IF(OR(MID(TBBP[[#This Row],[Coluna1]],1,1)="1",MID(TBBP[[#This Row],[Coluna1]],1,1)="2"),"-",SUMIFS(44:44,listaPeriodos,$DR$1,listaPeriodos,$DR$2))</f>
        <v>-</v>
      </c>
      <c r="DR44" s="30">
        <f t="shared" si="50"/>
        <v>0</v>
      </c>
      <c r="DS44" s="30"/>
      <c r="DT44" s="30"/>
      <c r="DU44"/>
    </row>
    <row r="45" spans="1:125" x14ac:dyDescent="0.3">
      <c r="A45" s="7" t="s">
        <v>54</v>
      </c>
      <c r="B45" t="s">
        <v>4</v>
      </c>
      <c r="C45" s="4"/>
      <c r="D45" s="4"/>
      <c r="E45" s="4"/>
      <c r="F45" s="4"/>
      <c r="G45" s="4"/>
      <c r="H45" s="4">
        <v>0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>
        <f>IF(OR(MID(TBBP[[#This Row],[Coluna1]],1,1)="1",MID(TBBP[[#This Row],[Coluna1]],1,1)="2"),TBBP[[#This Row],[Coluna19]],SUM(H45:S45))</f>
        <v>0</v>
      </c>
      <c r="U45" s="4"/>
      <c r="V45" s="4"/>
      <c r="W45" s="4"/>
      <c r="X45" s="4"/>
      <c r="Y45" s="4"/>
      <c r="Z45" s="4">
        <v>0</v>
      </c>
      <c r="AA45" s="4">
        <v>0</v>
      </c>
      <c r="AB45" s="4">
        <v>0</v>
      </c>
      <c r="AC45" s="4">
        <v>0</v>
      </c>
      <c r="AD45" s="4">
        <v>321376.53000000003</v>
      </c>
      <c r="AE45" s="4">
        <v>321376.53000000003</v>
      </c>
      <c r="AF45" s="4">
        <v>321376.53000000003</v>
      </c>
      <c r="AG45" s="4">
        <f>IF(OR(MID(TBBP[[#This Row],[Coluna1]],1,1)="1",MID(TBBP[[#This Row],[Coluna1]],1,1)="2"),TBBP[[#This Row],[Coluna32]],SUM(U45:AF45))</f>
        <v>321376.53000000003</v>
      </c>
      <c r="AH45" s="4">
        <v>321376.53000000003</v>
      </c>
      <c r="AI45" s="4">
        <v>321376.53000000003</v>
      </c>
      <c r="AJ45" s="4">
        <v>321376.53000000003</v>
      </c>
      <c r="AK45" s="4">
        <v>321376.53000000003</v>
      </c>
      <c r="AL45" s="4">
        <v>321376.53000000003</v>
      </c>
      <c r="AM45" s="4">
        <v>321376.53000000003</v>
      </c>
      <c r="AN45" s="4">
        <v>321376.53000000003</v>
      </c>
      <c r="AO45" s="4">
        <v>321376.53000000003</v>
      </c>
      <c r="AP45" s="4">
        <v>321376.53000000003</v>
      </c>
      <c r="AQ45" s="4">
        <v>321376.53000000003</v>
      </c>
      <c r="AR45" s="4">
        <v>321376.53000000003</v>
      </c>
      <c r="AS45" s="4">
        <v>321376.53000000003</v>
      </c>
      <c r="AT45" s="4">
        <f>IF(OR(MID(TBBP[[#This Row],[Coluna1]],1,1)="1",MID(TBBP[[#This Row],[Coluna1]],1,1)="2"),TBBP[[#This Row],[Coluna45]],SUM(AH45:AS45))</f>
        <v>321376.53000000003</v>
      </c>
      <c r="AU45" s="4">
        <v>321376.53000000003</v>
      </c>
      <c r="AV45" s="4">
        <v>321376.53000000003</v>
      </c>
      <c r="AW45" s="4">
        <v>321376.53000000003</v>
      </c>
      <c r="AX45" s="4">
        <v>321376.53000000003</v>
      </c>
      <c r="AY45" s="4">
        <v>342545.37</v>
      </c>
      <c r="AZ45" s="4">
        <v>342545.37</v>
      </c>
      <c r="BA45" s="4">
        <v>342545.37</v>
      </c>
      <c r="BB45" s="4">
        <v>342545.37</v>
      </c>
      <c r="BC45" s="4">
        <v>342545.37</v>
      </c>
      <c r="BD45" s="4">
        <v>342545.37</v>
      </c>
      <c r="BE45" s="4">
        <v>342545.37</v>
      </c>
      <c r="BF45" s="4">
        <v>342545.37</v>
      </c>
      <c r="BG45" s="4">
        <f>IF(OR(MID(TBBP[[#This Row],[Coluna1]],1,1)="1",MID(TBBP[[#This Row],[Coluna1]],1,1)="2"),TBBP[[#This Row],[Coluna58]],SUM(AU45:BF45))</f>
        <v>342545.37</v>
      </c>
      <c r="BH45" s="4">
        <v>342545.37</v>
      </c>
      <c r="BI45" s="4">
        <v>342545.37</v>
      </c>
      <c r="BJ45" s="4">
        <v>342545.37</v>
      </c>
      <c r="BK45" s="4">
        <v>342545.37</v>
      </c>
      <c r="BL45" s="4">
        <v>342545.37</v>
      </c>
      <c r="BM45" s="4">
        <v>342545.37</v>
      </c>
      <c r="BN45" s="4">
        <v>342545.37</v>
      </c>
      <c r="BO45" s="4">
        <v>342545.37</v>
      </c>
      <c r="BP45" s="4">
        <v>342545.37</v>
      </c>
      <c r="BQ45" s="4">
        <v>342545.37</v>
      </c>
      <c r="BR45" s="4">
        <v>342545.37</v>
      </c>
      <c r="BS45" s="4">
        <v>342545.37</v>
      </c>
      <c r="BT45" s="4">
        <f>IF(OR(MID(TBBP[[#This Row],[Coluna1]],1,1)="1",MID(TBBP[[#This Row],[Coluna1]],1,1)="2"),TBBP[[#This Row],[Coluna127]],SUM(BH45:BS45))</f>
        <v>342545.37</v>
      </c>
      <c r="BU45" s="4">
        <v>342545.37</v>
      </c>
      <c r="BV45" s="4">
        <v>342545.37</v>
      </c>
      <c r="BW45" s="4">
        <v>342545.37</v>
      </c>
      <c r="BX45" s="4">
        <v>342545.37</v>
      </c>
      <c r="BY45" s="4">
        <v>342545.37</v>
      </c>
      <c r="BZ45" s="4">
        <v>342545.37</v>
      </c>
      <c r="CA45" s="4">
        <v>342545.37</v>
      </c>
      <c r="CB45" s="4">
        <v>342545.37</v>
      </c>
      <c r="CC45" s="4">
        <v>342545.37</v>
      </c>
      <c r="CD45" s="4">
        <v>342545.37</v>
      </c>
      <c r="CE45" s="4">
        <v>342545.37</v>
      </c>
      <c r="CF45" s="4">
        <v>342545.37</v>
      </c>
      <c r="CG45" s="4">
        <f>IF(OR(MID(TBBP[[#This Row],[Coluna1]],1,1)="1",MID(TBBP[[#This Row],[Coluna1]],1,1)="2"),CF45,SUM(BU45:CF45))</f>
        <v>342545.37</v>
      </c>
      <c r="CH45" s="4">
        <v>342545.37</v>
      </c>
      <c r="CI45" s="4">
        <v>342545.37</v>
      </c>
      <c r="CJ45" s="4">
        <v>342545.37</v>
      </c>
      <c r="CK45" s="4">
        <v>342545.37</v>
      </c>
      <c r="CL45" s="4">
        <v>342545.37</v>
      </c>
      <c r="CM45" s="4">
        <v>342545.37</v>
      </c>
      <c r="CN45" s="4">
        <v>342545.37</v>
      </c>
      <c r="CO45" s="4">
        <v>342545.37</v>
      </c>
      <c r="CP45" s="4">
        <v>342545.37</v>
      </c>
      <c r="CQ45" s="4">
        <v>342545.37</v>
      </c>
      <c r="CR45" s="4">
        <v>342545.37</v>
      </c>
      <c r="CS45" s="4">
        <v>342545.37</v>
      </c>
      <c r="CT45" s="4">
        <f>IF(OR(MID(TBBP[[#This Row],[Coluna1]],1,1)="1",MID(TBBP[[#This Row],[Coluna1]],1,1)="2"),CS45,SUM(CH45:CS45))</f>
        <v>342545.37</v>
      </c>
      <c r="CU45" s="255">
        <v>342545.37</v>
      </c>
      <c r="CV45" s="255">
        <v>342545.37</v>
      </c>
      <c r="CW45" s="255">
        <v>342545.37</v>
      </c>
      <c r="CX45" s="255">
        <v>342545.37</v>
      </c>
      <c r="CY45" s="255">
        <v>342545.37</v>
      </c>
      <c r="CZ45" s="255">
        <v>342545.37</v>
      </c>
      <c r="DA45" s="255">
        <v>342545.37</v>
      </c>
      <c r="DB45" s="255">
        <v>342545.37</v>
      </c>
      <c r="DC45" s="255">
        <v>342545.37</v>
      </c>
      <c r="DD45" s="255">
        <v>342545.37</v>
      </c>
      <c r="DE45" s="255">
        <v>342545.37</v>
      </c>
      <c r="DF45" s="255">
        <v>342545.37</v>
      </c>
      <c r="DG45" s="255">
        <v>342545.37</v>
      </c>
      <c r="DH45" s="255">
        <v>342545.37</v>
      </c>
      <c r="DI45" s="255">
        <v>342545.37</v>
      </c>
      <c r="DJ45" s="255">
        <v>342545.37</v>
      </c>
      <c r="DK45" s="255">
        <v>342545.37</v>
      </c>
      <c r="DL45" s="255">
        <v>342545.37</v>
      </c>
      <c r="DM45" s="255">
        <v>342545.37</v>
      </c>
      <c r="DO45" s="9"/>
      <c r="DP45" s="30" t="str">
        <f>IF(OR(MID(TBBP[[#This Row],[Coluna1]],1,1)="1",MID(TBBP[[#This Row],[Coluna1]],1,1)="2"),"-",SUMIFS(45:45,listaPeriodos,$DR$1,listaPeriodos,$DR$2))</f>
        <v>-</v>
      </c>
      <c r="DR45" s="30">
        <f t="shared" si="50"/>
        <v>0</v>
      </c>
      <c r="DS45" s="30"/>
      <c r="DT45" s="30"/>
      <c r="DU45"/>
    </row>
    <row r="46" spans="1:125" x14ac:dyDescent="0.3">
      <c r="A46" s="7" t="s">
        <v>21</v>
      </c>
      <c r="B46" t="s">
        <v>20</v>
      </c>
      <c r="C46" s="4">
        <v>0</v>
      </c>
      <c r="D46" s="4">
        <v>143334.5</v>
      </c>
      <c r="E46" s="4">
        <v>143334.5</v>
      </c>
      <c r="F46" s="4">
        <v>204749.7</v>
      </c>
      <c r="G46" s="4">
        <v>61415.199999999997</v>
      </c>
      <c r="H46" s="4">
        <v>61415.199999999997</v>
      </c>
      <c r="I46" s="4">
        <v>61415.199999999997</v>
      </c>
      <c r="J46" s="4">
        <v>61415.199999999997</v>
      </c>
      <c r="K46" s="4">
        <v>61415.199999999997</v>
      </c>
      <c r="L46" s="4">
        <v>61415.199999999997</v>
      </c>
      <c r="M46" s="4">
        <v>61415.199999999997</v>
      </c>
      <c r="N46" s="4">
        <v>61415.199999999997</v>
      </c>
      <c r="O46" s="4">
        <v>61415.199999999997</v>
      </c>
      <c r="P46" s="4">
        <v>61415.199999999997</v>
      </c>
      <c r="Q46" s="4">
        <v>61415.199999999997</v>
      </c>
      <c r="R46" s="4">
        <v>61415.199999999997</v>
      </c>
      <c r="S46" s="4">
        <v>61415.199999999997</v>
      </c>
      <c r="T46" s="4">
        <f>IF(OR(MID(TBBP[[#This Row],[Coluna1]],1,1)="1",MID(TBBP[[#This Row],[Coluna1]],1,1)="2"),TBBP[[#This Row],[Coluna19]],SUM(H46:S46))</f>
        <v>61415.199999999997</v>
      </c>
      <c r="U46" s="4">
        <v>61415.199999999997</v>
      </c>
      <c r="V46" s="4">
        <v>61415.199999999997</v>
      </c>
      <c r="W46" s="4">
        <v>61415.199999999997</v>
      </c>
      <c r="X46" s="4">
        <v>61415.199999999997</v>
      </c>
      <c r="Y46" s="4">
        <v>61415.199999999997</v>
      </c>
      <c r="Z46" s="4">
        <v>61415.199999999997</v>
      </c>
      <c r="AA46" s="4">
        <v>61415.199999999997</v>
      </c>
      <c r="AB46" s="4">
        <v>61415.199999999997</v>
      </c>
      <c r="AC46" s="4">
        <v>61415.199999999997</v>
      </c>
      <c r="AD46" s="4">
        <v>61415.199999999997</v>
      </c>
      <c r="AE46" s="4">
        <v>61415.199999999997</v>
      </c>
      <c r="AF46" s="4">
        <v>61415.199999999997</v>
      </c>
      <c r="AG46" s="4">
        <f>IF(OR(MID(TBBP[[#This Row],[Coluna1]],1,1)="1",MID(TBBP[[#This Row],[Coluna1]],1,1)="2"),TBBP[[#This Row],[Coluna32]],SUM(U46:AF46))</f>
        <v>61415.199999999997</v>
      </c>
      <c r="AH46" s="4">
        <v>61415.199999999997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f>IF(OR(MID(TBBP[[#This Row],[Coluna1]],1,1)="1",MID(TBBP[[#This Row],[Coluna1]],1,1)="2"),TBBP[[#This Row],[Coluna45]],SUM(AH46:AS46))</f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f>IF(OR(MID(TBBP[[#This Row],[Coluna1]],1,1)="1",MID(TBBP[[#This Row],[Coluna1]],1,1)="2"),TBBP[[#This Row],[Coluna58]],SUM(AU46:BF46))</f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f>IF(OR(MID(TBBP[[#This Row],[Coluna1]],1,1)="1",MID(TBBP[[#This Row],[Coluna1]],1,1)="2"),TBBP[[#This Row],[Coluna127]],SUM(BH46:BS46))</f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f>IF(OR(MID(TBBP[[#This Row],[Coluna1]],1,1)="1",MID(TBBP[[#This Row],[Coluna1]],1,1)="2"),CF46,SUM(BU46:CF46))</f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f>IF(OR(MID(TBBP[[#This Row],[Coluna1]],1,1)="1",MID(TBBP[[#This Row],[Coluna1]],1,1)="2"),CS46,SUM(CH46:CS46))</f>
        <v>0</v>
      </c>
      <c r="CU46" s="255">
        <v>0</v>
      </c>
      <c r="CV46" s="255">
        <v>0</v>
      </c>
      <c r="CW46" s="255">
        <v>0</v>
      </c>
      <c r="CX46" s="255">
        <v>0</v>
      </c>
      <c r="CY46" s="255">
        <v>0</v>
      </c>
      <c r="CZ46" s="255">
        <v>0</v>
      </c>
      <c r="DA46" s="255">
        <v>0</v>
      </c>
      <c r="DB46" s="255">
        <v>0</v>
      </c>
      <c r="DC46" s="255">
        <v>0</v>
      </c>
      <c r="DD46" s="255">
        <v>0</v>
      </c>
      <c r="DE46" s="255">
        <v>0</v>
      </c>
      <c r="DF46" s="255">
        <v>0</v>
      </c>
      <c r="DG46" s="255">
        <v>0</v>
      </c>
      <c r="DH46" s="255">
        <v>0</v>
      </c>
      <c r="DI46" s="255">
        <v>0</v>
      </c>
      <c r="DJ46" s="255">
        <v>0</v>
      </c>
      <c r="DK46" s="255">
        <v>0</v>
      </c>
      <c r="DL46" s="255">
        <v>0</v>
      </c>
      <c r="DM46" s="255">
        <v>0</v>
      </c>
      <c r="DO46" s="9"/>
      <c r="DP46" s="30" t="str">
        <f>IF(OR(MID(TBBP[[#This Row],[Coluna1]],1,1)="1",MID(TBBP[[#This Row],[Coluna1]],1,1)="2"),"-",SUMIFS(46:46,listaPeriodos,$DR$1,listaPeriodos,$DR$2))</f>
        <v>-</v>
      </c>
      <c r="DR46" s="30">
        <f t="shared" si="50"/>
        <v>0</v>
      </c>
      <c r="DS46" s="30"/>
      <c r="DT46" s="30"/>
      <c r="DU46"/>
    </row>
    <row r="47" spans="1:125" x14ac:dyDescent="0.3">
      <c r="A47" s="7" t="s">
        <v>55</v>
      </c>
      <c r="B47" t="s">
        <v>22</v>
      </c>
      <c r="C47" s="4">
        <v>19889.04</v>
      </c>
      <c r="D47" s="4">
        <v>41321.78</v>
      </c>
      <c r="E47" s="4">
        <v>51236.93</v>
      </c>
      <c r="F47" s="4">
        <v>65675.61</v>
      </c>
      <c r="G47" s="4">
        <v>77850.679999999993</v>
      </c>
      <c r="H47" s="4">
        <v>77850.679999999993</v>
      </c>
      <c r="I47" s="4">
        <v>77850.679999999993</v>
      </c>
      <c r="J47" s="4">
        <v>77850.679999999993</v>
      </c>
      <c r="K47" s="4">
        <v>78974.259999999995</v>
      </c>
      <c r="L47" s="4">
        <v>82614.14</v>
      </c>
      <c r="M47" s="4">
        <v>82614.14</v>
      </c>
      <c r="N47" s="4">
        <v>83571.73</v>
      </c>
      <c r="O47" s="4">
        <v>84640.2</v>
      </c>
      <c r="P47" s="4">
        <v>84640.2</v>
      </c>
      <c r="Q47" s="4">
        <v>87347.47</v>
      </c>
      <c r="R47" s="4">
        <v>87347.47</v>
      </c>
      <c r="S47" s="4">
        <v>89774.87</v>
      </c>
      <c r="T47" s="4">
        <f>IF(OR(MID(TBBP[[#This Row],[Coluna1]],1,1)="1",MID(TBBP[[#This Row],[Coluna1]],1,1)="2"),TBBP[[#This Row],[Coluna19]],SUM(H47:S47))</f>
        <v>89774.87</v>
      </c>
      <c r="U47" s="4">
        <v>89774.87</v>
      </c>
      <c r="V47" s="4">
        <v>91646.42</v>
      </c>
      <c r="W47" s="4">
        <v>93767.59</v>
      </c>
      <c r="X47" s="4">
        <v>93767.59</v>
      </c>
      <c r="Y47" s="4">
        <v>101117.02</v>
      </c>
      <c r="Z47" s="4">
        <v>101667.74</v>
      </c>
      <c r="AA47" s="4">
        <v>101667.74</v>
      </c>
      <c r="AB47" s="4">
        <v>101667.74</v>
      </c>
      <c r="AC47" s="4">
        <v>103407.96</v>
      </c>
      <c r="AD47" s="4">
        <v>104713.53</v>
      </c>
      <c r="AE47" s="4">
        <v>109311.55</v>
      </c>
      <c r="AF47" s="4">
        <v>109311.55</v>
      </c>
      <c r="AG47" s="4">
        <f>IF(OR(MID(TBBP[[#This Row],[Coluna1]],1,1)="1",MID(TBBP[[#This Row],[Coluna1]],1,1)="2"),TBBP[[#This Row],[Coluna32]],SUM(U47:AF47))</f>
        <v>109311.55</v>
      </c>
      <c r="AH47" s="4">
        <v>112193.1</v>
      </c>
      <c r="AI47" s="4">
        <v>114621.59</v>
      </c>
      <c r="AJ47" s="4">
        <v>116208.04</v>
      </c>
      <c r="AK47" s="4">
        <v>116208.04</v>
      </c>
      <c r="AL47" s="4">
        <v>116493.02</v>
      </c>
      <c r="AM47" s="4">
        <v>116493.02</v>
      </c>
      <c r="AN47" s="4">
        <v>130558.42</v>
      </c>
      <c r="AO47" s="4">
        <v>137772.24</v>
      </c>
      <c r="AP47" s="4">
        <v>137772.24</v>
      </c>
      <c r="AQ47" s="4">
        <v>137772.24</v>
      </c>
      <c r="AR47" s="4">
        <v>171506.32</v>
      </c>
      <c r="AS47" s="4">
        <v>175975.42</v>
      </c>
      <c r="AT47" s="4">
        <f>IF(OR(MID(TBBP[[#This Row],[Coluna1]],1,1)="1",MID(TBBP[[#This Row],[Coluna1]],1,1)="2"),TBBP[[#This Row],[Coluna45]],SUM(AH47:AS47))</f>
        <v>175975.42</v>
      </c>
      <c r="AU47" s="4">
        <v>175975.42</v>
      </c>
      <c r="AV47" s="4">
        <v>183226.51</v>
      </c>
      <c r="AW47" s="4">
        <v>183226.51</v>
      </c>
      <c r="AX47" s="4">
        <v>193766.65</v>
      </c>
      <c r="AY47" s="4">
        <v>226882.59</v>
      </c>
      <c r="AZ47" s="4">
        <v>231084.36</v>
      </c>
      <c r="BA47" s="4">
        <v>257105.62</v>
      </c>
      <c r="BB47" s="4">
        <v>257105.62</v>
      </c>
      <c r="BC47" s="4">
        <v>257105.62</v>
      </c>
      <c r="BD47" s="4">
        <v>261693.96</v>
      </c>
      <c r="BE47" s="4">
        <v>264583.96000000002</v>
      </c>
      <c r="BF47" s="4">
        <v>276177.28000000003</v>
      </c>
      <c r="BG47" s="4">
        <f>IF(OR(MID(TBBP[[#This Row],[Coluna1]],1,1)="1",MID(TBBP[[#This Row],[Coluna1]],1,1)="2"),TBBP[[#This Row],[Coluna58]],SUM(AU47:BF47))</f>
        <v>276177.28000000003</v>
      </c>
      <c r="BH47" s="4">
        <v>291022.12</v>
      </c>
      <c r="BI47" s="4">
        <v>300501.67</v>
      </c>
      <c r="BJ47" s="4">
        <v>309368.67</v>
      </c>
      <c r="BK47" s="4">
        <v>320816.65000000002</v>
      </c>
      <c r="BL47" s="4">
        <v>327012.13</v>
      </c>
      <c r="BM47" s="4">
        <v>334724.40000000002</v>
      </c>
      <c r="BN47" s="4">
        <v>350785.03</v>
      </c>
      <c r="BO47" s="4">
        <v>369954.24</v>
      </c>
      <c r="BP47" s="4">
        <v>374507.14</v>
      </c>
      <c r="BQ47" s="4">
        <v>377927.62</v>
      </c>
      <c r="BR47" s="4">
        <v>377927.62</v>
      </c>
      <c r="BS47" s="4">
        <v>382923.75</v>
      </c>
      <c r="BT47" s="4">
        <f>IF(OR(MID(TBBP[[#This Row],[Coluna1]],1,1)="1",MID(TBBP[[#This Row],[Coluna1]],1,1)="2"),TBBP[[#This Row],[Coluna127]],SUM(BH47:BS47))</f>
        <v>382923.75</v>
      </c>
      <c r="BU47" s="4">
        <v>391230.25</v>
      </c>
      <c r="BV47" s="4">
        <v>394868.36</v>
      </c>
      <c r="BW47" s="4">
        <v>394868.36</v>
      </c>
      <c r="BX47" s="4">
        <v>394868.36</v>
      </c>
      <c r="BY47" s="4">
        <v>397716.84</v>
      </c>
      <c r="BZ47" s="4">
        <v>398766.84</v>
      </c>
      <c r="CA47" s="4">
        <v>398766.84</v>
      </c>
      <c r="CB47" s="4">
        <v>436348.19</v>
      </c>
      <c r="CC47" s="4">
        <v>462353.86</v>
      </c>
      <c r="CD47" s="4">
        <v>473204.04</v>
      </c>
      <c r="CE47" s="4">
        <v>477705.26</v>
      </c>
      <c r="CF47" s="4">
        <v>479247.14</v>
      </c>
      <c r="CG47" s="4">
        <f>IF(OR(MID(TBBP[[#This Row],[Coluna1]],1,1)="1",MID(TBBP[[#This Row],[Coluna1]],1,1)="2"),CF47,SUM(BU47:CF47))</f>
        <v>479247.14</v>
      </c>
      <c r="CH47" s="4">
        <v>493984.44</v>
      </c>
      <c r="CI47" s="4">
        <v>508428.17</v>
      </c>
      <c r="CJ47" s="4">
        <v>528360.72</v>
      </c>
      <c r="CK47" s="4">
        <v>534436.55000000005</v>
      </c>
      <c r="CL47" s="4">
        <v>543908.03</v>
      </c>
      <c r="CM47" s="4">
        <v>560938.04</v>
      </c>
      <c r="CN47" s="4">
        <v>560938.04</v>
      </c>
      <c r="CO47" s="4">
        <v>561705.66</v>
      </c>
      <c r="CP47" s="4">
        <v>561705.66</v>
      </c>
      <c r="CQ47" s="4">
        <v>561705.66</v>
      </c>
      <c r="CR47" s="4">
        <v>575226.67000000004</v>
      </c>
      <c r="CS47" s="4">
        <v>575226.67000000004</v>
      </c>
      <c r="CT47" s="4">
        <f>IF(OR(MID(TBBP[[#This Row],[Coluna1]],1,1)="1",MID(TBBP[[#This Row],[Coluna1]],1,1)="2"),CS47,SUM(CH47:CS47))</f>
        <v>575226.67000000004</v>
      </c>
      <c r="CU47" s="255">
        <v>579038.16</v>
      </c>
      <c r="CV47" s="255">
        <v>581969.03</v>
      </c>
      <c r="CW47" s="255">
        <v>590878.84</v>
      </c>
      <c r="CX47" s="255">
        <v>603098.18999999994</v>
      </c>
      <c r="CY47" s="255">
        <v>610826.06999999995</v>
      </c>
      <c r="CZ47" s="255">
        <v>614598.05000000005</v>
      </c>
      <c r="DA47" s="255">
        <v>616538.1</v>
      </c>
      <c r="DB47" s="255">
        <v>618274.21</v>
      </c>
      <c r="DC47" s="255">
        <v>621332.75</v>
      </c>
      <c r="DD47" s="255">
        <v>624632.68999999994</v>
      </c>
      <c r="DE47" s="255">
        <v>625493.68999999994</v>
      </c>
      <c r="DF47" s="255">
        <v>626410.91</v>
      </c>
      <c r="DG47" s="255">
        <v>626410.91</v>
      </c>
      <c r="DH47" s="255">
        <v>631497.80000000005</v>
      </c>
      <c r="DI47" s="255">
        <v>631497.80000000005</v>
      </c>
      <c r="DJ47" s="255">
        <v>636888.12</v>
      </c>
      <c r="DK47" s="255">
        <v>641706.05000000005</v>
      </c>
      <c r="DL47" s="255">
        <v>661148.16000000003</v>
      </c>
      <c r="DM47" s="255">
        <v>667149.04</v>
      </c>
      <c r="DO47" s="9"/>
      <c r="DP47" s="30" t="str">
        <f>IF(OR(MID(TBBP[[#This Row],[Coluna1]],1,1)="1",MID(TBBP[[#This Row],[Coluna1]],1,1)="2"),"-",SUMIFS(47:47,listaPeriodos,$DR$1,listaPeriodos,$DR$2))</f>
        <v>-</v>
      </c>
      <c r="DR47" s="30">
        <f t="shared" si="50"/>
        <v>0</v>
      </c>
      <c r="DS47" s="30"/>
      <c r="DT47" s="30"/>
      <c r="DU47"/>
    </row>
    <row r="48" spans="1:125" x14ac:dyDescent="0.3">
      <c r="A48" s="7" t="s">
        <v>56</v>
      </c>
      <c r="B48" t="s">
        <v>719</v>
      </c>
      <c r="C48" s="4">
        <v>1076554.32</v>
      </c>
      <c r="D48" s="4">
        <v>2454719.58</v>
      </c>
      <c r="E48" s="4">
        <v>2531453.9</v>
      </c>
      <c r="F48" s="4">
        <v>2733939.18</v>
      </c>
      <c r="G48" s="4">
        <v>3125511.1</v>
      </c>
      <c r="H48" s="4">
        <v>3125511.1</v>
      </c>
      <c r="I48" s="4">
        <v>3630511.1</v>
      </c>
      <c r="J48" s="4">
        <v>2735511.1</v>
      </c>
      <c r="K48" s="4">
        <v>2735511.1</v>
      </c>
      <c r="L48" s="4">
        <v>2743011.1</v>
      </c>
      <c r="M48" s="4">
        <v>2748011.1</v>
      </c>
      <c r="N48" s="4">
        <v>2538601.79</v>
      </c>
      <c r="O48" s="4">
        <v>2548381.79</v>
      </c>
      <c r="P48" s="4">
        <v>581381.79</v>
      </c>
      <c r="Q48" s="4">
        <v>595141.79</v>
      </c>
      <c r="R48" s="4">
        <v>610341.79</v>
      </c>
      <c r="S48" s="4">
        <v>610341.79</v>
      </c>
      <c r="T48" s="4">
        <f>IF(OR(MID(TBBP[[#This Row],[Coluna1]],1,1)="1",MID(TBBP[[#This Row],[Coluna1]],1,1)="2"),TBBP[[#This Row],[Coluna19]],SUM(H48:S48))</f>
        <v>610341.79</v>
      </c>
      <c r="U48" s="4">
        <v>610341.79</v>
      </c>
      <c r="V48" s="4">
        <v>642991.79</v>
      </c>
      <c r="W48" s="4">
        <v>642991.79</v>
      </c>
      <c r="X48" s="4">
        <v>642991.79</v>
      </c>
      <c r="Y48" s="4">
        <v>648991.79</v>
      </c>
      <c r="Z48" s="4">
        <v>648991.79</v>
      </c>
      <c r="AA48" s="4">
        <v>669231.79</v>
      </c>
      <c r="AB48" s="4">
        <v>669231.79</v>
      </c>
      <c r="AC48" s="4">
        <v>674231.79</v>
      </c>
      <c r="AD48" s="4">
        <v>744609.79</v>
      </c>
      <c r="AE48" s="4">
        <v>744609.79</v>
      </c>
      <c r="AF48" s="4">
        <v>933209.79</v>
      </c>
      <c r="AG48" s="4">
        <f>IF(OR(MID(TBBP[[#This Row],[Coluna1]],1,1)="1",MID(TBBP[[#This Row],[Coluna1]],1,1)="2"),TBBP[[#This Row],[Coluna32]],SUM(U48:AF48))</f>
        <v>933209.79</v>
      </c>
      <c r="AH48" s="4">
        <v>933209.79</v>
      </c>
      <c r="AI48" s="4">
        <v>933209.79</v>
      </c>
      <c r="AJ48" s="4">
        <v>933209.79</v>
      </c>
      <c r="AK48" s="4">
        <v>933209.79</v>
      </c>
      <c r="AL48" s="4">
        <v>1337455.3599999999</v>
      </c>
      <c r="AM48" s="4">
        <v>1360955.36</v>
      </c>
      <c r="AN48" s="4">
        <v>1360955.36</v>
      </c>
      <c r="AO48" s="4">
        <v>1460955.36</v>
      </c>
      <c r="AP48" s="4">
        <v>1460955.36</v>
      </c>
      <c r="AQ48" s="4">
        <v>1460955.36</v>
      </c>
      <c r="AR48" s="4">
        <v>1577418.03</v>
      </c>
      <c r="AS48" s="4">
        <v>1577418.03</v>
      </c>
      <c r="AT48" s="4">
        <f>IF(OR(MID(TBBP[[#This Row],[Coluna1]],1,1)="1",MID(TBBP[[#This Row],[Coluna1]],1,1)="2"),TBBP[[#This Row],[Coluna45]],SUM(AH48:AS48))</f>
        <v>1577418.03</v>
      </c>
      <c r="AU48" s="4">
        <v>1748225.93</v>
      </c>
      <c r="AV48" s="4">
        <v>1842153.87</v>
      </c>
      <c r="AW48" s="4">
        <v>1884983.87</v>
      </c>
      <c r="AX48" s="4">
        <v>1884983.87</v>
      </c>
      <c r="AY48" s="4">
        <v>1938150.56</v>
      </c>
      <c r="AZ48" s="4">
        <v>1961784.94</v>
      </c>
      <c r="BA48" s="4">
        <f>2014719.94+8500</f>
        <v>2023219.94</v>
      </c>
      <c r="BB48" s="4">
        <f>2169095.9-30000+26691.44</f>
        <v>2165787.34</v>
      </c>
      <c r="BC48" s="4">
        <v>2188255.84</v>
      </c>
      <c r="BD48" s="4">
        <v>2195015.84</v>
      </c>
      <c r="BE48" s="4">
        <v>2197975.84</v>
      </c>
      <c r="BF48" s="4">
        <v>2243953.88</v>
      </c>
      <c r="BG48" s="4">
        <f>IF(OR(MID(TBBP[[#This Row],[Coluna1]],1,1)="1",MID(TBBP[[#This Row],[Coluna1]],1,1)="2"),TBBP[[#This Row],[Coluna58]],SUM(AU48:BF48))</f>
        <v>2243953.88</v>
      </c>
      <c r="BH48" s="4">
        <v>4399842.43</v>
      </c>
      <c r="BI48" s="4">
        <v>3120706.72</v>
      </c>
      <c r="BJ48" s="4">
        <v>3165969.85</v>
      </c>
      <c r="BK48" s="4">
        <v>3205199.47</v>
      </c>
      <c r="BL48" s="4">
        <v>3344478.64</v>
      </c>
      <c r="BM48" s="4">
        <v>3344478.64</v>
      </c>
      <c r="BN48" s="4">
        <v>3344478.64</v>
      </c>
      <c r="BO48" s="4">
        <v>3344478.64</v>
      </c>
      <c r="BP48" s="4">
        <v>3159756.74</v>
      </c>
      <c r="BQ48" s="4">
        <v>3710659.16</v>
      </c>
      <c r="BR48" s="4">
        <v>3814078.59</v>
      </c>
      <c r="BS48" s="4">
        <v>3814078.59</v>
      </c>
      <c r="BT48" s="4">
        <f>IF(OR(MID(TBBP[[#This Row],[Coluna1]],1,1)="1",MID(TBBP[[#This Row],[Coluna1]],1,1)="2"),TBBP[[#This Row],[Coluna127]],SUM(BH48:BS48))</f>
        <v>3814078.59</v>
      </c>
      <c r="BU48" s="4">
        <v>3821828.64</v>
      </c>
      <c r="BV48" s="4">
        <v>3852683.64</v>
      </c>
      <c r="BW48" s="4">
        <v>3852683.64</v>
      </c>
      <c r="BX48" s="4">
        <v>3852757.91</v>
      </c>
      <c r="BY48" s="4">
        <v>3852832.17</v>
      </c>
      <c r="BZ48" s="4">
        <v>3884963.27</v>
      </c>
      <c r="CA48" s="4">
        <v>3899792.26</v>
      </c>
      <c r="CB48" s="4">
        <v>3964768.47</v>
      </c>
      <c r="CC48" s="4">
        <v>3995976.89</v>
      </c>
      <c r="CD48" s="4">
        <v>4378215.9000000004</v>
      </c>
      <c r="CE48" s="4">
        <v>4577697.24</v>
      </c>
      <c r="CF48" s="4">
        <v>4609996.4800000004</v>
      </c>
      <c r="CG48" s="4">
        <f>IF(OR(MID(TBBP[[#This Row],[Coluna1]],1,1)="1",MID(TBBP[[#This Row],[Coluna1]],1,1)="2"),CF48,SUM(BU48:CF48))</f>
        <v>4609996.4800000004</v>
      </c>
      <c r="CH48" s="4">
        <v>4859742.5199999996</v>
      </c>
      <c r="CI48" s="4">
        <v>4868308.2</v>
      </c>
      <c r="CJ48" s="4">
        <v>5216101.6399999997</v>
      </c>
      <c r="CK48" s="4">
        <v>5307610.32</v>
      </c>
      <c r="CL48" s="4">
        <v>5323289.72</v>
      </c>
      <c r="CM48" s="4">
        <v>5608182.7300000004</v>
      </c>
      <c r="CN48" s="4">
        <v>6655244.6500000004</v>
      </c>
      <c r="CO48" s="4">
        <v>6667277.8399999999</v>
      </c>
      <c r="CP48" s="4">
        <v>6667277.8399999999</v>
      </c>
      <c r="CQ48" s="4">
        <v>6673977.8399999999</v>
      </c>
      <c r="CR48" s="4">
        <v>6666452.8399999999</v>
      </c>
      <c r="CS48" s="4">
        <v>6666452.8399999999</v>
      </c>
      <c r="CT48" s="4">
        <f>IF(OR(MID(TBBP[[#This Row],[Coluna1]],1,1)="1",MID(TBBP[[#This Row],[Coluna1]],1,1)="2"),CS48,SUM(CH48:CS48))</f>
        <v>6666452.8399999999</v>
      </c>
      <c r="CU48" s="255">
        <v>6687083.3700000001</v>
      </c>
      <c r="CV48" s="255">
        <v>6687083.3700000001</v>
      </c>
      <c r="CW48" s="255">
        <v>6687083.3700000001</v>
      </c>
      <c r="CX48" s="255">
        <v>6607083.3700000001</v>
      </c>
      <c r="CY48" s="255">
        <v>6966181.5800000001</v>
      </c>
      <c r="CZ48" s="255">
        <v>6966181.5800000001</v>
      </c>
      <c r="DA48" s="255">
        <v>7090617.5899999999</v>
      </c>
      <c r="DB48" s="255">
        <v>7309874.5700000003</v>
      </c>
      <c r="DC48" s="255">
        <v>7603129.6900000004</v>
      </c>
      <c r="DD48" s="255">
        <v>7345831.2300000004</v>
      </c>
      <c r="DE48" s="255">
        <v>7348259.0999999996</v>
      </c>
      <c r="DF48" s="255">
        <v>7515591.8399999999</v>
      </c>
      <c r="DG48" s="255">
        <v>7515591.8399999999</v>
      </c>
      <c r="DH48" s="255">
        <v>7530719.8600000003</v>
      </c>
      <c r="DI48" s="255">
        <v>7530719.8600000003</v>
      </c>
      <c r="DJ48" s="255">
        <v>7536727.2300000004</v>
      </c>
      <c r="DK48" s="255">
        <v>7536727.2300000004</v>
      </c>
      <c r="DL48" s="255">
        <v>7560201.5099999998</v>
      </c>
      <c r="DM48" s="255">
        <v>7651026.6699999999</v>
      </c>
      <c r="DO48" s="9"/>
      <c r="DP48" s="30" t="str">
        <f>IF(OR(MID(TBBP[[#This Row],[Coluna1]],1,1)="1",MID(TBBP[[#This Row],[Coluna1]],1,1)="2"),"-",SUMIFS(48:48,listaPeriodos,$DR$1,listaPeriodos,$DR$2))</f>
        <v>-</v>
      </c>
      <c r="DR48" s="30">
        <f t="shared" si="50"/>
        <v>0</v>
      </c>
      <c r="DS48" s="30"/>
      <c r="DT48" s="30"/>
      <c r="DU48"/>
    </row>
    <row r="49" spans="1:125" x14ac:dyDescent="0.3">
      <c r="A49" s="67" t="s">
        <v>249</v>
      </c>
      <c r="B49" t="s">
        <v>152</v>
      </c>
      <c r="C49" s="4"/>
      <c r="D49" s="4"/>
      <c r="E49" s="4"/>
      <c r="F49" s="4"/>
      <c r="G49" s="4">
        <v>0</v>
      </c>
      <c r="H49" s="4">
        <v>0</v>
      </c>
      <c r="I49" s="4"/>
      <c r="J49" s="4"/>
      <c r="K49" s="4"/>
      <c r="L49" s="4"/>
      <c r="M49" s="4">
        <v>0</v>
      </c>
      <c r="N49" s="4">
        <v>0</v>
      </c>
      <c r="O49" s="4">
        <v>0</v>
      </c>
      <c r="P49" s="4">
        <v>1967000</v>
      </c>
      <c r="Q49" s="4">
        <v>2472000</v>
      </c>
      <c r="R49" s="4">
        <v>2472000</v>
      </c>
      <c r="S49" s="4">
        <v>2472000</v>
      </c>
      <c r="T49" s="4">
        <f>IF(OR(MID(TBBP[[#This Row],[Coluna1]],1,1)="1",MID(TBBP[[#This Row],[Coluna1]],1,1)="2"),TBBP[[#This Row],[Coluna19]],SUM(H49:S49))</f>
        <v>2472000</v>
      </c>
      <c r="U49" s="4">
        <v>2472000</v>
      </c>
      <c r="V49" s="4">
        <v>2472000</v>
      </c>
      <c r="W49" s="4">
        <v>2472000</v>
      </c>
      <c r="X49" s="4">
        <v>2472000</v>
      </c>
      <c r="Y49" s="4">
        <v>2472000</v>
      </c>
      <c r="Z49" s="4">
        <v>2472000</v>
      </c>
      <c r="AA49" s="4">
        <v>2472000</v>
      </c>
      <c r="AB49" s="4">
        <v>2472000</v>
      </c>
      <c r="AC49" s="4">
        <v>2472000</v>
      </c>
      <c r="AD49" s="4">
        <v>2295500</v>
      </c>
      <c r="AE49" s="4">
        <v>2295500</v>
      </c>
      <c r="AF49" s="4">
        <v>2315500</v>
      </c>
      <c r="AG49" s="4">
        <f>IF(OR(MID(TBBP[[#This Row],[Coluna1]],1,1)="1",MID(TBBP[[#This Row],[Coluna1]],1,1)="2"),TBBP[[#This Row],[Coluna32]],SUM(U49:AF49))</f>
        <v>2315500</v>
      </c>
      <c r="AH49" s="4">
        <v>2315500</v>
      </c>
      <c r="AI49" s="4">
        <v>2315500</v>
      </c>
      <c r="AJ49" s="4">
        <v>2315500</v>
      </c>
      <c r="AK49" s="4">
        <v>2315500</v>
      </c>
      <c r="AL49" s="4">
        <v>2315500</v>
      </c>
      <c r="AM49" s="4">
        <v>2514768.44</v>
      </c>
      <c r="AN49" s="4">
        <v>2514768.44</v>
      </c>
      <c r="AO49" s="4">
        <v>2514768.44</v>
      </c>
      <c r="AP49" s="4">
        <v>3169768.44</v>
      </c>
      <c r="AQ49" s="4">
        <v>3169768.44</v>
      </c>
      <c r="AR49" s="4">
        <v>3108025.77</v>
      </c>
      <c r="AS49" s="4">
        <v>3108025.77</v>
      </c>
      <c r="AT49" s="4">
        <f>IF(OR(MID(TBBP[[#This Row],[Coluna1]],1,1)="1",MID(TBBP[[#This Row],[Coluna1]],1,1)="2"),TBBP[[#This Row],[Coluna45]],SUM(AH49:AS49))</f>
        <v>3108025.77</v>
      </c>
      <c r="AU49" s="4">
        <f>IF(OR(MID(TBBP[[#This Row],[Coluna1]],1,1)="1",MID(TBBP[[#This Row],[Coluna1]],1,1)="2"),TBBP[[#This Row],[Coluna45]],SUM(#REF!))</f>
        <v>3108025.77</v>
      </c>
      <c r="AV49" s="4">
        <v>3219969.3</v>
      </c>
      <c r="AW49" s="4">
        <v>3219969.3</v>
      </c>
      <c r="AX49" s="4">
        <v>3180931.87</v>
      </c>
      <c r="AY49" s="4">
        <v>3180931.87</v>
      </c>
      <c r="AZ49" s="4">
        <v>3180931.87</v>
      </c>
      <c r="BA49" s="4">
        <v>3180931.87</v>
      </c>
      <c r="BB49" s="4">
        <v>2643053.87</v>
      </c>
      <c r="BC49" s="4">
        <v>2643053.87</v>
      </c>
      <c r="BD49" s="4">
        <v>2638053.87</v>
      </c>
      <c r="BE49" s="4">
        <v>2633053.87</v>
      </c>
      <c r="BF49" s="4">
        <v>2526093.46</v>
      </c>
      <c r="BG49" s="4">
        <f>IF(OR(MID(TBBP[[#This Row],[Coluna1]],1,1)="1",MID(TBBP[[#This Row],[Coluna1]],1,1)="2"),TBBP[[#This Row],[Coluna58]],SUM(AU49:BF49))</f>
        <v>2526093.46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f>IF(OR(MID(TBBP[[#This Row],[Coluna1]],1,1)="1",MID(TBBP[[#This Row],[Coluna1]],1,1)="2"),TBBP[[#This Row],[Coluna127]],SUM(BH49:BS49))</f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f>IF(OR(MID(TBBP[[#This Row],[Coluna1]],1,1)="1",MID(TBBP[[#This Row],[Coluna1]],1,1)="2"),CF49,SUM(BU49:CF49))</f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f>IF(OR(MID(TBBP[[#This Row],[Coluna1]],1,1)="1",MID(TBBP[[#This Row],[Coluna1]],1,1)="2"),CS49,SUM(CH49:CS49))</f>
        <v>0</v>
      </c>
      <c r="CU49" s="255">
        <v>0</v>
      </c>
      <c r="CV49" s="255">
        <v>0</v>
      </c>
      <c r="CW49" s="255">
        <v>0</v>
      </c>
      <c r="CX49" s="255">
        <v>0</v>
      </c>
      <c r="CY49" s="255">
        <v>0</v>
      </c>
      <c r="CZ49" s="255">
        <v>0</v>
      </c>
      <c r="DA49" s="255">
        <v>0</v>
      </c>
      <c r="DB49" s="255">
        <v>0</v>
      </c>
      <c r="DC49" s="255">
        <v>0</v>
      </c>
      <c r="DD49" s="255">
        <v>0</v>
      </c>
      <c r="DE49" s="255">
        <v>0</v>
      </c>
      <c r="DF49" s="255">
        <v>0</v>
      </c>
      <c r="DG49" s="255">
        <v>0</v>
      </c>
      <c r="DH49" s="255">
        <v>0</v>
      </c>
      <c r="DI49" s="255">
        <v>0</v>
      </c>
      <c r="DJ49" s="255">
        <v>0</v>
      </c>
      <c r="DK49" s="255">
        <v>0</v>
      </c>
      <c r="DL49" s="255">
        <v>0</v>
      </c>
      <c r="DM49" s="255">
        <v>0</v>
      </c>
      <c r="DO49" s="9"/>
      <c r="DP49" s="30" t="str">
        <f>IF(OR(MID(TBBP[[#This Row],[Coluna1]],1,1)="1",MID(TBBP[[#This Row],[Coluna1]],1,1)="2"),"-",SUMIFS(49:49,listaPeriodos,$DR$1,listaPeriodos,$DR$2))</f>
        <v>-</v>
      </c>
      <c r="DR49" s="30">
        <f t="shared" si="50"/>
        <v>0</v>
      </c>
      <c r="DS49" s="30"/>
      <c r="DT49" s="30"/>
      <c r="DU49"/>
    </row>
    <row r="50" spans="1:125" x14ac:dyDescent="0.3">
      <c r="A50" s="67" t="s">
        <v>249</v>
      </c>
      <c r="B50" t="s">
        <v>153</v>
      </c>
      <c r="C50" s="4">
        <v>0</v>
      </c>
      <c r="D50" s="4">
        <v>222077.17</v>
      </c>
      <c r="E50" s="4">
        <v>505000</v>
      </c>
      <c r="F50" s="4">
        <v>505000</v>
      </c>
      <c r="G50" s="4">
        <v>505000</v>
      </c>
      <c r="H50" s="4">
        <v>505000</v>
      </c>
      <c r="I50" s="4"/>
      <c r="J50" s="4">
        <v>505000</v>
      </c>
      <c r="K50" s="4">
        <v>505000</v>
      </c>
      <c r="L50" s="4">
        <v>505000</v>
      </c>
      <c r="M50" s="4">
        <v>505000</v>
      </c>
      <c r="N50" s="4">
        <v>505000</v>
      </c>
      <c r="O50" s="4">
        <v>505000</v>
      </c>
      <c r="P50" s="4">
        <v>505000</v>
      </c>
      <c r="Q50" s="4">
        <v>505000</v>
      </c>
      <c r="R50" s="4">
        <v>505000</v>
      </c>
      <c r="S50" s="4">
        <v>505000</v>
      </c>
      <c r="T50" s="4">
        <f>IF(OR(MID(TBBP[[#This Row],[Coluna1]],1,1)="1",MID(TBBP[[#This Row],[Coluna1]],1,1)="2"),TBBP[[#This Row],[Coluna19]],SUM(H50:S50))</f>
        <v>505000</v>
      </c>
      <c r="U50" s="4">
        <v>505000</v>
      </c>
      <c r="V50" s="4">
        <v>505000</v>
      </c>
      <c r="W50" s="4">
        <v>505000</v>
      </c>
      <c r="X50" s="4">
        <v>505000</v>
      </c>
      <c r="Y50" s="4">
        <v>505000</v>
      </c>
      <c r="Z50" s="4">
        <v>505000</v>
      </c>
      <c r="AA50" s="4">
        <v>505000</v>
      </c>
      <c r="AB50" s="4">
        <v>505000</v>
      </c>
      <c r="AC50" s="4">
        <v>505000</v>
      </c>
      <c r="AD50" s="4">
        <v>505000</v>
      </c>
      <c r="AE50" s="4">
        <v>505000</v>
      </c>
      <c r="AF50" s="4">
        <v>505000</v>
      </c>
      <c r="AG50" s="4">
        <f>IF(OR(MID(TBBP[[#This Row],[Coluna1]],1,1)="1",MID(TBBP[[#This Row],[Coluna1]],1,1)="2"),TBBP[[#This Row],[Coluna32]],SUM(U50:AF50))</f>
        <v>505000</v>
      </c>
      <c r="AH50" s="4">
        <v>505000</v>
      </c>
      <c r="AI50" s="4">
        <v>505000</v>
      </c>
      <c r="AJ50" s="4">
        <v>505000</v>
      </c>
      <c r="AK50" s="4">
        <v>505000</v>
      </c>
      <c r="AL50" s="4">
        <v>505000</v>
      </c>
      <c r="AM50" s="4">
        <v>505000</v>
      </c>
      <c r="AN50" s="4">
        <v>505000</v>
      </c>
      <c r="AO50" s="4">
        <v>505000</v>
      </c>
      <c r="AP50" s="4">
        <v>0</v>
      </c>
      <c r="AQ50" s="4">
        <v>0</v>
      </c>
      <c r="AR50" s="4">
        <v>0</v>
      </c>
      <c r="AS50" s="4">
        <v>0</v>
      </c>
      <c r="AT50" s="4">
        <f>IF(OR(MID(TBBP[[#This Row],[Coluna1]],1,1)="1",MID(TBBP[[#This Row],[Coluna1]],1,1)="2"),TBBP[[#This Row],[Coluna45]],SUM(AH50:AS50))</f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f>IF(OR(MID(TBBP[[#This Row],[Coluna1]],1,1)="1",MID(TBBP[[#This Row],[Coluna1]],1,1)="2"),TBBP[[#This Row],[Coluna58]],SUM(AU50:BF50))</f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f>IF(OR(MID(TBBP[[#This Row],[Coluna1]],1,1)="1",MID(TBBP[[#This Row],[Coluna1]],1,1)="2"),TBBP[[#This Row],[Coluna127]],SUM(BH50:BS50))</f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f>IF(OR(MID(TBBP[[#This Row],[Coluna1]],1,1)="1",MID(TBBP[[#This Row],[Coluna1]],1,1)="2"),CF50,SUM(BU50:CF50))</f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f>IF(OR(MID(TBBP[[#This Row],[Coluna1]],1,1)="1",MID(TBBP[[#This Row],[Coluna1]],1,1)="2"),CS50,SUM(CH50:CS50))</f>
        <v>0</v>
      </c>
      <c r="CU50" s="255">
        <v>0</v>
      </c>
      <c r="CV50" s="255">
        <v>0</v>
      </c>
      <c r="CW50" s="255">
        <v>0</v>
      </c>
      <c r="CX50" s="255">
        <v>0</v>
      </c>
      <c r="CY50" s="255">
        <v>0</v>
      </c>
      <c r="CZ50" s="255">
        <v>0</v>
      </c>
      <c r="DA50" s="255">
        <v>0</v>
      </c>
      <c r="DB50" s="255">
        <v>0</v>
      </c>
      <c r="DC50" s="255">
        <v>0</v>
      </c>
      <c r="DD50" s="255">
        <v>0</v>
      </c>
      <c r="DE50" s="255">
        <v>0</v>
      </c>
      <c r="DF50" s="255">
        <v>0</v>
      </c>
      <c r="DG50" s="255">
        <v>0</v>
      </c>
      <c r="DH50" s="255">
        <v>0</v>
      </c>
      <c r="DI50" s="255">
        <v>0</v>
      </c>
      <c r="DJ50" s="255">
        <v>0</v>
      </c>
      <c r="DK50" s="255">
        <v>0</v>
      </c>
      <c r="DL50" s="255">
        <v>0</v>
      </c>
      <c r="DM50" s="255">
        <v>0</v>
      </c>
      <c r="DO50" s="9"/>
      <c r="DP50" s="30" t="str">
        <f>IF(OR(MID(TBBP[[#This Row],[Coluna1]],1,1)="1",MID(TBBP[[#This Row],[Coluna1]],1,1)="2"),"-",SUMIFS(50:50,listaPeriodos,$DR$1,listaPeriodos,$DR$2))</f>
        <v>-</v>
      </c>
      <c r="DR50" s="30">
        <f t="shared" si="50"/>
        <v>0</v>
      </c>
      <c r="DS50" s="30"/>
      <c r="DT50" s="30"/>
      <c r="DU50"/>
    </row>
    <row r="51" spans="1:125" x14ac:dyDescent="0.3">
      <c r="A51" s="7" t="s">
        <v>57</v>
      </c>
      <c r="B51" t="s">
        <v>23</v>
      </c>
      <c r="C51" s="4">
        <v>2398</v>
      </c>
      <c r="D51" s="4">
        <v>2398</v>
      </c>
      <c r="E51" s="4">
        <v>2398</v>
      </c>
      <c r="F51" s="4">
        <v>3967.71</v>
      </c>
      <c r="G51" s="4">
        <v>148211.51999999999</v>
      </c>
      <c r="H51" s="4">
        <v>149961.25</v>
      </c>
      <c r="I51" s="4">
        <v>149961.25</v>
      </c>
      <c r="J51" s="4">
        <v>149961.25</v>
      </c>
      <c r="K51" s="4">
        <v>149961.25</v>
      </c>
      <c r="L51" s="4">
        <v>149961.25</v>
      </c>
      <c r="M51" s="4">
        <v>149961.25</v>
      </c>
      <c r="N51" s="4">
        <v>149961.25</v>
      </c>
      <c r="O51" s="4">
        <v>149961.25</v>
      </c>
      <c r="P51" s="4">
        <v>149961.25</v>
      </c>
      <c r="Q51" s="4">
        <v>166526.75</v>
      </c>
      <c r="R51" s="4">
        <v>166526.75</v>
      </c>
      <c r="S51" s="4">
        <v>166526.75</v>
      </c>
      <c r="T51" s="4">
        <f>IF(OR(MID(TBBP[[#This Row],[Coluna1]],1,1)="1",MID(TBBP[[#This Row],[Coluna1]],1,1)="2"),TBBP[[#This Row],[Coluna19]],SUM(H51:S51))</f>
        <v>166526.75</v>
      </c>
      <c r="U51" s="4">
        <v>181526.75</v>
      </c>
      <c r="V51" s="4">
        <v>181526.75</v>
      </c>
      <c r="W51" s="4">
        <v>181526.75</v>
      </c>
      <c r="X51" s="4">
        <v>178848.53</v>
      </c>
      <c r="Y51" s="4">
        <v>179928.57</v>
      </c>
      <c r="Z51" s="4">
        <v>181148.59</v>
      </c>
      <c r="AA51" s="4">
        <v>181148.59</v>
      </c>
      <c r="AB51" s="4">
        <v>181148.59</v>
      </c>
      <c r="AC51" s="4">
        <v>181148.59</v>
      </c>
      <c r="AD51" s="4">
        <v>333453.23</v>
      </c>
      <c r="AE51" s="4">
        <v>348765.15</v>
      </c>
      <c r="AF51" s="4">
        <v>365990.40000000002</v>
      </c>
      <c r="AG51" s="4">
        <f>IF(OR(MID(TBBP[[#This Row],[Coluna1]],1,1)="1",MID(TBBP[[#This Row],[Coluna1]],1,1)="2"),TBBP[[#This Row],[Coluna32]],SUM(U51:AF51))</f>
        <v>365990.40000000002</v>
      </c>
      <c r="AH51" s="4">
        <v>418237.49</v>
      </c>
      <c r="AI51" s="4">
        <v>428090.5</v>
      </c>
      <c r="AJ51" s="4">
        <v>446389.89</v>
      </c>
      <c r="AK51" s="4">
        <v>457311.59</v>
      </c>
      <c r="AL51" s="4">
        <v>458975.79</v>
      </c>
      <c r="AM51" s="4">
        <v>459543.33</v>
      </c>
      <c r="AN51" s="4">
        <v>459763.33</v>
      </c>
      <c r="AO51" s="4">
        <v>486931.42</v>
      </c>
      <c r="AP51" s="4">
        <v>491167.95</v>
      </c>
      <c r="AQ51" s="4">
        <v>515486.8</v>
      </c>
      <c r="AR51" s="4">
        <v>538769.17000000004</v>
      </c>
      <c r="AS51" s="4">
        <v>608133.56999999995</v>
      </c>
      <c r="AT51" s="4">
        <f>IF(OR(MID(TBBP[[#This Row],[Coluna1]],1,1)="1",MID(TBBP[[#This Row],[Coluna1]],1,1)="2"),TBBP[[#This Row],[Coluna45]],SUM(AH51:AS51))</f>
        <v>608133.56999999995</v>
      </c>
      <c r="AU51" s="4">
        <v>618448.65</v>
      </c>
      <c r="AV51" s="4">
        <v>681742.68</v>
      </c>
      <c r="AW51" s="4">
        <v>751856.52</v>
      </c>
      <c r="AX51" s="4">
        <v>802046.52</v>
      </c>
      <c r="AY51" s="4">
        <v>884279.42</v>
      </c>
      <c r="AZ51" s="4">
        <v>949997.38</v>
      </c>
      <c r="BA51" s="4">
        <v>1017768.33</v>
      </c>
      <c r="BB51" s="4">
        <v>1051386.1399999999</v>
      </c>
      <c r="BC51" s="4">
        <v>1075354.92</v>
      </c>
      <c r="BD51" s="4">
        <v>1130200.8400000001</v>
      </c>
      <c r="BE51" s="4">
        <v>1168285.23</v>
      </c>
      <c r="BF51" s="4">
        <v>1244740.6399999999</v>
      </c>
      <c r="BG51" s="4">
        <f>IF(OR(MID(TBBP[[#This Row],[Coluna1]],1,1)="1",MID(TBBP[[#This Row],[Coluna1]],1,1)="2"),TBBP[[#This Row],[Coluna58]],SUM(AU51:BF51))</f>
        <v>1244740.6399999999</v>
      </c>
      <c r="BH51" s="4">
        <v>1250737.6399999999</v>
      </c>
      <c r="BI51" s="4">
        <v>1124402.72</v>
      </c>
      <c r="BJ51" s="4">
        <v>1230843.69</v>
      </c>
      <c r="BK51" s="4">
        <v>1398436.65</v>
      </c>
      <c r="BL51" s="4">
        <v>1544979.43</v>
      </c>
      <c r="BM51" s="4">
        <v>1569042.33</v>
      </c>
      <c r="BN51" s="4">
        <v>1576068.81</v>
      </c>
      <c r="BO51" s="4">
        <v>1578903.26</v>
      </c>
      <c r="BP51" s="4">
        <v>1585237.06</v>
      </c>
      <c r="BQ51" s="4">
        <v>1597336.69</v>
      </c>
      <c r="BR51" s="4">
        <v>1613686.5</v>
      </c>
      <c r="BS51" s="4">
        <v>1621196.5</v>
      </c>
      <c r="BT51" s="4">
        <f>IF(OR(MID(TBBP[[#This Row],[Coluna1]],1,1)="1",MID(TBBP[[#This Row],[Coluna1]],1,1)="2"),TBBP[[#This Row],[Coluna127]],SUM(BH51:BS51))</f>
        <v>1621196.5</v>
      </c>
      <c r="BU51" s="4">
        <v>1627125.24</v>
      </c>
      <c r="BV51" s="4">
        <v>1633599.14</v>
      </c>
      <c r="BW51" s="4">
        <v>1639999.57</v>
      </c>
      <c r="BX51" s="4">
        <v>1676182.66</v>
      </c>
      <c r="BY51" s="4">
        <v>1724282.24</v>
      </c>
      <c r="BZ51" s="4">
        <v>1791241.39</v>
      </c>
      <c r="CA51" s="4">
        <v>1824194.14</v>
      </c>
      <c r="CB51" s="4">
        <v>1877378.49</v>
      </c>
      <c r="CC51" s="4">
        <v>1935180.67</v>
      </c>
      <c r="CD51" s="4">
        <v>1952624.57</v>
      </c>
      <c r="CE51" s="4">
        <v>1994087.97</v>
      </c>
      <c r="CF51" s="4">
        <v>2003143.65</v>
      </c>
      <c r="CG51" s="4">
        <f>IF(OR(MID(TBBP[[#This Row],[Coluna1]],1,1)="1",MID(TBBP[[#This Row],[Coluna1]],1,1)="2"),CF51,SUM(BU51:CF51))</f>
        <v>2003143.65</v>
      </c>
      <c r="CH51" s="4">
        <v>2053511.95</v>
      </c>
      <c r="CI51" s="4">
        <v>2114912.81</v>
      </c>
      <c r="CJ51" s="4">
        <v>2129354.2599999998</v>
      </c>
      <c r="CK51" s="4">
        <v>2155977.75</v>
      </c>
      <c r="CL51" s="4">
        <v>2166299.19</v>
      </c>
      <c r="CM51" s="4">
        <v>2179030.0499999998</v>
      </c>
      <c r="CN51" s="4">
        <v>2195722.64</v>
      </c>
      <c r="CO51" s="4">
        <v>2199707.54</v>
      </c>
      <c r="CP51" s="4">
        <v>2202002.54</v>
      </c>
      <c r="CQ51" s="4">
        <v>2210190.4500000002</v>
      </c>
      <c r="CR51" s="4">
        <v>2213085.91</v>
      </c>
      <c r="CS51" s="4">
        <v>2217197.7799999998</v>
      </c>
      <c r="CT51" s="4">
        <f>IF(OR(MID(TBBP[[#This Row],[Coluna1]],1,1)="1",MID(TBBP[[#This Row],[Coluna1]],1,1)="2"),CS51,SUM(CH51:CS51))</f>
        <v>2217197.7799999998</v>
      </c>
      <c r="CU51" s="255">
        <v>2228201.71</v>
      </c>
      <c r="CV51" s="255">
        <v>2228201.71</v>
      </c>
      <c r="CW51" s="255">
        <v>2228371.71</v>
      </c>
      <c r="CX51" s="255">
        <v>2230100.13</v>
      </c>
      <c r="CY51" s="255">
        <v>2255161.73</v>
      </c>
      <c r="CZ51" s="255">
        <v>2258537.23</v>
      </c>
      <c r="DA51" s="255">
        <v>2258537.23</v>
      </c>
      <c r="DB51" s="255">
        <v>2261486.23</v>
      </c>
      <c r="DC51" s="255">
        <v>2261486.23</v>
      </c>
      <c r="DD51" s="255">
        <v>2261486.23</v>
      </c>
      <c r="DE51" s="255">
        <v>2261486.23</v>
      </c>
      <c r="DF51" s="255">
        <v>2261486.23</v>
      </c>
      <c r="DG51" s="255">
        <v>2261486.23</v>
      </c>
      <c r="DH51" s="255">
        <v>2261486.23</v>
      </c>
      <c r="DI51" s="255">
        <v>2261486.23</v>
      </c>
      <c r="DJ51" s="255">
        <v>2263361.23</v>
      </c>
      <c r="DK51" s="255">
        <v>2265488.61</v>
      </c>
      <c r="DL51" s="255">
        <v>2268247.7999999998</v>
      </c>
      <c r="DM51" s="255">
        <v>2271568.1</v>
      </c>
      <c r="DO51" s="9"/>
      <c r="DP51" s="30" t="str">
        <f>IF(OR(MID(TBBP[[#This Row],[Coluna1]],1,1)="1",MID(TBBP[[#This Row],[Coluna1]],1,1)="2"),"-",SUMIFS(51:51,listaPeriodos,$DR$1,listaPeriodos,$DR$2))</f>
        <v>-</v>
      </c>
      <c r="DR51" s="30">
        <f t="shared" si="50"/>
        <v>0</v>
      </c>
      <c r="DS51" s="30"/>
      <c r="DT51" s="30"/>
      <c r="DU51"/>
    </row>
    <row r="52" spans="1:125" x14ac:dyDescent="0.3">
      <c r="A52" s="7" t="s">
        <v>58</v>
      </c>
      <c r="B52" t="s">
        <v>24</v>
      </c>
      <c r="C52" s="4">
        <v>4594.5</v>
      </c>
      <c r="D52" s="4">
        <v>4594.5</v>
      </c>
      <c r="E52" s="4">
        <v>4594.5</v>
      </c>
      <c r="F52" s="4">
        <v>13902.88</v>
      </c>
      <c r="G52" s="4">
        <v>41810.629999999997</v>
      </c>
      <c r="H52" s="4">
        <v>41810.629999999997</v>
      </c>
      <c r="I52" s="4">
        <v>41810.629999999997</v>
      </c>
      <c r="J52" s="4">
        <v>41810.629999999997</v>
      </c>
      <c r="K52" s="4">
        <v>59444.53</v>
      </c>
      <c r="L52" s="4">
        <v>60691.88</v>
      </c>
      <c r="M52" s="4">
        <v>60691.88</v>
      </c>
      <c r="N52" s="4">
        <v>64317.02</v>
      </c>
      <c r="O52" s="4">
        <v>64317.02</v>
      </c>
      <c r="P52" s="4">
        <v>70100.06</v>
      </c>
      <c r="Q52" s="4">
        <v>70980.06</v>
      </c>
      <c r="R52" s="4">
        <v>70980.06</v>
      </c>
      <c r="S52" s="4">
        <v>70980.06</v>
      </c>
      <c r="T52" s="4">
        <f>IF(OR(MID(TBBP[[#This Row],[Coluna1]],1,1)="1",MID(TBBP[[#This Row],[Coluna1]],1,1)="2"),TBBP[[#This Row],[Coluna19]],SUM(H52:S52))</f>
        <v>70980.06</v>
      </c>
      <c r="U52" s="4">
        <v>70980.06</v>
      </c>
      <c r="V52" s="4">
        <v>72586.61</v>
      </c>
      <c r="W52" s="4">
        <v>72586.61</v>
      </c>
      <c r="X52" s="4">
        <v>89269.57</v>
      </c>
      <c r="Y52" s="4">
        <v>90414.37</v>
      </c>
      <c r="Z52" s="4">
        <v>97498.67</v>
      </c>
      <c r="AA52" s="4">
        <v>99973.98</v>
      </c>
      <c r="AB52" s="4">
        <v>101010.89</v>
      </c>
      <c r="AC52" s="4">
        <v>101010.89</v>
      </c>
      <c r="AD52" s="4">
        <v>101010.89</v>
      </c>
      <c r="AE52" s="4">
        <v>101524.36</v>
      </c>
      <c r="AF52" s="4">
        <v>101524.36</v>
      </c>
      <c r="AG52" s="4">
        <f>IF(OR(MID(TBBP[[#This Row],[Coluna1]],1,1)="1",MID(TBBP[[#This Row],[Coluna1]],1,1)="2"),TBBP[[#This Row],[Coluna32]],SUM(U52:AF52))</f>
        <v>101524.36</v>
      </c>
      <c r="AH52" s="4">
        <v>101524.36</v>
      </c>
      <c r="AI52" s="4">
        <v>114932.81</v>
      </c>
      <c r="AJ52" s="4">
        <v>116155.31</v>
      </c>
      <c r="AK52" s="4">
        <v>116425.31</v>
      </c>
      <c r="AL52" s="4">
        <v>116425.31</v>
      </c>
      <c r="AM52" s="4">
        <v>124625.31</v>
      </c>
      <c r="AN52" s="4">
        <v>124625.31</v>
      </c>
      <c r="AO52" s="4">
        <v>126837.17</v>
      </c>
      <c r="AP52" s="4">
        <v>126837.17</v>
      </c>
      <c r="AQ52" s="4">
        <v>128546.72</v>
      </c>
      <c r="AR52" s="4">
        <v>129863.72</v>
      </c>
      <c r="AS52" s="4">
        <v>129863.72</v>
      </c>
      <c r="AT52" s="4">
        <f>IF(OR(MID(TBBP[[#This Row],[Coluna1]],1,1)="1",MID(TBBP[[#This Row],[Coluna1]],1,1)="2"),TBBP[[#This Row],[Coluna45]],SUM(AH52:AS52))</f>
        <v>129863.72</v>
      </c>
      <c r="AU52" s="4">
        <v>145726.76999999999</v>
      </c>
      <c r="AV52" s="4">
        <v>160720.79</v>
      </c>
      <c r="AW52" s="4">
        <v>165221.07999999999</v>
      </c>
      <c r="AX52" s="4">
        <v>178559.63</v>
      </c>
      <c r="AY52" s="4">
        <v>178559.63</v>
      </c>
      <c r="AZ52" s="4">
        <v>192507.13</v>
      </c>
      <c r="BA52" s="4">
        <v>194153.23</v>
      </c>
      <c r="BB52" s="4">
        <v>194153.23</v>
      </c>
      <c r="BC52" s="4">
        <v>211958.91</v>
      </c>
      <c r="BD52" s="4">
        <v>226699.8</v>
      </c>
      <c r="BE52" s="4">
        <v>232693.04</v>
      </c>
      <c r="BF52" s="4">
        <v>232693.04</v>
      </c>
      <c r="BG52" s="4">
        <f>IF(OR(MID(TBBP[[#This Row],[Coluna1]],1,1)="1",MID(TBBP[[#This Row],[Coluna1]],1,1)="2"),TBBP[[#This Row],[Coluna58]],SUM(AU52:BF52))</f>
        <v>232693.04</v>
      </c>
      <c r="BH52" s="4">
        <v>233600.04</v>
      </c>
      <c r="BI52" s="4">
        <v>233965.14</v>
      </c>
      <c r="BJ52" s="4">
        <v>234420.14</v>
      </c>
      <c r="BK52" s="4">
        <v>237250.14</v>
      </c>
      <c r="BL52" s="4">
        <v>250436.77</v>
      </c>
      <c r="BM52" s="4">
        <v>250436.77</v>
      </c>
      <c r="BN52" s="4">
        <v>263205.78999999998</v>
      </c>
      <c r="BO52" s="4">
        <v>290531.07</v>
      </c>
      <c r="BP52" s="4">
        <v>319490.32</v>
      </c>
      <c r="BQ52" s="4">
        <v>333865.65000000002</v>
      </c>
      <c r="BR52" s="4">
        <v>345330.06</v>
      </c>
      <c r="BS52" s="4">
        <v>369351.77</v>
      </c>
      <c r="BT52" s="4">
        <f>IF(OR(MID(TBBP[[#This Row],[Coluna1]],1,1)="1",MID(TBBP[[#This Row],[Coluna1]],1,1)="2"),TBBP[[#This Row],[Coluna127]],SUM(BH52:BS52))</f>
        <v>369351.77</v>
      </c>
      <c r="BU52" s="4">
        <v>377401.81</v>
      </c>
      <c r="BV52" s="4">
        <v>382315.41</v>
      </c>
      <c r="BW52" s="4">
        <v>409071.13</v>
      </c>
      <c r="BX52" s="4">
        <v>409881.13</v>
      </c>
      <c r="BY52" s="4">
        <v>445682.01</v>
      </c>
      <c r="BZ52" s="4">
        <v>450848.74</v>
      </c>
      <c r="CA52" s="4">
        <v>457529.06</v>
      </c>
      <c r="CB52" s="4">
        <v>496171.31</v>
      </c>
      <c r="CC52" s="4">
        <v>504586.88</v>
      </c>
      <c r="CD52" s="4">
        <v>523289.73</v>
      </c>
      <c r="CE52" s="4">
        <v>541372.01</v>
      </c>
      <c r="CF52" s="4">
        <v>545470.87</v>
      </c>
      <c r="CG52" s="4">
        <f>IF(OR(MID(TBBP[[#This Row],[Coluna1]],1,1)="1",MID(TBBP[[#This Row],[Coluna1]],1,1)="2"),CF52,SUM(BU52:CF52))</f>
        <v>545470.87</v>
      </c>
      <c r="CH52" s="4">
        <v>551392.09</v>
      </c>
      <c r="CI52" s="4">
        <v>559213.59</v>
      </c>
      <c r="CJ52" s="4">
        <v>566413.34</v>
      </c>
      <c r="CK52" s="4">
        <v>575896.87</v>
      </c>
      <c r="CL52" s="4">
        <v>612111.51</v>
      </c>
      <c r="CM52" s="4">
        <v>638905.46</v>
      </c>
      <c r="CN52" s="4">
        <v>664988.96</v>
      </c>
      <c r="CO52" s="4">
        <v>670920.18000000005</v>
      </c>
      <c r="CP52" s="4">
        <v>675889.23</v>
      </c>
      <c r="CQ52" s="4">
        <v>721864.77</v>
      </c>
      <c r="CR52" s="4">
        <v>769572.29</v>
      </c>
      <c r="CS52" s="4">
        <v>798773.07</v>
      </c>
      <c r="CT52" s="4">
        <f>IF(OR(MID(TBBP[[#This Row],[Coluna1]],1,1)="1",MID(TBBP[[#This Row],[Coluna1]],1,1)="2"),CS52,SUM(CH52:CS52))</f>
        <v>798773.07</v>
      </c>
      <c r="CU52" s="255">
        <v>803287.68</v>
      </c>
      <c r="CV52" s="255">
        <v>827415.41</v>
      </c>
      <c r="CW52" s="255">
        <v>856991.85</v>
      </c>
      <c r="CX52" s="255">
        <v>858177.14</v>
      </c>
      <c r="CY52" s="255">
        <v>910829.06</v>
      </c>
      <c r="CZ52" s="255">
        <v>943721.63</v>
      </c>
      <c r="DA52" s="255">
        <v>946928.8</v>
      </c>
      <c r="DB52" s="255">
        <v>951078.7</v>
      </c>
      <c r="DC52" s="255">
        <v>954275.79</v>
      </c>
      <c r="DD52" s="255">
        <v>958397.59</v>
      </c>
      <c r="DE52" s="255">
        <v>960983.39</v>
      </c>
      <c r="DF52" s="255">
        <v>967544.35</v>
      </c>
      <c r="DG52" s="255">
        <v>967544.35</v>
      </c>
      <c r="DH52" s="255">
        <v>970190.8</v>
      </c>
      <c r="DI52" s="255">
        <v>973708.67</v>
      </c>
      <c r="DJ52" s="255">
        <v>980935.93</v>
      </c>
      <c r="DK52" s="255">
        <v>982866.76</v>
      </c>
      <c r="DL52" s="255">
        <v>994544.16</v>
      </c>
      <c r="DM52" s="255">
        <v>999444.91</v>
      </c>
      <c r="DO52" s="9"/>
      <c r="DP52" s="30" t="str">
        <f>IF(OR(MID(TBBP[[#This Row],[Coluna1]],1,1)="1",MID(TBBP[[#This Row],[Coluna1]],1,1)="2"),"-",SUMIFS(52:52,listaPeriodos,$DR$1,listaPeriodos,$DR$2))</f>
        <v>-</v>
      </c>
      <c r="DR52" s="30">
        <f t="shared" si="50"/>
        <v>0</v>
      </c>
      <c r="DS52" s="30"/>
      <c r="DT52" s="30"/>
      <c r="DU52"/>
    </row>
    <row r="53" spans="1:125" x14ac:dyDescent="0.3">
      <c r="A53" s="7" t="s">
        <v>59</v>
      </c>
      <c r="B53" t="s">
        <v>5</v>
      </c>
      <c r="C53" s="4">
        <v>3536.84</v>
      </c>
      <c r="D53" s="4">
        <v>4635.84</v>
      </c>
      <c r="E53" s="4">
        <v>4635.84</v>
      </c>
      <c r="F53" s="4">
        <v>3970</v>
      </c>
      <c r="G53" s="4">
        <v>7414.28</v>
      </c>
      <c r="H53" s="4">
        <v>7414.28</v>
      </c>
      <c r="I53" s="4">
        <v>7414.28</v>
      </c>
      <c r="J53" s="4">
        <v>7414.28</v>
      </c>
      <c r="K53" s="4">
        <v>7414.28</v>
      </c>
      <c r="L53" s="4">
        <v>7414.28</v>
      </c>
      <c r="M53" s="4">
        <v>7414.28</v>
      </c>
      <c r="N53" s="4">
        <v>7414.28</v>
      </c>
      <c r="O53" s="4">
        <v>7414.28</v>
      </c>
      <c r="P53" s="4">
        <v>7414.28</v>
      </c>
      <c r="Q53" s="4">
        <v>7414.28</v>
      </c>
      <c r="R53" s="4">
        <v>7414.28</v>
      </c>
      <c r="S53" s="4">
        <v>7414.28</v>
      </c>
      <c r="T53" s="4">
        <f>IF(OR(MID(TBBP[[#This Row],[Coluna1]],1,1)="1",MID(TBBP[[#This Row],[Coluna1]],1,1)="2"),TBBP[[#This Row],[Coluna19]],SUM(H53:S53))</f>
        <v>7414.28</v>
      </c>
      <c r="U53" s="4">
        <v>7414.28</v>
      </c>
      <c r="V53" s="4">
        <v>7934.28</v>
      </c>
      <c r="W53" s="4">
        <v>8196.1200000000008</v>
      </c>
      <c r="X53" s="4">
        <v>8196.1200000000008</v>
      </c>
      <c r="Y53" s="4">
        <v>8196.1200000000008</v>
      </c>
      <c r="Z53" s="4">
        <v>8196.1200000000008</v>
      </c>
      <c r="AA53" s="4">
        <v>8196.1200000000008</v>
      </c>
      <c r="AB53" s="4">
        <v>8196.1200000000008</v>
      </c>
      <c r="AC53" s="4">
        <v>8196.1200000000008</v>
      </c>
      <c r="AD53" s="4">
        <v>8196.1200000000008</v>
      </c>
      <c r="AE53" s="4">
        <v>8196.1200000000008</v>
      </c>
      <c r="AF53" s="4">
        <v>8196.1200000000008</v>
      </c>
      <c r="AG53" s="4">
        <f>IF(OR(MID(TBBP[[#This Row],[Coluna1]],1,1)="1",MID(TBBP[[#This Row],[Coluna1]],1,1)="2"),TBBP[[#This Row],[Coluna32]],SUM(U53:AF53))</f>
        <v>8196.1200000000008</v>
      </c>
      <c r="AH53" s="4">
        <v>8196.1200000000008</v>
      </c>
      <c r="AI53" s="4">
        <v>8196.1200000000008</v>
      </c>
      <c r="AJ53" s="4">
        <v>8196.1200000000008</v>
      </c>
      <c r="AK53" s="4">
        <v>8196.1200000000008</v>
      </c>
      <c r="AL53" s="4">
        <v>8196.1200000000008</v>
      </c>
      <c r="AM53" s="4">
        <v>8196.1200000000008</v>
      </c>
      <c r="AN53" s="4">
        <v>8196.1200000000008</v>
      </c>
      <c r="AO53" s="4">
        <v>8196.1200000000008</v>
      </c>
      <c r="AP53" s="4">
        <v>8196.1200000000008</v>
      </c>
      <c r="AQ53" s="4">
        <v>8196.1200000000008</v>
      </c>
      <c r="AR53" s="4">
        <v>8196.1200000000008</v>
      </c>
      <c r="AS53" s="4">
        <v>8196.1200000000008</v>
      </c>
      <c r="AT53" s="4">
        <f>IF(OR(MID(TBBP[[#This Row],[Coluna1]],1,1)="1",MID(TBBP[[#This Row],[Coluna1]],1,1)="2"),TBBP[[#This Row],[Coluna45]],SUM(AH53:AS53))</f>
        <v>8196.1200000000008</v>
      </c>
      <c r="AU53" s="4">
        <v>8196.1200000000008</v>
      </c>
      <c r="AV53" s="4">
        <v>8196.1200000000008</v>
      </c>
      <c r="AW53" s="4">
        <v>8196.1200000000008</v>
      </c>
      <c r="AX53" s="4">
        <v>8196.1200000000008</v>
      </c>
      <c r="AY53" s="4">
        <v>8530.02</v>
      </c>
      <c r="AZ53" s="4">
        <v>8530.02</v>
      </c>
      <c r="BA53" s="4">
        <v>9115.6</v>
      </c>
      <c r="BB53" s="4">
        <v>9115.6</v>
      </c>
      <c r="BC53" s="4">
        <v>9115.6</v>
      </c>
      <c r="BD53" s="4">
        <v>9115.6</v>
      </c>
      <c r="BE53" s="4">
        <v>9115.6</v>
      </c>
      <c r="BF53" s="4">
        <v>9115.6</v>
      </c>
      <c r="BG53" s="4">
        <f>IF(OR(MID(TBBP[[#This Row],[Coluna1]],1,1)="1",MID(TBBP[[#This Row],[Coluna1]],1,1)="2"),TBBP[[#This Row],[Coluna58]],SUM(AU53:BF53))</f>
        <v>9115.6</v>
      </c>
      <c r="BH53" s="4">
        <v>9115.6</v>
      </c>
      <c r="BI53" s="4">
        <v>9115.6</v>
      </c>
      <c r="BJ53" s="4">
        <v>9115.6</v>
      </c>
      <c r="BK53" s="4">
        <v>9115.6</v>
      </c>
      <c r="BL53" s="4">
        <v>9115.6</v>
      </c>
      <c r="BM53" s="4">
        <v>9115.6</v>
      </c>
      <c r="BN53" s="4">
        <v>9115.6</v>
      </c>
      <c r="BO53" s="4">
        <v>9115.6</v>
      </c>
      <c r="BP53" s="4">
        <v>9115.6</v>
      </c>
      <c r="BQ53" s="4">
        <v>9115.6</v>
      </c>
      <c r="BR53" s="4">
        <v>9115.6</v>
      </c>
      <c r="BS53" s="4">
        <v>9115.6</v>
      </c>
      <c r="BT53" s="4">
        <f>IF(OR(MID(TBBP[[#This Row],[Coluna1]],1,1)="1",MID(TBBP[[#This Row],[Coluna1]],1,1)="2"),TBBP[[#This Row],[Coluna127]],SUM(BH53:BS53))</f>
        <v>9115.6</v>
      </c>
      <c r="BU53" s="4">
        <v>9115.6</v>
      </c>
      <c r="BV53" s="4">
        <v>9115.6</v>
      </c>
      <c r="BW53" s="4">
        <v>9386.5300000000007</v>
      </c>
      <c r="BX53" s="4">
        <v>9386.5300000000007</v>
      </c>
      <c r="BY53" s="4">
        <v>9386.5300000000007</v>
      </c>
      <c r="BZ53" s="4">
        <v>9386.5300000000007</v>
      </c>
      <c r="CA53" s="4">
        <v>9386.5300000000007</v>
      </c>
      <c r="CB53" s="4">
        <v>9646.6</v>
      </c>
      <c r="CC53" s="4">
        <v>9894</v>
      </c>
      <c r="CD53" s="4">
        <v>10173.799999999999</v>
      </c>
      <c r="CE53" s="4">
        <v>10173.799999999999</v>
      </c>
      <c r="CF53" s="4">
        <v>10173.799999999999</v>
      </c>
      <c r="CG53" s="4">
        <f>IF(OR(MID(TBBP[[#This Row],[Coluna1]],1,1)="1",MID(TBBP[[#This Row],[Coluna1]],1,1)="2"),CF53,SUM(BU53:CF53))</f>
        <v>10173.799999999999</v>
      </c>
      <c r="CH53" s="4">
        <v>10173.799999999999</v>
      </c>
      <c r="CI53" s="4">
        <v>10173.799999999999</v>
      </c>
      <c r="CJ53" s="4">
        <v>10173.799999999999</v>
      </c>
      <c r="CK53" s="4">
        <v>10173.799999999999</v>
      </c>
      <c r="CL53" s="4">
        <v>10173.799999999999</v>
      </c>
      <c r="CM53" s="4">
        <v>10173.799999999999</v>
      </c>
      <c r="CN53" s="4">
        <v>10173.799999999999</v>
      </c>
      <c r="CO53" s="4">
        <v>10173.799999999999</v>
      </c>
      <c r="CP53" s="4">
        <v>10173.799999999999</v>
      </c>
      <c r="CQ53" s="4">
        <v>10173.799999999999</v>
      </c>
      <c r="CR53" s="4">
        <v>10173.799999999999</v>
      </c>
      <c r="CS53" s="4">
        <v>10173.799999999999</v>
      </c>
      <c r="CT53" s="4">
        <f>IF(OR(MID(TBBP[[#This Row],[Coluna1]],1,1)="1",MID(TBBP[[#This Row],[Coluna1]],1,1)="2"),CS53,SUM(CH53:CS53))</f>
        <v>10173.799999999999</v>
      </c>
      <c r="CU53" s="255">
        <v>10173.799999999999</v>
      </c>
      <c r="CV53" s="255">
        <v>10421.799999999999</v>
      </c>
      <c r="CW53" s="255">
        <v>10421.799999999999</v>
      </c>
      <c r="CX53" s="255">
        <v>10421.799999999999</v>
      </c>
      <c r="CY53" s="255">
        <v>10421.799999999999</v>
      </c>
      <c r="CZ53" s="255">
        <v>10421.799999999999</v>
      </c>
      <c r="DA53" s="255">
        <v>10421.799999999999</v>
      </c>
      <c r="DB53" s="255">
        <v>10421.799999999999</v>
      </c>
      <c r="DC53" s="255">
        <v>10421.799999999999</v>
      </c>
      <c r="DD53" s="255">
        <v>10421.799999999999</v>
      </c>
      <c r="DE53" s="255">
        <v>10421.799999999999</v>
      </c>
      <c r="DF53" s="255">
        <v>10421.799999999999</v>
      </c>
      <c r="DG53" s="255">
        <v>10421.799999999999</v>
      </c>
      <c r="DH53" s="255">
        <v>10421.799999999999</v>
      </c>
      <c r="DI53" s="255">
        <v>10421.799999999999</v>
      </c>
      <c r="DJ53" s="255">
        <v>10421.799999999999</v>
      </c>
      <c r="DK53" s="255">
        <v>10421.799999999999</v>
      </c>
      <c r="DL53" s="255">
        <v>10421.799999999999</v>
      </c>
      <c r="DM53" s="255">
        <v>10421.799999999999</v>
      </c>
      <c r="DO53" s="9"/>
      <c r="DP53" s="30" t="str">
        <f>IF(OR(MID(TBBP[[#This Row],[Coluna1]],1,1)="1",MID(TBBP[[#This Row],[Coluna1]],1,1)="2"),"-",SUMIFS(53:53,listaPeriodos,$DR$1,listaPeriodos,$DR$2))</f>
        <v>-</v>
      </c>
      <c r="DR53" s="30">
        <f t="shared" si="50"/>
        <v>0</v>
      </c>
      <c r="DS53" s="30"/>
      <c r="DT53" s="30"/>
      <c r="DU53"/>
    </row>
    <row r="54" spans="1:125" x14ac:dyDescent="0.3">
      <c r="A54" s="7" t="s">
        <v>60</v>
      </c>
      <c r="B54" t="s">
        <v>6</v>
      </c>
      <c r="C54" s="4">
        <v>2300</v>
      </c>
      <c r="D54" s="4">
        <v>25642.2</v>
      </c>
      <c r="E54" s="4">
        <v>25642.2</v>
      </c>
      <c r="F54" s="4">
        <v>89443.71</v>
      </c>
      <c r="G54" s="4">
        <v>264562.96999999997</v>
      </c>
      <c r="H54" s="4">
        <v>264562.96999999997</v>
      </c>
      <c r="I54" s="4">
        <v>264562.96999999997</v>
      </c>
      <c r="J54" s="4">
        <v>264562.96999999997</v>
      </c>
      <c r="K54" s="4">
        <v>264562.96999999997</v>
      </c>
      <c r="L54" s="4">
        <v>264562.96999999997</v>
      </c>
      <c r="M54" s="4">
        <v>264562.96999999997</v>
      </c>
      <c r="N54" s="4">
        <v>264562.96999999997</v>
      </c>
      <c r="O54" s="4">
        <v>264562.96999999997</v>
      </c>
      <c r="P54" s="4">
        <v>268992.96999999997</v>
      </c>
      <c r="Q54" s="4">
        <v>288719.21000000002</v>
      </c>
      <c r="R54" s="4">
        <v>295400.90999999997</v>
      </c>
      <c r="S54" s="4">
        <v>299180.51</v>
      </c>
      <c r="T54" s="4">
        <f>IF(OR(MID(TBBP[[#This Row],[Coluna1]],1,1)="1",MID(TBBP[[#This Row],[Coluna1]],1,1)="2"),TBBP[[#This Row],[Coluna19]],SUM(H54:S54))</f>
        <v>299180.51</v>
      </c>
      <c r="U54" s="4">
        <v>302180.51</v>
      </c>
      <c r="V54" s="4">
        <v>308974.06</v>
      </c>
      <c r="W54" s="4">
        <v>314869.15999999997</v>
      </c>
      <c r="X54" s="4">
        <v>365243.37</v>
      </c>
      <c r="Y54" s="4">
        <v>371852.35</v>
      </c>
      <c r="Z54" s="4">
        <v>404028.3</v>
      </c>
      <c r="AA54" s="4">
        <v>407946.8</v>
      </c>
      <c r="AB54" s="4">
        <v>411632.9</v>
      </c>
      <c r="AC54" s="4">
        <v>433978.91</v>
      </c>
      <c r="AD54" s="4">
        <v>0</v>
      </c>
      <c r="AE54" s="4">
        <v>0</v>
      </c>
      <c r="AF54" s="4">
        <v>0</v>
      </c>
      <c r="AG54" s="4">
        <f>IF(OR(MID(TBBP[[#This Row],[Coluna1]],1,1)="1",MID(TBBP[[#This Row],[Coluna1]],1,1)="2"),TBBP[[#This Row],[Coluna32]],SUM(U54:AF54))</f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f>IF(OR(MID(TBBP[[#This Row],[Coluna1]],1,1)="1",MID(TBBP[[#This Row],[Coluna1]],1,1)="2"),TBBP[[#This Row],[Coluna45]],SUM(AH54:AS54))</f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5579.92</v>
      </c>
      <c r="BA54" s="4">
        <v>13822.67</v>
      </c>
      <c r="BB54" s="4">
        <v>15855.87</v>
      </c>
      <c r="BC54" s="4">
        <v>18505.87</v>
      </c>
      <c r="BD54" s="4">
        <v>18505.87</v>
      </c>
      <c r="BE54" s="4">
        <v>18505.87</v>
      </c>
      <c r="BF54" s="4">
        <v>23424.65</v>
      </c>
      <c r="BG54" s="4">
        <f>IF(OR(MID(TBBP[[#This Row],[Coluna1]],1,1)="1",MID(TBBP[[#This Row],[Coluna1]],1,1)="2"),TBBP[[#This Row],[Coluna58]],SUM(AU54:BF54))</f>
        <v>23424.65</v>
      </c>
      <c r="BH54" s="4">
        <v>23966.65</v>
      </c>
      <c r="BI54" s="4">
        <v>30276.65</v>
      </c>
      <c r="BJ54" s="4">
        <v>37741.980000000003</v>
      </c>
      <c r="BK54" s="4">
        <v>46044.68</v>
      </c>
      <c r="BL54" s="4">
        <v>46044.68</v>
      </c>
      <c r="BM54" s="4">
        <v>46044.68</v>
      </c>
      <c r="BN54" s="4">
        <v>50558.48</v>
      </c>
      <c r="BO54" s="4">
        <v>56160.08</v>
      </c>
      <c r="BP54" s="4">
        <v>58760.08</v>
      </c>
      <c r="BQ54" s="4">
        <v>58760.08</v>
      </c>
      <c r="BR54" s="4">
        <v>61560.08</v>
      </c>
      <c r="BS54" s="4">
        <v>61560.08</v>
      </c>
      <c r="BT54" s="4">
        <f>IF(OR(MID(TBBP[[#This Row],[Coluna1]],1,1)="1",MID(TBBP[[#This Row],[Coluna1]],1,1)="2"),TBBP[[#This Row],[Coluna127]],SUM(BH54:BS54))</f>
        <v>61560.08</v>
      </c>
      <c r="BU54" s="4">
        <v>77260.08</v>
      </c>
      <c r="BV54" s="4">
        <v>77260.08</v>
      </c>
      <c r="BW54" s="4">
        <v>84300.08</v>
      </c>
      <c r="BX54" s="4">
        <v>93594.31</v>
      </c>
      <c r="BY54" s="4">
        <v>93594.31</v>
      </c>
      <c r="BZ54" s="4">
        <v>97114.31</v>
      </c>
      <c r="CA54" s="4">
        <v>105463.21</v>
      </c>
      <c r="CB54" s="4">
        <v>108434.59</v>
      </c>
      <c r="CC54" s="4">
        <v>108434.59</v>
      </c>
      <c r="CD54" s="4">
        <v>108434.59</v>
      </c>
      <c r="CE54" s="4">
        <v>120779.79</v>
      </c>
      <c r="CF54" s="4">
        <v>165782.81</v>
      </c>
      <c r="CG54" s="4">
        <f>IF(OR(MID(TBBP[[#This Row],[Coluna1]],1,1)="1",MID(TBBP[[#This Row],[Coluna1]],1,1)="2"),CF54,SUM(BU54:CF54))</f>
        <v>165782.81</v>
      </c>
      <c r="CH54" s="4">
        <v>200305.82</v>
      </c>
      <c r="CI54" s="4">
        <v>201950.67</v>
      </c>
      <c r="CJ54" s="4">
        <v>210763.67</v>
      </c>
      <c r="CK54" s="4">
        <v>233366.79</v>
      </c>
      <c r="CL54" s="4">
        <v>233366.79</v>
      </c>
      <c r="CM54" s="4">
        <v>238114.49</v>
      </c>
      <c r="CN54" s="4">
        <v>242762.74</v>
      </c>
      <c r="CO54" s="4">
        <v>242762.74</v>
      </c>
      <c r="CP54" s="4">
        <v>245147.74</v>
      </c>
      <c r="CQ54" s="4">
        <v>246647.14</v>
      </c>
      <c r="CR54" s="4">
        <v>246647.14</v>
      </c>
      <c r="CS54" s="4">
        <v>258928.42</v>
      </c>
      <c r="CT54" s="4">
        <f>IF(OR(MID(TBBP[[#This Row],[Coluna1]],1,1)="1",MID(TBBP[[#This Row],[Coluna1]],1,1)="2"),CS54,SUM(CH54:CS54))</f>
        <v>258928.42</v>
      </c>
      <c r="CU54" s="255">
        <v>263433.42</v>
      </c>
      <c r="CV54" s="255">
        <v>277235.42</v>
      </c>
      <c r="CW54" s="255">
        <v>277235.42</v>
      </c>
      <c r="CX54" s="255">
        <v>278329.21999999997</v>
      </c>
      <c r="CY54" s="255">
        <v>282304.40999999997</v>
      </c>
      <c r="CZ54" s="255">
        <v>282304.40999999997</v>
      </c>
      <c r="DA54" s="255">
        <v>326054.69</v>
      </c>
      <c r="DB54" s="255">
        <v>342589.66</v>
      </c>
      <c r="DC54" s="255">
        <v>360796.01</v>
      </c>
      <c r="DD54" s="255">
        <v>361894.91</v>
      </c>
      <c r="DE54" s="255">
        <v>362660.96</v>
      </c>
      <c r="DF54" s="255">
        <v>362865.46</v>
      </c>
      <c r="DG54" s="255">
        <v>362865.46</v>
      </c>
      <c r="DH54" s="255">
        <v>363804.66</v>
      </c>
      <c r="DI54" s="255">
        <v>365562.26</v>
      </c>
      <c r="DJ54" s="255">
        <v>366052.41</v>
      </c>
      <c r="DK54" s="255">
        <v>405967.51</v>
      </c>
      <c r="DL54" s="255">
        <v>407367.51</v>
      </c>
      <c r="DM54" s="255">
        <v>410367.51</v>
      </c>
      <c r="DO54" s="9"/>
      <c r="DP54" s="30" t="str">
        <f>IF(OR(MID(TBBP[[#This Row],[Coluna1]],1,1)="1",MID(TBBP[[#This Row],[Coluna1]],1,1)="2"),"-",SUMIFS(54:54,listaPeriodos,$DR$1,listaPeriodos,$DR$2))</f>
        <v>-</v>
      </c>
      <c r="DR54" s="30">
        <f t="shared" si="50"/>
        <v>0</v>
      </c>
      <c r="DS54" s="30"/>
      <c r="DT54" s="30"/>
      <c r="DU54"/>
    </row>
    <row r="55" spans="1:125" x14ac:dyDescent="0.3">
      <c r="A55" s="7" t="s">
        <v>1043</v>
      </c>
      <c r="B55" t="s">
        <v>1042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4">
        <v>0</v>
      </c>
      <c r="AV55" s="4">
        <v>0</v>
      </c>
      <c r="AW55" s="4">
        <v>0</v>
      </c>
      <c r="AX55" s="4">
        <v>0</v>
      </c>
      <c r="AY55" s="4">
        <v>0</v>
      </c>
      <c r="AZ55" s="4">
        <v>0</v>
      </c>
      <c r="BA55" s="4">
        <v>0</v>
      </c>
      <c r="BB55" s="4">
        <v>0</v>
      </c>
      <c r="BC55" s="4">
        <v>0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  <c r="BJ55" s="4">
        <v>0</v>
      </c>
      <c r="BK55" s="4">
        <v>0</v>
      </c>
      <c r="BL55" s="4">
        <v>0</v>
      </c>
      <c r="BM55" s="4">
        <v>0</v>
      </c>
      <c r="BN55" s="4">
        <v>0</v>
      </c>
      <c r="BO55" s="4">
        <v>0</v>
      </c>
      <c r="BP55" s="4">
        <v>0</v>
      </c>
      <c r="BQ55" s="4">
        <v>0</v>
      </c>
      <c r="BR55" s="4">
        <v>0</v>
      </c>
      <c r="BS55" s="4">
        <v>0</v>
      </c>
      <c r="BT55" s="4">
        <f>IF(OR(MID(TBBP[[#This Row],[Coluna1]],1,1)="1",MID(TBBP[[#This Row],[Coluna1]],1,1)="2"),TBBP[[#This Row],[Coluna127]],SUM(BH55:BS55))</f>
        <v>0</v>
      </c>
      <c r="BU55" s="4">
        <v>0</v>
      </c>
      <c r="BV55" s="4">
        <v>21019.18</v>
      </c>
      <c r="BW55" s="4">
        <v>0</v>
      </c>
      <c r="BX55" s="4">
        <v>0</v>
      </c>
      <c r="BY55" s="4">
        <v>0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>
        <v>0</v>
      </c>
      <c r="CG55" s="4">
        <f>IF(OR(MID(TBBP[[#This Row],[Coluna1]],1,1)="1",MID(TBBP[[#This Row],[Coluna1]],1,1)="2"),CF55,SUM(BU55:CF55))</f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f>IF(OR(MID(TBBP[[#This Row],[Coluna1]],1,1)="1",MID(TBBP[[#This Row],[Coluna1]],1,1)="2"),CS55,SUM(CH55:CS55))</f>
        <v>0</v>
      </c>
      <c r="CU55" s="255">
        <v>0</v>
      </c>
      <c r="CV55" s="255">
        <v>0</v>
      </c>
      <c r="CW55" s="255">
        <v>0</v>
      </c>
      <c r="CX55" s="255">
        <v>0</v>
      </c>
      <c r="CY55" s="255">
        <v>0</v>
      </c>
      <c r="CZ55" s="255">
        <v>0</v>
      </c>
      <c r="DA55" s="255">
        <v>0</v>
      </c>
      <c r="DB55" s="255">
        <v>0</v>
      </c>
      <c r="DC55" s="255">
        <v>0</v>
      </c>
      <c r="DD55" s="255">
        <v>0</v>
      </c>
      <c r="DE55" s="255">
        <v>0</v>
      </c>
      <c r="DF55" s="255">
        <v>0</v>
      </c>
      <c r="DG55" s="255">
        <v>0</v>
      </c>
      <c r="DH55" s="255">
        <v>0</v>
      </c>
      <c r="DI55" s="255">
        <v>0</v>
      </c>
      <c r="DJ55" s="255">
        <v>0</v>
      </c>
      <c r="DK55" s="255">
        <v>0</v>
      </c>
      <c r="DL55" s="255">
        <v>0</v>
      </c>
      <c r="DM55" s="255">
        <v>0</v>
      </c>
      <c r="DO55" s="9"/>
      <c r="DP55" s="30"/>
      <c r="DR55" s="30"/>
      <c r="DS55" s="30"/>
      <c r="DT55" s="30"/>
      <c r="DU55"/>
    </row>
    <row r="56" spans="1:125" x14ac:dyDescent="0.3">
      <c r="A56" s="7" t="s">
        <v>61</v>
      </c>
      <c r="B56" t="s">
        <v>25</v>
      </c>
      <c r="C56" s="8">
        <v>-126832.55</v>
      </c>
      <c r="D56" s="8">
        <v>-351704.52</v>
      </c>
      <c r="E56" s="8">
        <v>-655111.49</v>
      </c>
      <c r="F56" s="8">
        <v>-948933.63</v>
      </c>
      <c r="G56" s="8">
        <v>-1447188.83</v>
      </c>
      <c r="H56" s="4">
        <v>-1495076.91</v>
      </c>
      <c r="I56" s="4">
        <v>-1542964.99</v>
      </c>
      <c r="J56" s="4">
        <v>-1352192.55</v>
      </c>
      <c r="K56" s="4">
        <v>-1397730.63</v>
      </c>
      <c r="L56" s="4">
        <v>-1443268.71</v>
      </c>
      <c r="M56" s="4">
        <v>-1488806.79</v>
      </c>
      <c r="N56" s="4">
        <v>-1432290.01</v>
      </c>
      <c r="O56" s="4">
        <v>-1475120.51</v>
      </c>
      <c r="P56" s="4">
        <v>-1519968.47</v>
      </c>
      <c r="Q56" s="4">
        <v>-1557649.77</v>
      </c>
      <c r="R56" s="4">
        <v>-1607362.59</v>
      </c>
      <c r="S56" s="4">
        <v>-1657075.42</v>
      </c>
      <c r="T56" s="4">
        <f>IF(OR(MID(TBBP[[#This Row],[Coluna1]],1,1)="1",MID(TBBP[[#This Row],[Coluna1]],1,1)="2"),TBBP[[#This Row],[Coluna19]],SUM(H56:S56))</f>
        <v>-1657075.42</v>
      </c>
      <c r="U56" s="4">
        <v>-1707010.2</v>
      </c>
      <c r="V56" s="4">
        <v>-1703319.38</v>
      </c>
      <c r="W56" s="4">
        <v>-1752623.63</v>
      </c>
      <c r="X56" s="4">
        <v>-1803232.86</v>
      </c>
      <c r="Y56" s="4">
        <v>-1821629.42</v>
      </c>
      <c r="Z56" s="4">
        <v>-1869531.84</v>
      </c>
      <c r="AA56" s="4">
        <v>-1920214.11</v>
      </c>
      <c r="AB56" s="4">
        <v>-1971768.77</v>
      </c>
      <c r="AC56" s="4">
        <v>-2000474.25</v>
      </c>
      <c r="AD56" s="4">
        <v>-1960549.15</v>
      </c>
      <c r="AE56" s="4">
        <v>-2013079.55</v>
      </c>
      <c r="AF56" s="4">
        <v>-2065779.35</v>
      </c>
      <c r="AG56" s="4">
        <f>IF(OR(MID(TBBP[[#This Row],[Coluna1]],1,1)="1",MID(TBBP[[#This Row],[Coluna1]],1,1)="2"),TBBP[[#This Row],[Coluna32]],SUM(U56:AF56))</f>
        <v>-2065779.35</v>
      </c>
      <c r="AH56" s="4">
        <v>-2120341</v>
      </c>
      <c r="AI56" s="4">
        <v>-2220423.64</v>
      </c>
      <c r="AJ56" s="4">
        <v>-2276726.61</v>
      </c>
      <c r="AK56" s="4">
        <v>-2333875.3199999998</v>
      </c>
      <c r="AL56" s="4">
        <v>-2391117.29</v>
      </c>
      <c r="AM56" s="4">
        <v>-2452830.85</v>
      </c>
      <c r="AN56" s="4">
        <v>-2516669.71</v>
      </c>
      <c r="AO56" s="4">
        <v>-2581566.59</v>
      </c>
      <c r="AP56" s="4">
        <v>-2964149.35</v>
      </c>
      <c r="AQ56" s="4">
        <v>-3037879.86</v>
      </c>
      <c r="AR56" s="4">
        <v>-3108208.49</v>
      </c>
      <c r="AS56" s="4">
        <v>-3183941.61</v>
      </c>
      <c r="AT56" s="4">
        <f>IF(OR(MID(TBBP[[#This Row],[Coluna1]],1,1)="1",MID(TBBP[[#This Row],[Coluna1]],1,1)="2"),TBBP[[#This Row],[Coluna45]],SUM(AH56:AS56))</f>
        <v>-3183941.61</v>
      </c>
      <c r="AU56" s="4">
        <v>-3260335.62</v>
      </c>
      <c r="AV56" s="4">
        <v>-3338410.84</v>
      </c>
      <c r="AW56" s="4">
        <v>-3402462.65</v>
      </c>
      <c r="AX56" s="4">
        <v>-3451154.94</v>
      </c>
      <c r="AY56" s="4">
        <v>-3516852.23</v>
      </c>
      <c r="AZ56" s="4">
        <v>-3584083.44</v>
      </c>
      <c r="BA56" s="4">
        <v>-3653398.34</v>
      </c>
      <c r="BB56" s="4">
        <v>-3349271.88</v>
      </c>
      <c r="BC56" s="4">
        <v>-3416060.55</v>
      </c>
      <c r="BD56" s="4">
        <v>-3483441.72</v>
      </c>
      <c r="BE56" s="4">
        <v>-3550591.04</v>
      </c>
      <c r="BF56" s="4">
        <v>-2904838.36</v>
      </c>
      <c r="BG56" s="4">
        <f>IF(OR(MID(TBBP[[#This Row],[Coluna1]],1,1)="1",MID(TBBP[[#This Row],[Coluna1]],1,1)="2"),TBBP[[#This Row],[Coluna58]],SUM(AU56:BF56))</f>
        <v>-2904838.36</v>
      </c>
      <c r="BH56" s="4">
        <v>-2687155.35</v>
      </c>
      <c r="BI56" s="4">
        <v>-1759694.33</v>
      </c>
      <c r="BJ56" s="4">
        <v>-1639386.18</v>
      </c>
      <c r="BK56" s="4">
        <v>-1695266.4</v>
      </c>
      <c r="BL56" s="4">
        <v>-1753100.61</v>
      </c>
      <c r="BM56" s="4">
        <v>-1813550.58</v>
      </c>
      <c r="BN56" s="4">
        <v>-1874339.4</v>
      </c>
      <c r="BO56" s="4">
        <v>-1935546.47</v>
      </c>
      <c r="BP56" s="4">
        <v>-1952466.76</v>
      </c>
      <c r="BQ56" s="4">
        <v>-2012719.79</v>
      </c>
      <c r="BR56" s="4">
        <v>-2077423.09</v>
      </c>
      <c r="BS56" s="4">
        <v>-2143362.86</v>
      </c>
      <c r="BT56" s="4">
        <f>IF(OR(MID(TBBP[[#This Row],[Coluna1]],1,1)="1",MID(TBBP[[#This Row],[Coluna1]],1,1)="2"),TBBP[[#This Row],[Coluna127]],SUM(BH56:BS56))</f>
        <v>-2143362.86</v>
      </c>
      <c r="BU56" s="4">
        <v>-2209462.77</v>
      </c>
      <c r="BV56" s="4">
        <v>-2275951.1</v>
      </c>
      <c r="BW56" s="4">
        <v>-2342856.9900000002</v>
      </c>
      <c r="BX56" s="4">
        <v>-2409846.35</v>
      </c>
      <c r="BY56" s="4">
        <v>-2480049.17</v>
      </c>
      <c r="BZ56" s="4">
        <v>-2550946.2400000002</v>
      </c>
      <c r="CA56" s="4">
        <v>-2622821.12</v>
      </c>
      <c r="CB56" s="4">
        <v>-2695213.78</v>
      </c>
      <c r="CC56" s="4">
        <v>-2743218.47</v>
      </c>
      <c r="CD56" s="4">
        <v>-2820719.69</v>
      </c>
      <c r="CE56" s="4">
        <v>-2870199.09</v>
      </c>
      <c r="CF56" s="4">
        <v>-2955676.99</v>
      </c>
      <c r="CG56" s="4">
        <f>IF(OR(MID(TBBP[[#This Row],[Coluna1]],1,1)="1",MID(TBBP[[#This Row],[Coluna1]],1,1)="2"),CF56,SUM(BU56:CF56))</f>
        <v>-2955676.99</v>
      </c>
      <c r="CH56" s="4">
        <v>-3010834.94</v>
      </c>
      <c r="CI56" s="4">
        <v>-3099925.14</v>
      </c>
      <c r="CJ56" s="4">
        <v>-3190379.32</v>
      </c>
      <c r="CK56" s="4">
        <v>-3293641.35</v>
      </c>
      <c r="CL56" s="4">
        <v>-3398270.04</v>
      </c>
      <c r="CM56" s="4">
        <v>-3583819.98</v>
      </c>
      <c r="CN56" s="4">
        <v>-3784445.7</v>
      </c>
      <c r="CO56" s="4">
        <v>-3988930.99</v>
      </c>
      <c r="CP56" s="4">
        <v>-4200922.22</v>
      </c>
      <c r="CQ56" s="4">
        <v>-4412251.84</v>
      </c>
      <c r="CR56" s="4">
        <v>-4598299.76</v>
      </c>
      <c r="CS56" s="4">
        <v>-4804786.62</v>
      </c>
      <c r="CT56" s="4">
        <f>IF(OR(MID(TBBP[[#This Row],[Coluna1]],1,1)="1",MID(TBBP[[#This Row],[Coluna1]],1,1)="2"),CS56,SUM(CH56:CS56))</f>
        <v>-4804786.62</v>
      </c>
      <c r="CU56" s="255">
        <v>-5012515.07</v>
      </c>
      <c r="CV56" s="255">
        <v>-5221096.67</v>
      </c>
      <c r="CW56" s="255">
        <v>-5419853.04</v>
      </c>
      <c r="CX56" s="255">
        <v>-5598783.2599999998</v>
      </c>
      <c r="CY56" s="255">
        <v>-5807084.5800000001</v>
      </c>
      <c r="CZ56" s="255">
        <v>-6019154.1500000004</v>
      </c>
      <c r="DA56" s="255">
        <v>-6230575.2199999997</v>
      </c>
      <c r="DB56" s="255">
        <v>-6443714</v>
      </c>
      <c r="DC56" s="255">
        <v>-6659361.8899999997</v>
      </c>
      <c r="DD56" s="255">
        <v>-6734280.2300000004</v>
      </c>
      <c r="DE56" s="255">
        <v>-6949274.7000000002</v>
      </c>
      <c r="DF56" s="255">
        <v>-7163717.0599999996</v>
      </c>
      <c r="DG56" s="255">
        <v>-7163717.0599999996</v>
      </c>
      <c r="DH56" s="255">
        <v>-7379616.6399999997</v>
      </c>
      <c r="DI56" s="255">
        <v>-7596925.8799999999</v>
      </c>
      <c r="DJ56" s="255">
        <v>-7813295.3899999997</v>
      </c>
      <c r="DK56" s="255">
        <v>-8029664.9000000004</v>
      </c>
      <c r="DL56" s="255">
        <v>-8246237.3799999999</v>
      </c>
      <c r="DM56" s="255">
        <v>-8462534.2599999998</v>
      </c>
      <c r="DO56" s="9"/>
      <c r="DP56" s="30" t="str">
        <f>IF(OR(MID(TBBP[[#This Row],[Coluna1]],1,1)="1",MID(TBBP[[#This Row],[Coluna1]],1,1)="2"),"-",SUMIFS(56:56,listaPeriodos,$DR$1,listaPeriodos,$DR$2))</f>
        <v>-</v>
      </c>
      <c r="DR56" s="30">
        <f t="shared" si="50"/>
        <v>0</v>
      </c>
      <c r="DS56" s="30"/>
      <c r="DT56" s="30"/>
      <c r="DU56"/>
    </row>
    <row r="57" spans="1:125" x14ac:dyDescent="0.3">
      <c r="A57" s="7" t="s">
        <v>26</v>
      </c>
      <c r="B57" t="s">
        <v>27</v>
      </c>
      <c r="C57" s="4">
        <v>0</v>
      </c>
      <c r="D57" s="4">
        <v>-36807.68</v>
      </c>
      <c r="E57" s="4">
        <v>-103997</v>
      </c>
      <c r="F57" s="4">
        <v>-201282.95</v>
      </c>
      <c r="G57" s="4">
        <v>-195174.09</v>
      </c>
      <c r="H57" s="4">
        <v>-200406.01</v>
      </c>
      <c r="I57" s="4">
        <v>-205637.93</v>
      </c>
      <c r="J57" s="4">
        <v>-210869.85</v>
      </c>
      <c r="K57" s="4">
        <v>-216101.77</v>
      </c>
      <c r="L57" s="4">
        <v>-221333.69</v>
      </c>
      <c r="M57" s="4">
        <v>-226565.61</v>
      </c>
      <c r="N57" s="4">
        <v>-231797.53</v>
      </c>
      <c r="O57" s="4">
        <v>-237029.45</v>
      </c>
      <c r="P57" s="4">
        <v>-242261.37</v>
      </c>
      <c r="Q57" s="4">
        <v>-247493.29</v>
      </c>
      <c r="R57" s="4">
        <v>-252725.21</v>
      </c>
      <c r="S57" s="4">
        <v>-257957.13</v>
      </c>
      <c r="T57" s="4">
        <f>IF(OR(MID(TBBP[[#This Row],[Coluna1]],1,1)="1",MID(TBBP[[#This Row],[Coluna1]],1,1)="2"),TBBP[[#This Row],[Coluna19]],SUM(H57:S57))</f>
        <v>-257957.13</v>
      </c>
      <c r="U57" s="4">
        <v>-263189.05</v>
      </c>
      <c r="V57" s="4">
        <v>-268420.96999999997</v>
      </c>
      <c r="W57" s="4">
        <v>-273652.89</v>
      </c>
      <c r="X57" s="4">
        <v>-278884.81</v>
      </c>
      <c r="Y57" s="4">
        <v>-284116.73</v>
      </c>
      <c r="Z57" s="4">
        <v>-289348.65000000002</v>
      </c>
      <c r="AA57" s="4">
        <v>-294580.57</v>
      </c>
      <c r="AB57" s="4">
        <v>-299812.49</v>
      </c>
      <c r="AC57" s="4">
        <v>-305044.40999999997</v>
      </c>
      <c r="AD57" s="4">
        <v>-310276.33</v>
      </c>
      <c r="AE57" s="4">
        <v>-315508.25</v>
      </c>
      <c r="AF57" s="4">
        <v>-320740.17</v>
      </c>
      <c r="AG57" s="4">
        <f>IF(OR(MID(TBBP[[#This Row],[Coluna1]],1,1)="1",MID(TBBP[[#This Row],[Coluna1]],1,1)="2"),TBBP[[#This Row],[Coluna32]],SUM(U57:AF57))</f>
        <v>-320740.17</v>
      </c>
      <c r="AH57" s="4">
        <v>-325972.09000000003</v>
      </c>
      <c r="AI57" s="4">
        <v>-286166.44</v>
      </c>
      <c r="AJ57" s="4">
        <v>-290374.77</v>
      </c>
      <c r="AK57" s="4">
        <v>-294583.09999999998</v>
      </c>
      <c r="AL57" s="4">
        <v>-298791.43</v>
      </c>
      <c r="AM57" s="4">
        <v>-302999.76</v>
      </c>
      <c r="AN57" s="4">
        <v>-307208.09000000003</v>
      </c>
      <c r="AO57" s="4">
        <v>-311416.42</v>
      </c>
      <c r="AP57" s="4">
        <v>0</v>
      </c>
      <c r="AQ57" s="4">
        <v>0</v>
      </c>
      <c r="AR57" s="4">
        <v>0</v>
      </c>
      <c r="AS57" s="4">
        <v>0</v>
      </c>
      <c r="AT57" s="4">
        <f>IF(OR(MID(TBBP[[#This Row],[Coluna1]],1,1)="1",MID(TBBP[[#This Row],[Coluna1]],1,1)="2"),TBBP[[#This Row],[Coluna45]],SUM(AH57:AS57))</f>
        <v>0</v>
      </c>
      <c r="AU57" s="4">
        <v>0</v>
      </c>
      <c r="AV57" s="4">
        <v>0</v>
      </c>
      <c r="AW57" s="4">
        <v>0</v>
      </c>
      <c r="AX57" s="4">
        <v>0</v>
      </c>
      <c r="AY57" s="4">
        <v>0</v>
      </c>
      <c r="AZ57" s="4">
        <v>0</v>
      </c>
      <c r="BA57" s="4">
        <v>0</v>
      </c>
      <c r="BB57" s="4">
        <v>0</v>
      </c>
      <c r="BC57" s="4">
        <v>0</v>
      </c>
      <c r="BD57" s="4">
        <v>0</v>
      </c>
      <c r="BE57" s="4">
        <v>0</v>
      </c>
      <c r="BF57" s="4">
        <v>0</v>
      </c>
      <c r="BG57" s="4">
        <f>IF(OR(MID(TBBP[[#This Row],[Coluna1]],1,1)="1",MID(TBBP[[#This Row],[Coluna1]],1,1)="2"),TBBP[[#This Row],[Coluna58]],SUM(AU57:BF57))</f>
        <v>0</v>
      </c>
      <c r="BH57" s="4">
        <v>0</v>
      </c>
      <c r="BI57" s="4">
        <v>0</v>
      </c>
      <c r="BJ57" s="4">
        <v>0</v>
      </c>
      <c r="BK57" s="4">
        <v>0</v>
      </c>
      <c r="BL57" s="4">
        <v>0</v>
      </c>
      <c r="BM57" s="4">
        <v>0</v>
      </c>
      <c r="BN57" s="4">
        <v>0</v>
      </c>
      <c r="BO57" s="4">
        <v>0</v>
      </c>
      <c r="BP57" s="4">
        <v>0</v>
      </c>
      <c r="BQ57" s="4">
        <v>0</v>
      </c>
      <c r="BR57" s="4">
        <v>0</v>
      </c>
      <c r="BS57" s="4">
        <v>0</v>
      </c>
      <c r="BT57" s="4">
        <f>IF(OR(MID(TBBP[[#This Row],[Coluna1]],1,1)="1",MID(TBBP[[#This Row],[Coluna1]],1,1)="2"),TBBP[[#This Row],[Coluna127]],SUM(BH57:BS57))</f>
        <v>0</v>
      </c>
      <c r="BU57" s="4">
        <v>0</v>
      </c>
      <c r="BV57" s="4">
        <v>0</v>
      </c>
      <c r="BW57" s="4">
        <v>0</v>
      </c>
      <c r="BX57" s="4">
        <v>0</v>
      </c>
      <c r="BY57" s="4">
        <v>0</v>
      </c>
      <c r="BZ57" s="4">
        <v>0</v>
      </c>
      <c r="CA57" s="4">
        <v>0</v>
      </c>
      <c r="CB57" s="4">
        <v>0</v>
      </c>
      <c r="CC57" s="4">
        <v>0</v>
      </c>
      <c r="CD57" s="4">
        <v>0</v>
      </c>
      <c r="CE57" s="4">
        <v>0</v>
      </c>
      <c r="CF57" s="4">
        <v>0</v>
      </c>
      <c r="CG57" s="4">
        <f>IF(OR(MID(TBBP[[#This Row],[Coluna1]],1,1)="1",MID(TBBP[[#This Row],[Coluna1]],1,1)="2"),CF57,SUM(BU57:CF57))</f>
        <v>0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CQ57" s="4">
        <v>0</v>
      </c>
      <c r="CR57" s="4">
        <v>0</v>
      </c>
      <c r="CS57" s="4">
        <v>0</v>
      </c>
      <c r="CT57" s="4">
        <f>IF(OR(MID(TBBP[[#This Row],[Coluna1]],1,1)="1",MID(TBBP[[#This Row],[Coluna1]],1,1)="2"),CS57,SUM(CH57:CS57))</f>
        <v>0</v>
      </c>
      <c r="CU57" s="255">
        <v>0</v>
      </c>
      <c r="CV57" s="255">
        <v>0</v>
      </c>
      <c r="CW57" s="255">
        <v>0</v>
      </c>
      <c r="CX57" s="255">
        <v>0</v>
      </c>
      <c r="CY57" s="255">
        <v>0</v>
      </c>
      <c r="CZ57" s="255">
        <v>0</v>
      </c>
      <c r="DA57" s="255">
        <v>0</v>
      </c>
      <c r="DB57" s="255">
        <v>0</v>
      </c>
      <c r="DC57" s="255">
        <v>0</v>
      </c>
      <c r="DD57" s="255">
        <v>0</v>
      </c>
      <c r="DE57" s="255">
        <v>0</v>
      </c>
      <c r="DF57" s="255">
        <v>0</v>
      </c>
      <c r="DG57" s="255">
        <v>0</v>
      </c>
      <c r="DH57" s="255">
        <v>0</v>
      </c>
      <c r="DI57" s="255">
        <v>0</v>
      </c>
      <c r="DJ57" s="255">
        <v>0</v>
      </c>
      <c r="DK57" s="255">
        <v>0</v>
      </c>
      <c r="DL57" s="255">
        <v>0</v>
      </c>
      <c r="DM57" s="255">
        <v>0</v>
      </c>
      <c r="DO57" s="9"/>
      <c r="DP57" s="30" t="str">
        <f>IF(OR(MID(TBBP[[#This Row],[Coluna1]],1,1)="1",MID(TBBP[[#This Row],[Coluna1]],1,1)="2"),"-",SUMIFS(57:57,listaPeriodos,$DR$1,listaPeriodos,$DR$2))</f>
        <v>-</v>
      </c>
      <c r="DR57" s="30">
        <f t="shared" si="50"/>
        <v>0</v>
      </c>
      <c r="DS57" s="30"/>
      <c r="DT57" s="30"/>
      <c r="DU57"/>
    </row>
    <row r="58" spans="1:125" x14ac:dyDescent="0.3">
      <c r="A58" s="72" t="s">
        <v>62</v>
      </c>
      <c r="B58" s="64" t="s">
        <v>28</v>
      </c>
      <c r="C58" s="65">
        <f>SUM(C59:C63)</f>
        <v>10115</v>
      </c>
      <c r="D58" s="65">
        <f t="shared" ref="D58:AL58" si="56">SUM(D59:D63)</f>
        <v>144865.93</v>
      </c>
      <c r="E58" s="65">
        <f t="shared" si="56"/>
        <v>114149.22</v>
      </c>
      <c r="F58" s="65">
        <f t="shared" si="56"/>
        <v>83505.780000000013</v>
      </c>
      <c r="G58" s="65">
        <f t="shared" si="56"/>
        <v>52862.340000000011</v>
      </c>
      <c r="H58" s="65">
        <f t="shared" si="56"/>
        <v>50308.720000000016</v>
      </c>
      <c r="I58" s="65">
        <f t="shared" si="56"/>
        <v>47755.100000000006</v>
      </c>
      <c r="J58" s="65">
        <f t="shared" si="56"/>
        <v>45201.48000000001</v>
      </c>
      <c r="K58" s="65">
        <f t="shared" si="56"/>
        <v>42647.860000000015</v>
      </c>
      <c r="L58" s="65">
        <f t="shared" si="56"/>
        <v>40094.240000000005</v>
      </c>
      <c r="M58" s="65">
        <f t="shared" si="56"/>
        <v>37540.62000000001</v>
      </c>
      <c r="N58" s="65">
        <f t="shared" si="56"/>
        <v>34987.000000000015</v>
      </c>
      <c r="O58" s="65">
        <f t="shared" si="56"/>
        <v>32433.380000000005</v>
      </c>
      <c r="P58" s="65">
        <f t="shared" si="56"/>
        <v>29879.760000000009</v>
      </c>
      <c r="Q58" s="65">
        <f t="shared" si="56"/>
        <v>27326.140000000014</v>
      </c>
      <c r="R58" s="65">
        <f t="shared" si="56"/>
        <v>24772.520000000019</v>
      </c>
      <c r="S58" s="65">
        <f t="shared" si="56"/>
        <v>22218.900000000023</v>
      </c>
      <c r="T58" s="65">
        <f>IF(OR(MID(TBBP[[#This Row],[Coluna1]],1,1)="1",MID(TBBP[[#This Row],[Coluna1]],1,1)="2"),TBBP[[#This Row],[Coluna19]],SUM(H58:S58))</f>
        <v>22218.900000000023</v>
      </c>
      <c r="U58" s="65">
        <f t="shared" si="56"/>
        <v>19665.28</v>
      </c>
      <c r="V58" s="65">
        <f t="shared" si="56"/>
        <v>17111.660000000003</v>
      </c>
      <c r="W58" s="65">
        <f t="shared" si="56"/>
        <v>14558.040000000008</v>
      </c>
      <c r="X58" s="65">
        <f t="shared" si="56"/>
        <v>12004.420000000013</v>
      </c>
      <c r="Y58" s="65">
        <f t="shared" si="56"/>
        <v>9450.8000000000175</v>
      </c>
      <c r="Z58" s="65">
        <f t="shared" si="56"/>
        <v>6897.1800000000221</v>
      </c>
      <c r="AA58" s="65">
        <f t="shared" si="56"/>
        <v>4343.5599999999977</v>
      </c>
      <c r="AB58" s="65">
        <f t="shared" si="56"/>
        <v>1789.9400000000023</v>
      </c>
      <c r="AC58" s="65">
        <f t="shared" si="56"/>
        <v>355</v>
      </c>
      <c r="AD58" s="65">
        <f t="shared" si="56"/>
        <v>300355</v>
      </c>
      <c r="AE58" s="65">
        <f t="shared" si="56"/>
        <v>295355</v>
      </c>
      <c r="AF58" s="65">
        <f t="shared" si="56"/>
        <v>290355</v>
      </c>
      <c r="AG58" s="65">
        <f>IF(OR(MID(TBBP[[#This Row],[Coluna1]],1,1)="1",MID(TBBP[[#This Row],[Coluna1]],1,1)="2"),TBBP[[#This Row],[Coluna32]],SUM(U58:AF58))</f>
        <v>290355</v>
      </c>
      <c r="AH58" s="65">
        <f t="shared" si="56"/>
        <v>285355</v>
      </c>
      <c r="AI58" s="65">
        <f t="shared" si="56"/>
        <v>280355</v>
      </c>
      <c r="AJ58" s="65">
        <f t="shared" si="56"/>
        <v>275355</v>
      </c>
      <c r="AK58" s="65">
        <f t="shared" si="56"/>
        <v>270355</v>
      </c>
      <c r="AL58" s="65">
        <f t="shared" si="56"/>
        <v>265355</v>
      </c>
      <c r="AM58" s="65">
        <f t="shared" ref="AM58:AS58" si="57">SUM(AM59:AM63)</f>
        <v>260354.99999999997</v>
      </c>
      <c r="AN58" s="65">
        <f t="shared" si="57"/>
        <v>255354.99999999997</v>
      </c>
      <c r="AO58" s="65">
        <f t="shared" si="57"/>
        <v>279920.74</v>
      </c>
      <c r="AP58" s="65">
        <f t="shared" si="57"/>
        <v>274427.98</v>
      </c>
      <c r="AQ58" s="65">
        <f t="shared" si="57"/>
        <v>268935.21999999997</v>
      </c>
      <c r="AR58" s="65">
        <f t="shared" si="57"/>
        <v>263442.45999999996</v>
      </c>
      <c r="AS58" s="65">
        <f t="shared" si="57"/>
        <v>272641.33999999997</v>
      </c>
      <c r="AT58" s="65">
        <f>IF(OR(MID(TBBP[[#This Row],[Coluna1]],1,1)="1",MID(TBBP[[#This Row],[Coluna1]],1,1)="2"),TBBP[[#This Row],[Coluna45]],SUM(AH58:AS58))</f>
        <v>272641.33999999997</v>
      </c>
      <c r="AU58" s="65">
        <f t="shared" ref="AU58:BF58" si="58">SUM(AU59:AU63)</f>
        <v>266903.71999999997</v>
      </c>
      <c r="AV58" s="65">
        <f t="shared" si="58"/>
        <v>261166.09999999998</v>
      </c>
      <c r="AW58" s="65">
        <f t="shared" si="58"/>
        <v>255428.47999999998</v>
      </c>
      <c r="AX58" s="65">
        <f t="shared" si="58"/>
        <v>249690.86</v>
      </c>
      <c r="AY58" s="65">
        <f t="shared" si="58"/>
        <v>243953.24</v>
      </c>
      <c r="AZ58" s="65">
        <f t="shared" si="58"/>
        <v>238215.62</v>
      </c>
      <c r="BA58" s="65">
        <f t="shared" si="58"/>
        <v>232478</v>
      </c>
      <c r="BB58" s="65">
        <f t="shared" si="58"/>
        <v>226740.38</v>
      </c>
      <c r="BC58" s="65">
        <f t="shared" si="58"/>
        <v>239580.02000000002</v>
      </c>
      <c r="BD58" s="65">
        <f t="shared" si="58"/>
        <v>233532.77999999997</v>
      </c>
      <c r="BE58" s="65">
        <f t="shared" si="58"/>
        <v>227485.53999999998</v>
      </c>
      <c r="BF58" s="65">
        <f t="shared" si="58"/>
        <v>227438.25</v>
      </c>
      <c r="BG58" s="65">
        <f>SUM(BG59:BG63)</f>
        <v>227438.25</v>
      </c>
      <c r="BH58" s="65">
        <f t="shared" ref="BH58:BS58" si="59">SUM(BH59:BH63)</f>
        <v>221391.01</v>
      </c>
      <c r="BI58" s="65">
        <f t="shared" si="59"/>
        <v>215343.77000000002</v>
      </c>
      <c r="BJ58" s="65">
        <f t="shared" si="59"/>
        <v>483817.2</v>
      </c>
      <c r="BK58" s="65">
        <f t="shared" si="59"/>
        <v>477361.28</v>
      </c>
      <c r="BL58" s="65">
        <f t="shared" si="59"/>
        <v>470905.36000000004</v>
      </c>
      <c r="BM58" s="65">
        <f t="shared" si="59"/>
        <v>464449.44000000006</v>
      </c>
      <c r="BN58" s="65">
        <f t="shared" si="59"/>
        <v>457993.52</v>
      </c>
      <c r="BO58" s="65">
        <f t="shared" si="59"/>
        <v>451537.60000000003</v>
      </c>
      <c r="BP58" s="65">
        <f t="shared" si="59"/>
        <v>445081.68000000005</v>
      </c>
      <c r="BQ58" s="65">
        <f t="shared" si="59"/>
        <v>438625.76</v>
      </c>
      <c r="BR58" s="65">
        <f t="shared" si="59"/>
        <v>428003.17000000004</v>
      </c>
      <c r="BS58" s="65">
        <f t="shared" si="59"/>
        <v>417380.58</v>
      </c>
      <c r="BT58" s="65">
        <f t="shared" ref="BT58:DM58" si="60">SUM(BT59:BT63)</f>
        <v>417380.58</v>
      </c>
      <c r="BU58" s="65">
        <f t="shared" si="60"/>
        <v>406757.99000000005</v>
      </c>
      <c r="BV58" s="65">
        <f t="shared" si="60"/>
        <v>396135.4</v>
      </c>
      <c r="BW58" s="65">
        <f t="shared" si="60"/>
        <v>385512.81000000006</v>
      </c>
      <c r="BX58" s="65">
        <f t="shared" si="60"/>
        <v>394000.34</v>
      </c>
      <c r="BY58" s="65">
        <f t="shared" si="60"/>
        <v>383059.25000000006</v>
      </c>
      <c r="BZ58" s="65">
        <f t="shared" si="60"/>
        <v>620230.84000000008</v>
      </c>
      <c r="CA58" s="65">
        <f t="shared" si="60"/>
        <v>1105154.53</v>
      </c>
      <c r="CB58" s="65">
        <f t="shared" si="60"/>
        <v>1081744.8900000001</v>
      </c>
      <c r="CC58" s="65">
        <f t="shared" si="60"/>
        <v>1058335.25</v>
      </c>
      <c r="CD58" s="65">
        <f t="shared" si="60"/>
        <v>1034925.6100000001</v>
      </c>
      <c r="CE58" s="65">
        <f t="shared" si="60"/>
        <v>1011515.9700000001</v>
      </c>
      <c r="CF58" s="65">
        <v>988106.33000000007</v>
      </c>
      <c r="CG58" s="65">
        <f t="shared" si="60"/>
        <v>988106.33000000007</v>
      </c>
      <c r="CH58" s="65">
        <f t="shared" si="60"/>
        <v>964696.69000000006</v>
      </c>
      <c r="CI58" s="65">
        <f t="shared" si="60"/>
        <v>941287.05</v>
      </c>
      <c r="CJ58" s="65">
        <f t="shared" si="60"/>
        <v>917877.41</v>
      </c>
      <c r="CK58" s="65">
        <f t="shared" si="60"/>
        <v>894467.77000000014</v>
      </c>
      <c r="CL58" s="65">
        <f t="shared" si="60"/>
        <v>970783.20000000019</v>
      </c>
      <c r="CM58" s="65">
        <f t="shared" si="60"/>
        <v>945711.4800000001</v>
      </c>
      <c r="CN58" s="65">
        <f t="shared" si="60"/>
        <v>920639.76000000013</v>
      </c>
      <c r="CO58" s="65">
        <f t="shared" si="60"/>
        <v>895568.04000000015</v>
      </c>
      <c r="CP58" s="65">
        <f t="shared" si="60"/>
        <v>870496.32000000018</v>
      </c>
      <c r="CQ58" s="65">
        <f t="shared" si="60"/>
        <v>850424.60000000009</v>
      </c>
      <c r="CR58" s="65">
        <f t="shared" si="60"/>
        <v>830384.69000000018</v>
      </c>
      <c r="CS58" s="65">
        <f t="shared" si="60"/>
        <v>810312.9700000002</v>
      </c>
      <c r="CT58" s="65">
        <f t="shared" si="60"/>
        <v>810312.9700000002</v>
      </c>
      <c r="CU58" s="65">
        <f t="shared" si="60"/>
        <v>790295.25000000012</v>
      </c>
      <c r="CV58" s="65">
        <f t="shared" si="60"/>
        <v>1074027.5300000003</v>
      </c>
      <c r="CW58" s="65">
        <f t="shared" si="60"/>
        <v>1048892.4100000001</v>
      </c>
      <c r="CX58" s="65">
        <f t="shared" si="60"/>
        <v>1023757.2900000002</v>
      </c>
      <c r="CY58" s="65">
        <f t="shared" si="60"/>
        <v>1058622.1700000002</v>
      </c>
      <c r="CZ58" s="65">
        <f t="shared" si="60"/>
        <v>1033487.0500000002</v>
      </c>
      <c r="DA58" s="65">
        <f t="shared" si="60"/>
        <v>1007351.9300000002</v>
      </c>
      <c r="DB58" s="65">
        <f t="shared" si="60"/>
        <v>976216.81</v>
      </c>
      <c r="DC58" s="65">
        <f t="shared" si="60"/>
        <v>950574.45000000019</v>
      </c>
      <c r="DD58" s="65">
        <f t="shared" si="60"/>
        <v>924932.09000000008</v>
      </c>
      <c r="DE58" s="65">
        <f t="shared" si="60"/>
        <v>962289.73000000021</v>
      </c>
      <c r="DF58" s="65">
        <f t="shared" si="60"/>
        <v>936647.37000000011</v>
      </c>
      <c r="DG58" s="65">
        <f t="shared" si="60"/>
        <v>936647.37000000011</v>
      </c>
      <c r="DH58" s="65">
        <f t="shared" si="60"/>
        <v>910199.87000000011</v>
      </c>
      <c r="DI58" s="65">
        <f t="shared" si="60"/>
        <v>883752.37000000011</v>
      </c>
      <c r="DJ58" s="65">
        <f t="shared" si="60"/>
        <v>857304.87000000011</v>
      </c>
      <c r="DK58" s="65">
        <f t="shared" si="60"/>
        <v>830857.37000000011</v>
      </c>
      <c r="DL58" s="65">
        <f t="shared" si="60"/>
        <v>802274.13000000012</v>
      </c>
      <c r="DM58" s="65">
        <f t="shared" si="60"/>
        <v>775826.63000000012</v>
      </c>
      <c r="DO58" s="9"/>
      <c r="DP58" s="30" t="str">
        <f>IF(OR(MID(TBBP[[#This Row],[Coluna1]],1,1)="1",MID(TBBP[[#This Row],[Coluna1]],1,1)="2"),"-",SUMIFS(58:58,listaPeriodos,$DR$1,listaPeriodos,$DR$2))</f>
        <v>-</v>
      </c>
      <c r="DR58" s="30">
        <f t="shared" si="50"/>
        <v>0</v>
      </c>
      <c r="DS58" s="30"/>
      <c r="DT58" s="30"/>
      <c r="DU58"/>
    </row>
    <row r="59" spans="1:125" x14ac:dyDescent="0.3">
      <c r="A59" s="7" t="s">
        <v>63</v>
      </c>
      <c r="B59" t="s">
        <v>29</v>
      </c>
      <c r="H59" s="4">
        <v>0</v>
      </c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>
        <f>IF(OR(MID(TBBP[[#This Row],[Coluna1]],1,1)="1",MID(TBBP[[#This Row],[Coluna1]],1,1)="2"),TBBP[[#This Row],[Coluna19]],SUM(H59:S59))</f>
        <v>0</v>
      </c>
      <c r="U59" s="4"/>
      <c r="V59" s="4"/>
      <c r="W59" s="4"/>
      <c r="X59" s="4"/>
      <c r="Y59" s="4"/>
      <c r="Z59" s="4">
        <v>0</v>
      </c>
      <c r="AA59" s="4">
        <v>0</v>
      </c>
      <c r="AB59" s="4">
        <v>0</v>
      </c>
      <c r="AC59" s="4">
        <v>0</v>
      </c>
      <c r="AD59" s="4">
        <v>300000</v>
      </c>
      <c r="AE59" s="4">
        <v>300000</v>
      </c>
      <c r="AF59" s="4">
        <v>300000</v>
      </c>
      <c r="AG59" s="4">
        <f>IF(OR(MID(TBBP[[#This Row],[Coluna1]],1,1)="1",MID(TBBP[[#This Row],[Coluna1]],1,1)="2"),TBBP[[#This Row],[Coluna32]],SUM(U59:AF59))</f>
        <v>300000</v>
      </c>
      <c r="AH59" s="4">
        <v>300000</v>
      </c>
      <c r="AI59" s="4">
        <v>300000</v>
      </c>
      <c r="AJ59" s="4">
        <v>300000</v>
      </c>
      <c r="AK59" s="4">
        <v>300000</v>
      </c>
      <c r="AL59" s="4">
        <v>300000</v>
      </c>
      <c r="AM59" s="4">
        <v>300000</v>
      </c>
      <c r="AN59" s="4">
        <v>300000</v>
      </c>
      <c r="AO59" s="4">
        <v>300000</v>
      </c>
      <c r="AP59" s="4">
        <v>300000</v>
      </c>
      <c r="AQ59" s="4">
        <v>300000</v>
      </c>
      <c r="AR59" s="4">
        <v>300000</v>
      </c>
      <c r="AS59" s="4">
        <v>300000</v>
      </c>
      <c r="AT59" s="4">
        <f>IF(OR(MID(TBBP[[#This Row],[Coluna1]],1,1)="1",MID(TBBP[[#This Row],[Coluna1]],1,1)="2"),TBBP[[#This Row],[Coluna45]],SUM(AH59:AS59))</f>
        <v>300000</v>
      </c>
      <c r="AU59" s="4">
        <v>300000</v>
      </c>
      <c r="AV59" s="4">
        <v>300000</v>
      </c>
      <c r="AW59" s="4">
        <v>300000</v>
      </c>
      <c r="AX59" s="4">
        <v>300000</v>
      </c>
      <c r="AY59" s="4">
        <v>300000</v>
      </c>
      <c r="AZ59" s="4">
        <v>300000</v>
      </c>
      <c r="BA59" s="4">
        <v>300000</v>
      </c>
      <c r="BB59" s="4">
        <v>300000</v>
      </c>
      <c r="BC59" s="4">
        <v>300000</v>
      </c>
      <c r="BD59" s="4">
        <v>300000</v>
      </c>
      <c r="BE59" s="4">
        <v>300000</v>
      </c>
      <c r="BF59" s="4">
        <v>300000</v>
      </c>
      <c r="BG59" s="4">
        <f>IF(OR(MID(TBBP[[#This Row],[Coluna1]],1,1)="1",MID(TBBP[[#This Row],[Coluna1]],1,1)="2"),TBBP[[#This Row],[Coluna58]],SUM(AU59:BF59))</f>
        <v>300000</v>
      </c>
      <c r="BH59" s="4">
        <v>300000</v>
      </c>
      <c r="BI59" s="4">
        <v>300000</v>
      </c>
      <c r="BJ59" s="4">
        <v>550000</v>
      </c>
      <c r="BK59" s="4">
        <v>550000</v>
      </c>
      <c r="BL59" s="4">
        <v>550000</v>
      </c>
      <c r="BM59" s="4">
        <v>550000</v>
      </c>
      <c r="BN59" s="4">
        <v>550000</v>
      </c>
      <c r="BO59" s="4">
        <v>550000</v>
      </c>
      <c r="BP59" s="4">
        <v>550000</v>
      </c>
      <c r="BQ59" s="4">
        <v>550000</v>
      </c>
      <c r="BR59" s="4">
        <v>550000</v>
      </c>
      <c r="BS59" s="4">
        <v>550000</v>
      </c>
      <c r="BT59" s="4">
        <f>IF(OR(MID(TBBP[[#This Row],[Coluna1]],1,1)="1",MID(TBBP[[#This Row],[Coluna1]],1,1)="2"),TBBP[[#This Row],[Coluna127]],SUM(BH59:BS59))</f>
        <v>550000</v>
      </c>
      <c r="BU59" s="4">
        <v>550000</v>
      </c>
      <c r="BV59" s="4">
        <v>550000</v>
      </c>
      <c r="BW59" s="4">
        <v>550000</v>
      </c>
      <c r="BX59" s="4">
        <v>550000</v>
      </c>
      <c r="BY59" s="4">
        <v>550000</v>
      </c>
      <c r="BZ59" s="4">
        <v>550000</v>
      </c>
      <c r="CA59" s="4">
        <v>1050000</v>
      </c>
      <c r="CB59" s="4">
        <v>1050000</v>
      </c>
      <c r="CC59" s="4">
        <v>1050000</v>
      </c>
      <c r="CD59" s="4">
        <v>1050000</v>
      </c>
      <c r="CE59" s="4">
        <v>1050000</v>
      </c>
      <c r="CF59" s="4">
        <v>1050000</v>
      </c>
      <c r="CG59" s="4">
        <f>IF(OR(MID(TBBP[[#This Row],[Coluna1]],1,1)="1",MID(TBBP[[#This Row],[Coluna1]],1,1)="2"),CF59,SUM(BU59:CF59))</f>
        <v>1050000</v>
      </c>
      <c r="CH59" s="4">
        <v>1050000</v>
      </c>
      <c r="CI59" s="4">
        <v>1050000</v>
      </c>
      <c r="CJ59" s="4">
        <v>1050000</v>
      </c>
      <c r="CK59" s="4">
        <v>1050000</v>
      </c>
      <c r="CL59" s="4">
        <v>1050000</v>
      </c>
      <c r="CM59" s="4">
        <v>1050000</v>
      </c>
      <c r="CN59" s="4">
        <v>1050000</v>
      </c>
      <c r="CO59" s="4">
        <v>1050000</v>
      </c>
      <c r="CP59" s="4">
        <v>1050000</v>
      </c>
      <c r="CQ59" s="4">
        <v>1050000</v>
      </c>
      <c r="CR59" s="4">
        <v>1050000</v>
      </c>
      <c r="CS59" s="4">
        <v>1050000</v>
      </c>
      <c r="CT59" s="4">
        <f>IF(OR(MID(TBBP[[#This Row],[Coluna1]],1,1)="1",MID(TBBP[[#This Row],[Coluna1]],1,1)="2"),CS59,SUM(CH59:CS59))</f>
        <v>1050000</v>
      </c>
      <c r="CU59" s="255">
        <v>1050000</v>
      </c>
      <c r="CV59" s="255">
        <v>1300000</v>
      </c>
      <c r="CW59" s="255">
        <v>1300000</v>
      </c>
      <c r="CX59" s="255">
        <v>1300000</v>
      </c>
      <c r="CY59" s="255">
        <v>1360000</v>
      </c>
      <c r="CZ59" s="255">
        <v>1360000</v>
      </c>
      <c r="DA59" s="255">
        <v>1360000</v>
      </c>
      <c r="DB59" s="255">
        <v>1360000</v>
      </c>
      <c r="DC59" s="255">
        <v>1360000</v>
      </c>
      <c r="DD59" s="255">
        <v>1360000</v>
      </c>
      <c r="DE59" s="255">
        <v>1360000</v>
      </c>
      <c r="DF59" s="255">
        <v>1360000</v>
      </c>
      <c r="DG59" s="255">
        <v>1360000</v>
      </c>
      <c r="DH59" s="255">
        <v>1360000</v>
      </c>
      <c r="DI59" s="255">
        <v>1360000</v>
      </c>
      <c r="DJ59" s="255">
        <v>1360000</v>
      </c>
      <c r="DK59" s="255">
        <v>1360000</v>
      </c>
      <c r="DL59" s="255">
        <v>1360000</v>
      </c>
      <c r="DM59" s="255">
        <v>1360000</v>
      </c>
      <c r="DO59" s="9"/>
      <c r="DP59" s="30" t="str">
        <f>IF(OR(MID(TBBP[[#This Row],[Coluna1]],1,1)="1",MID(TBBP[[#This Row],[Coluna1]],1,1)="2"),"-",SUMIFS(59:59,listaPeriodos,$DR$1,listaPeriodos,$DR$2))</f>
        <v>-</v>
      </c>
      <c r="DR59" s="30">
        <f t="shared" si="50"/>
        <v>0</v>
      </c>
      <c r="DS59" s="30"/>
      <c r="DT59" s="30"/>
      <c r="DU59"/>
    </row>
    <row r="60" spans="1:125" x14ac:dyDescent="0.3">
      <c r="A60" s="7" t="s">
        <v>64</v>
      </c>
      <c r="B60" t="s">
        <v>30</v>
      </c>
      <c r="C60" s="4">
        <v>4800</v>
      </c>
      <c r="D60" s="4">
        <v>153298.63</v>
      </c>
      <c r="E60" s="4">
        <v>153217.23000000001</v>
      </c>
      <c r="F60" s="4">
        <v>153217.23000000001</v>
      </c>
      <c r="G60" s="4">
        <v>153217.23000000001</v>
      </c>
      <c r="H60" s="4">
        <v>153217.23000000001</v>
      </c>
      <c r="I60" s="4">
        <v>153217.23000000001</v>
      </c>
      <c r="J60" s="4">
        <v>153217.23000000001</v>
      </c>
      <c r="K60" s="4">
        <v>153217.23000000001</v>
      </c>
      <c r="L60" s="4">
        <v>153217.23000000001</v>
      </c>
      <c r="M60" s="4">
        <v>153217.23000000001</v>
      </c>
      <c r="N60" s="4">
        <v>153217.23000000001</v>
      </c>
      <c r="O60" s="4">
        <v>153217.23000000001</v>
      </c>
      <c r="P60" s="4">
        <v>153217.23000000001</v>
      </c>
      <c r="Q60" s="4">
        <v>153217.23000000001</v>
      </c>
      <c r="R60" s="4">
        <v>153217.23000000001</v>
      </c>
      <c r="S60" s="4">
        <v>153217.23000000001</v>
      </c>
      <c r="T60" s="4">
        <f>IF(OR(MID(TBBP[[#This Row],[Coluna1]],1,1)="1",MID(TBBP[[#This Row],[Coluna1]],1,1)="2"),TBBP[[#This Row],[Coluna19]],SUM(H60:S60))</f>
        <v>153217.23000000001</v>
      </c>
      <c r="U60" s="4">
        <v>153217.23000000001</v>
      </c>
      <c r="V60" s="4">
        <v>153217.23000000001</v>
      </c>
      <c r="W60" s="4">
        <v>153217.23000000001</v>
      </c>
      <c r="X60" s="4">
        <v>153217.23000000001</v>
      </c>
      <c r="Y60" s="4">
        <v>153217.23000000001</v>
      </c>
      <c r="Z60" s="4">
        <v>153217.23000000001</v>
      </c>
      <c r="AA60" s="4">
        <v>153217.23000000001</v>
      </c>
      <c r="AB60" s="4">
        <v>153217.23000000001</v>
      </c>
      <c r="AC60" s="4">
        <v>153217.23000000001</v>
      </c>
      <c r="AD60" s="4">
        <v>153217.23000000001</v>
      </c>
      <c r="AE60" s="4">
        <v>153217.23000000001</v>
      </c>
      <c r="AF60" s="4">
        <v>153217.23000000001</v>
      </c>
      <c r="AG60" s="4">
        <f>IF(OR(MID(TBBP[[#This Row],[Coluna1]],1,1)="1",MID(TBBP[[#This Row],[Coluna1]],1,1)="2"),TBBP[[#This Row],[Coluna32]],SUM(U60:AF60))</f>
        <v>153217.23000000001</v>
      </c>
      <c r="AH60" s="4">
        <v>153217.23000000001</v>
      </c>
      <c r="AI60" s="4">
        <v>153217.23000000001</v>
      </c>
      <c r="AJ60" s="4">
        <v>153217.23000000001</v>
      </c>
      <c r="AK60" s="4">
        <v>153217.23000000001</v>
      </c>
      <c r="AL60" s="4">
        <v>153217.23000000001</v>
      </c>
      <c r="AM60" s="4">
        <v>153217.23000000001</v>
      </c>
      <c r="AN60" s="4">
        <v>153217.23000000001</v>
      </c>
      <c r="AO60" s="4">
        <v>182782.97</v>
      </c>
      <c r="AP60" s="4">
        <v>182290.21</v>
      </c>
      <c r="AQ60" s="4">
        <v>181797.45</v>
      </c>
      <c r="AR60" s="4">
        <v>181304.69</v>
      </c>
      <c r="AS60" s="4">
        <v>195503.57</v>
      </c>
      <c r="AT60" s="4">
        <f>IF(OR(MID(TBBP[[#This Row],[Coluna1]],1,1)="1",MID(TBBP[[#This Row],[Coluna1]],1,1)="2"),TBBP[[#This Row],[Coluna45]],SUM(AH60:AS60))</f>
        <v>195503.57</v>
      </c>
      <c r="AU60" s="4">
        <v>197474.61</v>
      </c>
      <c r="AV60" s="4">
        <v>197474.61</v>
      </c>
      <c r="AW60" s="4">
        <v>197474.61</v>
      </c>
      <c r="AX60" s="4">
        <v>197474.61</v>
      </c>
      <c r="AY60" s="4">
        <v>197474.61</v>
      </c>
      <c r="AZ60" s="4">
        <v>197474.61</v>
      </c>
      <c r="BA60" s="4">
        <v>197474.61</v>
      </c>
      <c r="BB60" s="4">
        <v>197474.61</v>
      </c>
      <c r="BC60" s="4">
        <v>216051.87</v>
      </c>
      <c r="BD60" s="4">
        <v>216051.87</v>
      </c>
      <c r="BE60" s="4">
        <v>216051.87</v>
      </c>
      <c r="BF60" s="4">
        <v>216051.87</v>
      </c>
      <c r="BG60" s="4">
        <f>IF(OR(MID(TBBP[[#This Row],[Coluna1]],1,1)="1",MID(TBBP[[#This Row],[Coluna1]],1,1)="2"),TBBP[[#This Row],[Coluna58]],SUM(AU60:BF60))</f>
        <v>216051.87</v>
      </c>
      <c r="BH60" s="4">
        <v>216051.87</v>
      </c>
      <c r="BI60" s="4">
        <v>216051.87</v>
      </c>
      <c r="BJ60" s="4">
        <v>240572.54</v>
      </c>
      <c r="BK60" s="4">
        <v>240572.54</v>
      </c>
      <c r="BL60" s="4">
        <v>240572.54</v>
      </c>
      <c r="BM60" s="4">
        <v>240572.54</v>
      </c>
      <c r="BN60" s="4">
        <v>240572.54</v>
      </c>
      <c r="BO60" s="4">
        <v>240572.54</v>
      </c>
      <c r="BP60" s="4">
        <v>240572.54</v>
      </c>
      <c r="BQ60" s="4">
        <v>240572.54</v>
      </c>
      <c r="BR60" s="4">
        <v>240572.54</v>
      </c>
      <c r="BS60" s="4">
        <v>240572.54</v>
      </c>
      <c r="BT60" s="4">
        <f>IF(OR(MID(TBBP[[#This Row],[Coluna1]],1,1)="1",MID(TBBP[[#This Row],[Coluna1]],1,1)="2"),TBBP[[#This Row],[Coluna127]],SUM(BH60:BS60))</f>
        <v>240572.54</v>
      </c>
      <c r="BU60" s="4">
        <v>240572.54</v>
      </c>
      <c r="BV60" s="4">
        <v>240572.54</v>
      </c>
      <c r="BW60" s="4">
        <v>240572.54</v>
      </c>
      <c r="BX60" s="4">
        <v>259682.66</v>
      </c>
      <c r="BY60" s="4">
        <v>259682.66</v>
      </c>
      <c r="BZ60" s="4">
        <v>507795.34</v>
      </c>
      <c r="CA60" s="4">
        <v>507795.34</v>
      </c>
      <c r="CB60" s="4">
        <v>507795.34</v>
      </c>
      <c r="CC60" s="4">
        <v>507795.34</v>
      </c>
      <c r="CD60" s="4">
        <v>507795.34</v>
      </c>
      <c r="CE60" s="4">
        <v>507795.34</v>
      </c>
      <c r="CF60" s="4">
        <v>507795.34</v>
      </c>
      <c r="CG60" s="4">
        <f>IF(OR(MID(TBBP[[#This Row],[Coluna1]],1,1)="1",MID(TBBP[[#This Row],[Coluna1]],1,1)="2"),CF60,SUM(BU60:CF60))</f>
        <v>507795.34</v>
      </c>
      <c r="CH60" s="4">
        <v>507795.34</v>
      </c>
      <c r="CI60" s="4">
        <v>507795.34</v>
      </c>
      <c r="CJ60" s="4">
        <v>507795.34</v>
      </c>
      <c r="CK60" s="4">
        <v>507795.34</v>
      </c>
      <c r="CL60" s="4">
        <v>607520.41</v>
      </c>
      <c r="CM60" s="4">
        <v>607520.41</v>
      </c>
      <c r="CN60" s="4">
        <v>607520.41</v>
      </c>
      <c r="CO60" s="4">
        <v>607520.41</v>
      </c>
      <c r="CP60" s="4">
        <v>607520.41</v>
      </c>
      <c r="CQ60" s="4">
        <v>607520.41</v>
      </c>
      <c r="CR60" s="4">
        <v>607520.41</v>
      </c>
      <c r="CS60" s="4">
        <v>607520.41</v>
      </c>
      <c r="CT60" s="4">
        <f>IF(OR(MID(TBBP[[#This Row],[Coluna1]],1,1)="1",MID(TBBP[[#This Row],[Coluna1]],1,1)="2"),CS60,SUM(CH60:CS60))</f>
        <v>607520.41</v>
      </c>
      <c r="CU60" s="255">
        <v>607520.41</v>
      </c>
      <c r="CV60" s="255">
        <v>661324.41</v>
      </c>
      <c r="CW60" s="255">
        <v>661324.41</v>
      </c>
      <c r="CX60" s="255">
        <v>661324.41</v>
      </c>
      <c r="CY60" s="255">
        <v>661324.41</v>
      </c>
      <c r="CZ60" s="255">
        <v>661324.41</v>
      </c>
      <c r="DA60" s="255">
        <v>661324.41</v>
      </c>
      <c r="DB60" s="255">
        <v>661324.41</v>
      </c>
      <c r="DC60" s="255">
        <v>661324.41</v>
      </c>
      <c r="DD60" s="255">
        <v>661324.41</v>
      </c>
      <c r="DE60" s="255">
        <v>724324.41</v>
      </c>
      <c r="DF60" s="255">
        <v>724324.41</v>
      </c>
      <c r="DG60" s="255">
        <v>724324.41</v>
      </c>
      <c r="DH60" s="255">
        <v>724324.41</v>
      </c>
      <c r="DI60" s="255">
        <v>724324.41</v>
      </c>
      <c r="DJ60" s="255">
        <v>724324.41</v>
      </c>
      <c r="DK60" s="255">
        <v>724324.41</v>
      </c>
      <c r="DL60" s="255">
        <v>724324.41</v>
      </c>
      <c r="DM60" s="255">
        <v>724324.41</v>
      </c>
      <c r="DO60" s="9"/>
      <c r="DP60" s="30" t="str">
        <f>IF(OR(MID(TBBP[[#This Row],[Coluna1]],1,1)="1",MID(TBBP[[#This Row],[Coluna1]],1,1)="2"),"-",SUMIFS(60:60,listaPeriodos,$DR$1,listaPeriodos,$DR$2))</f>
        <v>-</v>
      </c>
      <c r="DR60" s="30">
        <f t="shared" si="50"/>
        <v>0</v>
      </c>
      <c r="DS60" s="30"/>
      <c r="DT60" s="30"/>
      <c r="DU60"/>
    </row>
    <row r="61" spans="1:125" x14ac:dyDescent="0.3">
      <c r="A61" s="7" t="s">
        <v>65</v>
      </c>
      <c r="B61" t="s">
        <v>7</v>
      </c>
      <c r="C61" s="4">
        <v>355</v>
      </c>
      <c r="D61" s="4">
        <v>355</v>
      </c>
      <c r="E61" s="4">
        <v>355</v>
      </c>
      <c r="F61" s="4">
        <v>355</v>
      </c>
      <c r="G61" s="4">
        <v>355</v>
      </c>
      <c r="H61" s="4">
        <v>355</v>
      </c>
      <c r="I61" s="4">
        <v>355</v>
      </c>
      <c r="J61" s="4">
        <v>355</v>
      </c>
      <c r="K61" s="4">
        <v>355</v>
      </c>
      <c r="L61" s="4">
        <v>355</v>
      </c>
      <c r="M61" s="4">
        <v>355</v>
      </c>
      <c r="N61" s="4">
        <v>355</v>
      </c>
      <c r="O61" s="4">
        <v>355</v>
      </c>
      <c r="P61" s="4">
        <v>355</v>
      </c>
      <c r="Q61" s="4">
        <v>355</v>
      </c>
      <c r="R61" s="4">
        <v>355</v>
      </c>
      <c r="S61" s="4">
        <v>355</v>
      </c>
      <c r="T61" s="4">
        <f>IF(OR(MID(TBBP[[#This Row],[Coluna1]],1,1)="1",MID(TBBP[[#This Row],[Coluna1]],1,1)="2"),TBBP[[#This Row],[Coluna19]],SUM(H61:S61))</f>
        <v>355</v>
      </c>
      <c r="U61" s="4">
        <v>355</v>
      </c>
      <c r="V61" s="4">
        <v>355</v>
      </c>
      <c r="W61" s="4">
        <v>355</v>
      </c>
      <c r="X61" s="4">
        <v>355</v>
      </c>
      <c r="Y61" s="4">
        <v>355</v>
      </c>
      <c r="Z61" s="4">
        <v>355</v>
      </c>
      <c r="AA61" s="4">
        <v>355</v>
      </c>
      <c r="AB61" s="4">
        <v>355</v>
      </c>
      <c r="AC61" s="4">
        <v>355</v>
      </c>
      <c r="AD61" s="4">
        <v>355</v>
      </c>
      <c r="AE61" s="4">
        <v>355</v>
      </c>
      <c r="AF61" s="4">
        <v>355</v>
      </c>
      <c r="AG61" s="4">
        <f>IF(OR(MID(TBBP[[#This Row],[Coluna1]],1,1)="1",MID(TBBP[[#This Row],[Coluna1]],1,1)="2"),TBBP[[#This Row],[Coluna32]],SUM(U61:AF61))</f>
        <v>355</v>
      </c>
      <c r="AH61" s="4">
        <v>355</v>
      </c>
      <c r="AI61" s="4">
        <v>355</v>
      </c>
      <c r="AJ61" s="4">
        <v>355</v>
      </c>
      <c r="AK61" s="4">
        <v>355</v>
      </c>
      <c r="AL61" s="4">
        <v>355</v>
      </c>
      <c r="AM61" s="4">
        <v>355</v>
      </c>
      <c r="AN61" s="4">
        <v>355</v>
      </c>
      <c r="AO61" s="4">
        <v>355</v>
      </c>
      <c r="AP61" s="4">
        <v>355</v>
      </c>
      <c r="AQ61" s="4">
        <v>355</v>
      </c>
      <c r="AR61" s="4">
        <v>355</v>
      </c>
      <c r="AS61" s="4">
        <v>355</v>
      </c>
      <c r="AT61" s="4">
        <f>IF(OR(MID(TBBP[[#This Row],[Coluna1]],1,1)="1",MID(TBBP[[#This Row],[Coluna1]],1,1)="2"),TBBP[[#This Row],[Coluna45]],SUM(AH61:AS61))</f>
        <v>355</v>
      </c>
      <c r="AU61" s="4">
        <v>355</v>
      </c>
      <c r="AV61" s="4">
        <v>355</v>
      </c>
      <c r="AW61" s="4">
        <v>355</v>
      </c>
      <c r="AX61" s="4">
        <v>355</v>
      </c>
      <c r="AY61" s="4">
        <v>355</v>
      </c>
      <c r="AZ61" s="4">
        <v>355</v>
      </c>
      <c r="BA61" s="4">
        <v>355</v>
      </c>
      <c r="BB61" s="4">
        <v>355</v>
      </c>
      <c r="BC61" s="4">
        <v>355</v>
      </c>
      <c r="BD61" s="4">
        <v>355</v>
      </c>
      <c r="BE61" s="4">
        <v>355</v>
      </c>
      <c r="BF61" s="4">
        <v>355</v>
      </c>
      <c r="BG61" s="4">
        <f>IF(OR(MID(TBBP[[#This Row],[Coluna1]],1,1)="1",MID(TBBP[[#This Row],[Coluna1]],1,1)="2"),TBBP[[#This Row],[Coluna58]],SUM(AU61:BF61))</f>
        <v>355</v>
      </c>
      <c r="BH61" s="4">
        <v>355</v>
      </c>
      <c r="BI61" s="4">
        <v>355</v>
      </c>
      <c r="BJ61" s="4">
        <v>355</v>
      </c>
      <c r="BK61" s="4">
        <v>355</v>
      </c>
      <c r="BL61" s="4">
        <v>355</v>
      </c>
      <c r="BM61" s="4">
        <v>355</v>
      </c>
      <c r="BN61" s="4">
        <v>355</v>
      </c>
      <c r="BO61" s="4">
        <v>355</v>
      </c>
      <c r="BP61" s="4">
        <v>355</v>
      </c>
      <c r="BQ61" s="4">
        <v>355</v>
      </c>
      <c r="BR61" s="4">
        <v>355</v>
      </c>
      <c r="BS61" s="4">
        <v>355</v>
      </c>
      <c r="BT61" s="4">
        <f>IF(OR(MID(TBBP[[#This Row],[Coluna1]],1,1)="1",MID(TBBP[[#This Row],[Coluna1]],1,1)="2"),TBBP[[#This Row],[Coluna127]],SUM(BH61:BS61))</f>
        <v>355</v>
      </c>
      <c r="BU61" s="4">
        <v>355</v>
      </c>
      <c r="BV61" s="4">
        <v>355</v>
      </c>
      <c r="BW61" s="4">
        <v>355</v>
      </c>
      <c r="BX61" s="4">
        <v>355</v>
      </c>
      <c r="BY61" s="4">
        <v>355</v>
      </c>
      <c r="BZ61" s="4">
        <v>355</v>
      </c>
      <c r="CA61" s="4">
        <v>355</v>
      </c>
      <c r="CB61" s="4">
        <v>355</v>
      </c>
      <c r="CC61" s="4">
        <v>355</v>
      </c>
      <c r="CD61" s="4">
        <v>355</v>
      </c>
      <c r="CE61" s="4">
        <v>355</v>
      </c>
      <c r="CF61" s="4">
        <v>355</v>
      </c>
      <c r="CG61" s="4">
        <f>IF(OR(MID(TBBP[[#This Row],[Coluna1]],1,1)="1",MID(TBBP[[#This Row],[Coluna1]],1,1)="2"),CF61,SUM(BU61:CF61))</f>
        <v>355</v>
      </c>
      <c r="CH61" s="4">
        <v>355</v>
      </c>
      <c r="CI61" s="4">
        <v>355</v>
      </c>
      <c r="CJ61" s="4">
        <v>355</v>
      </c>
      <c r="CK61" s="4">
        <v>355</v>
      </c>
      <c r="CL61" s="4">
        <v>355</v>
      </c>
      <c r="CM61" s="4">
        <v>355</v>
      </c>
      <c r="CN61" s="4">
        <v>355</v>
      </c>
      <c r="CO61" s="4">
        <v>355</v>
      </c>
      <c r="CP61" s="4">
        <v>355</v>
      </c>
      <c r="CQ61" s="4">
        <v>355</v>
      </c>
      <c r="CR61" s="4">
        <v>355</v>
      </c>
      <c r="CS61" s="4">
        <v>355</v>
      </c>
      <c r="CT61" s="4">
        <f>IF(OR(MID(TBBP[[#This Row],[Coluna1]],1,1)="1",MID(TBBP[[#This Row],[Coluna1]],1,1)="2"),CS61,SUM(CH61:CS61))</f>
        <v>355</v>
      </c>
      <c r="CU61" s="255">
        <v>355</v>
      </c>
      <c r="CV61" s="255">
        <v>355</v>
      </c>
      <c r="CW61" s="255">
        <v>355</v>
      </c>
      <c r="CX61" s="255">
        <v>355</v>
      </c>
      <c r="CY61" s="255">
        <v>355</v>
      </c>
      <c r="CZ61" s="255">
        <v>355</v>
      </c>
      <c r="DA61" s="255">
        <v>355</v>
      </c>
      <c r="DB61" s="255">
        <v>355</v>
      </c>
      <c r="DC61" s="255">
        <v>355</v>
      </c>
      <c r="DD61" s="255">
        <v>355</v>
      </c>
      <c r="DE61" s="255">
        <v>355</v>
      </c>
      <c r="DF61" s="255">
        <v>355</v>
      </c>
      <c r="DG61" s="255">
        <v>355</v>
      </c>
      <c r="DH61" s="255">
        <v>355</v>
      </c>
      <c r="DI61" s="255">
        <v>355</v>
      </c>
      <c r="DJ61" s="255">
        <v>355</v>
      </c>
      <c r="DK61" s="255">
        <v>355</v>
      </c>
      <c r="DL61" s="255">
        <v>355</v>
      </c>
      <c r="DM61" s="255">
        <v>355</v>
      </c>
      <c r="DO61" s="9"/>
      <c r="DP61" s="30" t="str">
        <f>IF(OR(MID(TBBP[[#This Row],[Coluna1]],1,1)="1",MID(TBBP[[#This Row],[Coluna1]],1,1)="2"),"-",SUMIFS(61:61,listaPeriodos,$DR$1,listaPeriodos,$DR$2))</f>
        <v>-</v>
      </c>
      <c r="DR61" s="30">
        <f t="shared" si="50"/>
        <v>0</v>
      </c>
      <c r="DS61" s="30"/>
      <c r="DT61" s="30"/>
      <c r="DU61"/>
    </row>
    <row r="62" spans="1:125" x14ac:dyDescent="0.3">
      <c r="A62" s="7" t="s">
        <v>66</v>
      </c>
      <c r="B62" t="s">
        <v>31</v>
      </c>
      <c r="C62" s="4">
        <v>6000</v>
      </c>
      <c r="D62" s="4">
        <v>6000</v>
      </c>
      <c r="E62" s="4">
        <v>6000</v>
      </c>
      <c r="F62" s="4">
        <v>6000</v>
      </c>
      <c r="G62" s="4">
        <v>6000</v>
      </c>
      <c r="H62" s="4">
        <v>6000</v>
      </c>
      <c r="I62" s="4">
        <v>6000</v>
      </c>
      <c r="J62" s="4">
        <v>6000</v>
      </c>
      <c r="K62" s="4">
        <v>6000</v>
      </c>
      <c r="L62" s="4">
        <v>6000</v>
      </c>
      <c r="M62" s="4">
        <v>6000</v>
      </c>
      <c r="N62" s="4">
        <v>6000</v>
      </c>
      <c r="O62" s="4">
        <v>6000</v>
      </c>
      <c r="P62" s="4">
        <v>6000</v>
      </c>
      <c r="Q62" s="4">
        <v>6000</v>
      </c>
      <c r="R62" s="4">
        <v>6000</v>
      </c>
      <c r="S62" s="4">
        <v>6000</v>
      </c>
      <c r="T62" s="4">
        <f>IF(OR(MID(TBBP[[#This Row],[Coluna1]],1,1)="1",MID(TBBP[[#This Row],[Coluna1]],1,1)="2"),TBBP[[#This Row],[Coluna19]],SUM(H62:S62))</f>
        <v>6000</v>
      </c>
      <c r="U62" s="4">
        <v>6000</v>
      </c>
      <c r="V62" s="4">
        <v>6000</v>
      </c>
      <c r="W62" s="4">
        <v>6000</v>
      </c>
      <c r="X62" s="4">
        <v>6000</v>
      </c>
      <c r="Y62" s="4">
        <v>6000</v>
      </c>
      <c r="Z62" s="4">
        <v>6000</v>
      </c>
      <c r="AA62" s="4">
        <v>6000</v>
      </c>
      <c r="AB62" s="4">
        <v>6000</v>
      </c>
      <c r="AC62" s="4">
        <v>6000</v>
      </c>
      <c r="AD62" s="4">
        <v>6000</v>
      </c>
      <c r="AE62" s="4">
        <v>6000</v>
      </c>
      <c r="AF62" s="4">
        <v>6000</v>
      </c>
      <c r="AG62" s="4">
        <f>IF(OR(MID(TBBP[[#This Row],[Coluna1]],1,1)="1",MID(TBBP[[#This Row],[Coluna1]],1,1)="2"),TBBP[[#This Row],[Coluna32]],SUM(U62:AF62))</f>
        <v>6000</v>
      </c>
      <c r="AH62" s="4">
        <v>6000</v>
      </c>
      <c r="AI62" s="4">
        <v>6000</v>
      </c>
      <c r="AJ62" s="4">
        <v>6000</v>
      </c>
      <c r="AK62" s="4">
        <v>6000</v>
      </c>
      <c r="AL62" s="4">
        <v>6000</v>
      </c>
      <c r="AM62" s="4">
        <v>6000</v>
      </c>
      <c r="AN62" s="4">
        <v>6000</v>
      </c>
      <c r="AO62" s="4">
        <v>6000</v>
      </c>
      <c r="AP62" s="4">
        <v>6000</v>
      </c>
      <c r="AQ62" s="4">
        <v>6000</v>
      </c>
      <c r="AR62" s="4">
        <v>6000</v>
      </c>
      <c r="AS62" s="4">
        <v>6000</v>
      </c>
      <c r="AT62" s="4">
        <f>IF(OR(MID(TBBP[[#This Row],[Coluna1]],1,1)="1",MID(TBBP[[#This Row],[Coluna1]],1,1)="2"),TBBP[[#This Row],[Coluna45]],SUM(AH62:AS62))</f>
        <v>6000</v>
      </c>
      <c r="AU62" s="4">
        <v>6000</v>
      </c>
      <c r="AV62" s="4">
        <v>6000</v>
      </c>
      <c r="AW62" s="4">
        <v>6000</v>
      </c>
      <c r="AX62" s="4">
        <v>6000</v>
      </c>
      <c r="AY62" s="4">
        <v>6000</v>
      </c>
      <c r="AZ62" s="4">
        <v>6000</v>
      </c>
      <c r="BA62" s="4">
        <v>6000</v>
      </c>
      <c r="BB62" s="4">
        <v>6000</v>
      </c>
      <c r="BC62" s="4">
        <v>6000</v>
      </c>
      <c r="BD62" s="4">
        <v>6000</v>
      </c>
      <c r="BE62" s="4">
        <v>6000</v>
      </c>
      <c r="BF62" s="4">
        <v>6000</v>
      </c>
      <c r="BG62" s="4">
        <f>IF(OR(MID(TBBP[[#This Row],[Coluna1]],1,1)="1",MID(TBBP[[#This Row],[Coluna1]],1,1)="2"),TBBP[[#This Row],[Coluna58]],SUM(AU62:BF62))</f>
        <v>6000</v>
      </c>
      <c r="BH62" s="4">
        <v>6000</v>
      </c>
      <c r="BI62" s="4">
        <v>6000</v>
      </c>
      <c r="BJ62" s="4">
        <v>6000</v>
      </c>
      <c r="BK62" s="4">
        <v>6000</v>
      </c>
      <c r="BL62" s="4">
        <v>6000</v>
      </c>
      <c r="BM62" s="4">
        <v>6000</v>
      </c>
      <c r="BN62" s="4">
        <v>6000</v>
      </c>
      <c r="BO62" s="4">
        <v>6000</v>
      </c>
      <c r="BP62" s="4">
        <v>6000</v>
      </c>
      <c r="BQ62" s="4">
        <v>6000</v>
      </c>
      <c r="BR62" s="4">
        <v>6000</v>
      </c>
      <c r="BS62" s="4">
        <v>6000</v>
      </c>
      <c r="BT62" s="4">
        <f>IF(OR(MID(TBBP[[#This Row],[Coluna1]],1,1)="1",MID(TBBP[[#This Row],[Coluna1]],1,1)="2"),TBBP[[#This Row],[Coluna127]],SUM(BH62:BS62))</f>
        <v>6000</v>
      </c>
      <c r="BU62" s="4">
        <v>6000</v>
      </c>
      <c r="BV62" s="4">
        <v>6000</v>
      </c>
      <c r="BW62" s="4">
        <v>6000</v>
      </c>
      <c r="BX62" s="4">
        <v>6000</v>
      </c>
      <c r="BY62" s="4">
        <v>6000</v>
      </c>
      <c r="BZ62" s="4">
        <v>6000</v>
      </c>
      <c r="CA62" s="4">
        <v>6000</v>
      </c>
      <c r="CB62" s="4">
        <v>6000</v>
      </c>
      <c r="CC62" s="4">
        <v>6000</v>
      </c>
      <c r="CD62" s="4">
        <v>6000</v>
      </c>
      <c r="CE62" s="4">
        <v>6000</v>
      </c>
      <c r="CF62" s="4">
        <v>6000</v>
      </c>
      <c r="CG62" s="4">
        <f>IF(OR(MID(TBBP[[#This Row],[Coluna1]],1,1)="1",MID(TBBP[[#This Row],[Coluna1]],1,1)="2"),CF62,SUM(BU62:CF62))</f>
        <v>6000</v>
      </c>
      <c r="CH62" s="4">
        <v>6000</v>
      </c>
      <c r="CI62" s="4">
        <v>6000</v>
      </c>
      <c r="CJ62" s="4">
        <v>6000</v>
      </c>
      <c r="CK62" s="4">
        <v>6000</v>
      </c>
      <c r="CL62" s="4">
        <v>6000</v>
      </c>
      <c r="CM62" s="4">
        <v>6000</v>
      </c>
      <c r="CN62" s="4">
        <v>6000</v>
      </c>
      <c r="CO62" s="4">
        <v>6000</v>
      </c>
      <c r="CP62" s="4">
        <v>6000</v>
      </c>
      <c r="CQ62" s="4">
        <v>6000</v>
      </c>
      <c r="CR62" s="4">
        <v>6000</v>
      </c>
      <c r="CS62" s="4">
        <v>6000</v>
      </c>
      <c r="CT62" s="4">
        <f>IF(OR(MID(TBBP[[#This Row],[Coluna1]],1,1)="1",MID(TBBP[[#This Row],[Coluna1]],1,1)="2"),CS62,SUM(CH62:CS62))</f>
        <v>6000</v>
      </c>
      <c r="CU62" s="255">
        <v>6000</v>
      </c>
      <c r="CV62" s="255">
        <v>6000</v>
      </c>
      <c r="CW62" s="255">
        <v>6000</v>
      </c>
      <c r="CX62" s="255">
        <v>6000</v>
      </c>
      <c r="CY62" s="255">
        <v>6000</v>
      </c>
      <c r="CZ62" s="255">
        <v>6000</v>
      </c>
      <c r="DA62" s="255">
        <v>6000</v>
      </c>
      <c r="DB62" s="255">
        <v>6000</v>
      </c>
      <c r="DC62" s="255">
        <v>6000</v>
      </c>
      <c r="DD62" s="255">
        <v>6000</v>
      </c>
      <c r="DE62" s="255">
        <v>6000</v>
      </c>
      <c r="DF62" s="255">
        <v>6000</v>
      </c>
      <c r="DG62" s="255">
        <v>6000</v>
      </c>
      <c r="DH62" s="255">
        <v>6000</v>
      </c>
      <c r="DI62" s="255">
        <v>6000</v>
      </c>
      <c r="DJ62" s="255">
        <v>6000</v>
      </c>
      <c r="DK62" s="255">
        <v>6000</v>
      </c>
      <c r="DL62" s="255">
        <v>6000</v>
      </c>
      <c r="DM62" s="255">
        <v>6000</v>
      </c>
      <c r="DP62" s="30" t="str">
        <f>IF(OR(MID(TBBP[[#This Row],[Coluna1]],1,1)="1",MID(TBBP[[#This Row],[Coluna1]],1,1)="2"),"-",SUMIFS(62:62,listaPeriodos,$DR$1,listaPeriodos,$DR$2))</f>
        <v>-</v>
      </c>
      <c r="DR62" s="30">
        <f t="shared" si="50"/>
        <v>0</v>
      </c>
      <c r="DS62" s="30"/>
      <c r="DT62" s="30"/>
      <c r="DU62"/>
    </row>
    <row r="63" spans="1:125" x14ac:dyDescent="0.3">
      <c r="A63" s="7" t="s">
        <v>67</v>
      </c>
      <c r="B63" t="s">
        <v>32</v>
      </c>
      <c r="C63" s="4">
        <v>-1040</v>
      </c>
      <c r="D63" s="4">
        <v>-14787.7</v>
      </c>
      <c r="E63" s="4">
        <v>-45423.01</v>
      </c>
      <c r="F63" s="4">
        <v>-76066.45</v>
      </c>
      <c r="G63" s="4">
        <v>-106709.89</v>
      </c>
      <c r="H63" s="4">
        <v>-109263.51</v>
      </c>
      <c r="I63" s="4">
        <v>-111817.13</v>
      </c>
      <c r="J63" s="4">
        <v>-114370.75</v>
      </c>
      <c r="K63" s="4">
        <v>-116924.37</v>
      </c>
      <c r="L63" s="4">
        <v>-119477.99</v>
      </c>
      <c r="M63" s="4">
        <v>-122031.61</v>
      </c>
      <c r="N63" s="4">
        <v>-124585.23</v>
      </c>
      <c r="O63" s="4">
        <v>-127138.85</v>
      </c>
      <c r="P63" s="4">
        <v>-129692.47</v>
      </c>
      <c r="Q63" s="4">
        <v>-132246.09</v>
      </c>
      <c r="R63" s="4">
        <v>-134799.71</v>
      </c>
      <c r="S63" s="4">
        <v>-137353.32999999999</v>
      </c>
      <c r="T63" s="4">
        <f>IF(OR(MID(TBBP[[#This Row],[Coluna1]],1,1)="1",MID(TBBP[[#This Row],[Coluna1]],1,1)="2"),TBBP[[#This Row],[Coluna19]],SUM(H63:S63))</f>
        <v>-137353.32999999999</v>
      </c>
      <c r="U63" s="4">
        <v>-139906.95000000001</v>
      </c>
      <c r="V63" s="4">
        <v>-142460.57</v>
      </c>
      <c r="W63" s="4">
        <v>-145014.19</v>
      </c>
      <c r="X63" s="4">
        <v>-147567.81</v>
      </c>
      <c r="Y63" s="4">
        <v>-150121.43</v>
      </c>
      <c r="Z63" s="4">
        <v>-152675.04999999999</v>
      </c>
      <c r="AA63" s="4">
        <v>-155228.67000000001</v>
      </c>
      <c r="AB63" s="4">
        <v>-157782.29</v>
      </c>
      <c r="AC63" s="4">
        <v>-159217.23000000001</v>
      </c>
      <c r="AD63" s="4">
        <v>-159217.23000000001</v>
      </c>
      <c r="AE63" s="4">
        <v>-164217.23000000001</v>
      </c>
      <c r="AF63" s="4">
        <v>-169217.23</v>
      </c>
      <c r="AG63" s="4">
        <f>IF(OR(MID(TBBP[[#This Row],[Coluna1]],1,1)="1",MID(TBBP[[#This Row],[Coluna1]],1,1)="2"),TBBP[[#This Row],[Coluna32]],SUM(U63:AF63))</f>
        <v>-169217.23</v>
      </c>
      <c r="AH63" s="4">
        <v>-174217.23</v>
      </c>
      <c r="AI63" s="4">
        <v>-179217.23</v>
      </c>
      <c r="AJ63" s="4">
        <v>-184217.23</v>
      </c>
      <c r="AK63" s="4">
        <v>-189217.23</v>
      </c>
      <c r="AL63" s="4">
        <v>-194217.23</v>
      </c>
      <c r="AM63" s="4">
        <v>-199217.23</v>
      </c>
      <c r="AN63" s="4">
        <v>-204217.23</v>
      </c>
      <c r="AO63" s="4">
        <v>-209217.23</v>
      </c>
      <c r="AP63" s="4">
        <v>-214217.23</v>
      </c>
      <c r="AQ63" s="4">
        <v>-219217.23</v>
      </c>
      <c r="AR63" s="4">
        <v>-224217.23</v>
      </c>
      <c r="AS63" s="4">
        <v>-229217.23</v>
      </c>
      <c r="AT63" s="4">
        <f>IF(OR(MID(TBBP[[#This Row],[Coluna1]],1,1)="1",MID(TBBP[[#This Row],[Coluna1]],1,1)="2"),TBBP[[#This Row],[Coluna45]],SUM(AH63:AS63))</f>
        <v>-229217.23</v>
      </c>
      <c r="AU63" s="4">
        <v>-236925.89</v>
      </c>
      <c r="AV63" s="4">
        <v>-242663.51</v>
      </c>
      <c r="AW63" s="4">
        <v>-248401.13</v>
      </c>
      <c r="AX63" s="4">
        <v>-254138.75</v>
      </c>
      <c r="AY63" s="4">
        <v>-259876.37</v>
      </c>
      <c r="AZ63" s="4">
        <v>-265613.99</v>
      </c>
      <c r="BA63" s="4">
        <v>-271351.61</v>
      </c>
      <c r="BB63" s="4">
        <v>-277089.23</v>
      </c>
      <c r="BC63" s="4">
        <v>-282826.84999999998</v>
      </c>
      <c r="BD63" s="4">
        <v>-288874.09000000003</v>
      </c>
      <c r="BE63" s="4">
        <v>-294921.33</v>
      </c>
      <c r="BF63" s="4">
        <v>-294968.62</v>
      </c>
      <c r="BG63" s="4">
        <f>IF(OR(MID(TBBP[[#This Row],[Coluna1]],1,1)="1",MID(TBBP[[#This Row],[Coluna1]],1,1)="2"),TBBP[[#This Row],[Coluna58]],SUM(AU63:BF63))</f>
        <v>-294968.62</v>
      </c>
      <c r="BH63" s="4">
        <v>-301015.86</v>
      </c>
      <c r="BI63" s="4">
        <v>-307063.09999999998</v>
      </c>
      <c r="BJ63" s="4">
        <v>-313110.34000000003</v>
      </c>
      <c r="BK63" s="4">
        <v>-319566.26</v>
      </c>
      <c r="BL63" s="4">
        <v>-326022.18</v>
      </c>
      <c r="BM63" s="4">
        <v>-332478.09999999998</v>
      </c>
      <c r="BN63" s="4">
        <v>-338934.02</v>
      </c>
      <c r="BO63" s="4">
        <v>-345389.94</v>
      </c>
      <c r="BP63" s="4">
        <v>-351845.86</v>
      </c>
      <c r="BQ63" s="4">
        <v>-358301.78</v>
      </c>
      <c r="BR63" s="4">
        <v>-368924.37</v>
      </c>
      <c r="BS63" s="4">
        <v>-379546.96</v>
      </c>
      <c r="BT63" s="4">
        <f>IF(OR(MID(TBBP[[#This Row],[Coluna1]],1,1)="1",MID(TBBP[[#This Row],[Coluna1]],1,1)="2"),TBBP[[#This Row],[Coluna127]],SUM(BH63:BS63))</f>
        <v>-379546.96</v>
      </c>
      <c r="BU63" s="4">
        <v>-390169.55</v>
      </c>
      <c r="BV63" s="4">
        <v>-400792.14</v>
      </c>
      <c r="BW63" s="4">
        <v>-411414.73</v>
      </c>
      <c r="BX63" s="4">
        <v>-422037.32</v>
      </c>
      <c r="BY63" s="4">
        <v>-432978.41</v>
      </c>
      <c r="BZ63" s="4">
        <v>-443919.5</v>
      </c>
      <c r="CA63" s="4">
        <v>-458995.81</v>
      </c>
      <c r="CB63" s="4">
        <v>-482405.45</v>
      </c>
      <c r="CC63" s="4">
        <v>-505815.09</v>
      </c>
      <c r="CD63" s="4">
        <v>-529224.73</v>
      </c>
      <c r="CE63" s="4">
        <v>-552634.37</v>
      </c>
      <c r="CF63" s="4">
        <v>-576044.01</v>
      </c>
      <c r="CG63" s="4">
        <f>IF(OR(MID(TBBP[[#This Row],[Coluna1]],1,1)="1",MID(TBBP[[#This Row],[Coluna1]],1,1)="2"),CF63,SUM(BU63:CF63))</f>
        <v>-576044.01</v>
      </c>
      <c r="CH63" s="4">
        <v>-599453.65</v>
      </c>
      <c r="CI63" s="4">
        <v>-622863.29</v>
      </c>
      <c r="CJ63" s="4">
        <v>-646272.93000000005</v>
      </c>
      <c r="CK63" s="4">
        <v>-669682.56999999995</v>
      </c>
      <c r="CL63" s="4">
        <v>-693092.21</v>
      </c>
      <c r="CM63" s="4">
        <v>-718163.93</v>
      </c>
      <c r="CN63" s="4">
        <v>-743235.65</v>
      </c>
      <c r="CO63" s="4">
        <v>-768307.37</v>
      </c>
      <c r="CP63" s="4">
        <v>-793379.09</v>
      </c>
      <c r="CQ63" s="4">
        <v>-813450.81</v>
      </c>
      <c r="CR63" s="4">
        <v>-833490.72</v>
      </c>
      <c r="CS63" s="4">
        <v>-853562.44</v>
      </c>
      <c r="CT63" s="4">
        <f>IF(OR(MID(TBBP[[#This Row],[Coluna1]],1,1)="1",MID(TBBP[[#This Row],[Coluna1]],1,1)="2"),CS63,SUM(CH63:CS63))</f>
        <v>-853562.44</v>
      </c>
      <c r="CU63" s="255">
        <v>-873580.16</v>
      </c>
      <c r="CV63" s="255">
        <v>-893651.88</v>
      </c>
      <c r="CW63" s="255">
        <v>-918787</v>
      </c>
      <c r="CX63" s="255">
        <v>-943922.12</v>
      </c>
      <c r="CY63" s="255">
        <v>-969057.24</v>
      </c>
      <c r="CZ63" s="255">
        <v>-994192.36</v>
      </c>
      <c r="DA63" s="255">
        <v>-1020327.48</v>
      </c>
      <c r="DB63" s="255">
        <v>-1051462.6000000001</v>
      </c>
      <c r="DC63" s="255">
        <v>-1077104.96</v>
      </c>
      <c r="DD63" s="255">
        <v>-1102747.32</v>
      </c>
      <c r="DE63" s="255">
        <v>-1128389.68</v>
      </c>
      <c r="DF63" s="255">
        <v>-1154032.04</v>
      </c>
      <c r="DG63" s="255">
        <v>-1154032.04</v>
      </c>
      <c r="DH63" s="255">
        <v>-1180479.54</v>
      </c>
      <c r="DI63" s="255">
        <v>-1206927.04</v>
      </c>
      <c r="DJ63" s="255">
        <v>-1233374.54</v>
      </c>
      <c r="DK63" s="255">
        <v>-1259822.04</v>
      </c>
      <c r="DL63" s="255">
        <v>-1288405.28</v>
      </c>
      <c r="DM63" s="255">
        <v>-1314852.78</v>
      </c>
      <c r="DO63" s="9"/>
      <c r="DP63" s="30" t="str">
        <f>IF(OR(MID(TBBP[[#This Row],[Coluna1]],1,1)="1",MID(TBBP[[#This Row],[Coluna1]],1,1)="2"),"-",SUMIFS(63:63,listaPeriodos,$DR$1,listaPeriodos,$DR$2))</f>
        <v>-</v>
      </c>
      <c r="DR63" s="30">
        <f t="shared" si="50"/>
        <v>0</v>
      </c>
      <c r="DS63" s="30"/>
      <c r="DT63" s="30"/>
      <c r="DU63"/>
    </row>
    <row r="64" spans="1:125" x14ac:dyDescent="0.3">
      <c r="A64" s="72" t="s">
        <v>83</v>
      </c>
      <c r="B64" s="64" t="s">
        <v>73</v>
      </c>
      <c r="C64" s="65">
        <f>C65+C81+C85</f>
        <v>9164134.2300000004</v>
      </c>
      <c r="D64" s="65">
        <f t="shared" ref="D64:AH64" si="61">D65+D81+D85</f>
        <v>15928567.056647997</v>
      </c>
      <c r="E64" s="65">
        <f t="shared" si="61"/>
        <v>18115640.609999996</v>
      </c>
      <c r="F64" s="65">
        <f t="shared" si="61"/>
        <v>19099089.045553122</v>
      </c>
      <c r="G64" s="65">
        <f t="shared" si="61"/>
        <v>20080671.909999996</v>
      </c>
      <c r="H64" s="65">
        <f t="shared" si="61"/>
        <v>19951358.099999998</v>
      </c>
      <c r="I64" s="65">
        <f t="shared" si="61"/>
        <v>20388146.799999997</v>
      </c>
      <c r="J64" s="65">
        <f t="shared" si="61"/>
        <v>21134725.100511994</v>
      </c>
      <c r="K64" s="65">
        <f t="shared" si="61"/>
        <v>21116567.900512002</v>
      </c>
      <c r="L64" s="65">
        <f t="shared" si="61"/>
        <v>20081934.700511999</v>
      </c>
      <c r="M64" s="65">
        <f t="shared" si="61"/>
        <v>20764089.520512</v>
      </c>
      <c r="N64" s="65">
        <f t="shared" si="61"/>
        <v>20868985.07</v>
      </c>
      <c r="O64" s="65">
        <f t="shared" si="61"/>
        <v>21615281.309999999</v>
      </c>
      <c r="P64" s="65">
        <f t="shared" si="61"/>
        <v>23611777.509999998</v>
      </c>
      <c r="Q64" s="65">
        <f t="shared" si="61"/>
        <v>23698933.22854</v>
      </c>
      <c r="R64" s="65">
        <f t="shared" si="61"/>
        <v>22820035.72854</v>
      </c>
      <c r="S64" s="65">
        <f t="shared" si="61"/>
        <v>22561261.008540004</v>
      </c>
      <c r="T64" s="65">
        <f>IF(OR(MID(TBBP[[#This Row],[Coluna1]],1,1)="1",MID(TBBP[[#This Row],[Coluna1]],1,1)="2"),TBBP[[#This Row],[Coluna19]],SUM(H64:S64))</f>
        <v>22561261.008540004</v>
      </c>
      <c r="U64" s="65">
        <f t="shared" si="61"/>
        <v>23359306.8112</v>
      </c>
      <c r="V64" s="65">
        <f t="shared" si="61"/>
        <v>23236741.441199996</v>
      </c>
      <c r="W64" s="65">
        <f t="shared" si="61"/>
        <v>24152712.5812</v>
      </c>
      <c r="X64" s="65">
        <f t="shared" si="61"/>
        <v>24178445.161199998</v>
      </c>
      <c r="Y64" s="65">
        <f t="shared" si="61"/>
        <v>25145784.109999999</v>
      </c>
      <c r="Z64" s="65">
        <f t="shared" si="61"/>
        <v>25610028.331200004</v>
      </c>
      <c r="AA64" s="65">
        <f t="shared" si="61"/>
        <v>26333032.071199998</v>
      </c>
      <c r="AB64" s="65">
        <f t="shared" si="61"/>
        <v>26007283.131200001</v>
      </c>
      <c r="AC64" s="65">
        <f t="shared" si="61"/>
        <v>27405217.411199998</v>
      </c>
      <c r="AD64" s="65">
        <f t="shared" si="61"/>
        <v>26471722.391200002</v>
      </c>
      <c r="AE64" s="65">
        <f t="shared" si="61"/>
        <v>27273217.471199997</v>
      </c>
      <c r="AF64" s="65">
        <f t="shared" si="61"/>
        <v>26624542.5812</v>
      </c>
      <c r="AG64" s="65">
        <f>IF(OR(MID(TBBP[[#This Row],[Coluna1]],1,1)="1",MID(TBBP[[#This Row],[Coluna1]],1,1)="2"),TBBP[[#This Row],[Coluna32]],SUM(U64:AF64))</f>
        <v>26624542.5812</v>
      </c>
      <c r="AH64" s="65">
        <f t="shared" si="61"/>
        <v>27192665.060000002</v>
      </c>
      <c r="AI64" s="65">
        <f t="shared" ref="AI64:AS64" si="62">AI65+AI81+AI85</f>
        <v>29082318.210000001</v>
      </c>
      <c r="AJ64" s="65">
        <f t="shared" si="62"/>
        <v>28289557.999999996</v>
      </c>
      <c r="AK64" s="65">
        <f t="shared" si="62"/>
        <v>27423588.279999997</v>
      </c>
      <c r="AL64" s="65">
        <f t="shared" si="62"/>
        <v>28750053.299999997</v>
      </c>
      <c r="AM64" s="65">
        <f t="shared" si="62"/>
        <v>30365438.350000001</v>
      </c>
      <c r="AN64" s="65">
        <f t="shared" si="62"/>
        <v>31502136.389999997</v>
      </c>
      <c r="AO64" s="65">
        <f t="shared" si="62"/>
        <v>34397397.199999996</v>
      </c>
      <c r="AP64" s="65">
        <f t="shared" si="62"/>
        <v>36030393.460000001</v>
      </c>
      <c r="AQ64" s="65">
        <f t="shared" si="62"/>
        <v>36651293.329999998</v>
      </c>
      <c r="AR64" s="65">
        <f t="shared" si="62"/>
        <v>38718362.829999998</v>
      </c>
      <c r="AS64" s="65">
        <f t="shared" si="62"/>
        <v>41534024.170000002</v>
      </c>
      <c r="AT64" s="65">
        <f>IF(OR(MID(TBBP[[#This Row],[Coluna1]],1,1)="1",MID(TBBP[[#This Row],[Coluna1]],1,1)="2"),TBBP[[#This Row],[Coluna45]],SUM(AH64:AS64))</f>
        <v>41534024.170000002</v>
      </c>
      <c r="AU64" s="65">
        <f t="shared" ref="AU64:BG64" si="63">AU65+AU81+AU85</f>
        <v>42427559.200000003</v>
      </c>
      <c r="AV64" s="65">
        <f t="shared" si="63"/>
        <v>45912597.200000003</v>
      </c>
      <c r="AW64" s="65">
        <f t="shared" si="63"/>
        <v>48717474.430000007</v>
      </c>
      <c r="AX64" s="65">
        <f t="shared" si="63"/>
        <v>51096883.650000006</v>
      </c>
      <c r="AY64" s="65">
        <f t="shared" si="63"/>
        <v>53608927.24000001</v>
      </c>
      <c r="AZ64" s="65">
        <f t="shared" si="63"/>
        <v>54694782.700000003</v>
      </c>
      <c r="BA64" s="65">
        <f t="shared" si="63"/>
        <v>56776794.970000006</v>
      </c>
      <c r="BB64" s="65">
        <f t="shared" si="63"/>
        <v>58327570.930000007</v>
      </c>
      <c r="BC64" s="65">
        <f t="shared" si="63"/>
        <v>61348830.260000005</v>
      </c>
      <c r="BD64" s="65">
        <f t="shared" si="63"/>
        <v>62511484.949999996</v>
      </c>
      <c r="BE64" s="65">
        <f t="shared" si="63"/>
        <v>63205259.170000002</v>
      </c>
      <c r="BF64" s="65">
        <f t="shared" si="63"/>
        <v>63547764.300000004</v>
      </c>
      <c r="BG64" s="65">
        <f t="shared" si="63"/>
        <v>63547764.300000004</v>
      </c>
      <c r="BH64" s="65">
        <f>BH65+BH81+BH85</f>
        <v>63412138.480000004</v>
      </c>
      <c r="BI64" s="65">
        <f>BI65+BI81+BI85</f>
        <v>65824224.149999999</v>
      </c>
      <c r="BJ64" s="65">
        <f>BJ65+BJ81+BJ85</f>
        <v>68592950.150000006</v>
      </c>
      <c r="BK64" s="65">
        <f t="shared" ref="BK64:BT64" si="64">BK65+BK81+BK85</f>
        <v>69031893.649999991</v>
      </c>
      <c r="BL64" s="65">
        <f t="shared" si="64"/>
        <v>69788884.159999996</v>
      </c>
      <c r="BM64" s="65">
        <f t="shared" si="64"/>
        <v>71587626.930000007</v>
      </c>
      <c r="BN64" s="65">
        <f t="shared" si="64"/>
        <v>73415057.25999999</v>
      </c>
      <c r="BO64" s="65">
        <f t="shared" si="64"/>
        <v>75757290.719999999</v>
      </c>
      <c r="BP64" s="65">
        <f t="shared" si="64"/>
        <v>78253639.780000001</v>
      </c>
      <c r="BQ64" s="65">
        <f t="shared" si="64"/>
        <v>76388813.210000008</v>
      </c>
      <c r="BR64" s="65">
        <f t="shared" si="64"/>
        <v>77043825.960000008</v>
      </c>
      <c r="BS64" s="65">
        <f t="shared" si="64"/>
        <v>76043176.385000005</v>
      </c>
      <c r="BT64" s="65">
        <f t="shared" si="64"/>
        <v>76043176.385000005</v>
      </c>
      <c r="BU64" s="65">
        <f t="shared" ref="BU64:CA64" si="65">BU65+BU81+BU85</f>
        <v>74180597.979999989</v>
      </c>
      <c r="BV64" s="65">
        <f t="shared" si="65"/>
        <v>75274518.700000003</v>
      </c>
      <c r="BW64" s="65">
        <f t="shared" si="65"/>
        <v>77782645.459999993</v>
      </c>
      <c r="BX64" s="65">
        <f t="shared" si="65"/>
        <v>78379491.810000002</v>
      </c>
      <c r="BY64" s="65">
        <f t="shared" si="65"/>
        <v>83420284.439999998</v>
      </c>
      <c r="BZ64" s="65">
        <f>BZ65+BZ81+BZ85</f>
        <v>85271225.299999997</v>
      </c>
      <c r="CA64" s="65">
        <f t="shared" si="65"/>
        <v>85874413.510000005</v>
      </c>
      <c r="CB64" s="65">
        <f t="shared" ref="CB64:CG64" si="66">CB65+CB81+CB85</f>
        <v>87306023.370000005</v>
      </c>
      <c r="CC64" s="65">
        <f t="shared" si="66"/>
        <v>91686341.679999992</v>
      </c>
      <c r="CD64" s="65">
        <f t="shared" si="66"/>
        <v>93252112.75999999</v>
      </c>
      <c r="CE64" s="65">
        <f t="shared" si="66"/>
        <v>92810911.739999995</v>
      </c>
      <c r="CF64" s="65">
        <v>93839012.405799985</v>
      </c>
      <c r="CG64" s="65">
        <f t="shared" si="66"/>
        <v>93839012.405799985</v>
      </c>
      <c r="CH64" s="65">
        <f t="shared" ref="CH64:CT64" si="67">CH65+CH81+CH85</f>
        <v>91025800.789999992</v>
      </c>
      <c r="CI64" s="65">
        <f t="shared" si="67"/>
        <v>95231819.299999997</v>
      </c>
      <c r="CJ64" s="65">
        <f t="shared" si="67"/>
        <v>100301773.40000001</v>
      </c>
      <c r="CK64" s="65">
        <f t="shared" si="67"/>
        <v>105880535.34999999</v>
      </c>
      <c r="CL64" s="65">
        <f t="shared" si="67"/>
        <v>112558936.43000001</v>
      </c>
      <c r="CM64" s="65">
        <f t="shared" si="67"/>
        <v>114834047.22</v>
      </c>
      <c r="CN64" s="65">
        <f t="shared" si="67"/>
        <v>129185378.56999999</v>
      </c>
      <c r="CO64" s="65">
        <f t="shared" si="67"/>
        <v>129967670.59</v>
      </c>
      <c r="CP64" s="65">
        <f t="shared" si="67"/>
        <v>130765469.54000001</v>
      </c>
      <c r="CQ64" s="65">
        <f t="shared" si="67"/>
        <v>132712331.11</v>
      </c>
      <c r="CR64" s="65">
        <f t="shared" si="67"/>
        <v>135102161.09999999</v>
      </c>
      <c r="CS64" s="65">
        <f t="shared" si="67"/>
        <v>135904935.96000001</v>
      </c>
      <c r="CT64" s="65">
        <f t="shared" si="67"/>
        <v>135904935.95590001</v>
      </c>
      <c r="CU64" s="65">
        <f t="shared" ref="CU64:DE64" si="68">CU65+CU81+CU85</f>
        <v>131399747.08000001</v>
      </c>
      <c r="CV64" s="65">
        <f t="shared" si="68"/>
        <v>131769858.89</v>
      </c>
      <c r="CW64" s="65">
        <f t="shared" si="68"/>
        <v>129916100.01000001</v>
      </c>
      <c r="CX64" s="65">
        <f t="shared" si="68"/>
        <v>131317701.06</v>
      </c>
      <c r="CY64" s="65">
        <f t="shared" si="68"/>
        <v>132946408.49999999</v>
      </c>
      <c r="CZ64" s="65">
        <f t="shared" si="68"/>
        <v>135734120.02999997</v>
      </c>
      <c r="DA64" s="65">
        <f t="shared" si="68"/>
        <v>141017342.06</v>
      </c>
      <c r="DB64" s="65">
        <f t="shared" si="68"/>
        <v>139833586.34999999</v>
      </c>
      <c r="DC64" s="65">
        <f t="shared" si="68"/>
        <v>139984170.94999999</v>
      </c>
      <c r="DD64" s="65">
        <f t="shared" si="68"/>
        <v>140983284.79999998</v>
      </c>
      <c r="DE64" s="65">
        <f t="shared" si="68"/>
        <v>141876186.97</v>
      </c>
      <c r="DF64" s="65">
        <f t="shared" ref="DF64:DG64" si="69">DF65+DF81+DF85</f>
        <v>133431095.7429</v>
      </c>
      <c r="DG64" s="65">
        <f t="shared" si="69"/>
        <v>133431095.73999999</v>
      </c>
      <c r="DH64" s="65">
        <f t="shared" ref="DH64:DI64" si="70">DH65+DH81+DH85</f>
        <v>136263808.43000001</v>
      </c>
      <c r="DI64" s="65">
        <f t="shared" si="70"/>
        <v>135360443.59999999</v>
      </c>
      <c r="DJ64" s="65">
        <f t="shared" ref="DJ64:DK64" si="71">DJ65+DJ81+DJ85</f>
        <v>136400847.28999999</v>
      </c>
      <c r="DK64" s="65">
        <f t="shared" si="71"/>
        <v>136360771.34</v>
      </c>
      <c r="DL64" s="65">
        <f t="shared" ref="DL64:DM64" si="72">DL65+DL81+DL85</f>
        <v>138222287.22</v>
      </c>
      <c r="DM64" s="65">
        <f t="shared" si="72"/>
        <v>138688409.66999996</v>
      </c>
      <c r="DO64" s="9"/>
      <c r="DP64" s="30" t="str">
        <f>IF(OR(MID(TBBP[[#This Row],[Coluna1]],1,1)="1",MID(TBBP[[#This Row],[Coluna1]],1,1)="2"),"-",SUMIFS(64:64,listaPeriodos,$DR$1,listaPeriodos,$DR$2))</f>
        <v>-</v>
      </c>
      <c r="DR64" s="30">
        <f t="shared" si="50"/>
        <v>0</v>
      </c>
      <c r="DS64" s="30"/>
      <c r="DT64" s="30"/>
      <c r="DU64"/>
    </row>
    <row r="65" spans="1:125" x14ac:dyDescent="0.3">
      <c r="A65" s="72" t="s">
        <v>96</v>
      </c>
      <c r="B65" s="64" t="s">
        <v>625</v>
      </c>
      <c r="C65" s="65">
        <f>SUM(C66:C80)</f>
        <v>1157650.8699999999</v>
      </c>
      <c r="D65" s="65">
        <f t="shared" ref="D65:N65" si="73">SUM(D66:D80)</f>
        <v>3085288.57</v>
      </c>
      <c r="E65" s="65">
        <f t="shared" si="73"/>
        <v>2328171.5100000002</v>
      </c>
      <c r="F65" s="65">
        <f t="shared" si="73"/>
        <v>1977250.31</v>
      </c>
      <c r="G65" s="65">
        <f t="shared" si="73"/>
        <v>2218569.44</v>
      </c>
      <c r="H65" s="65">
        <f t="shared" si="73"/>
        <v>1855363.626164</v>
      </c>
      <c r="I65" s="65">
        <f t="shared" si="73"/>
        <v>2102075.2223319998</v>
      </c>
      <c r="J65" s="65">
        <f t="shared" si="73"/>
        <v>2524658.3699999996</v>
      </c>
      <c r="K65" s="65">
        <f t="shared" si="73"/>
        <v>4418951.5005320003</v>
      </c>
      <c r="L65" s="65">
        <f t="shared" si="73"/>
        <v>3628602.4073359999</v>
      </c>
      <c r="M65" s="65">
        <f t="shared" si="73"/>
        <v>4190456.2819719994</v>
      </c>
      <c r="N65" s="65">
        <f t="shared" si="73"/>
        <v>3837626.61</v>
      </c>
      <c r="O65" s="65">
        <f>SUM(O66:O79)</f>
        <v>4181199.95</v>
      </c>
      <c r="P65" s="65">
        <f t="shared" ref="P65:AI65" si="74">SUM(P66:P79)</f>
        <v>5163946.8599999994</v>
      </c>
      <c r="Q65" s="65">
        <f t="shared" si="74"/>
        <v>4648894.67</v>
      </c>
      <c r="R65" s="65">
        <f t="shared" si="74"/>
        <v>3850704.56</v>
      </c>
      <c r="S65" s="65">
        <f t="shared" si="74"/>
        <v>3574845.68</v>
      </c>
      <c r="T65" s="65">
        <f t="shared" si="74"/>
        <v>3574845.68</v>
      </c>
      <c r="U65" s="65">
        <f t="shared" si="74"/>
        <v>4240240.41</v>
      </c>
      <c r="V65" s="65">
        <f t="shared" si="74"/>
        <v>3982115.09</v>
      </c>
      <c r="W65" s="65">
        <f t="shared" si="74"/>
        <v>4645215.9600000009</v>
      </c>
      <c r="X65" s="65">
        <f t="shared" si="74"/>
        <v>4932792.58</v>
      </c>
      <c r="Y65" s="65">
        <f t="shared" si="74"/>
        <v>5435800.0800000001</v>
      </c>
      <c r="Z65" s="65">
        <f t="shared" si="74"/>
        <v>5929445.0899999999</v>
      </c>
      <c r="AA65" s="65">
        <f t="shared" si="74"/>
        <v>5346479.5999999996</v>
      </c>
      <c r="AB65" s="65">
        <f t="shared" si="74"/>
        <v>4767918.1899999995</v>
      </c>
      <c r="AC65" s="65">
        <f t="shared" si="74"/>
        <v>5439279.2000000002</v>
      </c>
      <c r="AD65" s="65">
        <f t="shared" si="74"/>
        <v>4601028.5699999994</v>
      </c>
      <c r="AE65" s="65">
        <f t="shared" si="74"/>
        <v>5118571.7199999988</v>
      </c>
      <c r="AF65" s="65">
        <f t="shared" si="74"/>
        <v>4359028.2700000005</v>
      </c>
      <c r="AG65" s="65">
        <f>IF(OR(MID(TBBP[[#This Row],[Coluna1]],1,1)="1",MID(TBBP[[#This Row],[Coluna1]],1,1)="2"),TBBP[[#This Row],[Coluna32]],SUM(U65:AF65))</f>
        <v>4359028.2700000005</v>
      </c>
      <c r="AH65" s="65">
        <f t="shared" si="74"/>
        <v>4518076.4200000009</v>
      </c>
      <c r="AI65" s="65">
        <f t="shared" si="74"/>
        <v>5676236.1799999997</v>
      </c>
      <c r="AJ65" s="65">
        <f t="shared" ref="AJ65:AS65" si="75">SUM(AJ66:AJ79)</f>
        <v>5017736.5599999996</v>
      </c>
      <c r="AK65" s="65">
        <f t="shared" si="75"/>
        <v>4223135.53</v>
      </c>
      <c r="AL65" s="65">
        <f t="shared" si="75"/>
        <v>5043760.03</v>
      </c>
      <c r="AM65" s="65">
        <f t="shared" si="75"/>
        <v>5281483.07</v>
      </c>
      <c r="AN65" s="65">
        <f t="shared" si="75"/>
        <v>5306304.9700000007</v>
      </c>
      <c r="AO65" s="65">
        <f t="shared" si="75"/>
        <v>6213179.6399999997</v>
      </c>
      <c r="AP65" s="65">
        <f t="shared" si="75"/>
        <v>6544902.8000000007</v>
      </c>
      <c r="AQ65" s="65">
        <f t="shared" si="75"/>
        <v>5627326.0899999989</v>
      </c>
      <c r="AR65" s="65">
        <f t="shared" si="75"/>
        <v>6811276.8500000006</v>
      </c>
      <c r="AS65" s="65">
        <f t="shared" si="75"/>
        <v>7399664.0299999993</v>
      </c>
      <c r="AT65" s="65">
        <f>IF(OR(MID(TBBP[[#This Row],[Coluna1]],1,1)="1",MID(TBBP[[#This Row],[Coluna1]],1,1)="2"),TBBP[[#This Row],[Coluna45]],SUM(AH65:AS65))</f>
        <v>7399664.0299999993</v>
      </c>
      <c r="AU65" s="65">
        <f t="shared" ref="AU65:BA65" si="76">SUM(AU66:AU71)+SUM(AU76:AU79)</f>
        <v>7067120.0100000007</v>
      </c>
      <c r="AV65" s="65">
        <f t="shared" si="76"/>
        <v>9881824.6699999999</v>
      </c>
      <c r="AW65" s="65">
        <f t="shared" si="76"/>
        <v>11104272.280000001</v>
      </c>
      <c r="AX65" s="65">
        <f t="shared" si="76"/>
        <v>11280696.939999999</v>
      </c>
      <c r="AY65" s="65">
        <f t="shared" si="76"/>
        <v>11821769.469999999</v>
      </c>
      <c r="AZ65" s="65">
        <f t="shared" si="76"/>
        <v>13054494.84</v>
      </c>
      <c r="BA65" s="65">
        <f t="shared" si="76"/>
        <v>12540398.5</v>
      </c>
      <c r="BB65" s="65">
        <f t="shared" ref="BB65:BJ65" si="77">SUM(BB66:BB71)+SUM(BB76:BB79)</f>
        <v>11645578.850000001</v>
      </c>
      <c r="BC65" s="65">
        <f t="shared" si="77"/>
        <v>11811686.220000001</v>
      </c>
      <c r="BD65" s="65">
        <f t="shared" si="77"/>
        <v>11826637.49</v>
      </c>
      <c r="BE65" s="65">
        <f t="shared" si="77"/>
        <v>11199305.09</v>
      </c>
      <c r="BF65" s="65">
        <f t="shared" si="77"/>
        <v>11108943.82</v>
      </c>
      <c r="BG65" s="65">
        <f t="shared" si="77"/>
        <v>11108943.82</v>
      </c>
      <c r="BH65" s="65">
        <f t="shared" si="77"/>
        <v>10476482.960000001</v>
      </c>
      <c r="BI65" s="65">
        <f t="shared" si="77"/>
        <v>12007472.190000001</v>
      </c>
      <c r="BJ65" s="65">
        <f t="shared" si="77"/>
        <v>13407026.93</v>
      </c>
      <c r="BK65" s="65">
        <f t="shared" ref="BK65:BS65" si="78">SUM(BK66:BK71)+SUM(BK76:BK79)</f>
        <v>12333383.76</v>
      </c>
      <c r="BL65" s="65">
        <f t="shared" si="78"/>
        <v>11829168.389999999</v>
      </c>
      <c r="BM65" s="65">
        <f t="shared" si="78"/>
        <v>12494064.739999998</v>
      </c>
      <c r="BN65" s="65">
        <f t="shared" si="78"/>
        <v>11415691.609999999</v>
      </c>
      <c r="BO65" s="65">
        <f t="shared" si="78"/>
        <v>13074127.109999998</v>
      </c>
      <c r="BP65" s="65">
        <f t="shared" si="78"/>
        <v>14263107.84</v>
      </c>
      <c r="BQ65" s="65">
        <f t="shared" si="78"/>
        <v>12436007.780000001</v>
      </c>
      <c r="BR65" s="65">
        <f t="shared" si="78"/>
        <v>11206599.790000001</v>
      </c>
      <c r="BS65" s="65">
        <f t="shared" si="78"/>
        <v>10315450.719999999</v>
      </c>
      <c r="BT65" s="65">
        <f>SUM(BT66:BT71)+SUM(BT76:BT79)</f>
        <v>10315450.719999999</v>
      </c>
      <c r="BU65" s="65">
        <f t="shared" ref="BU65:CA65" si="79">SUM(BU66:BU71)+SUM(BU76:BU79)</f>
        <v>8331300.2373999991</v>
      </c>
      <c r="BV65" s="65">
        <f t="shared" si="79"/>
        <v>9444908.2316000015</v>
      </c>
      <c r="BW65" s="65">
        <f t="shared" si="79"/>
        <v>10944427.425799999</v>
      </c>
      <c r="BX65" s="65">
        <f t="shared" si="79"/>
        <v>10999226.0952</v>
      </c>
      <c r="BY65" s="65">
        <f t="shared" si="79"/>
        <v>14399712.289600002</v>
      </c>
      <c r="BZ65" s="65">
        <f>SUM(BZ66:BZ71)+SUM(BZ76:BZ79)</f>
        <v>14940180.9408</v>
      </c>
      <c r="CA65" s="65">
        <f t="shared" si="79"/>
        <v>14824900.761800002</v>
      </c>
      <c r="CB65" s="65">
        <f t="shared" ref="CB65:CG65" si="80">SUM(CB66:CB71)+SUM(CB76:CB79)</f>
        <v>15255800.1884</v>
      </c>
      <c r="CC65" s="65">
        <f t="shared" si="80"/>
        <v>18713178.535800003</v>
      </c>
      <c r="CD65" s="65">
        <f t="shared" si="80"/>
        <v>19007676.691</v>
      </c>
      <c r="CE65" s="65">
        <f t="shared" si="80"/>
        <v>17370202.904600002</v>
      </c>
      <c r="CF65" s="65">
        <v>18207300.539999999</v>
      </c>
      <c r="CG65" s="65">
        <f t="shared" si="80"/>
        <v>18207300.539999999</v>
      </c>
      <c r="CH65" s="65">
        <f t="shared" ref="CH65:CT65" si="81">SUM(CH66:CH71)+SUM(CH76:CH79)</f>
        <v>13791339.275800001</v>
      </c>
      <c r="CI65" s="65">
        <f t="shared" si="81"/>
        <v>16207760.029000001</v>
      </c>
      <c r="CJ65" s="65">
        <f t="shared" si="81"/>
        <v>19678340.977600001</v>
      </c>
      <c r="CK65" s="65">
        <f t="shared" si="81"/>
        <v>23000525.925000001</v>
      </c>
      <c r="CL65" s="65">
        <f t="shared" si="81"/>
        <v>29789820.973399997</v>
      </c>
      <c r="CM65" s="65">
        <f t="shared" si="81"/>
        <v>27999856.6459</v>
      </c>
      <c r="CN65" s="65">
        <f t="shared" si="81"/>
        <v>32452803.065899998</v>
      </c>
      <c r="CO65" s="65">
        <f t="shared" si="81"/>
        <v>32390309.8759</v>
      </c>
      <c r="CP65" s="65">
        <f t="shared" si="81"/>
        <v>31746414.975900002</v>
      </c>
      <c r="CQ65" s="65">
        <f t="shared" si="81"/>
        <v>33163636.925900001</v>
      </c>
      <c r="CR65" s="65">
        <f t="shared" si="81"/>
        <v>35591458.845899999</v>
      </c>
      <c r="CS65" s="65">
        <f t="shared" si="81"/>
        <v>35014129.395900004</v>
      </c>
      <c r="CT65" s="65">
        <f t="shared" si="81"/>
        <v>35014129.395900004</v>
      </c>
      <c r="CU65" s="65">
        <f t="shared" ref="CU65:DE65" si="82">SUM(CU66:CU71)+SUM(CU76:CU79)</f>
        <v>29244875.158200003</v>
      </c>
      <c r="CV65" s="65">
        <f t="shared" si="82"/>
        <v>28846671.773200002</v>
      </c>
      <c r="CW65" s="65">
        <f t="shared" si="82"/>
        <v>30078802.261999998</v>
      </c>
      <c r="CX65" s="65">
        <f t="shared" si="82"/>
        <v>29358132.635799997</v>
      </c>
      <c r="CY65" s="65">
        <f t="shared" si="82"/>
        <v>29638200.948799998</v>
      </c>
      <c r="CZ65" s="65">
        <f t="shared" si="82"/>
        <v>32550549.761299998</v>
      </c>
      <c r="DA65" s="65">
        <f t="shared" si="82"/>
        <v>33869402.445099995</v>
      </c>
      <c r="DB65" s="65">
        <f t="shared" si="82"/>
        <v>33121358.725099999</v>
      </c>
      <c r="DC65" s="65">
        <f t="shared" si="82"/>
        <v>34646431.968899995</v>
      </c>
      <c r="DD65" s="65">
        <f t="shared" si="82"/>
        <v>36122824.459299996</v>
      </c>
      <c r="DE65" s="65">
        <f t="shared" si="82"/>
        <v>36182401.633900002</v>
      </c>
      <c r="DF65" s="65">
        <f t="shared" ref="DF65:DG65" si="83">SUM(DF66:DF71)+SUM(DF76:DF79)</f>
        <v>33810455.879999995</v>
      </c>
      <c r="DG65" s="65">
        <f t="shared" si="83"/>
        <v>33810455.879999995</v>
      </c>
      <c r="DH65" s="65">
        <f t="shared" ref="DH65:DI65" si="84">SUM(DH66:DH71)+SUM(DH76:DH79)</f>
        <v>36719325.760799997</v>
      </c>
      <c r="DI65" s="65">
        <f t="shared" si="84"/>
        <v>35812997.051799998</v>
      </c>
      <c r="DJ65" s="65">
        <f t="shared" ref="DJ65:DK65" si="85">SUM(DJ66:DJ71)+SUM(DJ76:DJ79)</f>
        <v>36163096.7104</v>
      </c>
      <c r="DK65" s="65">
        <f t="shared" si="85"/>
        <v>34203755.905399993</v>
      </c>
      <c r="DL65" s="65">
        <f t="shared" ref="DL65:DM65" si="86">SUM(DL66:DL71)+SUM(DL76:DL79)</f>
        <v>36787065.614599995</v>
      </c>
      <c r="DM65" s="65">
        <f t="shared" si="86"/>
        <v>38168862.449799992</v>
      </c>
      <c r="DO65" s="9"/>
      <c r="DP65" s="30" t="str">
        <f>IF(OR(MID(TBBP[[#This Row],[Coluna1]],1,1)="1",MID(TBBP[[#This Row],[Coluna1]],1,1)="2"),"-",SUMIFS(65:65,listaPeriodos,$DR$1,listaPeriodos,$DR$2))</f>
        <v>-</v>
      </c>
      <c r="DR65" s="30">
        <f t="shared" si="50"/>
        <v>0</v>
      </c>
      <c r="DS65" s="30"/>
      <c r="DT65" s="30"/>
      <c r="DU65"/>
    </row>
    <row r="66" spans="1:125" x14ac:dyDescent="0.3">
      <c r="A66" s="7" t="s">
        <v>84</v>
      </c>
      <c r="B66" t="s">
        <v>70</v>
      </c>
      <c r="C66" s="4">
        <v>149369.21</v>
      </c>
      <c r="D66" s="4">
        <v>520678.65</v>
      </c>
      <c r="E66" s="4">
        <v>530028.29</v>
      </c>
      <c r="F66" s="4">
        <v>529280.31999999995</v>
      </c>
      <c r="G66" s="4">
        <v>548164.75</v>
      </c>
      <c r="H66" s="4">
        <v>614165.23</v>
      </c>
      <c r="I66" s="4">
        <v>786376.51</v>
      </c>
      <c r="J66" s="4">
        <v>879835.53</v>
      </c>
      <c r="K66" s="4">
        <v>909666.89</v>
      </c>
      <c r="L66" s="4">
        <v>1341763.04</v>
      </c>
      <c r="M66" s="4">
        <v>1438326.07</v>
      </c>
      <c r="N66" s="4">
        <v>1414367.04</v>
      </c>
      <c r="O66" s="4">
        <v>1613373.63</v>
      </c>
      <c r="P66" s="4">
        <v>1984753.24</v>
      </c>
      <c r="Q66" s="4">
        <v>1621115.08</v>
      </c>
      <c r="R66" s="4">
        <v>1059846.1499999999</v>
      </c>
      <c r="S66" s="4">
        <v>591950.37</v>
      </c>
      <c r="T66" s="4">
        <f>IF(OR(MID(TBBP[[#This Row],[Coluna1]],1,1)="1",MID(TBBP[[#This Row],[Coluna1]],1,1)="2"),TBBP[[#This Row],[Coluna19]],SUM(H66:S66))</f>
        <v>591950.37</v>
      </c>
      <c r="U66" s="4">
        <v>1070339.33</v>
      </c>
      <c r="V66" s="4">
        <v>1407681.15</v>
      </c>
      <c r="W66" s="4">
        <v>1886208.73</v>
      </c>
      <c r="X66" s="4">
        <v>2017047.45</v>
      </c>
      <c r="Y66" s="4">
        <v>2194824.5299999998</v>
      </c>
      <c r="Z66" s="4">
        <v>1894584.34</v>
      </c>
      <c r="AA66" s="4">
        <v>1213339.2</v>
      </c>
      <c r="AB66" s="4">
        <v>1071145.77</v>
      </c>
      <c r="AC66" s="4">
        <v>1489306.41</v>
      </c>
      <c r="AD66" s="4">
        <v>2187203.92</v>
      </c>
      <c r="AE66" s="4">
        <v>2177038.09</v>
      </c>
      <c r="AF66" s="4">
        <v>1462923.24</v>
      </c>
      <c r="AG66" s="4">
        <f>IF(OR(MID(TBBP[[#This Row],[Coluna1]],1,1)="1",MID(TBBP[[#This Row],[Coluna1]],1,1)="2"),TBBP[[#This Row],[Coluna32]],SUM(U66:AF66))</f>
        <v>1462923.24</v>
      </c>
      <c r="AH66" s="4">
        <v>1838067.33</v>
      </c>
      <c r="AI66" s="4">
        <v>2355052.0099999998</v>
      </c>
      <c r="AJ66" s="4">
        <v>1812435.14</v>
      </c>
      <c r="AK66" s="4">
        <v>894549.5</v>
      </c>
      <c r="AL66" s="4">
        <v>862513.16</v>
      </c>
      <c r="AM66" s="4">
        <v>1086925.6200000001</v>
      </c>
      <c r="AN66" s="4">
        <v>2241912.41</v>
      </c>
      <c r="AO66" s="4">
        <v>2565038.0099999998</v>
      </c>
      <c r="AP66" s="4">
        <v>2556746.54</v>
      </c>
      <c r="AQ66" s="4">
        <v>2208341.5099999998</v>
      </c>
      <c r="AR66" s="4">
        <v>2914759.25</v>
      </c>
      <c r="AS66" s="4">
        <v>2763954.82</v>
      </c>
      <c r="AT66" s="4">
        <f>IF(OR(MID(TBBP[[#This Row],[Coluna1]],1,1)="1",MID(TBBP[[#This Row],[Coluna1]],1,1)="2"),TBBP[[#This Row],[Coluna45]],SUM(AH66:AS66))</f>
        <v>2763954.82</v>
      </c>
      <c r="AU66" s="4">
        <v>2473880.4300000002</v>
      </c>
      <c r="AV66" s="4">
        <v>3340220.21</v>
      </c>
      <c r="AW66" s="4">
        <v>3920176.37</v>
      </c>
      <c r="AX66" s="4">
        <v>4364837.42</v>
      </c>
      <c r="AY66" s="4">
        <v>4691801.7699999996</v>
      </c>
      <c r="AZ66" s="4">
        <v>4905657.2300000004</v>
      </c>
      <c r="BA66" s="4">
        <v>5024769.0599999996</v>
      </c>
      <c r="BB66" s="4">
        <v>4122144.79</v>
      </c>
      <c r="BC66" s="4">
        <v>3611594.01</v>
      </c>
      <c r="BD66" s="4">
        <v>4143806.15</v>
      </c>
      <c r="BE66" s="4">
        <v>3327623.87</v>
      </c>
      <c r="BF66" s="4">
        <v>2539758.56</v>
      </c>
      <c r="BG66" s="4">
        <f>IF(OR(MID(TBBP[[#This Row],[Coluna1]],1,1)="1",MID(TBBP[[#This Row],[Coluna1]],1,1)="2"),TBBP[[#This Row],[Coluna58]],SUM(AU66:BF66))</f>
        <v>2539758.56</v>
      </c>
      <c r="BH66" s="4">
        <v>2739477.82</v>
      </c>
      <c r="BI66" s="4">
        <v>3792926.25</v>
      </c>
      <c r="BJ66" s="4">
        <v>4249314.96</v>
      </c>
      <c r="BK66" s="4">
        <v>3873619.07</v>
      </c>
      <c r="BL66" s="4">
        <v>4274894.83</v>
      </c>
      <c r="BM66" s="4">
        <v>4176042.67</v>
      </c>
      <c r="BN66" s="4">
        <v>4351851.4800000004</v>
      </c>
      <c r="BO66" s="4">
        <v>3693984.13</v>
      </c>
      <c r="BP66" s="4">
        <v>2951514.68</v>
      </c>
      <c r="BQ66" s="4">
        <v>3029685.42</v>
      </c>
      <c r="BR66" s="4">
        <v>2521647.63</v>
      </c>
      <c r="BS66" s="4">
        <v>2073299.29</v>
      </c>
      <c r="BT66" s="4">
        <f>IF(OR(MID(TBBP[[#This Row],[Coluna1]],1,1)="1",MID(TBBP[[#This Row],[Coluna1]],1,1)="2"),TBBP[[#This Row],[Coluna127]],SUM(BH66:BS66))</f>
        <v>2073299.29</v>
      </c>
      <c r="BU66" s="4">
        <v>1751789.64</v>
      </c>
      <c r="BV66" s="4">
        <v>1597963.54</v>
      </c>
      <c r="BW66" s="4">
        <v>1805403.34</v>
      </c>
      <c r="BX66" s="4">
        <v>1834018.38</v>
      </c>
      <c r="BY66" s="4">
        <v>3055320.44</v>
      </c>
      <c r="BZ66" s="4">
        <v>3514459.23</v>
      </c>
      <c r="CA66" s="4">
        <v>4016295.36</v>
      </c>
      <c r="CB66" s="4">
        <v>3804581.5</v>
      </c>
      <c r="CC66" s="4">
        <v>4981106.2</v>
      </c>
      <c r="CD66" s="4">
        <v>4614995.62</v>
      </c>
      <c r="CE66" s="4">
        <v>4297565.1399999997</v>
      </c>
      <c r="CF66" s="4">
        <v>3618912.24</v>
      </c>
      <c r="CG66" s="4">
        <f>IF(OR(MID(TBBP[[#This Row],[Coluna1]],1,1)="1",MID(TBBP[[#This Row],[Coluna1]],1,1)="2"),CF66,SUM(BU66:CF66))</f>
        <v>3618912.24</v>
      </c>
      <c r="CH66" s="4">
        <v>4036174.71</v>
      </c>
      <c r="CI66" s="4">
        <v>4948315.95</v>
      </c>
      <c r="CJ66" s="4">
        <v>6815448.0700000003</v>
      </c>
      <c r="CK66" s="4">
        <v>6896823.0499999998</v>
      </c>
      <c r="CL66" s="4">
        <v>11751964.25</v>
      </c>
      <c r="CM66" s="4">
        <v>9187624.2100000009</v>
      </c>
      <c r="CN66" s="4">
        <v>8448433.2899999991</v>
      </c>
      <c r="CO66" s="4">
        <v>8353577.9000000004</v>
      </c>
      <c r="CP66" s="4">
        <v>7300031.8600000003</v>
      </c>
      <c r="CQ66" s="4">
        <v>6844843.8499999996</v>
      </c>
      <c r="CR66" s="4">
        <v>7411482.8399999999</v>
      </c>
      <c r="CS66" s="4">
        <v>5277068.1900000004</v>
      </c>
      <c r="CT66" s="4">
        <f>IF(OR(MID(TBBP[[#This Row],[Coluna1]],1,1)="1",MID(TBBP[[#This Row],[Coluna1]],1,1)="2"),CS66,SUM(CH66:CS66))</f>
        <v>5277068.1900000004</v>
      </c>
      <c r="CU66" s="255">
        <v>7123752.6100000003</v>
      </c>
      <c r="CV66" s="255">
        <v>7323281.0999999996</v>
      </c>
      <c r="CW66" s="255">
        <v>5448274.1900000004</v>
      </c>
      <c r="CX66" s="255">
        <v>4727651.09</v>
      </c>
      <c r="CY66" s="255">
        <v>4912673.3600000003</v>
      </c>
      <c r="CZ66" s="255">
        <v>6116291.8200000003</v>
      </c>
      <c r="DA66" s="255">
        <v>6038372.8300000001</v>
      </c>
      <c r="DB66" s="255">
        <v>4610653.37</v>
      </c>
      <c r="DC66" s="255">
        <v>3866048.08</v>
      </c>
      <c r="DD66" s="255">
        <v>3665479.09</v>
      </c>
      <c r="DE66" s="255">
        <v>4601275.7</v>
      </c>
      <c r="DF66" s="255">
        <v>4475096.8499999996</v>
      </c>
      <c r="DG66" s="255">
        <v>4475096.8499999996</v>
      </c>
      <c r="DH66" s="255">
        <v>4681750.3</v>
      </c>
      <c r="DI66" s="255">
        <v>5551028</v>
      </c>
      <c r="DJ66" s="255">
        <v>5496296.2800000003</v>
      </c>
      <c r="DK66" s="255">
        <v>5443950.71</v>
      </c>
      <c r="DL66" s="255">
        <v>6077632.0999999996</v>
      </c>
      <c r="DM66" s="255">
        <v>6030791.0499999998</v>
      </c>
      <c r="DO66" s="9"/>
      <c r="DP66" s="30" t="str">
        <f>IF(OR(MID(TBBP[[#This Row],[Coluna1]],1,1)="1",MID(TBBP[[#This Row],[Coluna1]],1,1)="2"),"-",SUMIFS(66:66,listaPeriodos,$DR$1,listaPeriodos,$DR$2))</f>
        <v>-</v>
      </c>
      <c r="DR66" s="30">
        <f t="shared" si="50"/>
        <v>0</v>
      </c>
      <c r="DS66" s="30"/>
      <c r="DT66" s="30"/>
      <c r="DU66"/>
    </row>
    <row r="67" spans="1:125" x14ac:dyDescent="0.3">
      <c r="A67" s="7" t="s">
        <v>914</v>
      </c>
      <c r="B67" t="s">
        <v>915</v>
      </c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f>IF(OR(MID(TBBP[[#This Row],[Coluna1]],1,1)="1",MID(TBBP[[#This Row],[Coluna1]],1,1)="2"),TBBP[[#This Row],[Coluna19]],SUM(H67:S67))</f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f>IF(OR(MID(TBBP[[#This Row],[Coluna1]],1,1)="1",MID(TBBP[[#This Row],[Coluna1]],1,1)="2"),TBBP[[#This Row],[Coluna19]],SUM(U67:AF67))</f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0</v>
      </c>
      <c r="AQ67" s="4">
        <v>0</v>
      </c>
      <c r="AR67" s="4">
        <v>0</v>
      </c>
      <c r="AS67" s="4">
        <v>0</v>
      </c>
      <c r="AT67" s="4">
        <f>IF(OR(MID(TBBP[[#This Row],[Coluna1]],1,1)="1",MID(TBBP[[#This Row],[Coluna1]],1,1)="2"),TBBP[[#This Row],[Coluna45]],SUM(AH67:AS67))</f>
        <v>0</v>
      </c>
      <c r="AU67" s="4">
        <v>0</v>
      </c>
      <c r="AV67" s="4">
        <v>0</v>
      </c>
      <c r="AW67" s="4">
        <v>0</v>
      </c>
      <c r="AX67" s="4">
        <v>0</v>
      </c>
      <c r="AY67" s="4">
        <v>0</v>
      </c>
      <c r="AZ67" s="4">
        <v>0</v>
      </c>
      <c r="BA67" s="4">
        <v>0</v>
      </c>
      <c r="BB67" s="4">
        <v>0</v>
      </c>
      <c r="BC67" s="4">
        <v>0</v>
      </c>
      <c r="BD67" s="4">
        <v>0</v>
      </c>
      <c r="BE67" s="4">
        <v>0</v>
      </c>
      <c r="BF67" s="4">
        <v>0</v>
      </c>
      <c r="BG67" s="4">
        <f>IF(OR(MID(TBBP[[#This Row],[Coluna1]],1,1)="1",MID(TBBP[[#This Row],[Coluna1]],1,1)="2"),TBBP[[#This Row],[Coluna58]],SUM(AU67:BF67))</f>
        <v>0</v>
      </c>
      <c r="BH67" s="4">
        <v>0</v>
      </c>
      <c r="BI67" s="4">
        <v>0</v>
      </c>
      <c r="BJ67" s="4">
        <v>0</v>
      </c>
      <c r="BK67" s="4">
        <v>0</v>
      </c>
      <c r="BL67" s="4">
        <v>0</v>
      </c>
      <c r="BM67" s="4">
        <v>0</v>
      </c>
      <c r="BN67" s="4">
        <v>0</v>
      </c>
      <c r="BO67" s="4">
        <v>0</v>
      </c>
      <c r="BP67" s="4">
        <v>0</v>
      </c>
      <c r="BQ67" s="4">
        <v>0</v>
      </c>
      <c r="BR67" s="4">
        <v>0</v>
      </c>
      <c r="BS67" s="4">
        <v>0</v>
      </c>
      <c r="BT67" s="4">
        <f>IF(OR(MID(TBBP[[#This Row],[Coluna1]],1,1)="1",MID(TBBP[[#This Row],[Coluna1]],1,1)="2"),TBBP[[#This Row],[Coluna127]],SUM(BH67:BS67))</f>
        <v>0</v>
      </c>
      <c r="BU67" s="4">
        <v>0</v>
      </c>
      <c r="BV67" s="4">
        <v>0</v>
      </c>
      <c r="BW67" s="4">
        <v>0</v>
      </c>
      <c r="BX67" s="4">
        <v>0</v>
      </c>
      <c r="BY67" s="4">
        <v>0</v>
      </c>
      <c r="BZ67" s="4">
        <v>0</v>
      </c>
      <c r="CA67" s="4">
        <v>0</v>
      </c>
      <c r="CB67" s="4">
        <v>0</v>
      </c>
      <c r="CC67" s="4">
        <v>0</v>
      </c>
      <c r="CD67" s="4">
        <v>0</v>
      </c>
      <c r="CE67" s="4">
        <v>0</v>
      </c>
      <c r="CF67" s="4">
        <v>0</v>
      </c>
      <c r="CG67" s="4">
        <f>IF(OR(MID(TBBP[[#This Row],[Coluna1]],1,1)="1",MID(TBBP[[#This Row],[Coluna1]],1,1)="2"),CF67,SUM(BU67:CF67))</f>
        <v>0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f>IF(OR(MID(TBBP[[#This Row],[Coluna1]],1,1)="1",MID(TBBP[[#This Row],[Coluna1]],1,1)="2"),CS67,SUM(CH67:CS67))</f>
        <v>0</v>
      </c>
      <c r="CU67" s="255">
        <v>0</v>
      </c>
      <c r="CV67" s="255">
        <v>0</v>
      </c>
      <c r="CW67" s="255">
        <v>0</v>
      </c>
      <c r="CX67" s="255">
        <v>0</v>
      </c>
      <c r="CY67" s="255">
        <v>0</v>
      </c>
      <c r="CZ67" s="255">
        <v>0</v>
      </c>
      <c r="DA67" s="255">
        <v>0</v>
      </c>
      <c r="DB67" s="255">
        <v>0</v>
      </c>
      <c r="DC67" s="255">
        <v>0</v>
      </c>
      <c r="DD67" s="255">
        <v>0</v>
      </c>
      <c r="DE67" s="255">
        <v>0</v>
      </c>
      <c r="DF67" s="255">
        <v>0</v>
      </c>
      <c r="DG67" s="255">
        <v>0</v>
      </c>
      <c r="DH67" s="255">
        <v>0</v>
      </c>
      <c r="DI67" s="255">
        <v>0</v>
      </c>
      <c r="DJ67" s="255">
        <v>0</v>
      </c>
      <c r="DK67" s="255">
        <v>0</v>
      </c>
      <c r="DL67" s="255">
        <v>0</v>
      </c>
      <c r="DM67" s="255">
        <v>0</v>
      </c>
      <c r="DO67" s="9"/>
      <c r="DP67" s="30" t="str">
        <f>IF(OR(MID(TBBP[[#This Row],[Coluna1]],1,1)="1",MID(TBBP[[#This Row],[Coluna1]],1,1)="2"),"-",SUMIFS(67:67,listaPeriodos,$DR$1,listaPeriodos,$DR$2))</f>
        <v>-</v>
      </c>
      <c r="DR67" s="30">
        <f t="shared" si="50"/>
        <v>0</v>
      </c>
      <c r="DS67" s="30"/>
      <c r="DT67" s="30"/>
      <c r="DU67"/>
    </row>
    <row r="68" spans="1:125" x14ac:dyDescent="0.3">
      <c r="A68" s="7" t="s">
        <v>85</v>
      </c>
      <c r="B68" t="s">
        <v>75</v>
      </c>
      <c r="C68" s="4">
        <v>0</v>
      </c>
      <c r="D68" s="4">
        <v>777851.74</v>
      </c>
      <c r="E68" s="4">
        <v>343274.65</v>
      </c>
      <c r="F68" s="4">
        <v>0</v>
      </c>
      <c r="G68" s="4">
        <v>384067.26</v>
      </c>
      <c r="H68" s="4">
        <v>0</v>
      </c>
      <c r="I68" s="4">
        <v>6457.3</v>
      </c>
      <c r="J68" s="4">
        <v>6663.65</v>
      </c>
      <c r="K68" s="4">
        <v>5517.2</v>
      </c>
      <c r="L68" s="4">
        <v>11336.03</v>
      </c>
      <c r="M68" s="4">
        <v>317918.59999999998</v>
      </c>
      <c r="N68" s="4">
        <v>4639.2</v>
      </c>
      <c r="O68" s="4">
        <v>6703.33</v>
      </c>
      <c r="P68" s="4">
        <v>6577.66</v>
      </c>
      <c r="Q68" s="4">
        <v>442818.17</v>
      </c>
      <c r="R68" s="4">
        <v>394639.77</v>
      </c>
      <c r="S68" s="4">
        <v>608579.86</v>
      </c>
      <c r="T68" s="4">
        <f>IF(OR(MID(TBBP[[#This Row],[Coluna1]],1,1)="1",MID(TBBP[[#This Row],[Coluna1]],1,1)="2"),TBBP[[#This Row],[Coluna19]],SUM(H68:S68))</f>
        <v>608579.86</v>
      </c>
      <c r="U68" s="4">
        <v>899432.09</v>
      </c>
      <c r="V68" s="4">
        <v>170697.45</v>
      </c>
      <c r="W68" s="4">
        <v>175438.6</v>
      </c>
      <c r="X68" s="4">
        <v>542278.56000000006</v>
      </c>
      <c r="Y68" s="4">
        <v>541118.47</v>
      </c>
      <c r="Z68" s="4">
        <v>1240675.74</v>
      </c>
      <c r="AA68" s="4">
        <v>969920.28</v>
      </c>
      <c r="AB68" s="4">
        <v>653434.28</v>
      </c>
      <c r="AC68" s="4">
        <v>899208.53</v>
      </c>
      <c r="AD68" s="4">
        <v>470223.31</v>
      </c>
      <c r="AE68" s="4">
        <v>1002399.8</v>
      </c>
      <c r="AF68" s="4">
        <v>1260466.68</v>
      </c>
      <c r="AG68" s="4">
        <f>IF(OR(MID(TBBP[[#This Row],[Coluna1]],1,1)="1",MID(TBBP[[#This Row],[Coluna1]],1,1)="2"),TBBP[[#This Row],[Coluna32]],SUM(U68:AF68))</f>
        <v>1260466.68</v>
      </c>
      <c r="AH68" s="4">
        <v>1205959.49</v>
      </c>
      <c r="AI68" s="4">
        <v>1439809.54</v>
      </c>
      <c r="AJ68" s="4">
        <v>1414834.14</v>
      </c>
      <c r="AK68" s="4">
        <v>1330325.03</v>
      </c>
      <c r="AL68" s="4">
        <v>1895365.35</v>
      </c>
      <c r="AM68" s="4">
        <v>1301608.67</v>
      </c>
      <c r="AN68" s="4">
        <v>265284.15999999997</v>
      </c>
      <c r="AO68" s="4">
        <v>281993.01</v>
      </c>
      <c r="AP68" s="4">
        <v>147786.54999999999</v>
      </c>
      <c r="AQ68" s="4">
        <v>150265.98000000001</v>
      </c>
      <c r="AR68" s="4">
        <v>505894.95</v>
      </c>
      <c r="AS68" s="4">
        <v>122838.68</v>
      </c>
      <c r="AT68" s="4">
        <f>IF(OR(MID(TBBP[[#This Row],[Coluna1]],1,1)="1",MID(TBBP[[#This Row],[Coluna1]],1,1)="2"),TBBP[[#This Row],[Coluna45]],SUM(AH68:AS68))</f>
        <v>122838.68</v>
      </c>
      <c r="AU68" s="4">
        <v>384366.05</v>
      </c>
      <c r="AV68" s="4">
        <v>884735.97</v>
      </c>
      <c r="AW68" s="4">
        <v>996386.94</v>
      </c>
      <c r="AX68" s="4">
        <v>703492.9</v>
      </c>
      <c r="AY68" s="4">
        <v>226627.14</v>
      </c>
      <c r="AZ68" s="4">
        <v>201446.53</v>
      </c>
      <c r="BA68" s="4">
        <v>103285.13</v>
      </c>
      <c r="BB68" s="4">
        <v>103145.73</v>
      </c>
      <c r="BC68" s="4">
        <v>1719438.51</v>
      </c>
      <c r="BD68" s="4">
        <v>1127630.26</v>
      </c>
      <c r="BE68" s="4">
        <v>963267.72</v>
      </c>
      <c r="BF68" s="4">
        <v>296204.23</v>
      </c>
      <c r="BG68" s="4">
        <f>IF(OR(MID(TBBP[[#This Row],[Coluna1]],1,1)="1",MID(TBBP[[#This Row],[Coluna1]],1,1)="2"),TBBP[[#This Row],[Coluna58]],SUM(AU68:BF68))</f>
        <v>296204.23</v>
      </c>
      <c r="BH68" s="4">
        <v>902001.12</v>
      </c>
      <c r="BI68" s="4">
        <v>874054.93</v>
      </c>
      <c r="BJ68" s="4">
        <v>754773.37</v>
      </c>
      <c r="BK68" s="4">
        <v>659374.68000000005</v>
      </c>
      <c r="BL68" s="4">
        <v>562010.13</v>
      </c>
      <c r="BM68" s="4">
        <v>1659397.02</v>
      </c>
      <c r="BN68" s="4">
        <v>351893.41</v>
      </c>
      <c r="BO68" s="4">
        <v>1542184.34</v>
      </c>
      <c r="BP68" s="4">
        <v>2196001.86</v>
      </c>
      <c r="BQ68" s="4">
        <v>2378742.69</v>
      </c>
      <c r="BR68" s="4">
        <v>613862.43999999994</v>
      </c>
      <c r="BS68" s="4">
        <v>1669095.21</v>
      </c>
      <c r="BT68" s="4">
        <f>IF(OR(MID(TBBP[[#This Row],[Coluna1]],1,1)="1",MID(TBBP[[#This Row],[Coluna1]],1,1)="2"),TBBP[[#This Row],[Coluna127]],SUM(BH68:BS68))</f>
        <v>1669095.21</v>
      </c>
      <c r="BU68" s="4">
        <v>458360.69</v>
      </c>
      <c r="BV68" s="4">
        <v>1780305.33</v>
      </c>
      <c r="BW68" s="4">
        <v>2008219.17</v>
      </c>
      <c r="BX68" s="4">
        <v>1227030.6200000001</v>
      </c>
      <c r="BY68" s="4">
        <v>2814343.87</v>
      </c>
      <c r="BZ68" s="4">
        <v>2263210.14</v>
      </c>
      <c r="CA68" s="4">
        <v>1622676.79</v>
      </c>
      <c r="CB68" s="4">
        <v>1190927.83</v>
      </c>
      <c r="CC68" s="4">
        <v>2096509.36</v>
      </c>
      <c r="CD68" s="4">
        <v>2009789.4399999999</v>
      </c>
      <c r="CE68" s="4">
        <v>207660.16</v>
      </c>
      <c r="CF68" s="4">
        <v>631018.89</v>
      </c>
      <c r="CG68" s="4">
        <f>IF(OR(MID(TBBP[[#This Row],[Coluna1]],1,1)="1",MID(TBBP[[#This Row],[Coluna1]],1,1)="2"),CF68,SUM(BU68:CF68))</f>
        <v>631018.89</v>
      </c>
      <c r="CH68" s="4">
        <v>2025280.49</v>
      </c>
      <c r="CI68" s="4">
        <v>1732320.29</v>
      </c>
      <c r="CJ68" s="4">
        <v>795192.03</v>
      </c>
      <c r="CK68" s="4">
        <v>1856681.76</v>
      </c>
      <c r="CL68" s="4">
        <v>2119039.31</v>
      </c>
      <c r="CM68" s="4">
        <v>1645703.27</v>
      </c>
      <c r="CN68" s="4">
        <v>1171687.24</v>
      </c>
      <c r="CO68" s="4">
        <v>1848265.12</v>
      </c>
      <c r="CP68" s="4">
        <v>957129.5</v>
      </c>
      <c r="CQ68" s="4">
        <v>1953543.58</v>
      </c>
      <c r="CR68" s="4">
        <v>2685597.76</v>
      </c>
      <c r="CS68" s="4">
        <v>2620762.5299999998</v>
      </c>
      <c r="CT68" s="4">
        <f>IF(OR(MID(TBBP[[#This Row],[Coluna1]],1,1)="1",MID(TBBP[[#This Row],[Coluna1]],1,1)="2"),CS68,SUM(CH68:CS68))</f>
        <v>2620762.5299999998</v>
      </c>
      <c r="CU68" s="255">
        <v>2262168.83</v>
      </c>
      <c r="CV68" s="255">
        <v>1580189.19</v>
      </c>
      <c r="CW68" s="255">
        <v>1713345.09</v>
      </c>
      <c r="CX68" s="255">
        <v>1240506.5900000001</v>
      </c>
      <c r="CY68" s="255">
        <v>1029939.46</v>
      </c>
      <c r="CZ68" s="255">
        <v>2382663.56</v>
      </c>
      <c r="DA68" s="255">
        <v>1358704.55</v>
      </c>
      <c r="DB68" s="255">
        <v>674567.75</v>
      </c>
      <c r="DC68" s="255">
        <v>675762.37</v>
      </c>
      <c r="DD68" s="255">
        <v>1996940.91</v>
      </c>
      <c r="DE68" s="255">
        <v>733867.08</v>
      </c>
      <c r="DF68" s="255">
        <v>123330.96</v>
      </c>
      <c r="DG68" s="255">
        <v>123330.96</v>
      </c>
      <c r="DH68" s="255">
        <v>1775303.89</v>
      </c>
      <c r="DI68" s="255">
        <v>108232.2</v>
      </c>
      <c r="DJ68" s="255">
        <v>1209087.49</v>
      </c>
      <c r="DK68" s="255">
        <v>290166.52</v>
      </c>
      <c r="DL68" s="255">
        <v>514007.62</v>
      </c>
      <c r="DM68" s="255">
        <v>399135.03</v>
      </c>
      <c r="DO68" s="9"/>
      <c r="DP68" s="30" t="str">
        <f>IF(OR(MID(TBBP[[#This Row],[Coluna1]],1,1)="1",MID(TBBP[[#This Row],[Coluna1]],1,1)="2"),"-",SUMIFS(68:68,listaPeriodos,$DR$1,listaPeriodos,$DR$2))</f>
        <v>-</v>
      </c>
      <c r="DR68" s="30">
        <f t="shared" si="50"/>
        <v>0</v>
      </c>
      <c r="DS68" s="30"/>
      <c r="DT68" s="30"/>
      <c r="DU68"/>
    </row>
    <row r="69" spans="1:125" x14ac:dyDescent="0.3">
      <c r="A69" s="7" t="s">
        <v>86</v>
      </c>
      <c r="B69" t="s">
        <v>76</v>
      </c>
      <c r="C69" s="4">
        <v>371108.5</v>
      </c>
      <c r="D69" s="4">
        <v>1118974.31</v>
      </c>
      <c r="E69" s="4">
        <v>671006.03</v>
      </c>
      <c r="F69" s="4">
        <v>581096.95999999996</v>
      </c>
      <c r="G69" s="4">
        <v>558976.97</v>
      </c>
      <c r="H69" s="4">
        <v>550196.25</v>
      </c>
      <c r="I69" s="4">
        <v>542825.88</v>
      </c>
      <c r="J69" s="4">
        <v>535455.51</v>
      </c>
      <c r="K69" s="4">
        <v>527902.6</v>
      </c>
      <c r="L69" s="4">
        <v>513414.64</v>
      </c>
      <c r="M69" s="4">
        <v>497888.98</v>
      </c>
      <c r="N69" s="4">
        <v>479540.56</v>
      </c>
      <c r="O69" s="4">
        <v>460928.09</v>
      </c>
      <c r="P69" s="4">
        <v>463495.35</v>
      </c>
      <c r="Q69" s="4">
        <v>550940.5</v>
      </c>
      <c r="R69" s="4">
        <v>528317.98</v>
      </c>
      <c r="S69" s="4">
        <v>507144.07</v>
      </c>
      <c r="T69" s="4">
        <f>IF(OR(MID(TBBP[[#This Row],[Coluna1]],1,1)="1",MID(TBBP[[#This Row],[Coluna1]],1,1)="2"),TBBP[[#This Row],[Coluna19]],SUM(H69:S69))</f>
        <v>507144.07</v>
      </c>
      <c r="U69" s="4">
        <v>483189.84</v>
      </c>
      <c r="V69" s="4">
        <v>475170.08</v>
      </c>
      <c r="W69" s="4">
        <v>452688.19</v>
      </c>
      <c r="X69" s="4">
        <v>429263.51</v>
      </c>
      <c r="Y69" s="4">
        <v>411417.93</v>
      </c>
      <c r="Z69" s="4">
        <v>382329.72</v>
      </c>
      <c r="AA69" s="4">
        <v>664516</v>
      </c>
      <c r="AB69" s="4">
        <v>633848.75</v>
      </c>
      <c r="AC69" s="4">
        <v>606310.96</v>
      </c>
      <c r="AD69" s="4">
        <v>589064.9</v>
      </c>
      <c r="AE69" s="4">
        <v>570291.37</v>
      </c>
      <c r="AF69" s="4">
        <v>552601.91</v>
      </c>
      <c r="AG69" s="4">
        <f>IF(OR(MID(TBBP[[#This Row],[Coluna1]],1,1)="1",MID(TBBP[[#This Row],[Coluna1]],1,1)="2"),TBBP[[#This Row],[Coluna32]],SUM(U69:AF69))</f>
        <v>552601.91</v>
      </c>
      <c r="AH69" s="4">
        <v>533828.38</v>
      </c>
      <c r="AI69" s="4">
        <v>841465.26</v>
      </c>
      <c r="AJ69" s="4">
        <v>821281.16</v>
      </c>
      <c r="AK69" s="4">
        <v>804970.59</v>
      </c>
      <c r="AL69" s="4">
        <v>788660.17</v>
      </c>
      <c r="AM69" s="4">
        <v>787651.32</v>
      </c>
      <c r="AN69" s="4">
        <v>786498.8</v>
      </c>
      <c r="AO69" s="4">
        <v>1010346.34</v>
      </c>
      <c r="AP69" s="4">
        <v>891496.11</v>
      </c>
      <c r="AQ69" s="4">
        <v>890465.09</v>
      </c>
      <c r="AR69" s="4">
        <v>889434.07</v>
      </c>
      <c r="AS69" s="4">
        <v>1662596.6</v>
      </c>
      <c r="AT69" s="4">
        <f>IF(OR(MID(TBBP[[#This Row],[Coluna1]],1,1)="1",MID(TBBP[[#This Row],[Coluna1]],1,1)="2"),TBBP[[#This Row],[Coluna45]],SUM(AH69:AS69))</f>
        <v>1662596.6</v>
      </c>
      <c r="AU69" s="4">
        <v>1661565.58</v>
      </c>
      <c r="AV69" s="4">
        <v>1659326.16</v>
      </c>
      <c r="AW69" s="4">
        <v>1657086.74</v>
      </c>
      <c r="AX69" s="4">
        <v>1654847.32</v>
      </c>
      <c r="AY69" s="4">
        <v>1652607.9</v>
      </c>
      <c r="AZ69" s="4">
        <v>1650368.48</v>
      </c>
      <c r="BA69" s="4">
        <v>1648129.06</v>
      </c>
      <c r="BB69" s="4">
        <v>1644805.51</v>
      </c>
      <c r="BC69" s="4">
        <v>1642513.04</v>
      </c>
      <c r="BD69" s="4">
        <v>1639136.5</v>
      </c>
      <c r="BE69" s="4">
        <v>1714047.36</v>
      </c>
      <c r="BF69" s="4">
        <v>1710670.82</v>
      </c>
      <c r="BG69" s="4">
        <f>IF(OR(MID(TBBP[[#This Row],[Coluna1]],1,1)="1",MID(TBBP[[#This Row],[Coluna1]],1,1)="2"),TBBP[[#This Row],[Coluna58]],SUM(AU69:BF69))</f>
        <v>1710670.82</v>
      </c>
      <c r="BH69" s="4">
        <v>1707294.28</v>
      </c>
      <c r="BI69" s="4">
        <v>1739096.91</v>
      </c>
      <c r="BJ69" s="4">
        <v>1702958</v>
      </c>
      <c r="BK69" s="4">
        <v>1700789.86</v>
      </c>
      <c r="BL69" s="4">
        <v>1698621.72</v>
      </c>
      <c r="BM69" s="4">
        <v>1696453.58</v>
      </c>
      <c r="BN69" s="4">
        <v>2873859.77</v>
      </c>
      <c r="BO69" s="4">
        <v>2870638.73</v>
      </c>
      <c r="BP69" s="4">
        <v>2851854.71</v>
      </c>
      <c r="BQ69" s="4">
        <v>2744042.17</v>
      </c>
      <c r="BR69" s="4">
        <v>3239864.83</v>
      </c>
      <c r="BS69" s="4">
        <v>3145062.44</v>
      </c>
      <c r="BT69" s="4">
        <f>IF(OR(MID(TBBP[[#This Row],[Coluna1]],1,1)="1",MID(TBBP[[#This Row],[Coluna1]],1,1)="2"),TBBP[[#This Row],[Coluna127]],SUM(BH69:BS69))</f>
        <v>3145062.44</v>
      </c>
      <c r="BU69" s="4">
        <v>2955206.01</v>
      </c>
      <c r="BV69" s="4">
        <v>2845752.33</v>
      </c>
      <c r="BW69" s="4">
        <v>3110127.04</v>
      </c>
      <c r="BX69" s="4">
        <v>2966340.5</v>
      </c>
      <c r="BY69" s="4">
        <v>2855356.4</v>
      </c>
      <c r="BZ69" s="4">
        <v>2501859.02</v>
      </c>
      <c r="CA69" s="4">
        <v>2659787.75</v>
      </c>
      <c r="CB69" s="4">
        <v>2480036.91</v>
      </c>
      <c r="CC69" s="4">
        <v>2773184.17</v>
      </c>
      <c r="CD69" s="4">
        <v>2336839.56</v>
      </c>
      <c r="CE69" s="4">
        <v>2951467.62</v>
      </c>
      <c r="CF69" s="4">
        <v>3889034.71</v>
      </c>
      <c r="CG69" s="4">
        <f>IF(OR(MID(TBBP[[#This Row],[Coluna1]],1,1)="1",MID(TBBP[[#This Row],[Coluna1]],1,1)="2"),CF69,SUM(BU69:CF69))</f>
        <v>3889034.71</v>
      </c>
      <c r="CH69" s="4">
        <v>3544978.19</v>
      </c>
      <c r="CI69" s="4">
        <v>3720571.64</v>
      </c>
      <c r="CJ69" s="4">
        <v>4633189.09</v>
      </c>
      <c r="CK69" s="4">
        <v>4583396.01</v>
      </c>
      <c r="CL69" s="4">
        <v>4461573.0999999996</v>
      </c>
      <c r="CM69" s="4">
        <v>5906177.8700000001</v>
      </c>
      <c r="CN69" s="4">
        <v>10078844.18</v>
      </c>
      <c r="CO69" s="4">
        <v>10048834.539999999</v>
      </c>
      <c r="CP69" s="4">
        <v>9924886.4900000002</v>
      </c>
      <c r="CQ69" s="4">
        <v>10470230.74</v>
      </c>
      <c r="CR69" s="4">
        <v>10594237.210000001</v>
      </c>
      <c r="CS69" s="4">
        <v>9610699.5199999996</v>
      </c>
      <c r="CT69" s="4">
        <f>IF(OR(MID(TBBP[[#This Row],[Coluna1]],1,1)="1",MID(TBBP[[#This Row],[Coluna1]],1,1)="2"),CS69,SUM(CH69:CS69))</f>
        <v>9610699.5199999996</v>
      </c>
      <c r="CU69" s="255">
        <v>10088123.640000001</v>
      </c>
      <c r="CV69" s="255">
        <v>9941223.2400000002</v>
      </c>
      <c r="CW69" s="255">
        <v>14173282.82</v>
      </c>
      <c r="CX69" s="255">
        <v>13962711.439999999</v>
      </c>
      <c r="CY69" s="255">
        <v>14159292.800000001</v>
      </c>
      <c r="CZ69" s="255">
        <v>13949644.08</v>
      </c>
      <c r="DA69" s="255">
        <v>16270765.970000001</v>
      </c>
      <c r="DB69" s="255">
        <v>16788267.52</v>
      </c>
      <c r="DC69" s="255">
        <v>18311173.010000002</v>
      </c>
      <c r="DD69" s="255">
        <v>17667307.390000001</v>
      </c>
      <c r="DE69" s="255">
        <v>17496649.390000001</v>
      </c>
      <c r="DF69" s="255">
        <v>16567130.529999999</v>
      </c>
      <c r="DG69" s="255">
        <v>16567130.529999999</v>
      </c>
      <c r="DH69" s="255">
        <v>17158637.600000001</v>
      </c>
      <c r="DI69" s="255">
        <v>16591015.26</v>
      </c>
      <c r="DJ69" s="255">
        <v>15819060.119999999</v>
      </c>
      <c r="DK69" s="255">
        <v>14602111.49</v>
      </c>
      <c r="DL69" s="255">
        <v>15677997.449999999</v>
      </c>
      <c r="DM69" s="255">
        <v>17653379.07</v>
      </c>
      <c r="DO69" s="9"/>
      <c r="DP69" s="30" t="str">
        <f>IF(OR(MID(TBBP[[#This Row],[Coluna1]],1,1)="1",MID(TBBP[[#This Row],[Coluna1]],1,1)="2"),"-",SUMIFS(69:69,listaPeriodos,$DR$1,listaPeriodos,$DR$2))</f>
        <v>-</v>
      </c>
      <c r="DR69" s="30">
        <f t="shared" si="50"/>
        <v>0</v>
      </c>
      <c r="DS69" s="30"/>
      <c r="DT69" s="30"/>
      <c r="DU69"/>
    </row>
    <row r="70" spans="1:125" x14ac:dyDescent="0.3">
      <c r="A70" s="7" t="s">
        <v>87</v>
      </c>
      <c r="B70" t="s">
        <v>77</v>
      </c>
      <c r="C70" s="4">
        <v>61918.87</v>
      </c>
      <c r="D70" s="4">
        <v>171444.3</v>
      </c>
      <c r="E70" s="4">
        <v>104890.78</v>
      </c>
      <c r="F70" s="4">
        <v>86816.82</v>
      </c>
      <c r="G70" s="4">
        <v>183366.11</v>
      </c>
      <c r="H70" s="4">
        <v>163684.35999999999</v>
      </c>
      <c r="I70" s="4">
        <v>189878.94</v>
      </c>
      <c r="J70" s="4">
        <v>221741.97</v>
      </c>
      <c r="K70" s="4">
        <v>256124.55</v>
      </c>
      <c r="L70" s="4">
        <v>270394.48</v>
      </c>
      <c r="M70" s="4">
        <v>317709.02</v>
      </c>
      <c r="N70" s="4">
        <v>348629.05</v>
      </c>
      <c r="O70" s="4">
        <v>377043.74</v>
      </c>
      <c r="P70" s="4">
        <v>412521.3</v>
      </c>
      <c r="Q70" s="4">
        <v>456893.29</v>
      </c>
      <c r="R70" s="4">
        <v>427241.58</v>
      </c>
      <c r="S70" s="4">
        <v>136833.01</v>
      </c>
      <c r="T70" s="4">
        <f>IF(OR(MID(TBBP[[#This Row],[Coluna1]],1,1)="1",MID(TBBP[[#This Row],[Coluna1]],1,1)="2"),TBBP[[#This Row],[Coluna19]],SUM(H70:S70))</f>
        <v>136833.01</v>
      </c>
      <c r="U70" s="4">
        <v>214551.77</v>
      </c>
      <c r="V70" s="4">
        <v>248496.41</v>
      </c>
      <c r="W70" s="4">
        <v>290730.27</v>
      </c>
      <c r="X70" s="4">
        <v>336259.88</v>
      </c>
      <c r="Y70" s="4">
        <v>384048.4</v>
      </c>
      <c r="Z70" s="4">
        <v>430613.19</v>
      </c>
      <c r="AA70" s="4">
        <v>455028.59</v>
      </c>
      <c r="AB70" s="4">
        <v>451951.87</v>
      </c>
      <c r="AC70" s="4">
        <v>482667.07</v>
      </c>
      <c r="AD70" s="4">
        <v>514754.57</v>
      </c>
      <c r="AE70" s="4">
        <v>507341.3</v>
      </c>
      <c r="AF70" s="4">
        <v>265994.83</v>
      </c>
      <c r="AG70" s="4">
        <f>IF(OR(MID(TBBP[[#This Row],[Coluna1]],1,1)="1",MID(TBBP[[#This Row],[Coluna1]],1,1)="2"),TBBP[[#This Row],[Coluna32]],SUM(U70:AF70))</f>
        <v>265994.83</v>
      </c>
      <c r="AH70" s="4">
        <v>350129</v>
      </c>
      <c r="AI70" s="4">
        <v>373132.04</v>
      </c>
      <c r="AJ70" s="4">
        <v>241936.48</v>
      </c>
      <c r="AK70" s="4">
        <v>354034.44</v>
      </c>
      <c r="AL70" s="4">
        <v>430751.11</v>
      </c>
      <c r="AM70" s="4">
        <v>429164.38</v>
      </c>
      <c r="AN70" s="4">
        <v>481831.16</v>
      </c>
      <c r="AO70" s="4">
        <v>466368.42</v>
      </c>
      <c r="AP70" s="4">
        <v>434319</v>
      </c>
      <c r="AQ70" s="4">
        <v>428337.96</v>
      </c>
      <c r="AR70" s="4">
        <v>499875.15</v>
      </c>
      <c r="AS70" s="4">
        <v>241275.38</v>
      </c>
      <c r="AT70" s="4">
        <f>IF(OR(MID(TBBP[[#This Row],[Coluna1]],1,1)="1",MID(TBBP[[#This Row],[Coluna1]],1,1)="2"),TBBP[[#This Row],[Coluna45]],SUM(AH70:AS70))</f>
        <v>241275.38</v>
      </c>
      <c r="AU70" s="4">
        <v>294998.71000000002</v>
      </c>
      <c r="AV70" s="4">
        <v>359922.58</v>
      </c>
      <c r="AW70" s="4">
        <v>371039.09</v>
      </c>
      <c r="AX70" s="4">
        <v>424104.54</v>
      </c>
      <c r="AY70" s="4">
        <v>487890.22</v>
      </c>
      <c r="AZ70" s="4">
        <v>683470.93</v>
      </c>
      <c r="BA70" s="4">
        <v>630991.23</v>
      </c>
      <c r="BB70" s="4">
        <v>679303.2</v>
      </c>
      <c r="BC70" s="4">
        <v>728468.7</v>
      </c>
      <c r="BD70" s="4">
        <v>833330.9</v>
      </c>
      <c r="BE70" s="4">
        <v>730665.67</v>
      </c>
      <c r="BF70" s="4">
        <v>327716.75</v>
      </c>
      <c r="BG70" s="4">
        <f>IF(OR(MID(TBBP[[#This Row],[Coluna1]],1,1)="1",MID(TBBP[[#This Row],[Coluna1]],1,1)="2"),TBBP[[#This Row],[Coluna58]],SUM(AU70:BF70))</f>
        <v>327716.75</v>
      </c>
      <c r="BH70" s="4">
        <v>385120.65</v>
      </c>
      <c r="BI70" s="4">
        <v>370604.5</v>
      </c>
      <c r="BJ70" s="4">
        <v>429198.6</v>
      </c>
      <c r="BK70" s="4">
        <v>496053.91</v>
      </c>
      <c r="BL70" s="4">
        <v>584532.37</v>
      </c>
      <c r="BM70" s="4">
        <v>648669.88</v>
      </c>
      <c r="BN70" s="4">
        <v>700198.47</v>
      </c>
      <c r="BO70" s="4">
        <v>792539.79</v>
      </c>
      <c r="BP70" s="4">
        <v>868849.19</v>
      </c>
      <c r="BQ70" s="4">
        <v>895951.39</v>
      </c>
      <c r="BR70" s="4">
        <v>834892.31</v>
      </c>
      <c r="BS70" s="4">
        <v>401595.77</v>
      </c>
      <c r="BT70" s="4">
        <f>IF(OR(MID(TBBP[[#This Row],[Coluna1]],1,1)="1",MID(TBBP[[#This Row],[Coluna1]],1,1)="2"),TBBP[[#This Row],[Coluna127]],SUM(BH70:BS70))</f>
        <v>401595.77</v>
      </c>
      <c r="BU70" s="4">
        <v>478734.99</v>
      </c>
      <c r="BV70" s="4">
        <v>533392.84</v>
      </c>
      <c r="BW70" s="4">
        <v>593202.31999999995</v>
      </c>
      <c r="BX70" s="4">
        <v>659778.69999999995</v>
      </c>
      <c r="BY70" s="4">
        <v>732026.46</v>
      </c>
      <c r="BZ70" s="4">
        <v>818096.63</v>
      </c>
      <c r="CA70" s="4">
        <v>882869.04</v>
      </c>
      <c r="CB70" s="4">
        <v>1008054.16</v>
      </c>
      <c r="CC70" s="4">
        <v>1067256</v>
      </c>
      <c r="CD70" s="4">
        <v>1204940.9099999999</v>
      </c>
      <c r="CE70" s="4">
        <v>1231205.1399999999</v>
      </c>
      <c r="CF70" s="4">
        <v>908782.42</v>
      </c>
      <c r="CG70" s="4">
        <f>IF(OR(MID(TBBP[[#This Row],[Coluna1]],1,1)="1",MID(TBBP[[#This Row],[Coluna1]],1,1)="2"),CF70,SUM(BU70:CF70))</f>
        <v>908782.42</v>
      </c>
      <c r="CH70" s="4">
        <v>1039846.67</v>
      </c>
      <c r="CI70" s="4">
        <v>1103785.6599999999</v>
      </c>
      <c r="CJ70" s="4">
        <v>1189872.57</v>
      </c>
      <c r="CK70" s="4">
        <v>1299390.53</v>
      </c>
      <c r="CL70" s="4">
        <v>1452094.97</v>
      </c>
      <c r="CM70" s="4">
        <v>1616083.4</v>
      </c>
      <c r="CN70" s="4">
        <v>1755076.72</v>
      </c>
      <c r="CO70" s="4">
        <v>1894565.69</v>
      </c>
      <c r="CP70" s="4">
        <v>2028960.6</v>
      </c>
      <c r="CQ70" s="4">
        <v>2126577.1800000002</v>
      </c>
      <c r="CR70" s="4">
        <v>2094801.62</v>
      </c>
      <c r="CS70" s="4">
        <v>1645585.17</v>
      </c>
      <c r="CT70" s="4">
        <f>IF(OR(MID(TBBP[[#This Row],[Coluna1]],1,1)="1",MID(TBBP[[#This Row],[Coluna1]],1,1)="2"),CS70,SUM(CH70:CS70))</f>
        <v>1645585.17</v>
      </c>
      <c r="CU70" s="255">
        <v>1455623.75</v>
      </c>
      <c r="CV70" s="255">
        <v>1548468.67</v>
      </c>
      <c r="CW70" s="255">
        <v>1610084.72</v>
      </c>
      <c r="CX70" s="255">
        <v>1611861.48</v>
      </c>
      <c r="CY70" s="255">
        <v>1710067.34</v>
      </c>
      <c r="CZ70" s="255">
        <v>1846635.19</v>
      </c>
      <c r="DA70" s="255">
        <v>1818070.33</v>
      </c>
      <c r="DB70" s="255">
        <v>1750656.37</v>
      </c>
      <c r="DC70" s="255">
        <v>1743866.97</v>
      </c>
      <c r="DD70" s="255">
        <v>1772175.34</v>
      </c>
      <c r="DE70" s="255">
        <v>1545545.12</v>
      </c>
      <c r="DF70" s="255">
        <v>1078961.79</v>
      </c>
      <c r="DG70" s="255">
        <v>1078961.79</v>
      </c>
      <c r="DH70" s="255">
        <v>1131358.1100000001</v>
      </c>
      <c r="DI70" s="255">
        <v>1301712.71</v>
      </c>
      <c r="DJ70" s="255">
        <v>1343504.4</v>
      </c>
      <c r="DK70" s="255">
        <v>1556654.22</v>
      </c>
      <c r="DL70" s="255">
        <v>1585740.43</v>
      </c>
      <c r="DM70" s="255">
        <v>572158.74</v>
      </c>
      <c r="DO70" s="9"/>
      <c r="DP70" s="30" t="str">
        <f>IF(OR(MID(TBBP[[#This Row],[Coluna1]],1,1)="1",MID(TBBP[[#This Row],[Coluna1]],1,1)="2"),"-",SUMIFS(70:70,listaPeriodos,$DR$1,listaPeriodos,$DR$2))</f>
        <v>-</v>
      </c>
      <c r="DR70" s="30">
        <f t="shared" si="50"/>
        <v>0</v>
      </c>
      <c r="DS70" s="30"/>
      <c r="DT70" s="30"/>
      <c r="DU70"/>
    </row>
    <row r="71" spans="1:125" x14ac:dyDescent="0.3">
      <c r="A71" s="7" t="s">
        <v>88</v>
      </c>
      <c r="B71" t="s">
        <v>78</v>
      </c>
      <c r="C71" s="4">
        <v>131946.46</v>
      </c>
      <c r="D71" s="4">
        <v>80030.78</v>
      </c>
      <c r="E71" s="4">
        <v>103998.2</v>
      </c>
      <c r="F71" s="4">
        <v>65784.759999999995</v>
      </c>
      <c r="G71" s="4">
        <v>53595.68</v>
      </c>
      <c r="H71" s="4">
        <v>136923.39000000001</v>
      </c>
      <c r="I71" s="4">
        <v>115446.68</v>
      </c>
      <c r="J71" s="4">
        <v>173345.92000000001</v>
      </c>
      <c r="K71" s="4">
        <v>216066.14</v>
      </c>
      <c r="L71" s="4">
        <v>126316.85</v>
      </c>
      <c r="M71" s="4">
        <v>131523.29999999999</v>
      </c>
      <c r="N71" s="4">
        <v>261598</v>
      </c>
      <c r="O71" s="4">
        <v>177848.77</v>
      </c>
      <c r="P71" s="4">
        <v>262535.71999999997</v>
      </c>
      <c r="Q71" s="4">
        <v>269793.40000000002</v>
      </c>
      <c r="R71" s="4">
        <v>152408.57</v>
      </c>
      <c r="S71" s="4">
        <v>150041.87</v>
      </c>
      <c r="T71" s="4">
        <f>IF(OR(MID(TBBP[[#This Row],[Coluna1]],1,1)="1",MID(TBBP[[#This Row],[Coluna1]],1,1)="2"),TBBP[[#This Row],[Coluna19]],SUM(H71:S71))</f>
        <v>150041.87</v>
      </c>
      <c r="U71" s="4">
        <v>192000.73</v>
      </c>
      <c r="V71" s="4">
        <v>176177.92000000001</v>
      </c>
      <c r="W71" s="4">
        <v>210567.74</v>
      </c>
      <c r="X71" s="4">
        <v>212313.9</v>
      </c>
      <c r="Y71" s="4">
        <v>242298.26</v>
      </c>
      <c r="Z71" s="4">
        <v>200236.56</v>
      </c>
      <c r="AA71" s="4">
        <v>243154.82</v>
      </c>
      <c r="AB71" s="4">
        <v>238456.82</v>
      </c>
      <c r="AC71" s="4">
        <v>291162.90000000002</v>
      </c>
      <c r="AD71" s="4">
        <v>313904.84000000003</v>
      </c>
      <c r="AE71" s="4">
        <v>280028.68</v>
      </c>
      <c r="AF71" s="4">
        <v>267377.90999999997</v>
      </c>
      <c r="AG71" s="4">
        <f>IF(OR(MID(TBBP[[#This Row],[Coluna1]],1,1)="1",MID(TBBP[[#This Row],[Coluna1]],1,1)="2"),TBBP[[#This Row],[Coluna32]],SUM(U71:AF71))</f>
        <v>267377.90999999997</v>
      </c>
      <c r="AH71" s="4">
        <v>305818.15000000002</v>
      </c>
      <c r="AI71" s="4">
        <v>263810.71000000002</v>
      </c>
      <c r="AJ71" s="4">
        <v>264732.84999999998</v>
      </c>
      <c r="AK71" s="4">
        <v>339387.97</v>
      </c>
      <c r="AL71" s="4">
        <v>431911.57</v>
      </c>
      <c r="AM71" s="4">
        <v>519721.15</v>
      </c>
      <c r="AN71" s="4">
        <v>428755.75</v>
      </c>
      <c r="AO71" s="4">
        <v>463255.46</v>
      </c>
      <c r="AP71" s="4">
        <v>383490.76</v>
      </c>
      <c r="AQ71" s="4">
        <v>524063.75</v>
      </c>
      <c r="AR71" s="4">
        <v>414714.33</v>
      </c>
      <c r="AS71" s="4">
        <v>416463.81</v>
      </c>
      <c r="AT71" s="4">
        <f>IF(OR(MID(TBBP[[#This Row],[Coluna1]],1,1)="1",MID(TBBP[[#This Row],[Coluna1]],1,1)="2"),TBBP[[#This Row],[Coluna45]],SUM(AH71:AS71))</f>
        <v>416463.81</v>
      </c>
      <c r="AU71" s="4">
        <v>484368.95</v>
      </c>
      <c r="AV71" s="4">
        <v>519407.31</v>
      </c>
      <c r="AW71" s="4">
        <v>574830.11</v>
      </c>
      <c r="AX71" s="4">
        <v>642366.48</v>
      </c>
      <c r="AY71" s="4">
        <v>619650.77</v>
      </c>
      <c r="AZ71" s="4">
        <v>1051859.79</v>
      </c>
      <c r="BA71" s="4">
        <v>1069115.47</v>
      </c>
      <c r="BB71" s="4">
        <v>814066.03</v>
      </c>
      <c r="BC71" s="4">
        <v>889612.06</v>
      </c>
      <c r="BD71" s="4">
        <v>874619.73</v>
      </c>
      <c r="BE71" s="4">
        <v>1005231.59</v>
      </c>
      <c r="BF71" s="4">
        <v>928394.1</v>
      </c>
      <c r="BG71" s="4">
        <f>IF(OR(MID(TBBP[[#This Row],[Coluna1]],1,1)="1",MID(TBBP[[#This Row],[Coluna1]],1,1)="2"),TBBP[[#This Row],[Coluna58]],SUM(AU71:BF71))</f>
        <v>928394.1</v>
      </c>
      <c r="BH71" s="4">
        <v>676407.82</v>
      </c>
      <c r="BI71" s="4">
        <v>811053.06</v>
      </c>
      <c r="BJ71" s="4">
        <v>1288108.3700000001</v>
      </c>
      <c r="BK71" s="4">
        <v>1124357.5900000001</v>
      </c>
      <c r="BL71" s="4">
        <v>1162530.98</v>
      </c>
      <c r="BM71" s="4">
        <v>665765.54</v>
      </c>
      <c r="BN71" s="4">
        <v>356675.97</v>
      </c>
      <c r="BO71" s="4">
        <v>531553.68000000005</v>
      </c>
      <c r="BP71" s="4">
        <v>639785.68000000005</v>
      </c>
      <c r="BQ71" s="4">
        <v>320677.13</v>
      </c>
      <c r="BR71" s="4">
        <v>753831.88</v>
      </c>
      <c r="BS71" s="4">
        <v>277898.78000000003</v>
      </c>
      <c r="BT71" s="4">
        <f>IF(OR(MID(TBBP[[#This Row],[Coluna1]],1,1)="1",MID(TBBP[[#This Row],[Coluna1]],1,1)="2"),TBBP[[#This Row],[Coluna127]],SUM(BH71:BS71))</f>
        <v>277898.78000000003</v>
      </c>
      <c r="BU71" s="4">
        <v>652768.52</v>
      </c>
      <c r="BV71" s="4">
        <v>514088.65</v>
      </c>
      <c r="BW71" s="4">
        <v>369872.45</v>
      </c>
      <c r="BX71" s="4">
        <v>941443.95</v>
      </c>
      <c r="BY71" s="4">
        <v>580092.09</v>
      </c>
      <c r="BZ71" s="4">
        <v>782406.03</v>
      </c>
      <c r="CA71" s="4">
        <v>223083.9</v>
      </c>
      <c r="CB71" s="4">
        <v>937374.34</v>
      </c>
      <c r="CC71" s="4">
        <v>401933.49</v>
      </c>
      <c r="CD71" s="4">
        <v>527016.05000000005</v>
      </c>
      <c r="CE71" s="4">
        <v>398216.13</v>
      </c>
      <c r="CF71" s="4">
        <v>623322.26</v>
      </c>
      <c r="CG71" s="4">
        <f>IF(OR(MID(TBBP[[#This Row],[Coluna1]],1,1)="1",MID(TBBP[[#This Row],[Coluna1]],1,1)="2"),CF71,SUM(BU71:CF71))</f>
        <v>623322.26</v>
      </c>
      <c r="CH71" s="4">
        <v>343884.67</v>
      </c>
      <c r="CI71" s="4">
        <v>613013.81999999995</v>
      </c>
      <c r="CJ71" s="4">
        <v>528524.27</v>
      </c>
      <c r="CK71" s="4">
        <v>813043.82</v>
      </c>
      <c r="CL71" s="4">
        <v>1147432.04</v>
      </c>
      <c r="CM71" s="4">
        <v>509080.01</v>
      </c>
      <c r="CN71" s="4">
        <v>582452.71</v>
      </c>
      <c r="CO71" s="4">
        <v>488323.54</v>
      </c>
      <c r="CP71" s="4">
        <v>677463.03</v>
      </c>
      <c r="CQ71" s="4">
        <v>315748.88</v>
      </c>
      <c r="CR71" s="4">
        <v>491627.05</v>
      </c>
      <c r="CS71" s="4">
        <v>999796.87</v>
      </c>
      <c r="CT71" s="4">
        <f>IF(OR(MID(TBBP[[#This Row],[Coluna1]],1,1)="1",MID(TBBP[[#This Row],[Coluna1]],1,1)="2"),CS71,SUM(CH71:CS71))</f>
        <v>999796.87</v>
      </c>
      <c r="CU71" s="255">
        <v>349831.59</v>
      </c>
      <c r="CV71" s="255">
        <v>596551.31000000006</v>
      </c>
      <c r="CW71" s="255">
        <v>786536.34</v>
      </c>
      <c r="CX71" s="255">
        <v>1604676.43</v>
      </c>
      <c r="CY71" s="255">
        <v>877292.77</v>
      </c>
      <c r="CZ71" s="255">
        <v>302168.13</v>
      </c>
      <c r="DA71" s="255">
        <v>438239.14</v>
      </c>
      <c r="DB71" s="255">
        <v>506303.53</v>
      </c>
      <c r="DC71" s="255">
        <v>588973.22</v>
      </c>
      <c r="DD71" s="255">
        <v>476793.76</v>
      </c>
      <c r="DE71" s="255">
        <v>616298.93999999994</v>
      </c>
      <c r="DF71" s="255">
        <v>433801.39</v>
      </c>
      <c r="DG71" s="255">
        <v>433801.39</v>
      </c>
      <c r="DH71" s="255">
        <v>755118.27</v>
      </c>
      <c r="DI71" s="255">
        <v>506223.56</v>
      </c>
      <c r="DJ71" s="255">
        <v>428475.05</v>
      </c>
      <c r="DK71" s="255">
        <v>878049.49</v>
      </c>
      <c r="DL71" s="255">
        <v>690358.19</v>
      </c>
      <c r="DM71" s="255">
        <v>1297573.3600000001</v>
      </c>
      <c r="DO71" s="9"/>
      <c r="DP71" s="30" t="str">
        <f>IF(OR(MID(TBBP[[#This Row],[Coluna1]],1,1)="1",MID(TBBP[[#This Row],[Coluna1]],1,1)="2"),"-",SUMIFS(71:71,listaPeriodos,$DR$1,listaPeriodos,$DR$2))</f>
        <v>-</v>
      </c>
      <c r="DR71" s="30">
        <f t="shared" si="50"/>
        <v>0</v>
      </c>
      <c r="DS71" s="30"/>
      <c r="DT71" s="30"/>
      <c r="DU71"/>
    </row>
    <row r="72" spans="1:125" x14ac:dyDescent="0.3">
      <c r="A72" s="7" t="s">
        <v>964</v>
      </c>
      <c r="B72" t="s">
        <v>973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>
        <f>SUM(TBBP[[#This Row],[Coluna8]:[Coluna19]])</f>
        <v>0</v>
      </c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>
        <v>3493.56</v>
      </c>
      <c r="AV72" s="4">
        <v>2050.29</v>
      </c>
      <c r="AW72" s="4">
        <v>3196.37</v>
      </c>
      <c r="AX72" s="4">
        <v>1932.42</v>
      </c>
      <c r="AY72" s="4">
        <v>4214.3599999999997</v>
      </c>
      <c r="AZ72" s="4">
        <v>8752.01</v>
      </c>
      <c r="BA72" s="4">
        <v>2499.8200000000002</v>
      </c>
      <c r="BB72" s="4">
        <v>5117.38</v>
      </c>
      <c r="BC72" s="4">
        <v>4887.8500000000004</v>
      </c>
      <c r="BD72" s="4">
        <v>527.54999999999995</v>
      </c>
      <c r="BE72" s="4">
        <v>2375.92</v>
      </c>
      <c r="BF72" s="4">
        <v>4385.82</v>
      </c>
      <c r="BG72" s="4">
        <v>4385.82</v>
      </c>
      <c r="BH72" s="4">
        <v>1376.46</v>
      </c>
      <c r="BI72" s="4">
        <v>136.56</v>
      </c>
      <c r="BJ72" s="4">
        <v>3366.29</v>
      </c>
      <c r="BK72" s="4">
        <v>4725.78</v>
      </c>
      <c r="BL72" s="4">
        <v>5344.79</v>
      </c>
      <c r="BM72" s="4">
        <v>1331.15</v>
      </c>
      <c r="BN72" s="4">
        <v>3584.94</v>
      </c>
      <c r="BO72" s="4">
        <v>7536.52</v>
      </c>
      <c r="BP72" s="4">
        <v>7359.76</v>
      </c>
      <c r="BQ72" s="4">
        <v>3241.06</v>
      </c>
      <c r="BR72" s="4">
        <v>6756.78</v>
      </c>
      <c r="BS72" s="4">
        <v>886.39</v>
      </c>
      <c r="BT72" s="4">
        <f>IF(OR(MID(TBBP[[#This Row],[Coluna1]],1,1)="1",MID(TBBP[[#This Row],[Coluna1]],1,1)="2"),TBBP[[#This Row],[Coluna127]],SUM(BH72:BS72))</f>
        <v>886.39</v>
      </c>
      <c r="BU72" s="4">
        <v>6893.7</v>
      </c>
      <c r="BV72" s="4">
        <v>1488.54</v>
      </c>
      <c r="BW72" s="4">
        <v>21201.86</v>
      </c>
      <c r="BX72" s="4">
        <v>31371.57</v>
      </c>
      <c r="BY72" s="4">
        <v>6122.48</v>
      </c>
      <c r="BZ72" s="4">
        <v>5655.26</v>
      </c>
      <c r="CA72" s="4">
        <v>6868.6</v>
      </c>
      <c r="CB72" s="4">
        <v>8756.98</v>
      </c>
      <c r="CC72" s="4">
        <v>6792.44</v>
      </c>
      <c r="CD72" s="4">
        <v>7538.55</v>
      </c>
      <c r="CE72" s="4">
        <v>13810.66</v>
      </c>
      <c r="CF72" s="4">
        <v>6196.91</v>
      </c>
      <c r="CG72" s="4">
        <f>IF(OR(MID(TBBP[[#This Row],[Coluna1]],1,1)="1",MID(TBBP[[#This Row],[Coluna1]],1,1)="2"),CF72,SUM(BU72:CF72))</f>
        <v>6196.91</v>
      </c>
      <c r="CH72" s="4">
        <v>12467.79</v>
      </c>
      <c r="CI72" s="4">
        <v>9286.52</v>
      </c>
      <c r="CJ72" s="4">
        <v>9443.44</v>
      </c>
      <c r="CK72" s="4">
        <v>8193.5400000000009</v>
      </c>
      <c r="CL72" s="4">
        <v>8183.82</v>
      </c>
      <c r="CM72" s="4">
        <v>9816.84</v>
      </c>
      <c r="CN72" s="4">
        <v>13426.59</v>
      </c>
      <c r="CO72" s="4">
        <v>20035.05</v>
      </c>
      <c r="CP72" s="4">
        <v>14578.89</v>
      </c>
      <c r="CQ72" s="4">
        <v>7618.74</v>
      </c>
      <c r="CR72" s="4">
        <v>11331.82</v>
      </c>
      <c r="CS72" s="4">
        <v>8831.25</v>
      </c>
      <c r="CT72" s="4">
        <f>IF(OR(MID(TBBP[[#This Row],[Coluna1]],1,1)="1",MID(TBBP[[#This Row],[Coluna1]],1,1)="2"),CS72,SUM(CH72:CS72))</f>
        <v>8831.25</v>
      </c>
      <c r="CU72" s="255">
        <v>9987.1200000000008</v>
      </c>
      <c r="CV72" s="255">
        <v>10073.700000000001</v>
      </c>
      <c r="CW72" s="255">
        <v>8894.51</v>
      </c>
      <c r="CX72" s="255">
        <v>19955.96</v>
      </c>
      <c r="CY72" s="255">
        <v>8483.73</v>
      </c>
      <c r="CZ72" s="255">
        <v>11829.65</v>
      </c>
      <c r="DA72" s="255">
        <v>8528.59</v>
      </c>
      <c r="DB72" s="255">
        <v>13977</v>
      </c>
      <c r="DC72" s="255">
        <v>11570.16</v>
      </c>
      <c r="DD72" s="255">
        <v>18838.689999999999</v>
      </c>
      <c r="DE72" s="255">
        <v>22386.2</v>
      </c>
      <c r="DF72" s="255">
        <v>11042.27</v>
      </c>
      <c r="DG72" s="255">
        <v>11042.27</v>
      </c>
      <c r="DH72" s="255">
        <v>14389.61</v>
      </c>
      <c r="DI72" s="255">
        <v>15779.04</v>
      </c>
      <c r="DJ72" s="255">
        <v>16776.22</v>
      </c>
      <c r="DK72" s="255">
        <v>13979.25</v>
      </c>
      <c r="DL72" s="255">
        <v>15407.67</v>
      </c>
      <c r="DM72" s="255">
        <v>9020.1200000000008</v>
      </c>
      <c r="DO72" s="9"/>
      <c r="DP72" s="30" t="str">
        <f>IF(OR(MID(TBBP[[#This Row],[Coluna1]],1,1)="1",MID(TBBP[[#This Row],[Coluna1]],1,1)="2"),"-",SUMIFS(72:72,listaPeriodos,$DR$1,listaPeriodos,$DR$2))</f>
        <v>-</v>
      </c>
      <c r="DR72" s="30">
        <f t="shared" si="50"/>
        <v>0</v>
      </c>
      <c r="DS72" s="30"/>
      <c r="DT72" s="30"/>
      <c r="DU72"/>
    </row>
    <row r="73" spans="1:125" x14ac:dyDescent="0.3">
      <c r="A73" s="7" t="s">
        <v>963</v>
      </c>
      <c r="B73" t="s">
        <v>974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>
        <f>SUM(TBBP[[#This Row],[Coluna8]:[Coluna19]])</f>
        <v>0</v>
      </c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>
        <v>16956.93</v>
      </c>
      <c r="AV73" s="4">
        <v>23067.75</v>
      </c>
      <c r="AW73" s="4">
        <v>9964.56</v>
      </c>
      <c r="AX73" s="4">
        <v>32962.400000000001</v>
      </c>
      <c r="AY73" s="4">
        <v>16982.060000000001</v>
      </c>
      <c r="AZ73" s="4">
        <v>167912.61</v>
      </c>
      <c r="BA73" s="4">
        <v>199625.76</v>
      </c>
      <c r="BB73" s="4">
        <v>20870.75</v>
      </c>
      <c r="BC73" s="4">
        <v>23855.47</v>
      </c>
      <c r="BD73" s="4">
        <v>70001.399999999994</v>
      </c>
      <c r="BE73" s="4">
        <v>235476.98</v>
      </c>
      <c r="BF73" s="4">
        <v>0</v>
      </c>
      <c r="BG73" s="4">
        <v>0</v>
      </c>
      <c r="BH73" s="4">
        <v>45487.57</v>
      </c>
      <c r="BI73" s="4">
        <v>121142.88</v>
      </c>
      <c r="BJ73" s="4">
        <v>398011.32</v>
      </c>
      <c r="BK73" s="4">
        <v>302773.77</v>
      </c>
      <c r="BL73" s="4">
        <v>338570.94</v>
      </c>
      <c r="BM73" s="4">
        <v>48419.519999999997</v>
      </c>
      <c r="BN73" s="4">
        <v>39063.07</v>
      </c>
      <c r="BO73" s="4">
        <v>187346.24</v>
      </c>
      <c r="BP73" s="4">
        <v>268551.96999999997</v>
      </c>
      <c r="BQ73" s="4">
        <v>101019.7</v>
      </c>
      <c r="BR73" s="4">
        <v>317525.8</v>
      </c>
      <c r="BS73" s="4">
        <v>56288.34</v>
      </c>
      <c r="BT73" s="4">
        <f>IF(OR(MID(TBBP[[#This Row],[Coluna1]],1,1)="1",MID(TBBP[[#This Row],[Coluna1]],1,1)="2"),TBBP[[#This Row],[Coluna127]],SUM(BH73:BS73))</f>
        <v>56288.34</v>
      </c>
      <c r="BU73" s="4">
        <v>237261.3</v>
      </c>
      <c r="BV73" s="4">
        <v>169241.22</v>
      </c>
      <c r="BW73" s="4">
        <v>98955.06</v>
      </c>
      <c r="BX73" s="4">
        <v>392450.12</v>
      </c>
      <c r="BY73" s="4">
        <v>26203.99</v>
      </c>
      <c r="BZ73" s="4">
        <v>223873.47</v>
      </c>
      <c r="CA73" s="4">
        <v>14979.04</v>
      </c>
      <c r="CB73" s="4">
        <v>352528</v>
      </c>
      <c r="CC73" s="4">
        <v>30626.71</v>
      </c>
      <c r="CD73" s="4">
        <v>42760.91</v>
      </c>
      <c r="CE73" s="4">
        <v>78405.45</v>
      </c>
      <c r="CF73" s="4">
        <v>152089.20000000001</v>
      </c>
      <c r="CG73" s="4">
        <f>IF(OR(MID(TBBP[[#This Row],[Coluna1]],1,1)="1",MID(TBBP[[#This Row],[Coluna1]],1,1)="2"),CF73,SUM(BU73:CF73))</f>
        <v>152089.20000000001</v>
      </c>
      <c r="CH73" s="4">
        <v>44609.23</v>
      </c>
      <c r="CI73" s="4">
        <v>35279.72</v>
      </c>
      <c r="CJ73" s="4">
        <v>100960.08</v>
      </c>
      <c r="CK73" s="4">
        <v>227157.63</v>
      </c>
      <c r="CL73" s="4">
        <v>420121.02</v>
      </c>
      <c r="CM73" s="4">
        <v>40797.1</v>
      </c>
      <c r="CN73" s="4">
        <v>90995.91</v>
      </c>
      <c r="CO73" s="4">
        <v>90138.75</v>
      </c>
      <c r="CP73" s="4">
        <v>10262.969999999999</v>
      </c>
      <c r="CQ73" s="4">
        <v>45637.59</v>
      </c>
      <c r="CR73" s="4">
        <v>63738.15</v>
      </c>
      <c r="CS73" s="4">
        <v>42081.38</v>
      </c>
      <c r="CT73" s="4">
        <f>IF(OR(MID(TBBP[[#This Row],[Coluna1]],1,1)="1",MID(TBBP[[#This Row],[Coluna1]],1,1)="2"),CS73,SUM(CH73:CS73))</f>
        <v>42081.38</v>
      </c>
      <c r="CU73" s="255">
        <v>74731.360000000001</v>
      </c>
      <c r="CV73" s="255">
        <v>33534.26</v>
      </c>
      <c r="CW73" s="255">
        <v>138400.85999999999</v>
      </c>
      <c r="CX73" s="255">
        <v>561598.14</v>
      </c>
      <c r="CY73" s="255">
        <v>152215.72</v>
      </c>
      <c r="CZ73" s="255">
        <v>73283.960000000006</v>
      </c>
      <c r="DA73" s="255">
        <v>108964.98</v>
      </c>
      <c r="DB73" s="255">
        <v>77446.09</v>
      </c>
      <c r="DC73" s="255">
        <v>116576.38</v>
      </c>
      <c r="DD73" s="255">
        <v>64858.13</v>
      </c>
      <c r="DE73" s="255">
        <v>38023.5</v>
      </c>
      <c r="DF73" s="255">
        <v>68583.34</v>
      </c>
      <c r="DG73" s="255">
        <v>68583.34</v>
      </c>
      <c r="DH73" s="255">
        <v>108305.03</v>
      </c>
      <c r="DI73" s="255">
        <v>112721.53</v>
      </c>
      <c r="DJ73" s="255">
        <v>106389.65</v>
      </c>
      <c r="DK73" s="255">
        <v>20274.45</v>
      </c>
      <c r="DL73" s="255">
        <v>75107.08</v>
      </c>
      <c r="DM73" s="255">
        <v>24861.3</v>
      </c>
      <c r="DO73" s="9"/>
      <c r="DP73" s="30" t="str">
        <f>IF(OR(MID(TBBP[[#This Row],[Coluna1]],1,1)="1",MID(TBBP[[#This Row],[Coluna1]],1,1)="2"),"-",SUMIFS(73:73,listaPeriodos,$DR$1,listaPeriodos,$DR$2))</f>
        <v>-</v>
      </c>
      <c r="DR73" s="30">
        <f t="shared" si="50"/>
        <v>0</v>
      </c>
      <c r="DS73" s="30"/>
      <c r="DT73" s="30"/>
      <c r="DU73"/>
    </row>
    <row r="74" spans="1:125" x14ac:dyDescent="0.3">
      <c r="A74" s="7" t="s">
        <v>966</v>
      </c>
      <c r="B74" t="s">
        <v>975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>
        <f>SUM(TBBP[[#This Row],[Coluna8]:[Coluna19]])</f>
        <v>0</v>
      </c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>
        <v>188385.38</v>
      </c>
      <c r="AV74" s="4">
        <v>190802.02</v>
      </c>
      <c r="AW74" s="4">
        <v>223203.76</v>
      </c>
      <c r="AX74" s="4">
        <v>261127.21</v>
      </c>
      <c r="AY74" s="4">
        <v>253858.17</v>
      </c>
      <c r="AZ74" s="4">
        <v>320444.45</v>
      </c>
      <c r="BA74" s="4">
        <v>312481.39</v>
      </c>
      <c r="BB74" s="4">
        <v>251398.97</v>
      </c>
      <c r="BC74" s="4">
        <v>307897.90000000002</v>
      </c>
      <c r="BD74" s="4">
        <v>250634.67</v>
      </c>
      <c r="BE74" s="4">
        <v>222635.26</v>
      </c>
      <c r="BF74" s="4">
        <v>188531.37</v>
      </c>
      <c r="BG74" s="4">
        <v>188531.37</v>
      </c>
      <c r="BH74" s="4">
        <v>108300.1</v>
      </c>
      <c r="BI74" s="4">
        <v>157046.98000000001</v>
      </c>
      <c r="BJ74" s="4">
        <v>258025.15</v>
      </c>
      <c r="BK74" s="4">
        <v>273668.90000000002</v>
      </c>
      <c r="BL74" s="4">
        <v>274289.40000000002</v>
      </c>
      <c r="BM74" s="4">
        <v>107567.17</v>
      </c>
      <c r="BN74" s="4">
        <v>93603.199999999997</v>
      </c>
      <c r="BO74" s="4">
        <v>112098.02</v>
      </c>
      <c r="BP74" s="4">
        <v>135665.15</v>
      </c>
      <c r="BQ74" s="4">
        <v>12018.75</v>
      </c>
      <c r="BR74" s="4">
        <v>188689.82</v>
      </c>
      <c r="BS74" s="4">
        <v>17044.73</v>
      </c>
      <c r="BT74" s="4">
        <f>IF(OR(MID(TBBP[[#This Row],[Coluna1]],1,1)="1",MID(TBBP[[#This Row],[Coluna1]],1,1)="2"),TBBP[[#This Row],[Coluna127]],SUM(BH74:BS74))</f>
        <v>17044.73</v>
      </c>
      <c r="BU74" s="4">
        <v>171541.74</v>
      </c>
      <c r="BV74" s="4">
        <v>117552.58</v>
      </c>
      <c r="BW74" s="4">
        <v>38717.919999999998</v>
      </c>
      <c r="BX74" s="4">
        <v>260324.8</v>
      </c>
      <c r="BY74" s="4">
        <v>284501.55</v>
      </c>
      <c r="BZ74" s="4">
        <v>290153.01</v>
      </c>
      <c r="CA74" s="4">
        <v>0</v>
      </c>
      <c r="CB74" s="4">
        <v>306770.7</v>
      </c>
      <c r="CC74" s="4">
        <v>132306.88</v>
      </c>
      <c r="CD74" s="4">
        <v>227070.82</v>
      </c>
      <c r="CE74" s="4">
        <v>83316.240000000005</v>
      </c>
      <c r="CF74" s="4">
        <v>217272.9</v>
      </c>
      <c r="CG74" s="4">
        <f>IF(OR(MID(TBBP[[#This Row],[Coluna1]],1,1)="1",MID(TBBP[[#This Row],[Coluna1]],1,1)="2"),CF74,SUM(BU74:CF74))</f>
        <v>217272.9</v>
      </c>
      <c r="CH74" s="4">
        <v>69832.37</v>
      </c>
      <c r="CI74" s="4">
        <v>297091.55</v>
      </c>
      <c r="CJ74" s="4">
        <v>178315.69</v>
      </c>
      <c r="CK74" s="4">
        <v>310880.09999999998</v>
      </c>
      <c r="CL74" s="4">
        <v>424049.22</v>
      </c>
      <c r="CM74" s="4">
        <v>213684.64</v>
      </c>
      <c r="CN74" s="4">
        <v>225550.56</v>
      </c>
      <c r="CO74" s="4">
        <v>144154.17000000001</v>
      </c>
      <c r="CP74" s="4">
        <v>369357.28</v>
      </c>
      <c r="CQ74" s="4">
        <v>49416.62</v>
      </c>
      <c r="CR74" s="4">
        <v>176629.21</v>
      </c>
      <c r="CS74" s="4">
        <v>613849.32999999996</v>
      </c>
      <c r="CT74" s="4">
        <f>IF(OR(MID(TBBP[[#This Row],[Coluna1]],1,1)="1",MID(TBBP[[#This Row],[Coluna1]],1,1)="2"),CS74,SUM(CH74:CS74))</f>
        <v>613849.32999999996</v>
      </c>
      <c r="CU74" s="255">
        <v>50297.41</v>
      </c>
      <c r="CV74" s="255">
        <v>266931.21000000002</v>
      </c>
      <c r="CW74" s="255">
        <v>322944.56</v>
      </c>
      <c r="CX74" s="255">
        <v>630825.21</v>
      </c>
      <c r="CY74" s="255">
        <v>402103.78</v>
      </c>
      <c r="CZ74" s="255">
        <v>0</v>
      </c>
      <c r="DA74" s="255">
        <v>56018.44</v>
      </c>
      <c r="DB74" s="255">
        <v>100382.38</v>
      </c>
      <c r="DC74" s="255">
        <v>189011.25</v>
      </c>
      <c r="DD74" s="255">
        <v>149417.06</v>
      </c>
      <c r="DE74" s="255">
        <v>247741.21</v>
      </c>
      <c r="DF74" s="255">
        <v>104796.79</v>
      </c>
      <c r="DG74" s="255">
        <v>104796.79</v>
      </c>
      <c r="DH74" s="255">
        <v>326655.3</v>
      </c>
      <c r="DI74" s="255">
        <v>118509.34</v>
      </c>
      <c r="DJ74" s="255">
        <v>55050.94</v>
      </c>
      <c r="DK74" s="255">
        <v>498318.52</v>
      </c>
      <c r="DL74" s="255">
        <v>286666.69</v>
      </c>
      <c r="DM74" s="255">
        <v>927275.09</v>
      </c>
      <c r="DO74" s="9"/>
      <c r="DP74" s="30" t="str">
        <f>IF(OR(MID(TBBP[[#This Row],[Coluna1]],1,1)="1",MID(TBBP[[#This Row],[Coluna1]],1,1)="2"),"-",SUMIFS(74:74,listaPeriodos,$DR$1,listaPeriodos,$DR$2))</f>
        <v>-</v>
      </c>
      <c r="DR74" s="30">
        <f t="shared" si="50"/>
        <v>0</v>
      </c>
      <c r="DS74" s="30"/>
      <c r="DT74" s="30"/>
      <c r="DU74"/>
    </row>
    <row r="75" spans="1:125" x14ac:dyDescent="0.3">
      <c r="A75" s="7" t="s">
        <v>965</v>
      </c>
      <c r="B75" t="s">
        <v>976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>
        <f>SUM(TBBP[[#This Row],[Coluna8]:[Coluna19]])</f>
        <v>0</v>
      </c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>
        <v>39883.370000000003</v>
      </c>
      <c r="AV75" s="4">
        <v>40710.199999999997</v>
      </c>
      <c r="AW75" s="4">
        <v>47591.55</v>
      </c>
      <c r="AX75" s="4">
        <v>55720.91</v>
      </c>
      <c r="AY75" s="4">
        <v>54228.72</v>
      </c>
      <c r="AZ75" s="4">
        <v>68362.42</v>
      </c>
      <c r="BA75" s="4">
        <v>67264.12</v>
      </c>
      <c r="BB75" s="4">
        <v>53883.59</v>
      </c>
      <c r="BC75" s="4">
        <v>65697.429999999993</v>
      </c>
      <c r="BD75" s="4">
        <v>53526.02</v>
      </c>
      <c r="BE75" s="4">
        <v>47586.37</v>
      </c>
      <c r="BF75" s="4">
        <v>40303.61</v>
      </c>
      <c r="BG75" s="4">
        <v>40303.61</v>
      </c>
      <c r="BH75" s="4">
        <v>22763.06</v>
      </c>
      <c r="BI75" s="4">
        <v>33177.83</v>
      </c>
      <c r="BJ75" s="4">
        <v>54674.7</v>
      </c>
      <c r="BK75" s="4">
        <v>58069.45</v>
      </c>
      <c r="BL75" s="4">
        <v>58570.78</v>
      </c>
      <c r="BM75" s="4">
        <v>21962.23</v>
      </c>
      <c r="BN75" s="4">
        <v>18930.63</v>
      </c>
      <c r="BO75" s="4">
        <v>22802.5</v>
      </c>
      <c r="BP75" s="4">
        <v>27686.14</v>
      </c>
      <c r="BQ75" s="4">
        <v>1447.41</v>
      </c>
      <c r="BR75" s="4">
        <v>39965.089999999997</v>
      </c>
      <c r="BS75" s="4">
        <v>2564.62</v>
      </c>
      <c r="BT75" s="4">
        <f>IF(OR(MID(TBBP[[#This Row],[Coluna1]],1,1)="1",MID(TBBP[[#This Row],[Coluna1]],1,1)="2"),TBBP[[#This Row],[Coluna127]],SUM(BH75:BS75))</f>
        <v>2564.62</v>
      </c>
      <c r="BU75" s="4">
        <v>34959.47</v>
      </c>
      <c r="BV75" s="4">
        <v>24369.439999999999</v>
      </c>
      <c r="BW75" s="4">
        <v>6871.97</v>
      </c>
      <c r="BX75" s="4">
        <v>55252</v>
      </c>
      <c r="BY75" s="4">
        <v>60177.18</v>
      </c>
      <c r="BZ75" s="4">
        <v>61424.02</v>
      </c>
      <c r="CA75" s="4">
        <v>0</v>
      </c>
      <c r="CB75" s="4">
        <v>63375.95</v>
      </c>
      <c r="CC75" s="4">
        <v>27442.07</v>
      </c>
      <c r="CD75" s="4">
        <v>47915.14</v>
      </c>
      <c r="CE75" s="4">
        <v>16979.91</v>
      </c>
      <c r="CF75" s="4">
        <v>45337.41</v>
      </c>
      <c r="CG75" s="4">
        <f>IF(OR(MID(TBBP[[#This Row],[Coluna1]],1,1)="1",MID(TBBP[[#This Row],[Coluna1]],1,1)="2"),CF75,SUM(BU75:CF75))</f>
        <v>45337.41</v>
      </c>
      <c r="CH75" s="4">
        <v>13662.69</v>
      </c>
      <c r="CI75" s="4">
        <v>63495.13</v>
      </c>
      <c r="CJ75" s="4">
        <v>37414.68</v>
      </c>
      <c r="CK75" s="4">
        <v>65833.14</v>
      </c>
      <c r="CL75" s="4">
        <v>90371.68</v>
      </c>
      <c r="CM75" s="4">
        <v>44567.7</v>
      </c>
      <c r="CN75" s="4">
        <v>47881.68</v>
      </c>
      <c r="CO75" s="4">
        <v>29071.01</v>
      </c>
      <c r="CP75" s="4">
        <v>79027.73</v>
      </c>
      <c r="CQ75" s="4">
        <v>8387.32</v>
      </c>
      <c r="CR75" s="4">
        <v>37005.32</v>
      </c>
      <c r="CS75" s="4">
        <v>131933.81</v>
      </c>
      <c r="CT75" s="4">
        <f>IF(OR(MID(TBBP[[#This Row],[Coluna1]],1,1)="1",MID(TBBP[[#This Row],[Coluna1]],1,1)="2"),CS75,SUM(CH75:CS75))</f>
        <v>131933.81</v>
      </c>
      <c r="CU75" s="255">
        <v>9196.68</v>
      </c>
      <c r="CV75" s="255">
        <v>77766.429999999993</v>
      </c>
      <c r="CW75" s="255">
        <v>68646.460000000006</v>
      </c>
      <c r="CX75" s="255">
        <v>135002.4</v>
      </c>
      <c r="CY75" s="255">
        <v>85716.36</v>
      </c>
      <c r="CZ75" s="255">
        <v>0</v>
      </c>
      <c r="DA75" s="255">
        <v>8642.4599999999991</v>
      </c>
      <c r="DB75" s="255">
        <v>19926.8</v>
      </c>
      <c r="DC75" s="255">
        <v>39139.25</v>
      </c>
      <c r="DD75" s="255">
        <v>30910.57</v>
      </c>
      <c r="DE75" s="255">
        <v>52332.47</v>
      </c>
      <c r="DF75" s="255">
        <v>21883.05</v>
      </c>
      <c r="DG75" s="255">
        <v>21883.05</v>
      </c>
      <c r="DH75" s="255">
        <v>69692.33</v>
      </c>
      <c r="DI75" s="255">
        <v>24638.86</v>
      </c>
      <c r="DJ75" s="255">
        <v>11885.46</v>
      </c>
      <c r="DK75" s="255">
        <v>105915.19</v>
      </c>
      <c r="DL75" s="255">
        <v>61123.24</v>
      </c>
      <c r="DM75" s="255">
        <v>79159.22</v>
      </c>
      <c r="DO75" s="9"/>
      <c r="DP75" s="30" t="str">
        <f>IF(OR(MID(TBBP[[#This Row],[Coluna1]],1,1)="1",MID(TBBP[[#This Row],[Coluna1]],1,1)="2"),"-",SUMIFS(75:75,listaPeriodos,$DR$1,listaPeriodos,$DR$2))</f>
        <v>-</v>
      </c>
      <c r="DR75" s="30">
        <f t="shared" si="50"/>
        <v>0</v>
      </c>
      <c r="DS75" s="30"/>
      <c r="DT75" s="30"/>
      <c r="DU75"/>
    </row>
    <row r="76" spans="1:125" x14ac:dyDescent="0.3">
      <c r="A76" s="7" t="s">
        <v>89</v>
      </c>
      <c r="B76" t="s">
        <v>79</v>
      </c>
      <c r="C76" s="4">
        <v>196228.5</v>
      </c>
      <c r="D76" s="4">
        <v>248360.95999999999</v>
      </c>
      <c r="E76" s="4">
        <v>388113.93</v>
      </c>
      <c r="F76" s="4">
        <v>204830.34</v>
      </c>
      <c r="G76" s="4">
        <v>243524.34</v>
      </c>
      <c r="H76" s="4">
        <v>96554.026163999995</v>
      </c>
      <c r="I76" s="4">
        <v>184428.27233199999</v>
      </c>
      <c r="J76" s="4">
        <v>273733.87</v>
      </c>
      <c r="K76" s="4">
        <v>98363.170532000018</v>
      </c>
      <c r="L76" s="4">
        <v>183904.05733600003</v>
      </c>
      <c r="M76" s="4">
        <v>279212.64197200001</v>
      </c>
      <c r="N76" s="4">
        <v>145131.74</v>
      </c>
      <c r="O76" s="4">
        <v>250846.19</v>
      </c>
      <c r="P76" s="4">
        <v>443097.38</v>
      </c>
      <c r="Q76" s="4">
        <v>129481.53</v>
      </c>
      <c r="R76" s="4">
        <v>200488.91</v>
      </c>
      <c r="S76" s="4">
        <v>296461.13</v>
      </c>
      <c r="T76" s="4">
        <f>IF(OR(MID(TBBP[[#This Row],[Coluna1]],1,1)="1",MID(TBBP[[#This Row],[Coluna1]],1,1)="2"),TBBP[[#This Row],[Coluna19]],SUM(H76:S76))</f>
        <v>296461.13</v>
      </c>
      <c r="U76" s="4">
        <v>116271.75</v>
      </c>
      <c r="V76" s="4">
        <v>237532.68</v>
      </c>
      <c r="W76" s="4">
        <v>354260.77</v>
      </c>
      <c r="X76" s="4">
        <v>132738.88</v>
      </c>
      <c r="Y76" s="4">
        <v>266404</v>
      </c>
      <c r="Z76" s="4">
        <v>347416.31</v>
      </c>
      <c r="AA76" s="4">
        <v>171578.83</v>
      </c>
      <c r="AB76" s="4">
        <v>303289.49</v>
      </c>
      <c r="AC76" s="4">
        <v>439055.1</v>
      </c>
      <c r="AD76" s="4">
        <v>170534.58</v>
      </c>
      <c r="AE76" s="4">
        <v>301266.81</v>
      </c>
      <c r="AF76" s="4">
        <v>378448.41</v>
      </c>
      <c r="AG76" s="4">
        <f>IF(OR(MID(TBBP[[#This Row],[Coluna1]],1,1)="1",MID(TBBP[[#This Row],[Coluna1]],1,1)="2"),TBBP[[#This Row],[Coluna32]],SUM(U76:AF76))</f>
        <v>378448.41</v>
      </c>
      <c r="AH76" s="4">
        <v>133979.46</v>
      </c>
      <c r="AI76" s="4">
        <v>246010.93</v>
      </c>
      <c r="AJ76" s="4">
        <v>320602.12</v>
      </c>
      <c r="AK76" s="4">
        <v>130555.58</v>
      </c>
      <c r="AL76" s="4">
        <v>225493.26</v>
      </c>
      <c r="AM76" s="4">
        <v>377856.24</v>
      </c>
      <c r="AN76" s="4">
        <v>202499.71</v>
      </c>
      <c r="AO76" s="4">
        <v>391708.19</v>
      </c>
      <c r="AP76" s="4">
        <v>585500.52</v>
      </c>
      <c r="AQ76" s="4">
        <v>257476.68</v>
      </c>
      <c r="AR76" s="4">
        <v>505819.84</v>
      </c>
      <c r="AS76" s="4">
        <v>662803.24</v>
      </c>
      <c r="AT76" s="4">
        <f>IF(OR(MID(TBBP[[#This Row],[Coluna1]],1,1)="1",MID(TBBP[[#This Row],[Coluna1]],1,1)="2"),TBBP[[#This Row],[Coluna45]],SUM(AH76:AS76))</f>
        <v>662803.24</v>
      </c>
      <c r="AU76" s="4">
        <v>214890.87</v>
      </c>
      <c r="AV76" s="4">
        <v>441563.08</v>
      </c>
      <c r="AW76" s="4">
        <v>665141.26</v>
      </c>
      <c r="AX76" s="4">
        <v>304724.05</v>
      </c>
      <c r="AY76" s="4">
        <v>611648.06000000006</v>
      </c>
      <c r="AZ76" s="4">
        <f>939837.19+2.35+4.36</f>
        <v>939843.89999999991</v>
      </c>
      <c r="BA76" s="4">
        <f>363217.3+2.35+4.36</f>
        <v>363224.00999999995</v>
      </c>
      <c r="BB76" s="4">
        <f>720837.61+2.35+4.36</f>
        <v>720844.32</v>
      </c>
      <c r="BC76" s="4">
        <f>143333.33+2.35+4.36</f>
        <v>143340.03999999998</v>
      </c>
      <c r="BD76" s="4">
        <f>313483.61+2.35+4.36</f>
        <v>313490.31999999995</v>
      </c>
      <c r="BE76" s="4">
        <f>603883.86+2.35+4.36</f>
        <v>603890.56999999995</v>
      </c>
      <c r="BF76" s="4">
        <f>873534.23+2.35+4.36</f>
        <v>873540.94</v>
      </c>
      <c r="BG76" s="4">
        <f>IF(OR(MID(TBBP[[#This Row],[Coluna1]],1,1)="1",MID(TBBP[[#This Row],[Coluna1]],1,1)="2"),TBBP[[#This Row],[Coluna58]],SUM(AU76:BF76))</f>
        <v>873540.94</v>
      </c>
      <c r="BH76" s="4">
        <f>6.71+391325.15</f>
        <v>391331.86000000004</v>
      </c>
      <c r="BI76" s="4">
        <f>TBBP[[#This Row],[Coluna116]]-BI121-BI122</f>
        <v>915152.64</v>
      </c>
      <c r="BJ76" s="4">
        <v>1714200.15</v>
      </c>
      <c r="BK76" s="4">
        <f>6.71-BK121-BK122</f>
        <v>812787.3899999999</v>
      </c>
      <c r="BL76" s="4">
        <f>TBBP[[#This Row],[Coluna119]]-BL121-BL122</f>
        <v>1529739.39</v>
      </c>
      <c r="BM76" s="4">
        <v>2070148.18</v>
      </c>
      <c r="BN76" s="4">
        <v>726600.13</v>
      </c>
      <c r="BO76" s="4">
        <f>TBBP[[#This Row],[Coluna122]]-BO121-BO122</f>
        <v>1452676.44</v>
      </c>
      <c r="BP76" s="4">
        <v>2089472.47</v>
      </c>
      <c r="BQ76" s="4">
        <f>-BQ121-BQ122</f>
        <v>99403.61</v>
      </c>
      <c r="BR76" s="4">
        <v>795609.85000000009</v>
      </c>
      <c r="BS76" s="4">
        <v>674221.3</v>
      </c>
      <c r="BT76" s="4">
        <f>IF(OR(MID(TBBP[[#This Row],[Coluna1]],1,1)="1",MID(TBBP[[#This Row],[Coluna1]],1,1)="2"),TBBP[[#This Row],[Coluna127]],SUM(BH76:BS76))</f>
        <v>674221.3</v>
      </c>
      <c r="BU76" s="4">
        <f>163969.7574-9975.34</f>
        <v>153994.41740000001</v>
      </c>
      <c r="BV76" s="4">
        <f>TBBP[[#This Row],[Coluna170]]-BV121-BV122</f>
        <v>226350.93160000001</v>
      </c>
      <c r="BW76" s="4">
        <f>TBBP[[#This Row],[Coluna171]]-BW121-BW122</f>
        <v>501560.62580000004</v>
      </c>
      <c r="BX76" s="4">
        <f>TBBP[[#This Row],[Coluna172]]-BX121-BX122</f>
        <v>981137.10520000011</v>
      </c>
      <c r="BY76" s="4">
        <f>TBBP[[#This Row],[Coluna173]]-BY121-BY122</f>
        <v>1966496.8196</v>
      </c>
      <c r="BZ76" s="4">
        <f>TBBP[[#This Row],[Coluna174]]-BZ121-BZ122</f>
        <v>2668908.2007999998</v>
      </c>
      <c r="CA76" s="4">
        <f>TBBP[[#This Row],[Coluna175]]-CA121-CA122</f>
        <v>2894811.2717999998</v>
      </c>
      <c r="CB76" s="4">
        <f>TBBP[[#This Row],[Coluna176]]-CB121-CB122</f>
        <v>3498210.1683999998</v>
      </c>
      <c r="CC76" s="4">
        <f>TBBP[[#This Row],[Coluna177]]-CC121-CC122</f>
        <v>3862321.5257999995</v>
      </c>
      <c r="CD76" s="4">
        <f>TBBP[[#This Row],[Coluna178]]-CD121-CD122</f>
        <v>4669732.9309999999</v>
      </c>
      <c r="CE76" s="4">
        <f>TBBP[[#This Row],[Coluna179]]-CE121-CE122</f>
        <v>4826953.2445999999</v>
      </c>
      <c r="CF76" s="4">
        <v>5267928.84</v>
      </c>
      <c r="CG76" s="4">
        <f>IF(OR(MID(TBBP[[#This Row],[Coluna1]],1,1)="1",MID(TBBP[[#This Row],[Coluna1]],1,1)="2"),CF76,SUM(BU76:CF76))</f>
        <v>5267928.84</v>
      </c>
      <c r="CH76" s="4">
        <f>-CH121-CH122-0.03</f>
        <v>350821.66580000002</v>
      </c>
      <c r="CI76" s="239">
        <f>TBBP[[#This Row],[Coluna237]]-CI121-CI122</f>
        <v>973241.51900000009</v>
      </c>
      <c r="CJ76" s="239">
        <f>TBBP[[#This Row],[Coluna238]]-CJ121-CJ122</f>
        <v>1293777.1776000001</v>
      </c>
      <c r="CK76" s="239">
        <f>TBBP[[#This Row],[Coluna239]]-CK121-CK122</f>
        <v>2310013.4649999999</v>
      </c>
      <c r="CL76" s="239">
        <f>TBBP[[#This Row],[Coluna240]]-CL121-CL122</f>
        <v>3364668.1033999999</v>
      </c>
      <c r="CM76" s="239">
        <f>TBBP[[#This Row],[Coluna241]]-CM121-CM122</f>
        <v>4114817.4558999995</v>
      </c>
      <c r="CN76" s="239">
        <f>TBBP[[#This Row],[Coluna242]]-CN121-CN122</f>
        <v>4792620.7358999988</v>
      </c>
      <c r="CO76" s="4">
        <f>TBBP[[#This Row],[Coluna243]]-CO121-CO122</f>
        <v>5006230.935899999</v>
      </c>
      <c r="CP76" s="4">
        <f>TBBP[[#This Row],[Coluna244]]-CP121-CP122</f>
        <v>5589513.3158999998</v>
      </c>
      <c r="CQ76" s="4">
        <f>TBBP[[#This Row],[Coluna245]]-CQ121-CQ122</f>
        <v>6112219.7458999995</v>
      </c>
      <c r="CR76" s="4">
        <f>TBBP[[#This Row],[Coluna246]]-CR121-CR122</f>
        <v>6170084.7558999993</v>
      </c>
      <c r="CS76" s="4">
        <f>TBBP[[#This Row],[Coluna247]]-CS121-CS122-227665.26-300</f>
        <v>6782269.3359000003</v>
      </c>
      <c r="CT76" s="4">
        <f>IF(OR(MID(TBBP[[#This Row],[Coluna1]],1,1)="1",MID(TBBP[[#This Row],[Coluna1]],1,1)="2"),CS76,SUM(CH76:CS76))</f>
        <v>6782269.3359000003</v>
      </c>
      <c r="CU76" s="255">
        <f>-CU121-CU122-123706.43</f>
        <v>61497.648199999327</v>
      </c>
      <c r="CV76" s="4">
        <f>CU76-CV121-CV122</f>
        <v>527587.63319999899</v>
      </c>
      <c r="CW76" s="4">
        <f>CV76-CW121-CW122</f>
        <v>1015530.8019999982</v>
      </c>
      <c r="CX76" s="4">
        <f t="shared" ref="CX76:DE76" si="87">CW76-CX121-CX122</f>
        <v>1955943.8457999979</v>
      </c>
      <c r="CY76" s="4">
        <f t="shared" si="87"/>
        <v>2748446.3087999974</v>
      </c>
      <c r="CZ76" s="4">
        <f t="shared" si="87"/>
        <v>2431255.1712999977</v>
      </c>
      <c r="DA76" s="4">
        <f t="shared" si="87"/>
        <v>2673684.085099997</v>
      </c>
      <c r="DB76" s="4">
        <f>DA76-DB121-DB122+123706.43</f>
        <v>3120495.7950999979</v>
      </c>
      <c r="DC76" s="4">
        <f t="shared" si="87"/>
        <v>3176988.0588999977</v>
      </c>
      <c r="DD76" s="4">
        <f t="shared" si="87"/>
        <v>3511634.4892999982</v>
      </c>
      <c r="DE76" s="4">
        <f t="shared" si="87"/>
        <v>3777051.3538999972</v>
      </c>
      <c r="DF76" s="255">
        <v>0</v>
      </c>
      <c r="DG76" s="255">
        <v>0</v>
      </c>
      <c r="DH76" s="255">
        <f>-DH122-DH121</f>
        <v>436376.49079999956</v>
      </c>
      <c r="DI76" s="255">
        <f>DH76-DI122-DI121</f>
        <v>488575.6017999989</v>
      </c>
      <c r="DJ76" s="255">
        <f t="shared" ref="DJ76:DM76" si="88">DI76-DJ122-DJ121</f>
        <v>739283.08039999811</v>
      </c>
      <c r="DK76" s="255">
        <f t="shared" si="88"/>
        <v>1273300.9853999973</v>
      </c>
      <c r="DL76" s="255">
        <f t="shared" si="88"/>
        <v>1467200.1045999967</v>
      </c>
      <c r="DM76" s="255">
        <f t="shared" si="88"/>
        <v>1842737.2197999961</v>
      </c>
      <c r="DO76" s="9"/>
      <c r="DP76" s="30" t="str">
        <f>IF(OR(MID(TBBP[[#This Row],[Coluna1]],1,1)="1",MID(TBBP[[#This Row],[Coluna1]],1,1)="2"),"-",SUMIFS(76:76,listaPeriodos,$DR$1,listaPeriodos,$DR$2))</f>
        <v>-</v>
      </c>
      <c r="DR76" s="30">
        <f t="shared" ref="DR76:DR140" si="89">DQ76*$DS$1</f>
        <v>0</v>
      </c>
      <c r="DS76" s="30"/>
      <c r="DT76" s="30"/>
      <c r="DU76"/>
    </row>
    <row r="77" spans="1:125" x14ac:dyDescent="0.3">
      <c r="A77" s="7" t="s">
        <v>90</v>
      </c>
      <c r="B77" t="s">
        <v>71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 t="s">
        <v>167</v>
      </c>
      <c r="K77" s="4">
        <v>2190000</v>
      </c>
      <c r="L77" s="4">
        <v>1000000</v>
      </c>
      <c r="M77" s="4">
        <v>1000000</v>
      </c>
      <c r="N77" s="4">
        <v>1000000</v>
      </c>
      <c r="O77" s="4">
        <v>1000000</v>
      </c>
      <c r="P77" s="4">
        <v>1000000</v>
      </c>
      <c r="Q77" s="4">
        <v>1000000</v>
      </c>
      <c r="R77" s="4">
        <v>1000000</v>
      </c>
      <c r="S77" s="4">
        <v>1000000</v>
      </c>
      <c r="T77" s="4">
        <f>IF(OR(MID(TBBP[[#This Row],[Coluna1]],1,1)="1",MID(TBBP[[#This Row],[Coluna1]],1,1)="2"),TBBP[[#This Row],[Coluna19]],SUM(H77:S77))</f>
        <v>1000000</v>
      </c>
      <c r="U77" s="4">
        <v>1000000</v>
      </c>
      <c r="V77" s="4">
        <v>1000000</v>
      </c>
      <c r="W77" s="4">
        <v>1000000</v>
      </c>
      <c r="X77" s="4">
        <v>1000000</v>
      </c>
      <c r="Y77" s="4">
        <v>1000000</v>
      </c>
      <c r="Z77" s="4">
        <v>1000000</v>
      </c>
      <c r="AA77" s="4">
        <v>1000000</v>
      </c>
      <c r="AB77" s="4">
        <v>1000000</v>
      </c>
      <c r="AC77" s="4">
        <v>1000000</v>
      </c>
      <c r="AD77" s="4">
        <v>0</v>
      </c>
      <c r="AE77" s="4">
        <v>0</v>
      </c>
      <c r="AF77" s="4">
        <v>0</v>
      </c>
      <c r="AG77" s="4">
        <f>IF(OR(MID(TBBP[[#This Row],[Coluna1]],1,1)="1",MID(TBBP[[#This Row],[Coluna1]],1,1)="2"),TBBP[[#This Row],[Coluna32]],SUM(U77:AF77))</f>
        <v>0</v>
      </c>
      <c r="AH77" s="4">
        <v>0</v>
      </c>
      <c r="AI77" s="4">
        <v>0</v>
      </c>
      <c r="AJ77" s="4">
        <v>0</v>
      </c>
      <c r="AK77" s="4">
        <v>0</v>
      </c>
      <c r="AL77" s="4">
        <v>0</v>
      </c>
      <c r="AM77" s="4">
        <v>0</v>
      </c>
      <c r="AN77" s="4">
        <v>0</v>
      </c>
      <c r="AO77" s="4">
        <v>0</v>
      </c>
      <c r="AP77" s="4">
        <v>0</v>
      </c>
      <c r="AQ77" s="4">
        <v>0</v>
      </c>
      <c r="AR77" s="4">
        <v>0</v>
      </c>
      <c r="AS77" s="4">
        <v>0</v>
      </c>
      <c r="AT77" s="4">
        <f>IF(OR(MID(TBBP[[#This Row],[Coluna1]],1,1)="1",MID(TBBP[[#This Row],[Coluna1]],1,1)="2"),TBBP[[#This Row],[Coluna45]],SUM(AH77:AS77))</f>
        <v>0</v>
      </c>
      <c r="AU77" s="4">
        <v>0</v>
      </c>
      <c r="AV77" s="4">
        <v>0</v>
      </c>
      <c r="AW77" s="4"/>
      <c r="AX77" s="4">
        <v>0</v>
      </c>
      <c r="AY77" s="4">
        <v>0</v>
      </c>
      <c r="AZ77" s="4">
        <v>0</v>
      </c>
      <c r="BA77" s="4">
        <v>0</v>
      </c>
      <c r="BB77" s="4">
        <v>0</v>
      </c>
      <c r="BC77" s="4">
        <v>0</v>
      </c>
      <c r="BD77" s="4">
        <v>0</v>
      </c>
      <c r="BE77" s="4">
        <v>0</v>
      </c>
      <c r="BF77" s="4">
        <v>0</v>
      </c>
      <c r="BG77" s="4">
        <f>IF(OR(MID(TBBP[[#This Row],[Coluna1]],1,1)="1",MID(TBBP[[#This Row],[Coluna1]],1,1)="2"),TBBP[[#This Row],[Coluna58]],SUM(AU77:BF77))</f>
        <v>0</v>
      </c>
      <c r="BH77" s="4">
        <v>0</v>
      </c>
      <c r="BI77" s="4">
        <v>0</v>
      </c>
      <c r="BJ77" s="4">
        <v>0</v>
      </c>
      <c r="BK77" s="4">
        <v>0</v>
      </c>
      <c r="BL77" s="4">
        <v>0</v>
      </c>
      <c r="BM77" s="4">
        <v>0</v>
      </c>
      <c r="BN77" s="4">
        <v>0</v>
      </c>
      <c r="BO77" s="4">
        <v>0</v>
      </c>
      <c r="BP77" s="4">
        <v>0</v>
      </c>
      <c r="BQ77" s="4">
        <v>0</v>
      </c>
      <c r="BR77" s="4">
        <v>0</v>
      </c>
      <c r="BS77" s="4">
        <v>0</v>
      </c>
      <c r="BT77" s="4">
        <f>IF(OR(MID(TBBP[[#This Row],[Coluna1]],1,1)="1",MID(TBBP[[#This Row],[Coluna1]],1,1)="2"),TBBP[[#This Row],[Coluna127]],SUM(BH77:BS77))</f>
        <v>0</v>
      </c>
      <c r="BU77" s="4">
        <v>0</v>
      </c>
      <c r="BV77" s="4">
        <v>0</v>
      </c>
      <c r="BW77" s="4">
        <v>0</v>
      </c>
      <c r="BX77" s="4">
        <v>0</v>
      </c>
      <c r="BY77" s="4">
        <v>0</v>
      </c>
      <c r="BZ77" s="4">
        <v>0</v>
      </c>
      <c r="CA77" s="4">
        <v>0</v>
      </c>
      <c r="CB77" s="4">
        <v>0</v>
      </c>
      <c r="CC77" s="4">
        <v>0</v>
      </c>
      <c r="CD77" s="4">
        <v>0</v>
      </c>
      <c r="CE77" s="4">
        <v>0</v>
      </c>
      <c r="CF77" s="4">
        <v>0</v>
      </c>
      <c r="CG77" s="4">
        <f>IF(OR(MID(TBBP[[#This Row],[Coluna1]],1,1)="1",MID(TBBP[[#This Row],[Coluna1]],1,1)="2"),CF77,SUM(BU77:CF77))</f>
        <v>0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CQ77" s="4">
        <v>0</v>
      </c>
      <c r="CR77" s="4">
        <v>0</v>
      </c>
      <c r="CS77" s="4">
        <v>0</v>
      </c>
      <c r="CT77" s="4">
        <f>IF(OR(MID(TBBP[[#This Row],[Coluna1]],1,1)="1",MID(TBBP[[#This Row],[Coluna1]],1,1)="2"),CS77,SUM(CH77:CS77))</f>
        <v>0</v>
      </c>
      <c r="CU77" s="255">
        <v>0</v>
      </c>
      <c r="CV77" s="255">
        <v>0</v>
      </c>
      <c r="CW77" s="255">
        <v>0</v>
      </c>
      <c r="CX77" s="255">
        <v>0</v>
      </c>
      <c r="CY77" s="255">
        <v>0</v>
      </c>
      <c r="CZ77" s="255">
        <v>0</v>
      </c>
      <c r="DA77" s="255">
        <v>0</v>
      </c>
      <c r="DB77" s="255">
        <v>0</v>
      </c>
      <c r="DC77" s="255">
        <v>0</v>
      </c>
      <c r="DD77" s="255">
        <v>0</v>
      </c>
      <c r="DE77" s="255">
        <v>0</v>
      </c>
      <c r="DF77" s="255">
        <v>4006800</v>
      </c>
      <c r="DG77" s="255">
        <v>4006800</v>
      </c>
      <c r="DH77" s="255">
        <v>3922900</v>
      </c>
      <c r="DI77" s="255">
        <v>3844000</v>
      </c>
      <c r="DJ77" s="255">
        <v>3760100</v>
      </c>
      <c r="DK77" s="255">
        <v>3760100</v>
      </c>
      <c r="DL77" s="255">
        <v>3760100</v>
      </c>
      <c r="DM77" s="255">
        <v>3503400</v>
      </c>
      <c r="DO77" s="9"/>
      <c r="DP77" s="30" t="str">
        <f>IF(OR(MID(TBBP[[#This Row],[Coluna1]],1,1)="1",MID(TBBP[[#This Row],[Coluna1]],1,1)="2"),"-",SUMIFS(77:77,listaPeriodos,$DR$1,listaPeriodos,$DR$2))</f>
        <v>-</v>
      </c>
      <c r="DR77" s="30">
        <f t="shared" si="89"/>
        <v>0</v>
      </c>
      <c r="DS77" s="30"/>
      <c r="DT77" s="30"/>
      <c r="DU77"/>
    </row>
    <row r="78" spans="1:125" x14ac:dyDescent="0.3">
      <c r="A78" s="7" t="s">
        <v>772</v>
      </c>
      <c r="B78" t="s">
        <v>773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f>SUM(TBBP[[#This Row],[Coluna8]:[Coluna19]])</f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f>IF(OR(MID(TBBP[[#This Row],[Coluna1]],1,1)="1",MID(TBBP[[#This Row],[Coluna1]],1,1)="2"),TBBP[[#This Row],[Coluna19]],SUM(U78:AF78))</f>
        <v>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0</v>
      </c>
      <c r="AO78" s="4">
        <v>0</v>
      </c>
      <c r="AP78" s="4">
        <v>0</v>
      </c>
      <c r="AQ78" s="4">
        <v>0</v>
      </c>
      <c r="AR78" s="4">
        <v>0</v>
      </c>
      <c r="AS78" s="4">
        <v>0</v>
      </c>
      <c r="AT78" s="4">
        <f>IF(OR(MID(TBBP[[#This Row],[Coluna1]],1,1)="1",MID(TBBP[[#This Row],[Coluna1]],1,1)="2"),TBBP[[#This Row],[Coluna45]],SUM(AH78:AS78))</f>
        <v>0</v>
      </c>
      <c r="AU78" s="4">
        <v>0</v>
      </c>
      <c r="AV78" s="4">
        <v>0</v>
      </c>
      <c r="AW78" s="4">
        <v>0</v>
      </c>
      <c r="AX78" s="4">
        <v>0</v>
      </c>
      <c r="AY78" s="4">
        <v>0</v>
      </c>
      <c r="AZ78" s="4">
        <v>0</v>
      </c>
      <c r="BA78" s="4">
        <v>0</v>
      </c>
      <c r="BB78" s="4">
        <v>0</v>
      </c>
      <c r="BC78" s="4">
        <v>0</v>
      </c>
      <c r="BD78" s="4">
        <v>0</v>
      </c>
      <c r="BE78" s="4">
        <v>0</v>
      </c>
      <c r="BF78" s="4">
        <v>0</v>
      </c>
      <c r="BG78" s="4">
        <f>IF(OR(MID(TBBP[[#This Row],[Coluna1]],1,1)="1",MID(TBBP[[#This Row],[Coluna1]],1,1)="2"),TBBP[[#This Row],[Coluna58]],SUM(AU78:BF78))</f>
        <v>0</v>
      </c>
      <c r="BH78" s="4">
        <v>0</v>
      </c>
      <c r="BI78" s="4">
        <v>0</v>
      </c>
      <c r="BJ78" s="4">
        <v>0</v>
      </c>
      <c r="BK78" s="4">
        <v>0</v>
      </c>
      <c r="BL78" s="4">
        <v>0</v>
      </c>
      <c r="BM78" s="4">
        <v>0</v>
      </c>
      <c r="BN78" s="4">
        <v>0</v>
      </c>
      <c r="BO78" s="4">
        <v>0</v>
      </c>
      <c r="BP78" s="4">
        <v>0</v>
      </c>
      <c r="BQ78" s="4">
        <v>0</v>
      </c>
      <c r="BR78" s="4">
        <v>0</v>
      </c>
      <c r="BS78" s="4">
        <v>0</v>
      </c>
      <c r="BT78" s="4">
        <f>IF(OR(MID(TBBP[[#This Row],[Coluna1]],1,1)="1",MID(TBBP[[#This Row],[Coluna1]],1,1)="2"),TBBP[[#This Row],[Coluna127]],SUM(BH78:BS78))</f>
        <v>0</v>
      </c>
      <c r="BU78" s="4">
        <v>0</v>
      </c>
      <c r="BV78" s="4">
        <v>0</v>
      </c>
      <c r="BW78" s="4">
        <v>0</v>
      </c>
      <c r="BX78" s="4">
        <v>0</v>
      </c>
      <c r="BY78" s="4">
        <v>0</v>
      </c>
      <c r="BZ78" s="4">
        <v>0</v>
      </c>
      <c r="CA78" s="4">
        <v>0</v>
      </c>
      <c r="CB78" s="4">
        <v>0</v>
      </c>
      <c r="CC78" s="4">
        <v>0</v>
      </c>
      <c r="CD78" s="4">
        <v>0</v>
      </c>
      <c r="CE78" s="4">
        <v>0</v>
      </c>
      <c r="CF78" s="4">
        <v>0</v>
      </c>
      <c r="CG78" s="4">
        <f>IF(OR(MID(TBBP[[#This Row],[Coluna1]],1,1)="1",MID(TBBP[[#This Row],[Coluna1]],1,1)="2"),CF78,SUM(BU78:CF78))</f>
        <v>0</v>
      </c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CQ78" s="4">
        <v>0</v>
      </c>
      <c r="CR78" s="4">
        <v>0</v>
      </c>
      <c r="CS78" s="4">
        <v>0</v>
      </c>
      <c r="CT78" s="4">
        <f>IF(OR(MID(TBBP[[#This Row],[Coluna1]],1,1)="1",MID(TBBP[[#This Row],[Coluna1]],1,1)="2"),CS78,SUM(CH78:CS78))</f>
        <v>0</v>
      </c>
      <c r="CU78" s="255">
        <v>0</v>
      </c>
      <c r="CV78" s="255">
        <v>0</v>
      </c>
      <c r="CW78" s="255">
        <v>0</v>
      </c>
      <c r="CX78" s="255">
        <v>0</v>
      </c>
      <c r="CY78" s="255">
        <v>0</v>
      </c>
      <c r="CZ78" s="255">
        <v>0</v>
      </c>
      <c r="DA78" s="255">
        <v>0</v>
      </c>
      <c r="DB78" s="255">
        <v>0</v>
      </c>
      <c r="DC78" s="255">
        <v>0</v>
      </c>
      <c r="DD78" s="255">
        <v>0</v>
      </c>
      <c r="DE78" s="255">
        <v>0</v>
      </c>
      <c r="DF78" s="255">
        <v>0</v>
      </c>
      <c r="DG78" s="255">
        <v>0</v>
      </c>
      <c r="DH78" s="255">
        <v>0</v>
      </c>
      <c r="DI78" s="255">
        <v>0</v>
      </c>
      <c r="DJ78" s="255">
        <v>0</v>
      </c>
      <c r="DK78" s="255">
        <v>0</v>
      </c>
      <c r="DL78" s="255">
        <v>0</v>
      </c>
      <c r="DM78" s="255">
        <v>0</v>
      </c>
      <c r="DO78" s="9"/>
      <c r="DP78" s="30" t="str">
        <f>IF(OR(MID(TBBP[[#This Row],[Coluna1]],1,1)="1",MID(TBBP[[#This Row],[Coluna1]],1,1)="2"),"-",SUMIFS(78:78,listaPeriodos,$DR$1,listaPeriodos,$DR$2))</f>
        <v>-</v>
      </c>
      <c r="DR78" s="30">
        <f t="shared" si="89"/>
        <v>0</v>
      </c>
      <c r="DS78" s="30"/>
      <c r="DT78" s="30"/>
      <c r="DU78"/>
    </row>
    <row r="79" spans="1:125" x14ac:dyDescent="0.3">
      <c r="A79" s="7" t="s">
        <v>145</v>
      </c>
      <c r="B79" t="s">
        <v>146</v>
      </c>
      <c r="C79" s="4">
        <v>238187.36</v>
      </c>
      <c r="D79" s="4">
        <v>153589.75000000003</v>
      </c>
      <c r="E79" s="4">
        <v>174440</v>
      </c>
      <c r="F79" s="4">
        <v>509441.11</v>
      </c>
      <c r="G79" s="4">
        <v>246874.33</v>
      </c>
      <c r="H79" s="4">
        <v>293840.37</v>
      </c>
      <c r="I79" s="4">
        <v>276661.64</v>
      </c>
      <c r="J79" s="4">
        <v>433881.92</v>
      </c>
      <c r="K79" s="4">
        <v>215361.45</v>
      </c>
      <c r="L79" s="4">
        <v>181523.81</v>
      </c>
      <c r="M79" s="4">
        <v>207928.17</v>
      </c>
      <c r="N79" s="4">
        <v>183771.51999999999</v>
      </c>
      <c r="O79" s="4">
        <v>294456.2</v>
      </c>
      <c r="P79" s="4">
        <v>590966.21</v>
      </c>
      <c r="Q79" s="4">
        <v>177852.7</v>
      </c>
      <c r="R79" s="4">
        <v>87761.600000000006</v>
      </c>
      <c r="S79" s="4">
        <v>283835.37</v>
      </c>
      <c r="T79" s="4">
        <f>IF(OR(MID(TBBP[[#This Row],[Coluna1]],1,1)="1",MID(TBBP[[#This Row],[Coluna1]],1,1)="2"),TBBP[[#This Row],[Coluna19]],SUM(H79:S79))</f>
        <v>283835.37</v>
      </c>
      <c r="U79" s="4">
        <v>264454.90000000002</v>
      </c>
      <c r="V79" s="4">
        <v>266359.40000000002</v>
      </c>
      <c r="W79" s="4">
        <v>275321.65999999997</v>
      </c>
      <c r="X79" s="4">
        <v>262890.40000000002</v>
      </c>
      <c r="Y79" s="4">
        <v>395688.49</v>
      </c>
      <c r="Z79" s="4">
        <v>433589.23</v>
      </c>
      <c r="AA79" s="4">
        <v>628941.88</v>
      </c>
      <c r="AB79" s="4">
        <v>415791.21</v>
      </c>
      <c r="AC79" s="4">
        <v>231568.23</v>
      </c>
      <c r="AD79" s="4">
        <v>355342.45</v>
      </c>
      <c r="AE79" s="4">
        <v>280205.67</v>
      </c>
      <c r="AF79" s="4">
        <v>171215.29</v>
      </c>
      <c r="AG79" s="4">
        <f>IF(OR(MID(TBBP[[#This Row],[Coluna1]],1,1)="1",MID(TBBP[[#This Row],[Coluna1]],1,1)="2"),TBBP[[#This Row],[Coluna32]],SUM(U79:AF79))</f>
        <v>171215.29</v>
      </c>
      <c r="AH79" s="4">
        <v>150294.60999999999</v>
      </c>
      <c r="AI79" s="4">
        <v>156955.69</v>
      </c>
      <c r="AJ79" s="4">
        <v>141914.67000000001</v>
      </c>
      <c r="AK79" s="4">
        <v>369312.42</v>
      </c>
      <c r="AL79" s="4">
        <v>409065.41</v>
      </c>
      <c r="AM79" s="4">
        <v>778555.69</v>
      </c>
      <c r="AN79" s="4">
        <v>899522.98</v>
      </c>
      <c r="AO79" s="4">
        <v>1034470.21</v>
      </c>
      <c r="AP79" s="4">
        <v>1545563.32</v>
      </c>
      <c r="AQ79" s="4">
        <v>1168375.1200000001</v>
      </c>
      <c r="AR79" s="4">
        <v>1080779.26</v>
      </c>
      <c r="AS79" s="4">
        <v>1529731.5</v>
      </c>
      <c r="AT79" s="4">
        <f>IF(OR(MID(TBBP[[#This Row],[Coluna1]],1,1)="1",MID(TBBP[[#This Row],[Coluna1]],1,1)="2"),TBBP[[#This Row],[Coluna45]],SUM(AH79:AS79))</f>
        <v>1529731.5</v>
      </c>
      <c r="AU79" s="4">
        <v>1553049.42</v>
      </c>
      <c r="AV79" s="4">
        <v>2676649.36</v>
      </c>
      <c r="AW79" s="4">
        <v>2919611.77</v>
      </c>
      <c r="AX79" s="4">
        <v>3186324.23</v>
      </c>
      <c r="AY79" s="4">
        <v>3531543.61</v>
      </c>
      <c r="AZ79" s="4">
        <v>3621847.98</v>
      </c>
      <c r="BA79" s="4">
        <v>3700884.54</v>
      </c>
      <c r="BB79" s="4">
        <v>3561269.27</v>
      </c>
      <c r="BC79" s="4">
        <v>3076719.86</v>
      </c>
      <c r="BD79" s="4">
        <v>2894623.63</v>
      </c>
      <c r="BE79" s="4">
        <v>2854578.31</v>
      </c>
      <c r="BF79" s="4">
        <v>4432658.42</v>
      </c>
      <c r="BG79" s="4">
        <f>IF(OR(MID(TBBP[[#This Row],[Coluna1]],1,1)="1",MID(TBBP[[#This Row],[Coluna1]],1,1)="2"),TBBP[[#This Row],[Coluna58]],SUM(AU79:BF79))</f>
        <v>4432658.42</v>
      </c>
      <c r="BH79" s="4">
        <v>3674849.41</v>
      </c>
      <c r="BI79" s="4">
        <v>3504583.9</v>
      </c>
      <c r="BJ79" s="4">
        <v>3268473.48</v>
      </c>
      <c r="BK79" s="4">
        <v>3666401.26</v>
      </c>
      <c r="BL79" s="4">
        <v>2016838.97</v>
      </c>
      <c r="BM79" s="4">
        <v>1577587.87</v>
      </c>
      <c r="BN79" s="4">
        <v>2054612.38</v>
      </c>
      <c r="BO79" s="4">
        <v>2190550</v>
      </c>
      <c r="BP79" s="4">
        <v>2665629.25</v>
      </c>
      <c r="BQ79" s="4">
        <v>2967505.37</v>
      </c>
      <c r="BR79" s="4">
        <v>2446890.85</v>
      </c>
      <c r="BS79" s="4">
        <v>2074277.93</v>
      </c>
      <c r="BT79" s="4">
        <f>IF(OR(MID(TBBP[[#This Row],[Coluna1]],1,1)="1",MID(TBBP[[#This Row],[Coluna1]],1,1)="2"),TBBP[[#This Row],[Coluna127]],SUM(BH79:BS79))</f>
        <v>2074277.93</v>
      </c>
      <c r="BU79" s="4">
        <v>1880445.97</v>
      </c>
      <c r="BV79" s="4">
        <v>1947054.61</v>
      </c>
      <c r="BW79" s="4">
        <v>2556042.48</v>
      </c>
      <c r="BX79" s="4">
        <v>2389476.84</v>
      </c>
      <c r="BY79" s="4">
        <v>2396076.21</v>
      </c>
      <c r="BZ79" s="4">
        <v>2391241.69</v>
      </c>
      <c r="CA79" s="4">
        <v>2525376.65</v>
      </c>
      <c r="CB79" s="4">
        <v>2336615.2799999998</v>
      </c>
      <c r="CC79" s="4">
        <v>3530867.79</v>
      </c>
      <c r="CD79" s="4">
        <v>3644362.18</v>
      </c>
      <c r="CE79" s="4">
        <v>3457135.47</v>
      </c>
      <c r="CF79" s="4">
        <v>3268301.18</v>
      </c>
      <c r="CG79" s="4">
        <f>IF(OR(MID(TBBP[[#This Row],[Coluna1]],1,1)="1",MID(TBBP[[#This Row],[Coluna1]],1,1)="2"),CF79,SUM(BU79:CF79))</f>
        <v>3268301.18</v>
      </c>
      <c r="CH79" s="4">
        <v>2450352.88</v>
      </c>
      <c r="CI79" s="4">
        <v>3116511.15</v>
      </c>
      <c r="CJ79" s="4">
        <v>4422337.7699999996</v>
      </c>
      <c r="CK79" s="4">
        <v>5241177.29</v>
      </c>
      <c r="CL79" s="4">
        <v>5493049.2000000002</v>
      </c>
      <c r="CM79" s="4">
        <v>5020370.43</v>
      </c>
      <c r="CN79" s="4">
        <v>5623688.1900000004</v>
      </c>
      <c r="CO79" s="4">
        <v>4750512.1500000004</v>
      </c>
      <c r="CP79" s="4">
        <v>5268430.18</v>
      </c>
      <c r="CQ79" s="4">
        <v>5340472.95</v>
      </c>
      <c r="CR79" s="4">
        <v>6143627.6100000003</v>
      </c>
      <c r="CS79" s="4">
        <v>8077947.7800000003</v>
      </c>
      <c r="CT79" s="4">
        <f>IF(OR(MID(TBBP[[#This Row],[Coluna1]],1,1)="1",MID(TBBP[[#This Row],[Coluna1]],1,1)="2"),CS79,SUM(CH79:CS79))</f>
        <v>8077947.7800000003</v>
      </c>
      <c r="CU79" s="255">
        <v>7903877.0899999999</v>
      </c>
      <c r="CV79" s="255">
        <v>7329370.6299999999</v>
      </c>
      <c r="CW79" s="255">
        <v>5331748.3</v>
      </c>
      <c r="CX79" s="255">
        <v>4254781.76</v>
      </c>
      <c r="CY79" s="255">
        <v>4200488.91</v>
      </c>
      <c r="CZ79" s="255">
        <v>5521891.8099999996</v>
      </c>
      <c r="DA79" s="255">
        <v>5271565.54</v>
      </c>
      <c r="DB79" s="255">
        <v>5670414.3899999997</v>
      </c>
      <c r="DC79" s="255">
        <v>6283620.2599999998</v>
      </c>
      <c r="DD79" s="255">
        <v>7032493.4800000004</v>
      </c>
      <c r="DE79" s="255">
        <v>7411714.0499999998</v>
      </c>
      <c r="DF79" s="255">
        <v>7125334.3600000003</v>
      </c>
      <c r="DG79" s="255">
        <v>7125334.3600000003</v>
      </c>
      <c r="DH79" s="255">
        <v>6857881.0999999996</v>
      </c>
      <c r="DI79" s="255">
        <v>7422209.7199999997</v>
      </c>
      <c r="DJ79" s="255">
        <v>7367290.29</v>
      </c>
      <c r="DK79" s="255">
        <v>6399422.4900000002</v>
      </c>
      <c r="DL79" s="255">
        <v>7014029.7199999997</v>
      </c>
      <c r="DM79" s="255">
        <v>6869687.9800000004</v>
      </c>
      <c r="DO79" s="9"/>
      <c r="DP79" s="30" t="str">
        <f>IF(OR(MID(TBBP[[#This Row],[Coluna1]],1,1)="1",MID(TBBP[[#This Row],[Coluna1]],1,1)="2"),"-",SUMIFS(79:79,listaPeriodos,$DR$1,listaPeriodos,$DR$2))</f>
        <v>-</v>
      </c>
      <c r="DR79" s="30">
        <f t="shared" si="89"/>
        <v>0</v>
      </c>
      <c r="DS79" s="30"/>
      <c r="DT79" s="30"/>
      <c r="DU79"/>
    </row>
    <row r="80" spans="1:125" x14ac:dyDescent="0.3">
      <c r="A80" s="67" t="s">
        <v>887</v>
      </c>
      <c r="B80" t="s">
        <v>165</v>
      </c>
      <c r="C80" s="4">
        <v>8891.9699999999993</v>
      </c>
      <c r="D80" s="4">
        <v>14358.08</v>
      </c>
      <c r="E80" s="4">
        <v>12419.630000000001</v>
      </c>
      <c r="F80" s="4">
        <v>0</v>
      </c>
      <c r="G80" s="4"/>
      <c r="H80" s="4"/>
      <c r="I80" s="4"/>
      <c r="J80" s="4">
        <v>0</v>
      </c>
      <c r="K80" s="4">
        <v>-50.5</v>
      </c>
      <c r="L80" s="4">
        <v>-50.5</v>
      </c>
      <c r="M80" s="4">
        <v>-50.5</v>
      </c>
      <c r="N80" s="4">
        <v>-50.5</v>
      </c>
      <c r="O80" s="4">
        <v>-50.5</v>
      </c>
      <c r="P80" s="4">
        <v>-50.5</v>
      </c>
      <c r="Q80" s="4">
        <v>-50.5</v>
      </c>
      <c r="R80" s="4">
        <v>-50.5</v>
      </c>
      <c r="S80" s="4">
        <v>-50.5</v>
      </c>
      <c r="T80" s="4">
        <f>IF(OR(MID(TBBP[[#This Row],[Coluna1]],1,1)="1",MID(TBBP[[#This Row],[Coluna1]],1,1)="2"),TBBP[[#This Row],[Coluna19]],SUM(H80:S80))</f>
        <v>-50.5</v>
      </c>
      <c r="U80" s="4">
        <v>-50.5</v>
      </c>
      <c r="V80" s="4">
        <v>-50.5</v>
      </c>
      <c r="W80" s="4">
        <v>-50.5</v>
      </c>
      <c r="X80" s="4">
        <v>-50.5</v>
      </c>
      <c r="Y80" s="4">
        <v>-50.5</v>
      </c>
      <c r="Z80" s="4">
        <v>-50.5</v>
      </c>
      <c r="AA80" s="4">
        <v>-50.5</v>
      </c>
      <c r="AB80" s="4">
        <v>-50.5</v>
      </c>
      <c r="AC80" s="4">
        <v>-50.5</v>
      </c>
      <c r="AD80" s="4">
        <v>-50.5</v>
      </c>
      <c r="AE80" s="4">
        <v>-50.5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4">
        <v>0</v>
      </c>
      <c r="AM80" s="4">
        <v>0</v>
      </c>
      <c r="AN80" s="4">
        <v>0</v>
      </c>
      <c r="AO80" s="4">
        <v>0</v>
      </c>
      <c r="AP80" s="4">
        <v>0</v>
      </c>
      <c r="AQ80" s="4">
        <v>0</v>
      </c>
      <c r="AR80" s="4">
        <v>0</v>
      </c>
      <c r="AS80" s="4">
        <v>0</v>
      </c>
      <c r="AT80" s="4">
        <f>IF(OR(MID(TBBP[[#This Row],[Coluna1]],1,1)="1",MID(TBBP[[#This Row],[Coluna1]],1,1)="2"),TBBP[[#This Row],[Coluna45]],SUM(AH80:AS80))</f>
        <v>0</v>
      </c>
      <c r="AU80" s="4">
        <v>0</v>
      </c>
      <c r="AV80" s="4">
        <v>0</v>
      </c>
      <c r="AW80" s="4">
        <v>0</v>
      </c>
      <c r="AX80" s="4">
        <v>0</v>
      </c>
      <c r="AY80" s="4">
        <v>0</v>
      </c>
      <c r="AZ80" s="4">
        <v>0</v>
      </c>
      <c r="BA80" s="4">
        <v>0</v>
      </c>
      <c r="BB80" s="4">
        <v>0</v>
      </c>
      <c r="BC80" s="4">
        <v>0</v>
      </c>
      <c r="BD80" s="4">
        <v>0</v>
      </c>
      <c r="BE80" s="4">
        <v>0</v>
      </c>
      <c r="BF80" s="4">
        <v>0</v>
      </c>
      <c r="BG80" s="4">
        <f>IF(OR(MID(TBBP[[#This Row],[Coluna1]],1,1)="1",MID(TBBP[[#This Row],[Coluna1]],1,1)="2"),TBBP[[#This Row],[Coluna58]],SUM(AU80:BF80))</f>
        <v>0</v>
      </c>
      <c r="BH80" s="4">
        <v>0</v>
      </c>
      <c r="BI80" s="4">
        <v>0</v>
      </c>
      <c r="BJ80" s="4">
        <v>0</v>
      </c>
      <c r="BK80" s="4">
        <v>0</v>
      </c>
      <c r="BL80" s="4">
        <v>0</v>
      </c>
      <c r="BM80" s="4">
        <v>0</v>
      </c>
      <c r="BN80" s="4">
        <v>0</v>
      </c>
      <c r="BO80" s="4">
        <v>0</v>
      </c>
      <c r="BP80" s="4">
        <v>0</v>
      </c>
      <c r="BQ80" s="4">
        <v>0</v>
      </c>
      <c r="BR80" s="4">
        <v>0</v>
      </c>
      <c r="BS80" s="4">
        <v>0</v>
      </c>
      <c r="BT80" s="4">
        <f>IF(OR(MID(TBBP[[#This Row],[Coluna1]],1,1)="1",MID(TBBP[[#This Row],[Coluna1]],1,1)="2"),TBBP[[#This Row],[Coluna127]],SUM(BH80:BS80))</f>
        <v>0</v>
      </c>
      <c r="BU80" s="4">
        <v>0</v>
      </c>
      <c r="BV80" s="4">
        <v>0</v>
      </c>
      <c r="BW80" s="4">
        <v>0</v>
      </c>
      <c r="BX80" s="4">
        <v>0</v>
      </c>
      <c r="BY80" s="4">
        <v>0</v>
      </c>
      <c r="BZ80" s="4">
        <v>0</v>
      </c>
      <c r="CA80" s="4">
        <v>0</v>
      </c>
      <c r="CB80" s="4">
        <v>0</v>
      </c>
      <c r="CC80" s="4">
        <v>0</v>
      </c>
      <c r="CD80" s="4">
        <v>0</v>
      </c>
      <c r="CE80" s="4">
        <v>0</v>
      </c>
      <c r="CF80" s="4">
        <v>0</v>
      </c>
      <c r="CG80" s="4">
        <f>IF(OR(MID(TBBP[[#This Row],[Coluna1]],1,1)="1",MID(TBBP[[#This Row],[Coluna1]],1,1)="2"),CF80,SUM(BU80:CF80))</f>
        <v>0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CQ80" s="4">
        <v>0</v>
      </c>
      <c r="CR80" s="4">
        <v>0</v>
      </c>
      <c r="CS80" s="4">
        <v>0</v>
      </c>
      <c r="CT80" s="4">
        <f>IF(OR(MID(TBBP[[#This Row],[Coluna1]],1,1)="1",MID(TBBP[[#This Row],[Coluna1]],1,1)="2"),CS80,SUM(CH80:CS80))</f>
        <v>0</v>
      </c>
      <c r="CU80" s="255">
        <v>0</v>
      </c>
      <c r="CV80" s="255">
        <v>0</v>
      </c>
      <c r="CW80" s="255">
        <v>0</v>
      </c>
      <c r="CX80" s="255">
        <v>0</v>
      </c>
      <c r="CY80" s="255">
        <v>0</v>
      </c>
      <c r="CZ80" s="255">
        <v>0</v>
      </c>
      <c r="DA80" s="255">
        <v>0</v>
      </c>
      <c r="DB80" s="255">
        <v>0</v>
      </c>
      <c r="DC80" s="255">
        <v>0</v>
      </c>
      <c r="DD80" s="255">
        <v>0</v>
      </c>
      <c r="DE80" s="255">
        <v>0</v>
      </c>
      <c r="DF80" s="255">
        <v>0</v>
      </c>
      <c r="DG80" s="255">
        <v>0</v>
      </c>
      <c r="DH80" s="255">
        <v>0</v>
      </c>
      <c r="DI80" s="255">
        <v>0</v>
      </c>
      <c r="DJ80" s="255">
        <v>0</v>
      </c>
      <c r="DK80" s="255">
        <v>0</v>
      </c>
      <c r="DL80" s="255">
        <v>0</v>
      </c>
      <c r="DM80" s="255">
        <v>0</v>
      </c>
      <c r="DO80" s="9"/>
      <c r="DP80" s="30" t="str">
        <f>IF(OR(MID(TBBP[[#This Row],[Coluna1]],1,1)="1",MID(TBBP[[#This Row],[Coluna1]],1,1)="2"),"-",SUMIFS(80:80,listaPeriodos,$DR$1,listaPeriodos,$DR$2))</f>
        <v>-</v>
      </c>
      <c r="DR80" s="30">
        <f t="shared" si="89"/>
        <v>0</v>
      </c>
      <c r="DS80" s="30"/>
      <c r="DT80" s="30"/>
      <c r="DU80"/>
    </row>
    <row r="81" spans="1:126" x14ac:dyDescent="0.3">
      <c r="A81" s="70" t="s">
        <v>97</v>
      </c>
      <c r="B81" s="65" t="s">
        <v>626</v>
      </c>
      <c r="C81" s="65">
        <f>SUM(C82:C84)</f>
        <v>599920.86</v>
      </c>
      <c r="D81" s="65">
        <f t="shared" ref="D81:AI81" si="90">SUM(D82:D84)</f>
        <v>1564315.41</v>
      </c>
      <c r="E81" s="65">
        <f t="shared" si="90"/>
        <v>1064846.18</v>
      </c>
      <c r="F81" s="65">
        <f t="shared" si="90"/>
        <v>566353.97</v>
      </c>
      <c r="G81" s="65">
        <f t="shared" si="90"/>
        <v>521214.71</v>
      </c>
      <c r="H81" s="65">
        <f t="shared" si="90"/>
        <v>474664.43</v>
      </c>
      <c r="I81" s="65">
        <f t="shared" si="90"/>
        <v>428114.15</v>
      </c>
      <c r="J81" s="65">
        <f t="shared" si="90"/>
        <v>381563.87</v>
      </c>
      <c r="K81" s="65">
        <f t="shared" si="90"/>
        <v>2335013.59</v>
      </c>
      <c r="L81" s="65">
        <f t="shared" si="90"/>
        <v>2275499.96</v>
      </c>
      <c r="M81" s="65">
        <f t="shared" si="90"/>
        <v>2217047.04</v>
      </c>
      <c r="N81" s="65">
        <f t="shared" si="90"/>
        <v>2161798.56</v>
      </c>
      <c r="O81" s="65">
        <f t="shared" si="90"/>
        <v>2111550.08</v>
      </c>
      <c r="P81" s="65">
        <f t="shared" si="90"/>
        <v>2085015.12</v>
      </c>
      <c r="Q81" s="65">
        <f t="shared" si="90"/>
        <v>2233735.62</v>
      </c>
      <c r="R81" s="65">
        <f t="shared" si="90"/>
        <v>2185604.23</v>
      </c>
      <c r="S81" s="65">
        <f t="shared" si="90"/>
        <v>2137472.88</v>
      </c>
      <c r="T81" s="65">
        <f>IF(OR(MID(TBBP[[#This Row],[Coluna1]],1,1)="1",MID(TBBP[[#This Row],[Coluna1]],1,1)="2"),TBBP[[#This Row],[Coluna19]],SUM(H81:S81))</f>
        <v>2137472.88</v>
      </c>
      <c r="U81" s="65">
        <f t="shared" si="90"/>
        <v>2089341.53</v>
      </c>
      <c r="V81" s="65">
        <f t="shared" si="90"/>
        <v>2069003.38</v>
      </c>
      <c r="W81" s="65">
        <f t="shared" si="90"/>
        <v>2019663.55</v>
      </c>
      <c r="X81" s="65">
        <f t="shared" si="90"/>
        <v>1212786.76</v>
      </c>
      <c r="Y81" s="65">
        <f t="shared" si="90"/>
        <v>1165910.07</v>
      </c>
      <c r="Z81" s="65">
        <f t="shared" si="90"/>
        <v>1134184.8</v>
      </c>
      <c r="AA81" s="65">
        <f t="shared" si="90"/>
        <v>1728477.21</v>
      </c>
      <c r="AB81" s="65">
        <f t="shared" si="90"/>
        <v>1670667.87</v>
      </c>
      <c r="AC81" s="65">
        <f t="shared" si="90"/>
        <v>1612858.5899999999</v>
      </c>
      <c r="AD81" s="65">
        <f t="shared" si="90"/>
        <v>702219.45</v>
      </c>
      <c r="AE81" s="65">
        <f t="shared" si="90"/>
        <v>664478.56000000006</v>
      </c>
      <c r="AF81" s="65">
        <f t="shared" si="90"/>
        <v>625653.6</v>
      </c>
      <c r="AG81" s="65">
        <f>IF(OR(MID(TBBP[[#This Row],[Coluna1]],1,1)="1",MID(TBBP[[#This Row],[Coluna1]],1,1)="2"),TBBP[[#This Row],[Coluna32]],SUM(U81:AF81))</f>
        <v>625653.6</v>
      </c>
      <c r="AH81" s="65">
        <f t="shared" si="90"/>
        <v>587912.71</v>
      </c>
      <c r="AI81" s="65">
        <f t="shared" si="90"/>
        <v>1125171.82</v>
      </c>
      <c r="AJ81" s="65">
        <f>SUM(AJ82:AJ84)</f>
        <v>1062430.93</v>
      </c>
      <c r="AK81" s="65">
        <f>SUM(AK82:AK84)</f>
        <v>999690.04</v>
      </c>
      <c r="AL81" s="65">
        <f>SUM(AL82:AL84)</f>
        <v>936949.15</v>
      </c>
      <c r="AM81" s="65">
        <f>SUM(AM82:AM84)</f>
        <v>874208.26</v>
      </c>
      <c r="AN81" s="65">
        <v>811467.37</v>
      </c>
      <c r="AO81" s="65">
        <f>SUM(AO82:AO84)</f>
        <v>1698726.34</v>
      </c>
      <c r="AP81" s="65">
        <f>SUM(AP82:AP84)</f>
        <v>1625905.36</v>
      </c>
      <c r="AQ81" s="65">
        <f>SUM(AQ82:AQ84)</f>
        <v>1553084.38</v>
      </c>
      <c r="AR81" s="65">
        <f>SUM(AR82:AR84)</f>
        <v>1480263.4</v>
      </c>
      <c r="AS81" s="65">
        <f>SUM(AS82:AS84)</f>
        <v>2633248.87</v>
      </c>
      <c r="AT81" s="65">
        <f>IF(OR(MID(TBBP[[#This Row],[Coluna1]],1,1)="1",MID(TBBP[[#This Row],[Coluna1]],1,1)="2"),TBBP[[#This Row],[Coluna45]],SUM(AH81:AS81))</f>
        <v>2633248.87</v>
      </c>
      <c r="AU81" s="65">
        <f t="shared" ref="AU81:BF81" si="91">SUM(AU82:AU84)</f>
        <v>2560427.89</v>
      </c>
      <c r="AV81" s="65">
        <f t="shared" si="91"/>
        <v>2488815.31</v>
      </c>
      <c r="AW81" s="65">
        <f t="shared" si="91"/>
        <v>2417202.73</v>
      </c>
      <c r="AX81" s="65">
        <f t="shared" si="91"/>
        <v>2345590.15</v>
      </c>
      <c r="AY81" s="65">
        <f t="shared" si="91"/>
        <v>2273977.5699999998</v>
      </c>
      <c r="AZ81" s="65">
        <f t="shared" si="91"/>
        <v>2137848.86</v>
      </c>
      <c r="BA81" s="65">
        <f t="shared" si="91"/>
        <v>2001720.15</v>
      </c>
      <c r="BB81" s="65">
        <f t="shared" si="91"/>
        <v>1866675.51</v>
      </c>
      <c r="BC81" s="65">
        <f t="shared" si="91"/>
        <v>1731630.87</v>
      </c>
      <c r="BD81" s="65">
        <f t="shared" si="91"/>
        <v>1597670.3</v>
      </c>
      <c r="BE81" s="65">
        <f t="shared" si="91"/>
        <v>1613760.58</v>
      </c>
      <c r="BF81" s="65">
        <f t="shared" si="91"/>
        <v>1473276.06</v>
      </c>
      <c r="BG81" s="65">
        <f>SUM(BG82:BG84)</f>
        <v>1473276.06</v>
      </c>
      <c r="BH81" s="65">
        <f t="shared" ref="BH81:BO81" si="92">SUM(BH82:BH84)</f>
        <v>1332791.54</v>
      </c>
      <c r="BI81" s="65">
        <f t="shared" si="92"/>
        <v>1192307.02</v>
      </c>
      <c r="BJ81" s="65">
        <f t="shared" si="92"/>
        <v>1051822.5</v>
      </c>
      <c r="BK81" s="65">
        <f t="shared" si="92"/>
        <v>911337.98</v>
      </c>
      <c r="BL81" s="65">
        <f t="shared" si="92"/>
        <v>770853.46</v>
      </c>
      <c r="BM81" s="65">
        <f t="shared" si="92"/>
        <v>630368.93999999994</v>
      </c>
      <c r="BN81" s="65">
        <f t="shared" si="92"/>
        <v>1601204.78</v>
      </c>
      <c r="BO81" s="65">
        <f t="shared" si="92"/>
        <v>1458706.75</v>
      </c>
      <c r="BP81" s="65">
        <v>1436417.06</v>
      </c>
      <c r="BQ81" s="65">
        <f t="shared" ref="BQ81:DM81" si="93">SUM(BQ82:BQ84)</f>
        <v>1055878.31</v>
      </c>
      <c r="BR81" s="65">
        <f t="shared" si="93"/>
        <v>1503431.35</v>
      </c>
      <c r="BS81" s="65">
        <f t="shared" si="93"/>
        <v>1412661.7</v>
      </c>
      <c r="BT81" s="65">
        <f t="shared" si="93"/>
        <v>1412661.7</v>
      </c>
      <c r="BU81" s="65">
        <f t="shared" si="93"/>
        <v>1096929.3600000001</v>
      </c>
      <c r="BV81" s="65">
        <f t="shared" si="93"/>
        <v>982484.05</v>
      </c>
      <c r="BW81" s="65">
        <f t="shared" si="93"/>
        <v>1365602.4</v>
      </c>
      <c r="BX81" s="65">
        <f t="shared" si="93"/>
        <v>1138463.67</v>
      </c>
      <c r="BY81" s="65">
        <f t="shared" si="93"/>
        <v>1023970.36</v>
      </c>
      <c r="BZ81" s="65">
        <f t="shared" si="93"/>
        <v>964335.28</v>
      </c>
      <c r="CA81" s="65">
        <f t="shared" si="93"/>
        <v>1485331.97</v>
      </c>
      <c r="CB81" s="65">
        <f t="shared" si="93"/>
        <v>1529387.2</v>
      </c>
      <c r="CC81" s="65">
        <f t="shared" si="93"/>
        <v>1946667.1</v>
      </c>
      <c r="CD81" s="65">
        <f t="shared" si="93"/>
        <v>1956046.12</v>
      </c>
      <c r="CE81" s="65">
        <f t="shared" si="93"/>
        <v>2875317.01</v>
      </c>
      <c r="CF81" s="65">
        <v>1652126.97</v>
      </c>
      <c r="CG81" s="65">
        <f t="shared" si="93"/>
        <v>1652126.97</v>
      </c>
      <c r="CH81" s="65">
        <f t="shared" si="93"/>
        <v>1684193.48</v>
      </c>
      <c r="CI81" s="65">
        <f t="shared" si="93"/>
        <v>2317868.94</v>
      </c>
      <c r="CJ81" s="65">
        <f t="shared" si="93"/>
        <v>3467732.07</v>
      </c>
      <c r="CK81" s="65">
        <f t="shared" si="93"/>
        <v>3787824.38</v>
      </c>
      <c r="CL81" s="65">
        <f t="shared" si="93"/>
        <v>3313900.62</v>
      </c>
      <c r="CM81" s="65">
        <f t="shared" si="93"/>
        <v>6280145.0700000003</v>
      </c>
      <c r="CN81" s="65">
        <f t="shared" si="93"/>
        <v>15030159.460000001</v>
      </c>
      <c r="CO81" s="65">
        <f t="shared" si="93"/>
        <v>15198841.1</v>
      </c>
      <c r="CP81" s="65">
        <f t="shared" si="93"/>
        <v>15357268.73</v>
      </c>
      <c r="CQ81" s="65">
        <f t="shared" si="93"/>
        <v>15600835.109999999</v>
      </c>
      <c r="CR81" s="65">
        <f t="shared" si="93"/>
        <v>16137782.83</v>
      </c>
      <c r="CS81" s="65">
        <f t="shared" si="93"/>
        <v>15856749.67</v>
      </c>
      <c r="CT81" s="65">
        <f t="shared" si="93"/>
        <v>15856749.67</v>
      </c>
      <c r="CU81" s="65">
        <f t="shared" si="93"/>
        <v>15933690.16</v>
      </c>
      <c r="CV81" s="65">
        <f t="shared" si="93"/>
        <v>15986718.789999999</v>
      </c>
      <c r="CW81" s="65">
        <f t="shared" si="93"/>
        <v>11857478.26</v>
      </c>
      <c r="CX81" s="65">
        <f t="shared" si="93"/>
        <v>12062795</v>
      </c>
      <c r="CY81" s="65">
        <f t="shared" si="93"/>
        <v>11356234.42</v>
      </c>
      <c r="CZ81" s="65">
        <f t="shared" si="93"/>
        <v>11816583.77</v>
      </c>
      <c r="DA81" s="65">
        <f t="shared" si="93"/>
        <v>15806975.800000001</v>
      </c>
      <c r="DB81" s="65">
        <f t="shared" si="93"/>
        <v>14331971.23</v>
      </c>
      <c r="DC81" s="65">
        <f t="shared" si="93"/>
        <v>12664119.119999999</v>
      </c>
      <c r="DD81" s="65">
        <f t="shared" si="93"/>
        <v>12823831.460000001</v>
      </c>
      <c r="DE81" s="65">
        <f t="shared" si="93"/>
        <v>13131709.02</v>
      </c>
      <c r="DF81" s="65">
        <f t="shared" si="93"/>
        <v>21328840.109999999</v>
      </c>
      <c r="DG81" s="65">
        <f t="shared" si="93"/>
        <v>21328840.109999999</v>
      </c>
      <c r="DH81" s="65">
        <f t="shared" si="93"/>
        <v>20441060.41</v>
      </c>
      <c r="DI81" s="65">
        <f t="shared" si="93"/>
        <v>20629590.41</v>
      </c>
      <c r="DJ81" s="65">
        <f t="shared" si="93"/>
        <v>21062054.350000001</v>
      </c>
      <c r="DK81" s="65">
        <f t="shared" si="93"/>
        <v>21180108.18</v>
      </c>
      <c r="DL81" s="65">
        <f t="shared" si="93"/>
        <v>20324900.920000002</v>
      </c>
      <c r="DM81" s="65">
        <f t="shared" si="93"/>
        <v>19078740.59</v>
      </c>
      <c r="DO81" s="9"/>
      <c r="DP81" s="30" t="str">
        <f>IF(OR(MID(TBBP[[#This Row],[Coluna1]],1,1)="1",MID(TBBP[[#This Row],[Coluna1]],1,1)="2"),"-",SUMIFS(81:81,listaPeriodos,$DR$1,listaPeriodos,$DR$2))</f>
        <v>-</v>
      </c>
      <c r="DR81" s="30">
        <f t="shared" si="89"/>
        <v>0</v>
      </c>
      <c r="DS81" s="30"/>
      <c r="DT81" s="30"/>
      <c r="DU81"/>
    </row>
    <row r="82" spans="1:126" x14ac:dyDescent="0.3">
      <c r="A82" s="7" t="s">
        <v>91</v>
      </c>
      <c r="B82" t="s">
        <v>733</v>
      </c>
      <c r="C82" s="4">
        <v>599920.86</v>
      </c>
      <c r="D82" s="4">
        <v>1564315.41</v>
      </c>
      <c r="E82" s="4">
        <v>1064846.18</v>
      </c>
      <c r="F82" s="4">
        <v>566353.97</v>
      </c>
      <c r="G82" s="4">
        <v>486214.71</v>
      </c>
      <c r="H82" s="4">
        <v>444664.43</v>
      </c>
      <c r="I82" s="4">
        <v>403114.15</v>
      </c>
      <c r="J82" s="4">
        <v>361563.87</v>
      </c>
      <c r="K82" s="4">
        <v>320013.59000000003</v>
      </c>
      <c r="L82" s="4">
        <v>285499.96000000002</v>
      </c>
      <c r="M82" s="4">
        <v>252047.04</v>
      </c>
      <c r="N82" s="4">
        <v>221798.56</v>
      </c>
      <c r="O82" s="4">
        <v>191550.07999999999</v>
      </c>
      <c r="P82" s="4">
        <v>185015.12</v>
      </c>
      <c r="Q82" s="4">
        <v>353735.62</v>
      </c>
      <c r="R82" s="4">
        <v>325604.23</v>
      </c>
      <c r="S82" s="4">
        <v>297472.88</v>
      </c>
      <c r="T82" s="4">
        <f>IF(OR(MID(TBBP[[#This Row],[Coluna1]],1,1)="1",MID(TBBP[[#This Row],[Coluna1]],1,1)="2"),TBBP[[#This Row],[Coluna19]],SUM(H82:S82))</f>
        <v>297472.88</v>
      </c>
      <c r="U82" s="4">
        <v>269341.53000000003</v>
      </c>
      <c r="V82" s="4">
        <v>269003.38</v>
      </c>
      <c r="W82" s="4">
        <v>239663.55</v>
      </c>
      <c r="X82" s="4">
        <v>212786.76</v>
      </c>
      <c r="Y82" s="4">
        <v>185910.07</v>
      </c>
      <c r="Z82" s="4">
        <v>174184.8</v>
      </c>
      <c r="AA82" s="4">
        <v>788477.21</v>
      </c>
      <c r="AB82" s="4">
        <v>750667.87</v>
      </c>
      <c r="AC82" s="4">
        <v>712858.59</v>
      </c>
      <c r="AD82" s="4">
        <v>702219.45</v>
      </c>
      <c r="AE82" s="4">
        <v>664478.56000000006</v>
      </c>
      <c r="AF82" s="4">
        <v>625653.6</v>
      </c>
      <c r="AG82" s="4">
        <f>IF(OR(MID(TBBP[[#This Row],[Coluna1]],1,1)="1",MID(TBBP[[#This Row],[Coluna1]],1,1)="2"),TBBP[[#This Row],[Coluna32]],SUM(U82:AF82))</f>
        <v>625653.6</v>
      </c>
      <c r="AH82" s="4">
        <v>587912.71</v>
      </c>
      <c r="AI82" s="4">
        <v>1125171.82</v>
      </c>
      <c r="AJ82" s="4">
        <v>1062430.93</v>
      </c>
      <c r="AK82" s="4">
        <v>999690.04</v>
      </c>
      <c r="AL82" s="4">
        <v>936949.15</v>
      </c>
      <c r="AM82" s="4">
        <v>874208.26</v>
      </c>
      <c r="AN82" s="4">
        <v>811467.37</v>
      </c>
      <c r="AO82" s="4">
        <v>1698726.34</v>
      </c>
      <c r="AP82" s="4">
        <v>1625905.36</v>
      </c>
      <c r="AQ82" s="4">
        <v>1553084.38</v>
      </c>
      <c r="AR82" s="4">
        <v>1480263.4</v>
      </c>
      <c r="AS82" s="4">
        <v>2633248.87</v>
      </c>
      <c r="AT82" s="4">
        <f>IF(OR(MID(TBBP[[#This Row],[Coluna1]],1,1)="1",MID(TBBP[[#This Row],[Coluna1]],1,1)="2"),TBBP[[#This Row],[Coluna45]],SUM(AH82:AS82))</f>
        <v>2633248.87</v>
      </c>
      <c r="AU82" s="4">
        <v>2560427.89</v>
      </c>
      <c r="AV82" s="4">
        <v>2488815.31</v>
      </c>
      <c r="AW82" s="4">
        <v>2417202.73</v>
      </c>
      <c r="AX82" s="4">
        <v>2345590.15</v>
      </c>
      <c r="AY82" s="4">
        <v>2273977.5699999998</v>
      </c>
      <c r="AZ82" s="4">
        <v>2137848.86</v>
      </c>
      <c r="BA82" s="4">
        <v>2001720.15</v>
      </c>
      <c r="BB82" s="4">
        <v>1866675.51</v>
      </c>
      <c r="BC82" s="4">
        <v>1731630.87</v>
      </c>
      <c r="BD82" s="4">
        <v>1597670.3</v>
      </c>
      <c r="BE82" s="4">
        <v>1613760.58</v>
      </c>
      <c r="BF82" s="4">
        <v>1473276.06</v>
      </c>
      <c r="BG82" s="4">
        <f>IF(OR(MID(TBBP[[#This Row],[Coluna1]],1,1)="1",MID(TBBP[[#This Row],[Coluna1]],1,1)="2"),TBBP[[#This Row],[Coluna58]],SUM(AU82:BF82))</f>
        <v>1473276.06</v>
      </c>
      <c r="BH82" s="4">
        <v>1332791.54</v>
      </c>
      <c r="BI82" s="4">
        <v>1192307.02</v>
      </c>
      <c r="BJ82" s="4">
        <v>1051822.5</v>
      </c>
      <c r="BK82" s="4">
        <v>911337.98</v>
      </c>
      <c r="BL82" s="4">
        <v>770853.46</v>
      </c>
      <c r="BM82" s="4">
        <v>630368.93999999994</v>
      </c>
      <c r="BN82" s="4">
        <v>1601204.78</v>
      </c>
      <c r="BO82" s="4">
        <v>1458706.75</v>
      </c>
      <c r="BP82" s="4">
        <v>1436417.06</v>
      </c>
      <c r="BQ82" s="4">
        <v>1055878.31</v>
      </c>
      <c r="BR82" s="4">
        <v>1503431.35</v>
      </c>
      <c r="BS82" s="4">
        <v>1412661.7</v>
      </c>
      <c r="BT82" s="4">
        <f>IF(OR(MID(TBBP[[#This Row],[Coluna1]],1,1)="1",MID(TBBP[[#This Row],[Coluna1]],1,1)="2"),TBBP[[#This Row],[Coluna127]],SUM(BH82:BS82))</f>
        <v>1412661.7</v>
      </c>
      <c r="BU82" s="4">
        <v>1096929.3600000001</v>
      </c>
      <c r="BV82" s="4">
        <v>982484.05</v>
      </c>
      <c r="BW82" s="4">
        <v>1365602.4</v>
      </c>
      <c r="BX82" s="4">
        <v>1138463.67</v>
      </c>
      <c r="BY82" s="4">
        <v>1023970.36</v>
      </c>
      <c r="BZ82" s="4">
        <v>964335.28</v>
      </c>
      <c r="CA82" s="4">
        <v>1485331.97</v>
      </c>
      <c r="CB82" s="4">
        <v>1529387.2</v>
      </c>
      <c r="CC82" s="4">
        <v>1946667.1</v>
      </c>
      <c r="CD82" s="4">
        <v>1956046.12</v>
      </c>
      <c r="CE82" s="4">
        <v>2875317.01</v>
      </c>
      <c r="CF82" s="4">
        <v>1652126.97</v>
      </c>
      <c r="CG82" s="4">
        <f>IF(OR(MID(TBBP[[#This Row],[Coluna1]],1,1)="1",MID(TBBP[[#This Row],[Coluna1]],1,1)="2"),CF82,SUM(BU82:CF82))</f>
        <v>1652126.97</v>
      </c>
      <c r="CH82" s="4">
        <v>1684193.48</v>
      </c>
      <c r="CI82" s="4">
        <v>2317868.94</v>
      </c>
      <c r="CJ82" s="4">
        <v>3467732.07</v>
      </c>
      <c r="CK82" s="4">
        <v>3787824.38</v>
      </c>
      <c r="CL82" s="4">
        <v>3313900.62</v>
      </c>
      <c r="CM82" s="4">
        <v>6280145.0700000003</v>
      </c>
      <c r="CN82" s="4">
        <v>15030159.460000001</v>
      </c>
      <c r="CO82" s="4">
        <v>15198841.1</v>
      </c>
      <c r="CP82" s="4">
        <v>15357268.73</v>
      </c>
      <c r="CQ82" s="4">
        <v>15600835.109999999</v>
      </c>
      <c r="CR82" s="4">
        <v>16137782.83</v>
      </c>
      <c r="CS82" s="4">
        <v>15856749.67</v>
      </c>
      <c r="CT82" s="4">
        <f>IF(OR(MID(TBBP[[#This Row],[Coluna1]],1,1)="1",MID(TBBP[[#This Row],[Coluna1]],1,1)="2"),CS82,SUM(CH82:CS82))</f>
        <v>15856749.67</v>
      </c>
      <c r="CU82" s="255">
        <v>15933690.16</v>
      </c>
      <c r="CV82" s="255">
        <v>15986718.789999999</v>
      </c>
      <c r="CW82" s="255">
        <v>11857478.26</v>
      </c>
      <c r="CX82" s="255">
        <v>12062795</v>
      </c>
      <c r="CY82" s="255">
        <v>11356234.42</v>
      </c>
      <c r="CZ82" s="255">
        <v>11816583.77</v>
      </c>
      <c r="DA82" s="255">
        <v>15806975.800000001</v>
      </c>
      <c r="DB82" s="255">
        <v>14331971.23</v>
      </c>
      <c r="DC82" s="255">
        <v>12664119.119999999</v>
      </c>
      <c r="DD82" s="255">
        <v>12823831.460000001</v>
      </c>
      <c r="DE82" s="255">
        <v>13131709.02</v>
      </c>
      <c r="DF82" s="255">
        <v>13315240.109999999</v>
      </c>
      <c r="DG82" s="255">
        <v>13315240.109999999</v>
      </c>
      <c r="DH82" s="255">
        <v>12427460.41</v>
      </c>
      <c r="DI82" s="255">
        <v>12615990.41</v>
      </c>
      <c r="DJ82" s="255">
        <v>13048454.35</v>
      </c>
      <c r="DK82" s="255">
        <v>13166508.18</v>
      </c>
      <c r="DL82" s="255">
        <v>12311300.92</v>
      </c>
      <c r="DM82" s="255">
        <v>11065140.59</v>
      </c>
      <c r="DO82" s="9"/>
      <c r="DP82" s="30" t="str">
        <f>IF(OR(MID(TBBP[[#This Row],[Coluna1]],1,1)="1",MID(TBBP[[#This Row],[Coluna1]],1,1)="2"),"-",SUMIFS(82:82,listaPeriodos,$DR$1,listaPeriodos,$DR$2))</f>
        <v>-</v>
      </c>
      <c r="DR82" s="30">
        <f t="shared" si="89"/>
        <v>0</v>
      </c>
      <c r="DS82" s="30"/>
      <c r="DT82" s="30"/>
      <c r="DU82"/>
    </row>
    <row r="83" spans="1:126" x14ac:dyDescent="0.3">
      <c r="A83" s="67" t="s">
        <v>250</v>
      </c>
      <c r="B83" t="s">
        <v>732</v>
      </c>
      <c r="C83" s="4">
        <v>0</v>
      </c>
      <c r="D83" s="4">
        <v>0</v>
      </c>
      <c r="E83" s="4">
        <v>0</v>
      </c>
      <c r="F83" s="4">
        <v>0</v>
      </c>
      <c r="G83" s="4">
        <v>35000</v>
      </c>
      <c r="H83" s="4">
        <v>30000</v>
      </c>
      <c r="I83" s="4">
        <v>25000</v>
      </c>
      <c r="J83" s="4">
        <v>20000</v>
      </c>
      <c r="K83" s="4">
        <v>15000</v>
      </c>
      <c r="L83" s="4">
        <v>10000</v>
      </c>
      <c r="M83" s="4">
        <v>5000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f>IF(OR(MID(TBBP[[#This Row],[Coluna1]],1,1)="1",MID(TBBP[[#This Row],[Coluna1]],1,1)="2"),TBBP[[#This Row],[Coluna19]],SUM(H83:S83))</f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f>IF(OR(MID(TBBP[[#This Row],[Coluna1]],1,1)="1",MID(TBBP[[#This Row],[Coluna1]],1,1)="2"),TBBP[[#This Row],[Coluna32]],SUM(U83:AF83))</f>
        <v>0</v>
      </c>
      <c r="AH83" s="4">
        <v>0</v>
      </c>
      <c r="AI83" s="4">
        <v>0</v>
      </c>
      <c r="AJ83" s="4">
        <v>0</v>
      </c>
      <c r="AK83" s="4">
        <v>0</v>
      </c>
      <c r="AL83" s="4">
        <v>0</v>
      </c>
      <c r="AM83" s="4">
        <v>0</v>
      </c>
      <c r="AN83" s="4">
        <v>0</v>
      </c>
      <c r="AO83" s="4">
        <v>0</v>
      </c>
      <c r="AP83" s="4">
        <v>0</v>
      </c>
      <c r="AQ83" s="4">
        <v>0</v>
      </c>
      <c r="AR83" s="4">
        <v>0</v>
      </c>
      <c r="AS83" s="4">
        <v>0</v>
      </c>
      <c r="AT83" s="4">
        <f>IF(OR(MID(TBBP[[#This Row],[Coluna1]],1,1)="1",MID(TBBP[[#This Row],[Coluna1]],1,1)="2"),TBBP[[#This Row],[Coluna45]],SUM(AH83:AS83))</f>
        <v>0</v>
      </c>
      <c r="AU83" s="4">
        <v>0</v>
      </c>
      <c r="AV83" s="4">
        <v>0</v>
      </c>
      <c r="AW83" s="4">
        <v>0</v>
      </c>
      <c r="AX83" s="4">
        <v>0</v>
      </c>
      <c r="AY83" s="4">
        <v>0</v>
      </c>
      <c r="AZ83" s="4">
        <v>0</v>
      </c>
      <c r="BA83" s="4">
        <v>0</v>
      </c>
      <c r="BB83" s="4">
        <v>0</v>
      </c>
      <c r="BC83" s="4">
        <v>0</v>
      </c>
      <c r="BD83" s="4">
        <v>0</v>
      </c>
      <c r="BE83" s="4">
        <v>0</v>
      </c>
      <c r="BF83" s="4">
        <v>0</v>
      </c>
      <c r="BG83" s="4">
        <f>IF(OR(MID(TBBP[[#This Row],[Coluna1]],1,1)="1",MID(TBBP[[#This Row],[Coluna1]],1,1)="2"),TBBP[[#This Row],[Coluna58]],SUM(AU83:BF83))</f>
        <v>0</v>
      </c>
      <c r="BH83" s="4">
        <v>0</v>
      </c>
      <c r="BI83" s="4">
        <v>0</v>
      </c>
      <c r="BJ83" s="4">
        <v>0</v>
      </c>
      <c r="BK83" s="4">
        <v>0</v>
      </c>
      <c r="BL83" s="4">
        <v>0</v>
      </c>
      <c r="BM83" s="4">
        <v>0</v>
      </c>
      <c r="BN83" s="4">
        <v>0</v>
      </c>
      <c r="BO83" s="4">
        <v>0</v>
      </c>
      <c r="BP83" s="4">
        <v>0</v>
      </c>
      <c r="BQ83" s="4">
        <v>0</v>
      </c>
      <c r="BR83" s="4">
        <v>0</v>
      </c>
      <c r="BS83" s="4">
        <v>0</v>
      </c>
      <c r="BT83" s="4">
        <f>IF(OR(MID(TBBP[[#This Row],[Coluna1]],1,1)="1",MID(TBBP[[#This Row],[Coluna1]],1,1)="2"),TBBP[[#This Row],[Coluna127]],SUM(BH83:BS83))</f>
        <v>0</v>
      </c>
      <c r="BU83" s="4">
        <v>0</v>
      </c>
      <c r="BV83" s="4">
        <v>0</v>
      </c>
      <c r="BW83" s="4">
        <v>0</v>
      </c>
      <c r="BX83" s="4">
        <v>0</v>
      </c>
      <c r="BY83" s="4">
        <v>0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>
        <v>0</v>
      </c>
      <c r="CG83" s="4">
        <f>IF(OR(MID(TBBP[[#This Row],[Coluna1]],1,1)="1",MID(TBBP[[#This Row],[Coluna1]],1,1)="2"),CF83,SUM(BU83:CF83))</f>
        <v>0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  <c r="CT83" s="4">
        <f>IF(OR(MID(TBBP[[#This Row],[Coluna1]],1,1)="1",MID(TBBP[[#This Row],[Coluna1]],1,1)="2"),CS83,SUM(CH83:CS83))</f>
        <v>0</v>
      </c>
      <c r="CU83" s="255">
        <v>0</v>
      </c>
      <c r="CV83" s="255">
        <v>0</v>
      </c>
      <c r="CW83" s="255">
        <v>0</v>
      </c>
      <c r="CX83" s="255">
        <v>0</v>
      </c>
      <c r="CY83" s="255">
        <v>0</v>
      </c>
      <c r="CZ83" s="255">
        <v>0</v>
      </c>
      <c r="DA83" s="255">
        <v>0</v>
      </c>
      <c r="DB83" s="255">
        <v>0</v>
      </c>
      <c r="DC83" s="255">
        <v>0</v>
      </c>
      <c r="DD83" s="255">
        <v>0</v>
      </c>
      <c r="DE83" s="255">
        <v>0</v>
      </c>
      <c r="DF83" s="255">
        <v>0</v>
      </c>
      <c r="DG83" s="255">
        <v>0</v>
      </c>
      <c r="DH83" s="255">
        <v>0</v>
      </c>
      <c r="DI83" s="255">
        <v>0</v>
      </c>
      <c r="DJ83" s="255">
        <v>0</v>
      </c>
      <c r="DK83" s="255">
        <v>0</v>
      </c>
      <c r="DL83" s="255">
        <v>0</v>
      </c>
      <c r="DM83" s="255">
        <v>0</v>
      </c>
      <c r="DO83" s="9"/>
      <c r="DP83" s="30" t="str">
        <f>IF(OR(MID(TBBP[[#This Row],[Coluna1]],1,1)="1",MID(TBBP[[#This Row],[Coluna1]],1,1)="2"),"-",SUMIFS(83:83,listaPeriodos,$DR$1,listaPeriodos,$DR$2))</f>
        <v>-</v>
      </c>
      <c r="DR83" s="30">
        <f t="shared" si="89"/>
        <v>0</v>
      </c>
      <c r="DS83" s="30"/>
      <c r="DT83" s="30"/>
      <c r="DU83"/>
    </row>
    <row r="84" spans="1:126" x14ac:dyDescent="0.3">
      <c r="A84" s="67" t="s">
        <v>1160</v>
      </c>
      <c r="B84" t="s">
        <v>1161</v>
      </c>
      <c r="C84" s="4">
        <v>0</v>
      </c>
      <c r="D84" s="4">
        <v>0</v>
      </c>
      <c r="E84" s="4">
        <v>0</v>
      </c>
      <c r="F84" s="4"/>
      <c r="G84" s="4">
        <v>0</v>
      </c>
      <c r="H84" s="4">
        <v>0</v>
      </c>
      <c r="I84" s="4">
        <v>0</v>
      </c>
      <c r="J84" s="4">
        <v>0</v>
      </c>
      <c r="K84" s="4">
        <v>2000000</v>
      </c>
      <c r="L84" s="4">
        <v>1980000</v>
      </c>
      <c r="M84" s="4">
        <v>1960000</v>
      </c>
      <c r="N84" s="4">
        <v>1940000</v>
      </c>
      <c r="O84" s="4">
        <v>1920000</v>
      </c>
      <c r="P84" s="4">
        <v>1900000</v>
      </c>
      <c r="Q84" s="4">
        <v>1880000</v>
      </c>
      <c r="R84" s="4">
        <v>1860000</v>
      </c>
      <c r="S84" s="4">
        <v>1840000</v>
      </c>
      <c r="T84" s="4">
        <f>IF(OR(MID(TBBP[[#This Row],[Coluna1]],1,1)="1",MID(TBBP[[#This Row],[Coluna1]],1,1)="2"),TBBP[[#This Row],[Coluna19]],SUM(H84:S84))</f>
        <v>1840000</v>
      </c>
      <c r="U84" s="4">
        <v>1820000</v>
      </c>
      <c r="V84" s="4">
        <v>1800000</v>
      </c>
      <c r="W84" s="4">
        <v>1780000</v>
      </c>
      <c r="X84" s="4">
        <v>1000000</v>
      </c>
      <c r="Y84" s="4">
        <v>980000</v>
      </c>
      <c r="Z84" s="4">
        <v>960000</v>
      </c>
      <c r="AA84" s="4">
        <v>940000</v>
      </c>
      <c r="AB84" s="4">
        <v>920000</v>
      </c>
      <c r="AC84" s="4">
        <v>900000</v>
      </c>
      <c r="AD84" s="4">
        <v>0</v>
      </c>
      <c r="AE84" s="4">
        <v>0</v>
      </c>
      <c r="AF84" s="4">
        <v>0</v>
      </c>
      <c r="AG84" s="4">
        <f>IF(OR(MID(TBBP[[#This Row],[Coluna1]],1,1)="1",MID(TBBP[[#This Row],[Coluna1]],1,1)="2"),TBBP[[#This Row],[Coluna32]],SUM(U84:AF84))</f>
        <v>0</v>
      </c>
      <c r="AH84" s="4">
        <v>0</v>
      </c>
      <c r="AI84" s="4">
        <v>0</v>
      </c>
      <c r="AJ84" s="4">
        <v>0</v>
      </c>
      <c r="AK84" s="4">
        <v>0</v>
      </c>
      <c r="AL84" s="4">
        <v>0</v>
      </c>
      <c r="AM84" s="4">
        <v>0</v>
      </c>
      <c r="AN84" s="4">
        <v>0</v>
      </c>
      <c r="AO84" s="4">
        <v>0</v>
      </c>
      <c r="AP84" s="4">
        <v>0</v>
      </c>
      <c r="AQ84" s="4">
        <v>0</v>
      </c>
      <c r="AR84" s="4">
        <v>0</v>
      </c>
      <c r="AS84" s="4">
        <v>0</v>
      </c>
      <c r="AT84" s="4">
        <f>IF(OR(MID(TBBP[[#This Row],[Coluna1]],1,1)="1",MID(TBBP[[#This Row],[Coluna1]],1,1)="2"),TBBP[[#This Row],[Coluna45]],SUM(AH84:AS84))</f>
        <v>0</v>
      </c>
      <c r="AU84" s="4">
        <v>0</v>
      </c>
      <c r="AV84" s="4">
        <v>0</v>
      </c>
      <c r="AW84" s="4">
        <v>0</v>
      </c>
      <c r="AX84" s="4">
        <v>0</v>
      </c>
      <c r="AY84" s="4">
        <v>0</v>
      </c>
      <c r="AZ84" s="4">
        <v>0</v>
      </c>
      <c r="BA84" s="4">
        <v>0</v>
      </c>
      <c r="BB84" s="4">
        <v>0</v>
      </c>
      <c r="BC84" s="4">
        <v>0</v>
      </c>
      <c r="BD84" s="4">
        <v>0</v>
      </c>
      <c r="BE84" s="4">
        <v>0</v>
      </c>
      <c r="BF84" s="4">
        <v>0</v>
      </c>
      <c r="BG84" s="4">
        <f>IF(OR(MID(TBBP[[#This Row],[Coluna1]],1,1)="1",MID(TBBP[[#This Row],[Coluna1]],1,1)="2"),TBBP[[#This Row],[Coluna58]],SUM(AU84:BF84))</f>
        <v>0</v>
      </c>
      <c r="BH84" s="4">
        <v>0</v>
      </c>
      <c r="BI84" s="4">
        <v>0</v>
      </c>
      <c r="BJ84" s="4">
        <v>0</v>
      </c>
      <c r="BK84" s="4">
        <v>0</v>
      </c>
      <c r="BL84" s="4">
        <v>0</v>
      </c>
      <c r="BM84" s="4">
        <v>0</v>
      </c>
      <c r="BN84" s="4">
        <v>0</v>
      </c>
      <c r="BO84" s="4">
        <v>0</v>
      </c>
      <c r="BP84" s="4">
        <v>0</v>
      </c>
      <c r="BQ84" s="4">
        <v>0</v>
      </c>
      <c r="BR84" s="4">
        <v>0</v>
      </c>
      <c r="BS84" s="4">
        <v>0</v>
      </c>
      <c r="BT84" s="4">
        <f>IF(OR(MID(TBBP[[#This Row],[Coluna1]],1,1)="1",MID(TBBP[[#This Row],[Coluna1]],1,1)="2"),TBBP[[#This Row],[Coluna127]],SUM(BH84:BS84))</f>
        <v>0</v>
      </c>
      <c r="BU84" s="4">
        <v>0</v>
      </c>
      <c r="BV84" s="4">
        <v>0</v>
      </c>
      <c r="BW84" s="4">
        <v>0</v>
      </c>
      <c r="BX84" s="4">
        <v>0</v>
      </c>
      <c r="BY84" s="4">
        <v>0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>
        <v>0</v>
      </c>
      <c r="CG84" s="4">
        <f>IF(OR(MID(TBBP[[#This Row],[Coluna1]],1,1)="1",MID(TBBP[[#This Row],[Coluna1]],1,1)="2"),CF84,SUM(BU84:CF84))</f>
        <v>0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  <c r="CT84" s="4">
        <f>IF(OR(MID(TBBP[[#This Row],[Coluna1]],1,1)="1",MID(TBBP[[#This Row],[Coluna1]],1,1)="2"),CS84,SUM(CH84:CS84))</f>
        <v>0</v>
      </c>
      <c r="CU84" s="255">
        <v>0</v>
      </c>
      <c r="CV84" s="255">
        <v>0</v>
      </c>
      <c r="CW84" s="255">
        <v>0</v>
      </c>
      <c r="CX84" s="255">
        <v>0</v>
      </c>
      <c r="CY84" s="255">
        <v>0</v>
      </c>
      <c r="CZ84" s="255">
        <v>0</v>
      </c>
      <c r="DA84" s="255">
        <v>0</v>
      </c>
      <c r="DB84" s="255">
        <v>0</v>
      </c>
      <c r="DC84" s="255">
        <v>0</v>
      </c>
      <c r="DD84" s="255">
        <v>0</v>
      </c>
      <c r="DE84" s="255">
        <v>0</v>
      </c>
      <c r="DF84" s="255">
        <v>8013600</v>
      </c>
      <c r="DG84" s="255">
        <v>8013600</v>
      </c>
      <c r="DH84" s="255">
        <v>8013600</v>
      </c>
      <c r="DI84" s="255">
        <v>8013600</v>
      </c>
      <c r="DJ84" s="255">
        <v>8013600</v>
      </c>
      <c r="DK84" s="255">
        <v>8013600</v>
      </c>
      <c r="DL84" s="255">
        <v>8013600</v>
      </c>
      <c r="DM84" s="255">
        <v>8013600</v>
      </c>
      <c r="DO84" s="9"/>
      <c r="DP84" s="30" t="str">
        <f>IF(OR(MID(TBBP[[#This Row],[Coluna1]],1,1)="1",MID(TBBP[[#This Row],[Coluna1]],1,1)="2"),"-",SUMIFS(84:84,listaPeriodos,$DR$1,listaPeriodos,$DR$2))</f>
        <v>-</v>
      </c>
      <c r="DR84" s="30">
        <f t="shared" si="89"/>
        <v>0</v>
      </c>
      <c r="DS84" s="30"/>
      <c r="DT84" s="30"/>
      <c r="DU84"/>
    </row>
    <row r="85" spans="1:126" x14ac:dyDescent="0.3">
      <c r="A85" s="70" t="s">
        <v>92</v>
      </c>
      <c r="B85" s="65" t="s">
        <v>74</v>
      </c>
      <c r="C85" s="65">
        <f>SUM(C86:C92)</f>
        <v>7406562.5000000009</v>
      </c>
      <c r="D85" s="65">
        <f t="shared" ref="D85:AH85" si="94">SUM(D86:D92)</f>
        <v>11278963.076647999</v>
      </c>
      <c r="E85" s="65">
        <f t="shared" si="94"/>
        <v>14722622.919999996</v>
      </c>
      <c r="F85" s="65">
        <f t="shared" si="94"/>
        <v>16555484.765553121</v>
      </c>
      <c r="G85" s="65">
        <f t="shared" si="94"/>
        <v>17340887.759999998</v>
      </c>
      <c r="H85" s="65">
        <f t="shared" si="94"/>
        <v>17621330.043835998</v>
      </c>
      <c r="I85" s="65">
        <f t="shared" si="94"/>
        <v>17857957.427667998</v>
      </c>
      <c r="J85" s="65">
        <f t="shared" si="94"/>
        <v>18228502.860511996</v>
      </c>
      <c r="K85" s="65">
        <f t="shared" si="94"/>
        <v>14362602.809980001</v>
      </c>
      <c r="L85" s="65">
        <f t="shared" si="94"/>
        <v>14177832.333176</v>
      </c>
      <c r="M85" s="65">
        <f t="shared" si="94"/>
        <v>14356586.19854</v>
      </c>
      <c r="N85" s="65">
        <f t="shared" si="94"/>
        <v>14869559.9</v>
      </c>
      <c r="O85" s="65">
        <f t="shared" si="94"/>
        <v>15322531.279999999</v>
      </c>
      <c r="P85" s="65">
        <f t="shared" si="94"/>
        <v>16362815.529999999</v>
      </c>
      <c r="Q85" s="65">
        <f t="shared" si="94"/>
        <v>16816302.93854</v>
      </c>
      <c r="R85" s="65">
        <f t="shared" si="94"/>
        <v>16783726.93854</v>
      </c>
      <c r="S85" s="65">
        <f t="shared" si="94"/>
        <v>16848942.448540002</v>
      </c>
      <c r="T85" s="65">
        <f>IF(OR(MID(TBBP[[#This Row],[Coluna1]],1,1)="1",MID(TBBP[[#This Row],[Coluna1]],1,1)="2"),TBBP[[#This Row],[Coluna19]],SUM(H85:S85))</f>
        <v>16848942.448540002</v>
      </c>
      <c r="U85" s="65">
        <f t="shared" si="94"/>
        <v>17029724.871199999</v>
      </c>
      <c r="V85" s="65">
        <f t="shared" si="94"/>
        <v>17185622.971199997</v>
      </c>
      <c r="W85" s="65">
        <f t="shared" si="94"/>
        <v>17487833.071199998</v>
      </c>
      <c r="X85" s="65">
        <f t="shared" si="94"/>
        <v>18032865.821199998</v>
      </c>
      <c r="Y85" s="65">
        <f t="shared" si="94"/>
        <v>18544073.960000001</v>
      </c>
      <c r="Z85" s="65">
        <f t="shared" si="94"/>
        <v>18546398.441200003</v>
      </c>
      <c r="AA85" s="65">
        <f t="shared" si="94"/>
        <v>19258075.2612</v>
      </c>
      <c r="AB85" s="65">
        <f t="shared" si="94"/>
        <v>19568697.071200002</v>
      </c>
      <c r="AC85" s="65">
        <f t="shared" si="94"/>
        <v>20353079.621199999</v>
      </c>
      <c r="AD85" s="65">
        <f t="shared" si="94"/>
        <v>21168474.371200003</v>
      </c>
      <c r="AE85" s="65">
        <f t="shared" si="94"/>
        <v>21490167.191199999</v>
      </c>
      <c r="AF85" s="65">
        <f t="shared" si="94"/>
        <v>21639860.711199999</v>
      </c>
      <c r="AG85" s="65">
        <f>IF(OR(MID(TBBP[[#This Row],[Coluna1]],1,1)="1",MID(TBBP[[#This Row],[Coluna1]],1,1)="2"),TBBP[[#This Row],[Coluna32]],SUM(U85:AF85))</f>
        <v>21639860.711199999</v>
      </c>
      <c r="AH85" s="65">
        <f t="shared" si="94"/>
        <v>22086675.93</v>
      </c>
      <c r="AI85" s="65">
        <f t="shared" ref="AI85:AS85" si="95">SUM(AI86:AI92)</f>
        <v>22280910.210000001</v>
      </c>
      <c r="AJ85" s="65">
        <f t="shared" si="95"/>
        <v>22209390.509999998</v>
      </c>
      <c r="AK85" s="65">
        <f t="shared" si="95"/>
        <v>22200762.709999997</v>
      </c>
      <c r="AL85" s="65">
        <f t="shared" si="95"/>
        <v>22769344.119999997</v>
      </c>
      <c r="AM85" s="65">
        <f t="shared" si="95"/>
        <v>24209747.02</v>
      </c>
      <c r="AN85" s="65">
        <f t="shared" si="95"/>
        <v>25384364.049999997</v>
      </c>
      <c r="AO85" s="65">
        <f t="shared" si="95"/>
        <v>26485491.219999999</v>
      </c>
      <c r="AP85" s="65">
        <f t="shared" si="95"/>
        <v>27859585.299999997</v>
      </c>
      <c r="AQ85" s="65">
        <f t="shared" si="95"/>
        <v>29470882.860000003</v>
      </c>
      <c r="AR85" s="65">
        <f t="shared" si="95"/>
        <v>30426822.580000002</v>
      </c>
      <c r="AS85" s="65">
        <f t="shared" si="95"/>
        <v>31501111.270000007</v>
      </c>
      <c r="AT85" s="65">
        <f>IF(OR(MID(TBBP[[#This Row],[Coluna1]],1,1)="1",MID(TBBP[[#This Row],[Coluna1]],1,1)="2"),TBBP[[#This Row],[Coluna45]],SUM(AH85:AS85))</f>
        <v>31501111.270000007</v>
      </c>
      <c r="AU85" s="65">
        <f t="shared" ref="AU85:BF85" si="96">SUM(AU86:AU92)</f>
        <v>32800011.300000001</v>
      </c>
      <c r="AV85" s="65">
        <f t="shared" si="96"/>
        <v>33541957.220000003</v>
      </c>
      <c r="AW85" s="65">
        <f t="shared" si="96"/>
        <v>35195999.420000002</v>
      </c>
      <c r="AX85" s="65">
        <f t="shared" si="96"/>
        <v>37470596.560000002</v>
      </c>
      <c r="AY85" s="65">
        <f t="shared" si="96"/>
        <v>39513180.20000001</v>
      </c>
      <c r="AZ85" s="65">
        <f t="shared" si="96"/>
        <v>39502439</v>
      </c>
      <c r="BA85" s="65">
        <f t="shared" si="96"/>
        <v>42234676.320000008</v>
      </c>
      <c r="BB85" s="65">
        <f t="shared" si="96"/>
        <v>44815316.570000008</v>
      </c>
      <c r="BC85" s="65">
        <f t="shared" si="96"/>
        <v>47805513.170000009</v>
      </c>
      <c r="BD85" s="65">
        <f t="shared" si="96"/>
        <v>49087177.159999996</v>
      </c>
      <c r="BE85" s="65">
        <f t="shared" si="96"/>
        <v>50392193.5</v>
      </c>
      <c r="BF85" s="65">
        <f t="shared" si="96"/>
        <v>50965544.420000002</v>
      </c>
      <c r="BG85" s="65">
        <f>SUM(BG86:BG92)</f>
        <v>50965544.420000002</v>
      </c>
      <c r="BH85" s="65">
        <f t="shared" ref="BH85:BT85" si="97">SUM(BH86:BH92)</f>
        <v>51602863.980000004</v>
      </c>
      <c r="BI85" s="65">
        <f t="shared" si="97"/>
        <v>52624444.939999998</v>
      </c>
      <c r="BJ85" s="65">
        <f t="shared" si="97"/>
        <v>54134100.719999999</v>
      </c>
      <c r="BK85" s="65">
        <f t="shared" si="97"/>
        <v>55787171.909999996</v>
      </c>
      <c r="BL85" s="65">
        <f t="shared" si="97"/>
        <v>57188862.310000002</v>
      </c>
      <c r="BM85" s="65">
        <f t="shared" si="97"/>
        <v>58463193.250000007</v>
      </c>
      <c r="BN85" s="65">
        <f t="shared" si="97"/>
        <v>60398160.869999997</v>
      </c>
      <c r="BO85" s="65">
        <f t="shared" si="97"/>
        <v>61224456.859999999</v>
      </c>
      <c r="BP85" s="65">
        <f t="shared" si="97"/>
        <v>62554114.880000003</v>
      </c>
      <c r="BQ85" s="65">
        <f t="shared" si="97"/>
        <v>62896927.120000005</v>
      </c>
      <c r="BR85" s="65">
        <f t="shared" si="97"/>
        <v>64333794.82</v>
      </c>
      <c r="BS85" s="65">
        <f t="shared" si="97"/>
        <v>64315063.965000011</v>
      </c>
      <c r="BT85" s="65">
        <f t="shared" si="97"/>
        <v>64315063.965000011</v>
      </c>
      <c r="BU85" s="65">
        <f t="shared" ref="BU85:DM85" si="98">SUM(BU86:BU92)</f>
        <v>64752368.382599995</v>
      </c>
      <c r="BV85" s="65">
        <f t="shared" si="98"/>
        <v>64847126.418399997</v>
      </c>
      <c r="BW85" s="65">
        <f t="shared" si="98"/>
        <v>65472615.634199999</v>
      </c>
      <c r="BX85" s="65">
        <f t="shared" si="98"/>
        <v>66241802.044799998</v>
      </c>
      <c r="BY85" s="65">
        <f t="shared" si="98"/>
        <v>67996601.790399998</v>
      </c>
      <c r="BZ85" s="65">
        <f t="shared" si="98"/>
        <v>69366709.0792</v>
      </c>
      <c r="CA85" s="65">
        <f t="shared" si="98"/>
        <v>69564180.778200001</v>
      </c>
      <c r="CB85" s="65">
        <f t="shared" si="98"/>
        <v>70520835.981600001</v>
      </c>
      <c r="CC85" s="65">
        <f t="shared" si="98"/>
        <v>71026496.044199988</v>
      </c>
      <c r="CD85" s="65">
        <f t="shared" si="98"/>
        <v>72288389.948999986</v>
      </c>
      <c r="CE85" s="65">
        <f t="shared" si="98"/>
        <v>72565391.825399995</v>
      </c>
      <c r="CF85" s="65">
        <v>73979584.895799994</v>
      </c>
      <c r="CG85" s="65">
        <f t="shared" si="98"/>
        <v>73979584.895799994</v>
      </c>
      <c r="CH85" s="65">
        <f t="shared" si="98"/>
        <v>75550268.034199998</v>
      </c>
      <c r="CI85" s="65">
        <f t="shared" si="98"/>
        <v>76706190.331</v>
      </c>
      <c r="CJ85" s="65">
        <f t="shared" si="98"/>
        <v>77155700.352400005</v>
      </c>
      <c r="CK85" s="65">
        <f t="shared" si="98"/>
        <v>79092185.045000002</v>
      </c>
      <c r="CL85" s="65">
        <f t="shared" si="98"/>
        <v>79455214.836600006</v>
      </c>
      <c r="CM85" s="65">
        <f t="shared" si="98"/>
        <v>80554045.504099995</v>
      </c>
      <c r="CN85" s="65">
        <f t="shared" si="98"/>
        <v>81702416.044100001</v>
      </c>
      <c r="CO85" s="65">
        <f t="shared" si="98"/>
        <v>82378519.614099994</v>
      </c>
      <c r="CP85" s="65">
        <f t="shared" si="98"/>
        <v>83661785.834100008</v>
      </c>
      <c r="CQ85" s="65">
        <f t="shared" si="98"/>
        <v>83947859.074100003</v>
      </c>
      <c r="CR85" s="65">
        <f t="shared" si="98"/>
        <v>83372919.424099997</v>
      </c>
      <c r="CS85" s="65">
        <f t="shared" si="98"/>
        <v>85034056.894099995</v>
      </c>
      <c r="CT85" s="65">
        <f t="shared" si="98"/>
        <v>85034056.890000001</v>
      </c>
      <c r="CU85" s="65">
        <f t="shared" si="98"/>
        <v>86221181.761800006</v>
      </c>
      <c r="CV85" s="65">
        <f t="shared" si="98"/>
        <v>86936468.326800004</v>
      </c>
      <c r="CW85" s="65">
        <f t="shared" si="98"/>
        <v>87979819.488000005</v>
      </c>
      <c r="CX85" s="65">
        <f t="shared" si="98"/>
        <v>89896773.424199998</v>
      </c>
      <c r="CY85" s="65">
        <f t="shared" si="98"/>
        <v>91951973.131199986</v>
      </c>
      <c r="CZ85" s="65">
        <f t="shared" si="98"/>
        <v>91366986.498699993</v>
      </c>
      <c r="DA85" s="65">
        <f t="shared" si="98"/>
        <v>91340963.814899996</v>
      </c>
      <c r="DB85" s="65">
        <f t="shared" si="98"/>
        <v>92380256.394899994</v>
      </c>
      <c r="DC85" s="65">
        <f t="shared" si="98"/>
        <v>92673619.861099988</v>
      </c>
      <c r="DD85" s="65">
        <f t="shared" si="98"/>
        <v>92036628.880699992</v>
      </c>
      <c r="DE85" s="65">
        <f t="shared" si="98"/>
        <v>92562076.316100001</v>
      </c>
      <c r="DF85" s="65">
        <f t="shared" si="98"/>
        <v>78291799.752900004</v>
      </c>
      <c r="DG85" s="65">
        <f t="shared" si="98"/>
        <v>78291799.75</v>
      </c>
      <c r="DH85" s="65">
        <f t="shared" si="98"/>
        <v>79103422.259200007</v>
      </c>
      <c r="DI85" s="65">
        <f t="shared" si="98"/>
        <v>78917856.1382</v>
      </c>
      <c r="DJ85" s="65">
        <f t="shared" si="98"/>
        <v>79175696.229599997</v>
      </c>
      <c r="DK85" s="65">
        <f t="shared" si="98"/>
        <v>80976907.254600003</v>
      </c>
      <c r="DL85" s="65">
        <f t="shared" si="98"/>
        <v>81110320.685399994</v>
      </c>
      <c r="DM85" s="65">
        <f t="shared" si="98"/>
        <v>81440806.630199984</v>
      </c>
      <c r="DO85" s="9"/>
      <c r="DP85" s="30" t="str">
        <f>IF(OR(MID(TBBP[[#This Row],[Coluna1]],1,1)="1",MID(TBBP[[#This Row],[Coluna1]],1,1)="2"),"-",SUMIFS(85:85,listaPeriodos,$DR$1,listaPeriodos,$DR$2))</f>
        <v>-</v>
      </c>
      <c r="DR85" s="30">
        <f t="shared" si="89"/>
        <v>0</v>
      </c>
      <c r="DS85" s="30"/>
      <c r="DT85" s="30"/>
      <c r="DU85"/>
    </row>
    <row r="86" spans="1:126" x14ac:dyDescent="0.3">
      <c r="A86" s="7" t="s">
        <v>93</v>
      </c>
      <c r="B86" t="s">
        <v>72</v>
      </c>
      <c r="C86" s="4">
        <v>500000</v>
      </c>
      <c r="D86" s="4">
        <v>500000</v>
      </c>
      <c r="E86" s="4">
        <v>1000000</v>
      </c>
      <c r="F86" s="4">
        <v>1000000</v>
      </c>
      <c r="G86" s="4">
        <v>1000000</v>
      </c>
      <c r="H86" s="4">
        <v>1000000</v>
      </c>
      <c r="I86" s="4">
        <v>1000000</v>
      </c>
      <c r="J86" s="4">
        <v>1000000</v>
      </c>
      <c r="K86" s="4">
        <v>1000000</v>
      </c>
      <c r="L86" s="4">
        <v>1000000</v>
      </c>
      <c r="M86" s="4">
        <v>1000000</v>
      </c>
      <c r="N86" s="4">
        <v>1000000</v>
      </c>
      <c r="O86" s="4">
        <v>1000000</v>
      </c>
      <c r="P86" s="4">
        <v>1000000</v>
      </c>
      <c r="Q86" s="4">
        <v>1000000</v>
      </c>
      <c r="R86" s="4">
        <v>1000000</v>
      </c>
      <c r="S86" s="4">
        <v>1000000</v>
      </c>
      <c r="T86" s="4">
        <f>IF(OR(MID(TBBP[[#This Row],[Coluna1]],1,1)="1",MID(TBBP[[#This Row],[Coluna1]],1,1)="2"),TBBP[[#This Row],[Coluna19]],SUM(H86:S86))</f>
        <v>1000000</v>
      </c>
      <c r="U86" s="4">
        <v>1000000</v>
      </c>
      <c r="V86" s="4">
        <v>1000000</v>
      </c>
      <c r="W86" s="4">
        <v>1000000</v>
      </c>
      <c r="X86" s="4">
        <v>1000000</v>
      </c>
      <c r="Y86" s="4">
        <v>1000000</v>
      </c>
      <c r="Z86" s="4">
        <v>1000000</v>
      </c>
      <c r="AA86" s="4">
        <v>1000000</v>
      </c>
      <c r="AB86" s="4">
        <v>1000000</v>
      </c>
      <c r="AC86" s="4">
        <v>1000000</v>
      </c>
      <c r="AD86" s="4">
        <v>1000000</v>
      </c>
      <c r="AE86" s="4">
        <v>1000000</v>
      </c>
      <c r="AF86" s="4">
        <v>1000000</v>
      </c>
      <c r="AG86" s="4">
        <f>IF(OR(MID(TBBP[[#This Row],[Coluna1]],1,1)="1",MID(TBBP[[#This Row],[Coluna1]],1,1)="2"),TBBP[[#This Row],[Coluna32]],SUM(U86:AF86))</f>
        <v>1000000</v>
      </c>
      <c r="AH86" s="4">
        <v>1000000</v>
      </c>
      <c r="AI86" s="4">
        <v>1000000</v>
      </c>
      <c r="AJ86" s="4">
        <v>1000000</v>
      </c>
      <c r="AK86" s="4">
        <v>1000000</v>
      </c>
      <c r="AL86" s="4">
        <v>1000000</v>
      </c>
      <c r="AM86" s="4">
        <v>1000000</v>
      </c>
      <c r="AN86" s="4">
        <v>1000000</v>
      </c>
      <c r="AO86" s="4">
        <v>1000000</v>
      </c>
      <c r="AP86" s="4">
        <v>1000000</v>
      </c>
      <c r="AQ86" s="4">
        <v>1000000</v>
      </c>
      <c r="AR86" s="4">
        <v>1000000</v>
      </c>
      <c r="AS86" s="4">
        <v>1000000</v>
      </c>
      <c r="AT86" s="4">
        <f>IF(OR(MID(TBBP[[#This Row],[Coluna1]],1,1)="1",MID(TBBP[[#This Row],[Coluna1]],1,1)="2"),TBBP[[#This Row],[Coluna45]],SUM(AH86:AS86))</f>
        <v>1000000</v>
      </c>
      <c r="AU86" s="4">
        <v>1000000</v>
      </c>
      <c r="AV86" s="4">
        <v>1000000</v>
      </c>
      <c r="AW86" s="4">
        <v>1000000</v>
      </c>
      <c r="AX86" s="4">
        <v>1000000</v>
      </c>
      <c r="AY86" s="4">
        <v>1000000</v>
      </c>
      <c r="AZ86" s="4">
        <v>1000000</v>
      </c>
      <c r="BA86" s="4">
        <v>1000000</v>
      </c>
      <c r="BB86" s="4">
        <v>1000000</v>
      </c>
      <c r="BC86" s="4">
        <v>1000000</v>
      </c>
      <c r="BD86" s="4">
        <v>1000000</v>
      </c>
      <c r="BE86" s="4">
        <v>1000000</v>
      </c>
      <c r="BF86" s="4">
        <v>1000000</v>
      </c>
      <c r="BG86" s="4">
        <f>IF(OR(MID(TBBP[[#This Row],[Coluna1]],1,1)="1",MID(TBBP[[#This Row],[Coluna1]],1,1)="2"),TBBP[[#This Row],[Coluna58]],SUM(AU86:BF86))</f>
        <v>1000000</v>
      </c>
      <c r="BH86" s="4">
        <v>1000000</v>
      </c>
      <c r="BI86" s="4">
        <v>1000000</v>
      </c>
      <c r="BJ86" s="4">
        <v>1000000</v>
      </c>
      <c r="BK86" s="4">
        <v>1000000</v>
      </c>
      <c r="BL86" s="4">
        <v>1000000</v>
      </c>
      <c r="BM86" s="4">
        <v>1000000</v>
      </c>
      <c r="BN86" s="4">
        <v>1000000</v>
      </c>
      <c r="BO86" s="4">
        <v>1000000</v>
      </c>
      <c r="BP86" s="4">
        <v>1000000</v>
      </c>
      <c r="BQ86" s="4">
        <v>1000000</v>
      </c>
      <c r="BR86" s="4">
        <v>1000000</v>
      </c>
      <c r="BS86" s="4">
        <v>1000000</v>
      </c>
      <c r="BT86" s="4">
        <f>IF(OR(MID(TBBP[[#This Row],[Coluna1]],1,1)="1",MID(TBBP[[#This Row],[Coluna1]],1,1)="2"),TBBP[[#This Row],[Coluna127]],SUM(BH86:BS86))</f>
        <v>1000000</v>
      </c>
      <c r="BU86" s="4">
        <v>1000000</v>
      </c>
      <c r="BV86" s="4">
        <v>1000000</v>
      </c>
      <c r="BW86" s="4">
        <v>1000000</v>
      </c>
      <c r="BX86" s="4">
        <v>1000000</v>
      </c>
      <c r="BY86" s="4">
        <v>1000000</v>
      </c>
      <c r="BZ86" s="4">
        <v>1000000</v>
      </c>
      <c r="CA86" s="4">
        <v>1000000</v>
      </c>
      <c r="CB86" s="4">
        <v>1000000</v>
      </c>
      <c r="CC86" s="4">
        <v>1000000</v>
      </c>
      <c r="CD86" s="4">
        <v>1000000</v>
      </c>
      <c r="CE86" s="4">
        <v>1000000</v>
      </c>
      <c r="CF86" s="4">
        <v>1000000</v>
      </c>
      <c r="CG86" s="4">
        <f>IF(OR(MID(TBBP[[#This Row],[Coluna1]],1,1)="1",MID(TBBP[[#This Row],[Coluna1]],1,1)="2"),CF86,SUM(BU86:CF86))</f>
        <v>1000000</v>
      </c>
      <c r="CH86" s="4">
        <v>1000000</v>
      </c>
      <c r="CI86" s="4">
        <v>1000000</v>
      </c>
      <c r="CJ86" s="4">
        <v>1000000</v>
      </c>
      <c r="CK86" s="4">
        <v>1000000</v>
      </c>
      <c r="CL86" s="4">
        <v>1000000</v>
      </c>
      <c r="CM86" s="4">
        <v>1000000</v>
      </c>
      <c r="CN86" s="4">
        <v>1000000</v>
      </c>
      <c r="CO86" s="4">
        <v>1000000</v>
      </c>
      <c r="CP86" s="4">
        <v>1000000</v>
      </c>
      <c r="CQ86" s="4">
        <v>1000000</v>
      </c>
      <c r="CR86" s="4">
        <v>1000000</v>
      </c>
      <c r="CS86" s="4">
        <v>1000000</v>
      </c>
      <c r="CT86" s="4">
        <f>IF(OR(MID(TBBP[[#This Row],[Coluna1]],1,1)="1",MID(TBBP[[#This Row],[Coluna1]],1,1)="2"),CS86,SUM(CH86:CS86))</f>
        <v>1000000</v>
      </c>
      <c r="CU86" s="255">
        <v>1000000</v>
      </c>
      <c r="CV86" s="255">
        <v>1000000</v>
      </c>
      <c r="CW86" s="255">
        <v>1000000</v>
      </c>
      <c r="CX86" s="255">
        <v>1000000</v>
      </c>
      <c r="CY86" s="255">
        <v>1000000</v>
      </c>
      <c r="CZ86" s="255">
        <v>1000000</v>
      </c>
      <c r="DA86" s="255">
        <v>1000000</v>
      </c>
      <c r="DB86" s="255">
        <v>1000000</v>
      </c>
      <c r="DC86" s="255">
        <v>1000000</v>
      </c>
      <c r="DD86" s="255">
        <v>1000000</v>
      </c>
      <c r="DE86" s="255">
        <v>1000000</v>
      </c>
      <c r="DF86" s="255">
        <v>1000000</v>
      </c>
      <c r="DG86" s="255">
        <v>1000000</v>
      </c>
      <c r="DH86" s="255">
        <v>1000000</v>
      </c>
      <c r="DI86" s="255">
        <v>1000000</v>
      </c>
      <c r="DJ86" s="255">
        <v>1000000</v>
      </c>
      <c r="DK86" s="255">
        <v>1000000</v>
      </c>
      <c r="DL86" s="255">
        <v>1000000</v>
      </c>
      <c r="DM86" s="255">
        <v>1000000</v>
      </c>
      <c r="DO86" s="9"/>
      <c r="DP86" s="30" t="str">
        <f>IF(OR(MID(TBBP[[#This Row],[Coluna1]],1,1)="1",MID(TBBP[[#This Row],[Coluna1]],1,1)="2"),"-",SUMIFS(86:86,listaPeriodos,$DR$1,listaPeriodos,$DR$2))</f>
        <v>-</v>
      </c>
      <c r="DR86" s="30">
        <f t="shared" si="89"/>
        <v>0</v>
      </c>
      <c r="DS86" s="30"/>
      <c r="DT86" s="30"/>
      <c r="DU86"/>
    </row>
    <row r="87" spans="1:126" x14ac:dyDescent="0.3">
      <c r="A87" s="67" t="s">
        <v>250</v>
      </c>
      <c r="B87" t="s">
        <v>163</v>
      </c>
      <c r="C87" s="4">
        <v>2.66</v>
      </c>
      <c r="D87" s="4">
        <v>2.66</v>
      </c>
      <c r="E87" s="4">
        <v>0</v>
      </c>
      <c r="F87" s="4">
        <v>0</v>
      </c>
      <c r="G87" s="4"/>
      <c r="H87" s="4"/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/>
      <c r="P87" s="4"/>
      <c r="Q87" s="4"/>
      <c r="R87" s="4"/>
      <c r="S87" s="4"/>
      <c r="T87" s="4">
        <f>IF(OR(MID(TBBP[[#This Row],[Coluna1]],1,1)="1",MID(TBBP[[#This Row],[Coluna1]],1,1)="2"),TBBP[[#This Row],[Coluna19]],SUM(H87:S87))</f>
        <v>0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>
        <f>IF(OR(MID(TBBP[[#This Row],[Coluna1]],1,1)="1",MID(TBBP[[#This Row],[Coluna1]],1,1)="2"),TBBP[[#This Row],[Coluna32]],SUM(U87:AF87))</f>
        <v>0</v>
      </c>
      <c r="AH87" s="4"/>
      <c r="AI87" s="4"/>
      <c r="AJ87" s="4"/>
      <c r="AK87" s="4">
        <v>0</v>
      </c>
      <c r="AL87" s="4">
        <v>0</v>
      </c>
      <c r="AM87" s="4">
        <v>0</v>
      </c>
      <c r="AN87" s="4">
        <v>0</v>
      </c>
      <c r="AO87" s="4">
        <v>0</v>
      </c>
      <c r="AP87" s="4">
        <v>0</v>
      </c>
      <c r="AQ87" s="4">
        <v>0</v>
      </c>
      <c r="AR87" s="4">
        <v>0</v>
      </c>
      <c r="AS87" s="4">
        <v>0</v>
      </c>
      <c r="AT87" s="4">
        <f>IF(OR(MID(TBBP[[#This Row],[Coluna1]],1,1)="1",MID(TBBP[[#This Row],[Coluna1]],1,1)="2"),TBBP[[#This Row],[Coluna45]],SUM(AH87:AS87))</f>
        <v>0</v>
      </c>
      <c r="AU87" s="4">
        <v>0</v>
      </c>
      <c r="AV87" s="4">
        <v>0</v>
      </c>
      <c r="AW87" s="4">
        <v>0</v>
      </c>
      <c r="AX87" s="4">
        <v>0</v>
      </c>
      <c r="AY87" s="4">
        <v>0</v>
      </c>
      <c r="AZ87" s="4">
        <v>0</v>
      </c>
      <c r="BA87" s="4">
        <v>0</v>
      </c>
      <c r="BB87" s="4">
        <v>0</v>
      </c>
      <c r="BC87" s="4">
        <v>0</v>
      </c>
      <c r="BD87" s="4">
        <v>0</v>
      </c>
      <c r="BE87" s="4">
        <v>0</v>
      </c>
      <c r="BF87" s="4">
        <v>0</v>
      </c>
      <c r="BG87" s="4">
        <f>IF(OR(MID(TBBP[[#This Row],[Coluna1]],1,1)="1",MID(TBBP[[#This Row],[Coluna1]],1,1)="2"),TBBP[[#This Row],[Coluna58]],SUM(AU87:BF87))</f>
        <v>0</v>
      </c>
      <c r="BH87" s="4">
        <v>0</v>
      </c>
      <c r="BI87" s="4">
        <v>0</v>
      </c>
      <c r="BJ87" s="4">
        <v>0</v>
      </c>
      <c r="BK87" s="4">
        <v>0</v>
      </c>
      <c r="BL87" s="4">
        <v>0</v>
      </c>
      <c r="BM87" s="4">
        <v>0</v>
      </c>
      <c r="BN87" s="4">
        <v>0</v>
      </c>
      <c r="BO87" s="4">
        <v>0</v>
      </c>
      <c r="BP87" s="4">
        <v>0</v>
      </c>
      <c r="BQ87" s="4">
        <v>0</v>
      </c>
      <c r="BR87" s="4">
        <v>0</v>
      </c>
      <c r="BS87" s="4">
        <v>0</v>
      </c>
      <c r="BT87" s="4">
        <f>IF(OR(MID(TBBP[[#This Row],[Coluna1]],1,1)="1",MID(TBBP[[#This Row],[Coluna1]],1,1)="2"),TBBP[[#This Row],[Coluna127]],SUM(BH87:BS87))</f>
        <v>0</v>
      </c>
      <c r="BU87" s="4">
        <v>0</v>
      </c>
      <c r="BV87" s="4">
        <v>0</v>
      </c>
      <c r="BW87" s="4">
        <v>0</v>
      </c>
      <c r="BX87" s="4">
        <v>0</v>
      </c>
      <c r="BY87" s="4">
        <v>0</v>
      </c>
      <c r="BZ87" s="4">
        <v>0</v>
      </c>
      <c r="CA87" s="4">
        <v>0</v>
      </c>
      <c r="CB87" s="4">
        <v>0</v>
      </c>
      <c r="CC87" s="4">
        <v>0</v>
      </c>
      <c r="CD87" s="4">
        <v>0</v>
      </c>
      <c r="CE87" s="4">
        <v>0</v>
      </c>
      <c r="CF87" s="4">
        <v>0</v>
      </c>
      <c r="CG87" s="4">
        <f>IF(OR(MID(TBBP[[#This Row],[Coluna1]],1,1)="1",MID(TBBP[[#This Row],[Coluna1]],1,1)="2"),CF87,SUM(BU87:CF87))</f>
        <v>0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  <c r="CT87" s="4">
        <f>IF(OR(MID(TBBP[[#This Row],[Coluna1]],1,1)="1",MID(TBBP[[#This Row],[Coluna1]],1,1)="2"),CS87,SUM(CH87:CS87))</f>
        <v>0</v>
      </c>
      <c r="CU87" s="255">
        <v>0</v>
      </c>
      <c r="CV87" s="255">
        <v>0</v>
      </c>
      <c r="CW87" s="255">
        <v>0</v>
      </c>
      <c r="CX87" s="255">
        <v>0</v>
      </c>
      <c r="CY87" s="255">
        <v>0</v>
      </c>
      <c r="CZ87" s="255">
        <v>0</v>
      </c>
      <c r="DA87" s="255">
        <v>0</v>
      </c>
      <c r="DB87" s="255">
        <v>0</v>
      </c>
      <c r="DC87" s="255">
        <v>0</v>
      </c>
      <c r="DD87" s="255">
        <v>0</v>
      </c>
      <c r="DE87" s="255">
        <v>0</v>
      </c>
      <c r="DF87" s="255">
        <v>0</v>
      </c>
      <c r="DG87" s="255">
        <v>0</v>
      </c>
      <c r="DH87" s="255">
        <v>0</v>
      </c>
      <c r="DI87" s="255">
        <v>0</v>
      </c>
      <c r="DJ87" s="255">
        <v>0</v>
      </c>
      <c r="DK87" s="255">
        <v>0</v>
      </c>
      <c r="DL87" s="255">
        <v>0</v>
      </c>
      <c r="DM87" s="255">
        <v>0</v>
      </c>
      <c r="DO87" s="9"/>
      <c r="DP87" s="30" t="str">
        <f>IF(OR(MID(TBBP[[#This Row],[Coluna1]],1,1)="1",MID(TBBP[[#This Row],[Coluna1]],1,1)="2"),"-",SUMIFS(87:87,listaPeriodos,$DR$1,listaPeriodos,$DR$2))</f>
        <v>-</v>
      </c>
      <c r="DR87" s="30">
        <f t="shared" si="89"/>
        <v>0</v>
      </c>
      <c r="DS87" s="30"/>
      <c r="DT87" s="30"/>
      <c r="DU87"/>
    </row>
    <row r="88" spans="1:126" x14ac:dyDescent="0.3">
      <c r="A88" s="7" t="s">
        <v>769</v>
      </c>
      <c r="B88" t="s">
        <v>770</v>
      </c>
      <c r="C88" s="4">
        <v>0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4">
        <v>0</v>
      </c>
      <c r="AC88" s="4">
        <v>0</v>
      </c>
      <c r="AD88" s="4">
        <v>0</v>
      </c>
      <c r="AE88" s="4">
        <v>0</v>
      </c>
      <c r="AF88" s="4">
        <v>0</v>
      </c>
      <c r="AG88" s="4">
        <v>0</v>
      </c>
      <c r="AH88" s="4">
        <v>0</v>
      </c>
      <c r="AI88" s="4">
        <v>0</v>
      </c>
      <c r="AJ88" s="4">
        <v>0</v>
      </c>
      <c r="AK88" s="4">
        <v>0</v>
      </c>
      <c r="AL88" s="4">
        <v>0</v>
      </c>
      <c r="AM88" s="4">
        <v>0</v>
      </c>
      <c r="AN88" s="4">
        <v>0</v>
      </c>
      <c r="AO88" s="4">
        <v>0</v>
      </c>
      <c r="AP88" s="4">
        <v>0</v>
      </c>
      <c r="AQ88" s="4">
        <v>0</v>
      </c>
      <c r="AR88" s="4">
        <v>0</v>
      </c>
      <c r="AS88" s="4">
        <v>0</v>
      </c>
      <c r="AT88" s="4">
        <v>0</v>
      </c>
      <c r="AU88" s="4">
        <v>0</v>
      </c>
      <c r="AV88" s="4">
        <v>0</v>
      </c>
      <c r="AW88" s="4">
        <v>0</v>
      </c>
      <c r="AX88" s="4">
        <v>0</v>
      </c>
      <c r="AY88" s="4">
        <v>0</v>
      </c>
      <c r="AZ88" s="4">
        <v>0</v>
      </c>
      <c r="BA88" s="4">
        <v>0</v>
      </c>
      <c r="BB88" s="4">
        <v>0</v>
      </c>
      <c r="BC88" s="4">
        <v>0</v>
      </c>
      <c r="BD88" s="4">
        <v>0</v>
      </c>
      <c r="BE88" s="4">
        <v>0</v>
      </c>
      <c r="BF88" s="4">
        <v>0</v>
      </c>
      <c r="BG88" s="4">
        <v>49965544.420000002</v>
      </c>
      <c r="BH88" s="4">
        <v>49965544.420000002</v>
      </c>
      <c r="BI88" s="4">
        <v>49965544.420000002</v>
      </c>
      <c r="BJ88" s="4">
        <v>49965544.420000002</v>
      </c>
      <c r="BK88" s="4">
        <v>49965544.420000002</v>
      </c>
      <c r="BL88" s="4">
        <v>49965544.420000002</v>
      </c>
      <c r="BM88" s="4">
        <v>49965544.420000002</v>
      </c>
      <c r="BN88" s="4">
        <v>49965544.420000002</v>
      </c>
      <c r="BO88" s="4">
        <v>49965544.420000002</v>
      </c>
      <c r="BP88" s="4">
        <v>49965544.420000002</v>
      </c>
      <c r="BQ88" s="4">
        <v>49965544.420000002</v>
      </c>
      <c r="BR88" s="4">
        <v>49965544.420000002</v>
      </c>
      <c r="BS88" s="4">
        <v>49965544.420000002</v>
      </c>
      <c r="BT88" s="4">
        <f>TBBP[[#This Row],[Coluna127]]+BS90+BS91+BS92</f>
        <v>63315063.965000011</v>
      </c>
      <c r="BU88" s="4">
        <v>63315063.969999999</v>
      </c>
      <c r="BV88" s="4">
        <v>63315063.969999999</v>
      </c>
      <c r="BW88" s="4">
        <v>63315063.969999999</v>
      </c>
      <c r="BX88" s="4">
        <v>63315063.969999999</v>
      </c>
      <c r="BY88" s="4">
        <v>63315063.969999999</v>
      </c>
      <c r="BZ88" s="4">
        <v>63315063.969999999</v>
      </c>
      <c r="CA88" s="4">
        <v>63315063.969999999</v>
      </c>
      <c r="CB88" s="4">
        <v>63315063.969999999</v>
      </c>
      <c r="CC88" s="4">
        <v>63315063.969999999</v>
      </c>
      <c r="CD88" s="4">
        <v>63315063.969999999</v>
      </c>
      <c r="CE88" s="4">
        <v>63315063.969999999</v>
      </c>
      <c r="CF88" s="4">
        <v>63315063.969999999</v>
      </c>
      <c r="CG88" s="4">
        <f>IF(OR(MID(TBBP[[#This Row],[Coluna1]],1,1)="1",MID(TBBP[[#This Row],[Coluna1]],1,1)="2"),CF88,SUM(BU88:CF88))</f>
        <v>63315063.969999999</v>
      </c>
      <c r="CH88" s="4">
        <v>72979584.900000006</v>
      </c>
      <c r="CI88" s="4">
        <v>72979584.900000006</v>
      </c>
      <c r="CJ88" s="4">
        <v>72979584.900000006</v>
      </c>
      <c r="CK88" s="4">
        <v>72979584.900000006</v>
      </c>
      <c r="CL88" s="4">
        <v>72979584.900000006</v>
      </c>
      <c r="CM88" s="4">
        <v>72979584.900000006</v>
      </c>
      <c r="CN88" s="4">
        <v>72979584.900000006</v>
      </c>
      <c r="CO88" s="4">
        <v>72979584.900000006</v>
      </c>
      <c r="CP88" s="4">
        <v>72979584.900000006</v>
      </c>
      <c r="CQ88" s="4">
        <v>72979584.900000006</v>
      </c>
      <c r="CR88" s="4">
        <v>72979584.900000006</v>
      </c>
      <c r="CS88" s="4">
        <v>72979584.900000006</v>
      </c>
      <c r="CT88" s="4">
        <f>IF(OR(MID(TBBP[[#This Row],[Coluna1]],1,1)="1",MID(TBBP[[#This Row],[Coluna1]],1,1)="2"),CS88,SUM(CH88:CS88))+11054471.99</f>
        <v>84034056.890000001</v>
      </c>
      <c r="CU88" s="255">
        <v>84034056.890000001</v>
      </c>
      <c r="CV88" s="255">
        <v>84034056.890000001</v>
      </c>
      <c r="CW88" s="255">
        <v>84034056.890000001</v>
      </c>
      <c r="CX88" s="255">
        <v>84034056.890000001</v>
      </c>
      <c r="CY88" s="255">
        <v>84034056.890000001</v>
      </c>
      <c r="CZ88" s="255">
        <v>84034056.890000001</v>
      </c>
      <c r="DA88" s="255">
        <v>84034056.890000001</v>
      </c>
      <c r="DB88" s="255">
        <v>84034056.890000001</v>
      </c>
      <c r="DC88" s="255">
        <v>84034056.890000001</v>
      </c>
      <c r="DD88" s="255">
        <v>84034056.890000001</v>
      </c>
      <c r="DE88" s="255">
        <v>84034056.890000001</v>
      </c>
      <c r="DF88" s="255">
        <f>77440058.42-9652890.5</f>
        <v>67787167.920000002</v>
      </c>
      <c r="DG88" s="255">
        <f>77440058.42-148258.67</f>
        <v>77291799.75</v>
      </c>
      <c r="DH88" s="255">
        <v>77291799.75</v>
      </c>
      <c r="DI88" s="255">
        <v>77291799.75</v>
      </c>
      <c r="DJ88" s="255">
        <v>77291799.75</v>
      </c>
      <c r="DK88" s="255">
        <v>77291799.75</v>
      </c>
      <c r="DL88" s="255">
        <v>77291799.75</v>
      </c>
      <c r="DM88" s="255">
        <v>77291799.75</v>
      </c>
      <c r="DO88" s="35"/>
      <c r="DP88" s="30" t="str">
        <f>IF(OR(MID(TBBP[[#This Row],[Coluna1]],1,1)="1",MID(TBBP[[#This Row],[Coluna1]],1,1)="2"),"-",SUMIFS(88:88,listaPeriodos,$DR$1,listaPeriodos,$DR$2))</f>
        <v>-</v>
      </c>
      <c r="DR88" s="30">
        <f t="shared" si="89"/>
        <v>0</v>
      </c>
      <c r="DS88" s="30"/>
      <c r="DT88" s="30"/>
      <c r="DU88"/>
      <c r="DV88" s="9"/>
    </row>
    <row r="89" spans="1:126" x14ac:dyDescent="0.3">
      <c r="A89" s="7" t="s">
        <v>94</v>
      </c>
      <c r="B89" t="s">
        <v>81</v>
      </c>
      <c r="C89" s="4">
        <v>2714499.53</v>
      </c>
      <c r="D89" s="4">
        <v>6906559.8400000008</v>
      </c>
      <c r="E89" s="4">
        <v>10278963.060000001</v>
      </c>
      <c r="F89" s="4">
        <v>13722622.92</v>
      </c>
      <c r="G89" s="4">
        <v>15555484.77</v>
      </c>
      <c r="H89" s="4">
        <v>16396378.839999998</v>
      </c>
      <c r="I89" s="4">
        <v>16396378.839999998</v>
      </c>
      <c r="J89" s="4">
        <v>16396378.839999998</v>
      </c>
      <c r="K89" s="4">
        <v>12206378.84</v>
      </c>
      <c r="L89" s="4">
        <v>12206378.84</v>
      </c>
      <c r="M89" s="4">
        <v>12206378.84</v>
      </c>
      <c r="N89" s="4">
        <v>12206378.84</v>
      </c>
      <c r="O89" s="4">
        <v>12206378.84</v>
      </c>
      <c r="P89" s="4">
        <v>12206378.84</v>
      </c>
      <c r="Q89" s="4">
        <v>12206378.84</v>
      </c>
      <c r="R89" s="4">
        <v>12206378.84</v>
      </c>
      <c r="S89" s="4">
        <v>12206378.84</v>
      </c>
      <c r="T89" s="4">
        <f>IF(OR(MID(TBBP[[#This Row],[Coluna1]],1,1)="1",MID(TBBP[[#This Row],[Coluna1]],1,1)="2"),TBBP[[#This Row],[Coluna19]],SUM(H89:S89))</f>
        <v>12206378.84</v>
      </c>
      <c r="U89" s="4">
        <v>15847594.449999999</v>
      </c>
      <c r="V89" s="4">
        <v>15847594.449999999</v>
      </c>
      <c r="W89" s="4">
        <v>15847594.449999999</v>
      </c>
      <c r="X89" s="4">
        <v>15859717.369999999</v>
      </c>
      <c r="Y89" s="4">
        <v>15865265.779999999</v>
      </c>
      <c r="Z89" s="4">
        <v>15865265.779999999</v>
      </c>
      <c r="AA89" s="4">
        <v>15865265.779999999</v>
      </c>
      <c r="AB89" s="4">
        <v>15865265.779999999</v>
      </c>
      <c r="AC89" s="4">
        <v>15865265.779999999</v>
      </c>
      <c r="AD89" s="4">
        <v>15865265.779999999</v>
      </c>
      <c r="AE89" s="4">
        <v>15862813.09</v>
      </c>
      <c r="AF89" s="4">
        <v>15862813.09</v>
      </c>
      <c r="AG89" s="4">
        <f>IF(OR(MID(TBBP[[#This Row],[Coluna1]],1,1)="1",MID(TBBP[[#This Row],[Coluna1]],1,1)="2"),TBBP[[#This Row],[Coluna32]],SUM(U89:AF89))</f>
        <v>15862813.09</v>
      </c>
      <c r="AH89" s="4">
        <v>20639860.710000001</v>
      </c>
      <c r="AI89" s="4">
        <v>20639860.710000001</v>
      </c>
      <c r="AJ89" s="4">
        <v>20639860.710000001</v>
      </c>
      <c r="AK89" s="4">
        <v>20576440.449999999</v>
      </c>
      <c r="AL89" s="4">
        <v>20576440.449999999</v>
      </c>
      <c r="AM89" s="4">
        <v>20576440.449999999</v>
      </c>
      <c r="AN89" s="4">
        <v>20576440.449999999</v>
      </c>
      <c r="AO89" s="4">
        <v>20576440.449999999</v>
      </c>
      <c r="AP89" s="4">
        <v>20576440.449999999</v>
      </c>
      <c r="AQ89" s="4">
        <v>20576440.449999999</v>
      </c>
      <c r="AR89" s="4">
        <v>20576440.449999999</v>
      </c>
      <c r="AS89" s="4">
        <v>20576441.760000002</v>
      </c>
      <c r="AT89" s="4">
        <f>IF(OR(MID(TBBP[[#This Row],[Coluna1]],1,1)="1",MID(TBBP[[#This Row],[Coluna1]],1,1)="2"),TBBP[[#This Row],[Coluna45]],SUM(AH89:AS89))</f>
        <v>20576441.760000002</v>
      </c>
      <c r="AU89" s="4">
        <v>30501111.27</v>
      </c>
      <c r="AV89" s="4">
        <v>30501111.27</v>
      </c>
      <c r="AW89" s="4">
        <v>30501111.27</v>
      </c>
      <c r="AX89" s="4">
        <v>30501111.27</v>
      </c>
      <c r="AY89" s="4">
        <v>30501111.27</v>
      </c>
      <c r="AZ89" s="4">
        <v>30501111.27</v>
      </c>
      <c r="BA89" s="4">
        <v>30501111.27</v>
      </c>
      <c r="BB89" s="4">
        <v>30501111.27</v>
      </c>
      <c r="BC89" s="4">
        <v>30501111.27</v>
      </c>
      <c r="BD89" s="4">
        <v>30501111.27</v>
      </c>
      <c r="BE89" s="4">
        <v>30501111.27</v>
      </c>
      <c r="BF89" s="4">
        <v>30501111.27</v>
      </c>
      <c r="BG89" s="4">
        <v>0</v>
      </c>
      <c r="BH89" s="4">
        <v>0</v>
      </c>
      <c r="BI89" s="4">
        <v>0</v>
      </c>
      <c r="BJ89" s="4">
        <v>0</v>
      </c>
      <c r="BK89" s="4">
        <v>0</v>
      </c>
      <c r="BL89" s="4">
        <v>0</v>
      </c>
      <c r="BM89" s="4">
        <v>0</v>
      </c>
      <c r="BN89" s="4">
        <v>0</v>
      </c>
      <c r="BO89" s="4">
        <v>0</v>
      </c>
      <c r="BP89" s="4">
        <v>0</v>
      </c>
      <c r="BQ89" s="4">
        <v>0</v>
      </c>
      <c r="BR89" s="4">
        <v>0</v>
      </c>
      <c r="BS89" s="4">
        <v>0</v>
      </c>
      <c r="BT89" s="4">
        <f>IF(OR(MID(TBBP[[#This Row],[Coluna1]],1,1)="1",MID(TBBP[[#This Row],[Coluna1]],1,1)="2"),TBBP[[#This Row],[Coluna127]],SUM(BH89:BS89))</f>
        <v>0</v>
      </c>
      <c r="BU89" s="4">
        <v>0</v>
      </c>
      <c r="BV89" s="4">
        <v>0</v>
      </c>
      <c r="BW89" s="4">
        <v>0</v>
      </c>
      <c r="BX89" s="4">
        <v>0</v>
      </c>
      <c r="BY89" s="4">
        <v>0</v>
      </c>
      <c r="BZ89" s="4">
        <v>0</v>
      </c>
      <c r="CA89" s="4">
        <v>0</v>
      </c>
      <c r="CB89" s="4">
        <v>0</v>
      </c>
      <c r="CC89" s="4">
        <v>0</v>
      </c>
      <c r="CD89" s="4">
        <v>0</v>
      </c>
      <c r="CE89" s="4">
        <v>0</v>
      </c>
      <c r="CF89" s="4">
        <v>0</v>
      </c>
      <c r="CG89" s="4">
        <f>IF(OR(MID(TBBP[[#This Row],[Coluna1]],1,1)="1",MID(TBBP[[#This Row],[Coluna1]],1,1)="2"),CF89,SUM(BU89:CF89))</f>
        <v>0</v>
      </c>
      <c r="CH89" s="4">
        <v>0</v>
      </c>
      <c r="CI89" s="4">
        <v>0</v>
      </c>
      <c r="CJ89" s="4">
        <v>0</v>
      </c>
      <c r="CK89" s="4">
        <v>0</v>
      </c>
      <c r="CL89" s="4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  <c r="CT89" s="4">
        <f>IF(OR(MID(TBBP[[#This Row],[Coluna1]],1,1)="1",MID(TBBP[[#This Row],[Coluna1]],1,1)="2"),CS89,SUM(CH89:CS89))</f>
        <v>0</v>
      </c>
      <c r="CU89" s="255">
        <v>0</v>
      </c>
      <c r="CV89" s="255">
        <v>0</v>
      </c>
      <c r="CW89" s="255">
        <v>0</v>
      </c>
      <c r="CX89" s="255">
        <v>0</v>
      </c>
      <c r="CY89" s="255">
        <v>0</v>
      </c>
      <c r="CZ89" s="255">
        <v>0</v>
      </c>
      <c r="DA89" s="255">
        <v>0</v>
      </c>
      <c r="DB89" s="255">
        <v>0</v>
      </c>
      <c r="DC89" s="255">
        <v>0</v>
      </c>
      <c r="DD89" s="255">
        <v>0</v>
      </c>
      <c r="DE89" s="255">
        <v>0</v>
      </c>
      <c r="DF89" s="255">
        <v>0</v>
      </c>
      <c r="DG89" s="255">
        <v>0</v>
      </c>
      <c r="DH89" s="255">
        <v>0</v>
      </c>
      <c r="DI89" s="255">
        <v>0</v>
      </c>
      <c r="DJ89" s="255">
        <v>0</v>
      </c>
      <c r="DK89" s="255">
        <v>0</v>
      </c>
      <c r="DL89" s="255">
        <v>0</v>
      </c>
      <c r="DM89" s="255">
        <v>0</v>
      </c>
      <c r="DP89" s="30" t="str">
        <f>IF(OR(MID(TBBP[[#This Row],[Coluna1]],1,1)="1",MID(TBBP[[#This Row],[Coluna1]],1,1)="2"),"-",SUMIFS(89:89,listaPeriodos,$DR$1,listaPeriodos,$DR$2))</f>
        <v>-</v>
      </c>
      <c r="DR89" s="30">
        <f t="shared" si="89"/>
        <v>0</v>
      </c>
      <c r="DS89" s="30"/>
      <c r="DT89" s="30"/>
      <c r="DU89"/>
    </row>
    <row r="90" spans="1:126" x14ac:dyDescent="0.3">
      <c r="A90" s="7" t="s">
        <v>1035</v>
      </c>
      <c r="B90" t="s">
        <v>1036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s="4">
        <v>0</v>
      </c>
      <c r="AC90" s="4">
        <v>0</v>
      </c>
      <c r="AD90" s="4">
        <v>0</v>
      </c>
      <c r="AE90" s="4">
        <v>0</v>
      </c>
      <c r="AF90" s="4">
        <v>0</v>
      </c>
      <c r="AG90" s="4">
        <f>IF(OR(MID(TBBP[[#This Row],[Coluna1]],1,1)="1",MID(TBBP[[#This Row],[Coluna1]],1,1)="2"),TBBP[[#This Row],[Coluna19]],SUM(U90:AF90))</f>
        <v>0</v>
      </c>
      <c r="AH90" s="4">
        <f>IF(OR(MID(TBBP[[#This Row],[Coluna1]],1,1)="1",MID(TBBP[[#This Row],[Coluna1]],1,1)="2"),TBBP[[#This Row],[Coluna19]],SUM(V90:AG90))</f>
        <v>0</v>
      </c>
      <c r="AI90" s="4">
        <f>IF(OR(MID(TBBP[[#This Row],[Coluna1]],1,1)="1",MID(TBBP[[#This Row],[Coluna1]],1,1)="2"),TBBP[[#This Row],[Coluna19]],SUM(W90:AH90))</f>
        <v>0</v>
      </c>
      <c r="AJ90" s="4">
        <f>IF(OR(MID(TBBP[[#This Row],[Coluna1]],1,1)="1",MID(TBBP[[#This Row],[Coluna1]],1,1)="2"),TBBP[[#This Row],[Coluna19]],SUM(X90:AI90))</f>
        <v>0</v>
      </c>
      <c r="AK90" s="4">
        <f>IF(OR(MID(TBBP[[#This Row],[Coluna1]],1,1)="1",MID(TBBP[[#This Row],[Coluna1]],1,1)="2"),TBBP[[#This Row],[Coluna19]],SUM(Y90:AJ90))</f>
        <v>0</v>
      </c>
      <c r="AL90" s="4">
        <f>IF(OR(MID(TBBP[[#This Row],[Coluna1]],1,1)="1",MID(TBBP[[#This Row],[Coluna1]],1,1)="2"),TBBP[[#This Row],[Coluna19]],SUM(Z90:AK90))</f>
        <v>0</v>
      </c>
      <c r="AM90" s="4">
        <f>IF(OR(MID(TBBP[[#This Row],[Coluna1]],1,1)="1",MID(TBBP[[#This Row],[Coluna1]],1,1)="2"),TBBP[[#This Row],[Coluna19]],SUM(AA90:AL90))</f>
        <v>0</v>
      </c>
      <c r="AN90" s="4">
        <f>IF(OR(MID(TBBP[[#This Row],[Coluna1]],1,1)="1",MID(TBBP[[#This Row],[Coluna1]],1,1)="2"),TBBP[[#This Row],[Coluna19]],SUM(AB90:AM90))</f>
        <v>0</v>
      </c>
      <c r="AO90" s="4">
        <f>IF(OR(MID(TBBP[[#This Row],[Coluna1]],1,1)="1",MID(TBBP[[#This Row],[Coluna1]],1,1)="2"),TBBP[[#This Row],[Coluna19]],SUM(AC90:AN90))</f>
        <v>0</v>
      </c>
      <c r="AP90" s="4">
        <f>IF(OR(MID(TBBP[[#This Row],[Coluna1]],1,1)="1",MID(TBBP[[#This Row],[Coluna1]],1,1)="2"),TBBP[[#This Row],[Coluna19]],SUM(AD90:AO90))</f>
        <v>0</v>
      </c>
      <c r="AQ90" s="4">
        <f>IF(OR(MID(TBBP[[#This Row],[Coluna1]],1,1)="1",MID(TBBP[[#This Row],[Coluna1]],1,1)="2"),TBBP[[#This Row],[Coluna19]],SUM(AE90:AP90))</f>
        <v>0</v>
      </c>
      <c r="AR90" s="4">
        <f>IF(OR(MID(TBBP[[#This Row],[Coluna1]],1,1)="1",MID(TBBP[[#This Row],[Coluna1]],1,1)="2"),TBBP[[#This Row],[Coluna19]],SUM(AF90:AQ90))</f>
        <v>0</v>
      </c>
      <c r="AS90" s="4">
        <f>IF(OR(MID(TBBP[[#This Row],[Coluna1]],1,1)="1",MID(TBBP[[#This Row],[Coluna1]],1,1)="2"),TBBP[[#This Row],[Coluna19]],SUM(AG90:AR90))</f>
        <v>0</v>
      </c>
      <c r="AT90" s="4">
        <f>IF(OR(MID(TBBP[[#This Row],[Coluna1]],1,1)="1",MID(TBBP[[#This Row],[Coluna1]],1,1)="2"),TBBP[[#This Row],[Coluna19]],SUM(AH90:AS90))</f>
        <v>0</v>
      </c>
      <c r="AU90" s="4">
        <f>IF(OR(MID(TBBP[[#This Row],[Coluna1]],1,1)="1",MID(TBBP[[#This Row],[Coluna1]],1,1)="2"),TBBP[[#This Row],[Coluna19]],SUM(AI90:AT90))</f>
        <v>0</v>
      </c>
      <c r="AV90" s="4">
        <f>IF(OR(MID(TBBP[[#This Row],[Coluna1]],1,1)="1",MID(TBBP[[#This Row],[Coluna1]],1,1)="2"),TBBP[[#This Row],[Coluna19]],SUM(AJ90:AU90))</f>
        <v>0</v>
      </c>
      <c r="AW90" s="4">
        <f>IF(OR(MID(TBBP[[#This Row],[Coluna1]],1,1)="1",MID(TBBP[[#This Row],[Coluna1]],1,1)="2"),TBBP[[#This Row],[Coluna19]],SUM(AK90:AV90))</f>
        <v>0</v>
      </c>
      <c r="AX90" s="4">
        <f>IF(OR(MID(TBBP[[#This Row],[Coluna1]],1,1)="1",MID(TBBP[[#This Row],[Coluna1]],1,1)="2"),TBBP[[#This Row],[Coluna19]],SUM(AL90:AW90))</f>
        <v>0</v>
      </c>
      <c r="AY90" s="4">
        <f>IF(OR(MID(TBBP[[#This Row],[Coluna1]],1,1)="1",MID(TBBP[[#This Row],[Coluna1]],1,1)="2"),TBBP[[#This Row],[Coluna19]],SUM(AM90:AX90))</f>
        <v>0</v>
      </c>
      <c r="AZ90" s="4">
        <f>IF(OR(MID(TBBP[[#This Row],[Coluna1]],1,1)="1",MID(TBBP[[#This Row],[Coluna1]],1,1)="2"),TBBP[[#This Row],[Coluna19]],SUM(AN90:AY90))</f>
        <v>0</v>
      </c>
      <c r="BA90" s="4">
        <f>IF(OR(MID(TBBP[[#This Row],[Coluna1]],1,1)="1",MID(TBBP[[#This Row],[Coluna1]],1,1)="2"),TBBP[[#This Row],[Coluna19]],SUM(AO90:AZ90))</f>
        <v>0</v>
      </c>
      <c r="BB90" s="4">
        <f>IF(OR(MID(TBBP[[#This Row],[Coluna1]],1,1)="1",MID(TBBP[[#This Row],[Coluna1]],1,1)="2"),TBBP[[#This Row],[Coluna19]],SUM(AP90:BA90))</f>
        <v>0</v>
      </c>
      <c r="BC90" s="4">
        <f>IF(OR(MID(TBBP[[#This Row],[Coluna1]],1,1)="1",MID(TBBP[[#This Row],[Coluna1]],1,1)="2"),TBBP[[#This Row],[Coluna19]],SUM(AQ90:BB90))</f>
        <v>0</v>
      </c>
      <c r="BD90" s="4">
        <f>IF(OR(MID(TBBP[[#This Row],[Coluna1]],1,1)="1",MID(TBBP[[#This Row],[Coluna1]],1,1)="2"),TBBP[[#This Row],[Coluna19]],SUM(AR90:BC90))</f>
        <v>0</v>
      </c>
      <c r="BE90" s="4">
        <f>IF(OR(MID(TBBP[[#This Row],[Coluna1]],1,1)="1",MID(TBBP[[#This Row],[Coluna1]],1,1)="2"),TBBP[[#This Row],[Coluna19]],SUM(AS90:BD90))</f>
        <v>0</v>
      </c>
      <c r="BF90" s="4">
        <f>IF(OR(MID(TBBP[[#This Row],[Coluna1]],1,1)="1",MID(TBBP[[#This Row],[Coluna1]],1,1)="2"),TBBP[[#This Row],[Coluna19]],SUM(AT90:BE90))</f>
        <v>0</v>
      </c>
      <c r="BG90" s="4">
        <f>IF(OR(MID(TBBP[[#This Row],[Coluna1]],1,1)="1",MID(TBBP[[#This Row],[Coluna1]],1,1)="2"),TBBP[[#This Row],[Coluna19]],SUM(AU90:BF90))</f>
        <v>0</v>
      </c>
      <c r="BH90" s="4">
        <v>0</v>
      </c>
      <c r="BI90" s="4">
        <v>0</v>
      </c>
      <c r="BJ90" s="4">
        <v>0</v>
      </c>
      <c r="BK90" s="4">
        <v>0</v>
      </c>
      <c r="BL90" s="4">
        <v>0</v>
      </c>
      <c r="BM90" s="4">
        <v>0</v>
      </c>
      <c r="BN90" s="4">
        <v>285278.82</v>
      </c>
      <c r="BO90" s="4">
        <v>285278.82</v>
      </c>
      <c r="BP90" s="4">
        <v>286990.82</v>
      </c>
      <c r="BQ90" s="4">
        <v>286990.82</v>
      </c>
      <c r="BR90" s="4">
        <v>286990.82</v>
      </c>
      <c r="BS90" s="4">
        <v>286990.82</v>
      </c>
      <c r="BT90" s="4"/>
      <c r="BU90" s="4">
        <v>0</v>
      </c>
      <c r="BV90" s="4">
        <v>0</v>
      </c>
      <c r="BW90" s="4">
        <v>0</v>
      </c>
      <c r="BX90" s="4">
        <v>0</v>
      </c>
      <c r="BY90" s="4">
        <v>0</v>
      </c>
      <c r="BZ90" s="4">
        <v>0</v>
      </c>
      <c r="CA90" s="4">
        <v>-127407.11</v>
      </c>
      <c r="CB90" s="4">
        <v>-127407.11</v>
      </c>
      <c r="CC90" s="4">
        <v>-127407.11</v>
      </c>
      <c r="CD90" s="4">
        <v>-127407.11</v>
      </c>
      <c r="CE90" s="4">
        <v>-136329.22</v>
      </c>
      <c r="CF90" s="4">
        <v>-126734.39999999999</v>
      </c>
      <c r="CG90" s="4">
        <f>IF(OR(MID(TBBP[[#This Row],[Coluna1]],1,1)="1",MID(TBBP[[#This Row],[Coluna1]],1,1)="2"),CF90,SUM(BU90:CF90))</f>
        <v>-126734.39999999999</v>
      </c>
      <c r="CH90" s="4">
        <v>993457</v>
      </c>
      <c r="CI90" s="4">
        <v>993457</v>
      </c>
      <c r="CJ90" s="4">
        <v>993457</v>
      </c>
      <c r="CK90" s="4">
        <v>993457</v>
      </c>
      <c r="CL90" s="4">
        <v>993457</v>
      </c>
      <c r="CM90" s="4">
        <v>993457</v>
      </c>
      <c r="CN90" s="4">
        <f>-1742.75+993457</f>
        <v>991714.25</v>
      </c>
      <c r="CO90" s="4">
        <f>208598.71+993457</f>
        <v>1202055.71</v>
      </c>
      <c r="CP90" s="4">
        <f>195854.76+993457</f>
        <v>1189311.76</v>
      </c>
      <c r="CQ90" s="4">
        <f>182689.79+993457</f>
        <v>1176146.79</v>
      </c>
      <c r="CR90" s="4">
        <f>182689.79+993457</f>
        <v>1176146.79</v>
      </c>
      <c r="CS90" s="4">
        <f>169198.03+993457</f>
        <v>1162655.03</v>
      </c>
      <c r="CT90" s="4">
        <v>0</v>
      </c>
      <c r="CU90" s="255">
        <v>-12722.33</v>
      </c>
      <c r="CV90" s="255">
        <v>-25822.639999999999</v>
      </c>
      <c r="CW90" s="255">
        <v>-25822.639999999999</v>
      </c>
      <c r="CX90" s="255">
        <v>-25822.639999999999</v>
      </c>
      <c r="CY90" s="255">
        <v>-25822.639999999999</v>
      </c>
      <c r="CZ90" s="255">
        <v>-25822.639999999999</v>
      </c>
      <c r="DA90" s="255">
        <v>-25822.639999999999</v>
      </c>
      <c r="DB90" s="255">
        <v>-145464.65</v>
      </c>
      <c r="DC90" s="255">
        <v>-145464.65</v>
      </c>
      <c r="DD90" s="255">
        <v>-148258.67000000001</v>
      </c>
      <c r="DE90" s="255">
        <v>-148258.67000000001</v>
      </c>
      <c r="DF90" s="255">
        <v>-148258.67000000001</v>
      </c>
      <c r="DG90" s="255">
        <v>0</v>
      </c>
      <c r="DH90" s="255">
        <v>0</v>
      </c>
      <c r="DI90" s="255">
        <v>0</v>
      </c>
      <c r="DJ90" s="255">
        <v>0</v>
      </c>
      <c r="DK90" s="255">
        <f>-47.21-38.59</f>
        <v>-85.800000000000011</v>
      </c>
      <c r="DL90" s="255">
        <f>-47.21-38.59-3890.05</f>
        <v>-3975.8500000000004</v>
      </c>
      <c r="DM90" s="255">
        <f>-27888.92-9501.28</f>
        <v>-37390.199999999997</v>
      </c>
      <c r="DO90" s="9"/>
      <c r="DP90" s="30" t="str">
        <f>IF(OR(MID(TBBP[[#This Row],[Coluna1]],1,1)="1",MID(TBBP[[#This Row],[Coluna1]],1,1)="2"),"-",SUMIFS(90:90,listaPeriodos,$DR$1,listaPeriodos,$DR$2))</f>
        <v>-</v>
      </c>
      <c r="DR90" s="30">
        <f t="shared" si="89"/>
        <v>0</v>
      </c>
      <c r="DS90" s="30"/>
      <c r="DT90" s="30"/>
      <c r="DU90"/>
    </row>
    <row r="91" spans="1:126" x14ac:dyDescent="0.3">
      <c r="A91" s="7" t="s">
        <v>98</v>
      </c>
      <c r="B91" t="s">
        <v>993</v>
      </c>
      <c r="C91" s="4">
        <v>4882023.78</v>
      </c>
      <c r="D91" s="4">
        <v>4909752.5666479971</v>
      </c>
      <c r="E91" s="4">
        <v>5990845.3499999959</v>
      </c>
      <c r="F91" s="4">
        <v>4094465.8455531197</v>
      </c>
      <c r="G91" s="4">
        <v>3017322.9899999974</v>
      </c>
      <c r="H91" s="4">
        <v>292019.20383600012</v>
      </c>
      <c r="I91" s="4">
        <v>599608.58766799991</v>
      </c>
      <c r="J91" s="4">
        <v>1092496.020512</v>
      </c>
      <c r="K91" s="4">
        <v>1546872.3399800002</v>
      </c>
      <c r="L91" s="4">
        <v>1720256.6631760004</v>
      </c>
      <c r="M91" s="4">
        <v>1921060.5285400006</v>
      </c>
      <c r="N91" s="4">
        <v>2519117.91</v>
      </c>
      <c r="O91" s="4">
        <v>3075609.29</v>
      </c>
      <c r="P91" s="4">
        <v>4194200.86</v>
      </c>
      <c r="Q91" s="4">
        <v>4774653.4685400007</v>
      </c>
      <c r="R91" s="4">
        <v>4828713.8785400009</v>
      </c>
      <c r="S91" s="4">
        <v>5065488.8285400001</v>
      </c>
      <c r="T91" s="4">
        <f>IF(OR(MID(TBBP[[#This Row],[Coluna1]],1,1)="1",MID(TBBP[[#This Row],[Coluna1]],1,1)="2"),TBBP[[#This Row],[Coluna19]],SUM(H91:S91))</f>
        <v>5065488.8285400001</v>
      </c>
      <c r="U91" s="4">
        <v>254542.06120000049</v>
      </c>
      <c r="V91" s="4">
        <v>487998.4412</v>
      </c>
      <c r="W91" s="4">
        <v>885121.56120000035</v>
      </c>
      <c r="X91" s="4">
        <v>1502337.3812000002</v>
      </c>
      <c r="Y91" s="4">
        <v>2086872.43</v>
      </c>
      <c r="Z91" s="4">
        <v>2221432.9312</v>
      </c>
      <c r="AA91" s="4">
        <v>3036503.0112000005</v>
      </c>
      <c r="AB91" s="4">
        <v>3433117.2711999998</v>
      </c>
      <c r="AC91" s="4">
        <v>4310840.6911999993</v>
      </c>
      <c r="AD91" s="4">
        <v>5219845.2412</v>
      </c>
      <c r="AE91" s="4">
        <v>5630506.0612000003</v>
      </c>
      <c r="AF91" s="4">
        <v>6065079.5811999999</v>
      </c>
      <c r="AG91" s="4">
        <f>IF(OR(MID(TBBP[[#This Row],[Coluna1]],1,1)="1",MID(TBBP[[#This Row],[Coluna1]],1,1)="2"),TBBP[[#This Row],[Coluna32]],SUM(U91:AF91))</f>
        <v>6065079.5811999999</v>
      </c>
      <c r="AH91" s="4">
        <v>531662.90999999968</v>
      </c>
      <c r="AI91" s="32">
        <v>796562.63999999955</v>
      </c>
      <c r="AJ91" s="32">
        <v>827867.16999999946</v>
      </c>
      <c r="AK91" s="32">
        <v>952691.18999999901</v>
      </c>
      <c r="AL91" s="32">
        <v>1565175.04</v>
      </c>
      <c r="AM91" s="32">
        <v>3058475.21</v>
      </c>
      <c r="AN91" s="32">
        <v>4256043.7699999996</v>
      </c>
      <c r="AO91" s="32">
        <v>5571020.7300000004</v>
      </c>
      <c r="AP91" s="32">
        <v>7035103.5200000014</v>
      </c>
      <c r="AQ91" s="32">
        <v>8730357.9300000016</v>
      </c>
      <c r="AR91" s="32">
        <v>9841774.8700000029</v>
      </c>
      <c r="AS91" s="32">
        <v>11120726.820000004</v>
      </c>
      <c r="AT91" s="4">
        <f>IF(OR(MID(TBBP[[#This Row],[Coluna1]],1,1)="1",MID(TBBP[[#This Row],[Coluna1]],1,1)="2"),TBBP[[#This Row],[Coluna45]],SUM(AH91:AS91))</f>
        <v>11120726.820000004</v>
      </c>
      <c r="AU91" s="4">
        <f>SUM($AU$123:AU123)</f>
        <v>1381027.6000000015</v>
      </c>
      <c r="AV91" s="4">
        <f>SUM($AU$123:AV123)</f>
        <v>2326051.0700000026</v>
      </c>
      <c r="AW91" s="4">
        <f>SUM($AU$123:AW123)</f>
        <v>4152840.3600000022</v>
      </c>
      <c r="AX91" s="4">
        <f>SUM($AU$123:AX123)</f>
        <v>6669900.1400000025</v>
      </c>
      <c r="AY91" s="4">
        <f>SUM($AU$123:AY123)</f>
        <v>9052770.4100000039</v>
      </c>
      <c r="AZ91" s="4">
        <f>SUM($AU$123:AZ123)</f>
        <v>11919284.500000004</v>
      </c>
      <c r="BA91" s="4">
        <f>SUM($AU$123:BA123)</f>
        <v>14815002.720000006</v>
      </c>
      <c r="BB91" s="4">
        <f>SUM($AU$123:BB123)</f>
        <v>17547119.830000006</v>
      </c>
      <c r="BC91" s="4">
        <f>SUM($AU$123:BC123)</f>
        <v>20621001.550000004</v>
      </c>
      <c r="BD91" s="4">
        <f>SUM($AU$123:BD123)</f>
        <v>22004411.670000002</v>
      </c>
      <c r="BE91" s="4">
        <f>SUM($AU$123:BE123)</f>
        <v>23488691.050000001</v>
      </c>
      <c r="BF91" s="4">
        <f>SUM($AU$123:BF123)</f>
        <v>24551941.23</v>
      </c>
      <c r="BG91" s="4">
        <v>0</v>
      </c>
      <c r="BH91" s="4">
        <f>BH123</f>
        <v>713523.09000000032</v>
      </c>
      <c r="BI91" s="239">
        <f>TBBP[[#This Row],[Coluna116]]+BI123</f>
        <v>1808194.0100000005</v>
      </c>
      <c r="BJ91" s="4">
        <f>TBBP[[#This Row],[Coluna117]]+BJ123</f>
        <v>3477547.1199999992</v>
      </c>
      <c r="BK91" s="4">
        <f>TBBP[[#This Row],[Coluna118]]+BK123</f>
        <v>5205686.33</v>
      </c>
      <c r="BL91" s="4">
        <f>TBBP[[#This Row],[Coluna119]]+BL123</f>
        <v>6709359.3299999982</v>
      </c>
      <c r="BM91" s="4">
        <f>TBBP[[#This Row],[Coluna120]]+BM123</f>
        <v>8072486.9499999993</v>
      </c>
      <c r="BN91" s="4">
        <f>TBBP[[#This Row],[Coluna121]]+BN123</f>
        <v>9799204.7299999986</v>
      </c>
      <c r="BO91" s="4">
        <f>TBBP[[#This Row],[Coluna122]]+BO123</f>
        <v>11205559.930000002</v>
      </c>
      <c r="BP91" s="4">
        <f>TBBP[[#This Row],[Coluna123]]+BP123</f>
        <v>12609569.850000003</v>
      </c>
      <c r="BQ91" s="4">
        <f>TBBP[[#This Row],[Coluna124]]+BQ123</f>
        <v>13038620.350000003</v>
      </c>
      <c r="BR91" s="4">
        <f>TBBP[[#This Row],[Coluna125]]+BR123</f>
        <v>14552954.710000003</v>
      </c>
      <c r="BS91" s="4">
        <f>TBBP[[#This Row],[Coluna126]]+BS123</f>
        <v>14712785.135000004</v>
      </c>
      <c r="BT91" s="4"/>
      <c r="BU91" s="4">
        <f>BU123</f>
        <v>512476.26260000048</v>
      </c>
      <c r="BV91" s="4">
        <f>TBBP[[#This Row],[Coluna170]]+BV123</f>
        <v>679423.09840000013</v>
      </c>
      <c r="BW91" s="4">
        <f>TBBP[[#This Row],[Coluna171]]+BW123</f>
        <v>1385461.5441999999</v>
      </c>
      <c r="BX91" s="4">
        <f>TBBP[[#This Row],[Coluna172]]+BX123</f>
        <v>2302596.5647999994</v>
      </c>
      <c r="BY91" s="4">
        <f>TBBP[[#This Row],[Coluna173]]+BY123</f>
        <v>4131323.9403999993</v>
      </c>
      <c r="BZ91" s="4">
        <f>TBBP[[#This Row],[Coluna174]]+BZ123</f>
        <v>5583526.9792000009</v>
      </c>
      <c r="CA91" s="4">
        <f>TBBP[[#This Row],[Coluna175]]+CA123</f>
        <v>5988349.6682000011</v>
      </c>
      <c r="CB91" s="4">
        <f>TBBP[[#This Row],[Coluna176]]+CB123</f>
        <v>7019437.1115999995</v>
      </c>
      <c r="CC91" s="4">
        <f>TBBP[[#This Row],[Coluna177]]+CC123</f>
        <v>7598339.8041999992</v>
      </c>
      <c r="CD91" s="4">
        <f>TBBP[[#This Row],[Coluna178]]+CD123</f>
        <v>8986631.5689999983</v>
      </c>
      <c r="CE91" s="4">
        <f>TBBP[[#This Row],[Coluna179]]+CE123</f>
        <v>9346406.1353999991</v>
      </c>
      <c r="CF91" s="4">
        <v>10824476.855799999</v>
      </c>
      <c r="CG91" s="4">
        <f>IF(OR(MID(TBBP[[#This Row],[Coluna1]],1,1)="1",MID(TBBP[[#This Row],[Coluna1]],1,1)="2"),CF91,SUM(BU91:CF91))</f>
        <v>10824476.855799999</v>
      </c>
      <c r="CH91" s="4">
        <f>CH123</f>
        <v>654999.19419999945</v>
      </c>
      <c r="CI91" s="4">
        <f>TBBP[[#This Row],[Coluna237]]+CI123</f>
        <v>1887776.2109999969</v>
      </c>
      <c r="CJ91" s="239">
        <f>TBBP[[#This Row],[Coluna238]]+CJ123</f>
        <v>2411481.702399997</v>
      </c>
      <c r="CK91" s="4">
        <f>TBBP[[#This Row],[Coluna239]]+CK123</f>
        <v>4423951.4349999949</v>
      </c>
      <c r="CL91" s="4">
        <f>TBBP[[#This Row],[Coluna240]]+CL123</f>
        <v>4863019.7165999953</v>
      </c>
      <c r="CM91" s="239">
        <f>TBBP[[#This Row],[Coluna241]]+CM123</f>
        <v>6028111.2840999933</v>
      </c>
      <c r="CN91" s="4">
        <f>TBBP[[#This Row],[Coluna242]]+CN123</f>
        <v>7244249.5540999947</v>
      </c>
      <c r="CO91" s="4">
        <f>TBBP[[#This Row],[Coluna243]]+CO123</f>
        <v>7775892.4740999956</v>
      </c>
      <c r="CP91" s="4">
        <f>TBBP[[#This Row],[Coluna244]]+CP123</f>
        <v>9085802.6440999936</v>
      </c>
      <c r="CQ91" s="4">
        <f>TBBP[[#This Row],[Coluna245]]+CQ123</f>
        <v>9398940.8540999945</v>
      </c>
      <c r="CR91" s="4">
        <f>TBBP[[#This Row],[Coluna246]]+CR123</f>
        <v>8890268.244099997</v>
      </c>
      <c r="CS91" s="4">
        <f>TBBP[[#This Row],[Coluna247]]+CS123</f>
        <v>10578797.474099996</v>
      </c>
      <c r="CT91" s="4">
        <v>0</v>
      </c>
      <c r="CU91" s="4">
        <f>CU123</f>
        <v>1213747.2017999988</v>
      </c>
      <c r="CV91" s="4">
        <f>TBBP[[#This Row],[Coluna287]]+CV123</f>
        <v>2027332.296799998</v>
      </c>
      <c r="CW91" s="4">
        <f>TBBP[[#This Row],[Coluna288]]+CW123</f>
        <v>3156281.0079999967</v>
      </c>
      <c r="CX91" s="4">
        <f>TBBP[[#This Row],[Coluna289]]+CX123</f>
        <v>5158720.3441999964</v>
      </c>
      <c r="CY91" s="4">
        <f>TBBP[[#This Row],[Coluna290]]+CY123</f>
        <v>7299506.3911999967</v>
      </c>
      <c r="CZ91" s="4">
        <f>TBBP[[#This Row],[Coluna291]]+CZ123</f>
        <v>6800456.9986999976</v>
      </c>
      <c r="DA91" s="4">
        <f>TBBP[[#This Row],[Coluna292]]+DA123</f>
        <v>6860335.6948999958</v>
      </c>
      <c r="DB91" s="4">
        <f>TBBP[[#This Row],[Coluna293]]+DB123</f>
        <v>8105980.7148999972</v>
      </c>
      <c r="DC91" s="4">
        <f>TBBP[[#This Row],[Coluna294]]+DC123</f>
        <v>8483228.5410999972</v>
      </c>
      <c r="DD91" s="4">
        <f>TBBP[[#This Row],[Coluna295]]+DD123</f>
        <v>8933075.4206999987</v>
      </c>
      <c r="DE91" s="4">
        <f>DD91+DE123</f>
        <v>9543847.4060999975</v>
      </c>
      <c r="DF91" s="4">
        <f>TBBP[[#This Row],[Coluna297]]+DF123</f>
        <v>9652890.5028999969</v>
      </c>
      <c r="DG91" s="255">
        <v>0</v>
      </c>
      <c r="DH91" s="255">
        <f>DH123</f>
        <v>811622.50919999939</v>
      </c>
      <c r="DI91" s="4">
        <f>TBBP[[#This Row],[Coluna300]]+DI123</f>
        <v>1126056.3881999981</v>
      </c>
      <c r="DJ91" s="4">
        <f>DI91+DJ123</f>
        <v>1383896.4795999965</v>
      </c>
      <c r="DK91" s="4">
        <f>TBBP[[#This Row],[Coluna302]]+DK123</f>
        <v>3185193.3045999948</v>
      </c>
      <c r="DL91" s="4">
        <f>TBBP[[#This Row],[Coluna303]]+DL123</f>
        <v>3322496.7853999934</v>
      </c>
      <c r="DM91" s="4">
        <f>TBBP[[#This Row],[Coluna60]]+DM123</f>
        <v>3686397.0801999923</v>
      </c>
      <c r="DP91" s="30" t="str">
        <f>IF(OR(MID(TBBP[[#This Row],[Coluna1]],1,1)="1",MID(TBBP[[#This Row],[Coluna1]],1,1)="2"),"-",SUMIFS(91:91,listaPeriodos,$DR$1,listaPeriodos,$DR$2))</f>
        <v>-</v>
      </c>
      <c r="DR91" s="30">
        <f t="shared" si="89"/>
        <v>0</v>
      </c>
      <c r="DS91" s="30"/>
      <c r="DT91" s="30"/>
      <c r="DU91"/>
    </row>
    <row r="92" spans="1:126" s="12" customFormat="1" ht="15" thickBot="1" x14ac:dyDescent="0.35">
      <c r="A92" s="73" t="s">
        <v>95</v>
      </c>
      <c r="B92" s="12" t="s">
        <v>82</v>
      </c>
      <c r="C92" s="13">
        <v>-689963.47</v>
      </c>
      <c r="D92" s="13">
        <v>-1037351.99</v>
      </c>
      <c r="E92" s="13">
        <v>-2547185.4900000002</v>
      </c>
      <c r="F92" s="13">
        <v>-2261604</v>
      </c>
      <c r="G92" s="13">
        <v>-2231920</v>
      </c>
      <c r="H92" s="13">
        <v>-67068</v>
      </c>
      <c r="I92" s="13">
        <v>-138030</v>
      </c>
      <c r="J92" s="13">
        <v>-260372</v>
      </c>
      <c r="K92" s="13">
        <v>-390648.37</v>
      </c>
      <c r="L92" s="13">
        <v>-748803.16999999993</v>
      </c>
      <c r="M92" s="13">
        <v>-770853.16999999993</v>
      </c>
      <c r="N92" s="13">
        <v>-855936.85</v>
      </c>
      <c r="O92" s="13">
        <v>-959456.85</v>
      </c>
      <c r="P92" s="13">
        <v>-1037764.17</v>
      </c>
      <c r="Q92" s="13">
        <v>-1164729.3700000001</v>
      </c>
      <c r="R92" s="13">
        <v>-1251365.78</v>
      </c>
      <c r="S92" s="13">
        <v>-1422925.22</v>
      </c>
      <c r="T92" s="13">
        <f>IF(OR(MID(TBBP[[#This Row],[Coluna1]],1,1)="1",MID(TBBP[[#This Row],[Coluna1]],1,1)="2"),TBBP[[#This Row],[Coluna19]],SUM(H92:S92))</f>
        <v>-1422925.22</v>
      </c>
      <c r="U92" s="13">
        <v>-72411.64</v>
      </c>
      <c r="V92" s="13">
        <v>-149969.92000000001</v>
      </c>
      <c r="W92" s="13">
        <v>-244882.94</v>
      </c>
      <c r="X92" s="13">
        <v>-329188.93</v>
      </c>
      <c r="Y92" s="13">
        <v>-408064.25</v>
      </c>
      <c r="Z92" s="13">
        <v>-540300.27</v>
      </c>
      <c r="AA92" s="13">
        <v>-643693.53</v>
      </c>
      <c r="AB92" s="13">
        <v>-729685.98</v>
      </c>
      <c r="AC92" s="13">
        <v>-823026.85</v>
      </c>
      <c r="AD92" s="13">
        <v>-916636.65</v>
      </c>
      <c r="AE92" s="13">
        <v>-1003151.96</v>
      </c>
      <c r="AF92" s="13">
        <v>-1288031.96</v>
      </c>
      <c r="AG92" s="13">
        <f>IF(OR(MID(TBBP[[#This Row],[Coluna1]],1,1)="1",MID(TBBP[[#This Row],[Coluna1]],1,1)="2"),TBBP[[#This Row],[Coluna32]],SUM(U92:AF92))</f>
        <v>-1288031.96</v>
      </c>
      <c r="AH92" s="13">
        <v>-84847.69</v>
      </c>
      <c r="AI92" s="13">
        <v>-155513.14000000001</v>
      </c>
      <c r="AJ92" s="13">
        <v>-258337.37</v>
      </c>
      <c r="AK92" s="13">
        <v>-328368.93</v>
      </c>
      <c r="AL92" s="13">
        <v>-372271.37</v>
      </c>
      <c r="AM92" s="13">
        <v>-425168.64000000001</v>
      </c>
      <c r="AN92" s="13">
        <v>-448120.17</v>
      </c>
      <c r="AO92" s="13">
        <v>-661969.96</v>
      </c>
      <c r="AP92" s="13">
        <v>-751958.67</v>
      </c>
      <c r="AQ92" s="13">
        <v>-835915.52</v>
      </c>
      <c r="AR92" s="13">
        <v>-991392.74</v>
      </c>
      <c r="AS92" s="13">
        <v>-1196057.31</v>
      </c>
      <c r="AT92" s="13">
        <f>IF(OR(MID(TBBP[[#This Row],[Coluna1]],1,1)="1",MID(TBBP[[#This Row],[Coluna1]],1,1)="2"),TBBP[[#This Row],[Coluna45]],SUM(AH92:AS92))</f>
        <v>-1196057.31</v>
      </c>
      <c r="AU92" s="13">
        <v>-82127.570000000007</v>
      </c>
      <c r="AV92" s="13">
        <v>-285205.12</v>
      </c>
      <c r="AW92" s="13">
        <v>-457952.21</v>
      </c>
      <c r="AX92" s="13">
        <v>-700414.85</v>
      </c>
      <c r="AY92" s="13">
        <v>-1040701.48</v>
      </c>
      <c r="AZ92" s="13">
        <v>-3917956.77</v>
      </c>
      <c r="BA92" s="13">
        <v>-4081437.67</v>
      </c>
      <c r="BB92" s="13">
        <v>-4232914.53</v>
      </c>
      <c r="BC92" s="13">
        <v>-4316599.6500000004</v>
      </c>
      <c r="BD92" s="13">
        <v>-4418345.78</v>
      </c>
      <c r="BE92" s="13">
        <v>-4597608.82</v>
      </c>
      <c r="BF92" s="13">
        <v>-5087508.08</v>
      </c>
      <c r="BG92" s="13">
        <v>0</v>
      </c>
      <c r="BH92" s="32">
        <v>-76203.53</v>
      </c>
      <c r="BI92" s="32">
        <v>-149293.49</v>
      </c>
      <c r="BJ92" s="32">
        <v>-308990.82</v>
      </c>
      <c r="BK92" s="32">
        <v>-384058.84</v>
      </c>
      <c r="BL92" s="13">
        <v>-486041.44</v>
      </c>
      <c r="BM92" s="32">
        <v>-574838.12</v>
      </c>
      <c r="BN92" s="32">
        <v>-651867.1</v>
      </c>
      <c r="BO92" s="32">
        <v>-1231926.31</v>
      </c>
      <c r="BP92" s="32">
        <v>-1307990.21</v>
      </c>
      <c r="BQ92" s="32">
        <v>-1394228.47</v>
      </c>
      <c r="BR92" s="32">
        <v>-1471695.13</v>
      </c>
      <c r="BS92" s="32">
        <v>-1650256.41</v>
      </c>
      <c r="BT92" s="32"/>
      <c r="BU92" s="32">
        <v>-75171.850000000006</v>
      </c>
      <c r="BV92" s="32">
        <v>-147360.65</v>
      </c>
      <c r="BW92" s="32">
        <v>-227909.88</v>
      </c>
      <c r="BX92" s="32">
        <v>-375858.49</v>
      </c>
      <c r="BY92" s="32">
        <v>-449786.12</v>
      </c>
      <c r="BZ92" s="32">
        <v>-531881.87</v>
      </c>
      <c r="CA92" s="32">
        <v>-611825.75</v>
      </c>
      <c r="CB92" s="32">
        <v>-686257.99</v>
      </c>
      <c r="CC92" s="32">
        <v>-759500.62</v>
      </c>
      <c r="CD92" s="32">
        <v>-885898.48</v>
      </c>
      <c r="CE92" s="32">
        <v>-959749.06</v>
      </c>
      <c r="CF92" s="32">
        <v>-1033221.53</v>
      </c>
      <c r="CG92" s="32">
        <f>IF(OR(MID(TBBP[[#This Row],[Coluna1]],1,1)="1",MID(TBBP[[#This Row],[Coluna1]],1,1)="2"),CF92,SUM(BU92:CF92))</f>
        <v>-1033221.53</v>
      </c>
      <c r="CH92" s="32">
        <v>-77773.06</v>
      </c>
      <c r="CI92" s="32">
        <v>-154627.78</v>
      </c>
      <c r="CJ92" s="32">
        <v>-228823.25</v>
      </c>
      <c r="CK92" s="32">
        <v>-304808.28999999998</v>
      </c>
      <c r="CL92" s="32">
        <v>-380846.78</v>
      </c>
      <c r="CM92" s="32">
        <v>-447107.68</v>
      </c>
      <c r="CN92" s="32">
        <v>-513132.66</v>
      </c>
      <c r="CO92" s="32">
        <v>-579013.47</v>
      </c>
      <c r="CP92" s="32">
        <v>-592913.47</v>
      </c>
      <c r="CQ92" s="32">
        <v>-606813.47</v>
      </c>
      <c r="CR92" s="32">
        <v>-673080.51</v>
      </c>
      <c r="CS92" s="32">
        <v>-686980.51</v>
      </c>
      <c r="CT92" s="32">
        <v>0</v>
      </c>
      <c r="CU92" s="257">
        <v>-13900</v>
      </c>
      <c r="CV92" s="257">
        <v>-99098.22</v>
      </c>
      <c r="CW92" s="257">
        <v>-184695.77</v>
      </c>
      <c r="CX92" s="257">
        <v>-270181.17</v>
      </c>
      <c r="CY92" s="257">
        <v>-355767.51</v>
      </c>
      <c r="CZ92" s="257">
        <v>-441704.75</v>
      </c>
      <c r="DA92" s="257">
        <v>-527606.13</v>
      </c>
      <c r="DB92" s="257">
        <v>-614316.56000000006</v>
      </c>
      <c r="DC92" s="257">
        <v>-698200.92</v>
      </c>
      <c r="DD92" s="257">
        <v>-1782244.76</v>
      </c>
      <c r="DE92" s="257">
        <v>-1867569.31</v>
      </c>
      <c r="DF92" s="257">
        <v>0</v>
      </c>
      <c r="DG92" s="257">
        <v>0</v>
      </c>
      <c r="DH92" s="257">
        <v>0</v>
      </c>
      <c r="DI92" s="257">
        <v>-500000</v>
      </c>
      <c r="DJ92" s="257">
        <v>-500000</v>
      </c>
      <c r="DK92" s="257">
        <v>-500000</v>
      </c>
      <c r="DL92" s="257">
        <v>-500000</v>
      </c>
      <c r="DM92" s="257">
        <v>-500000</v>
      </c>
      <c r="DN92"/>
      <c r="DO92"/>
      <c r="DP92" s="63" t="str">
        <f>IF(OR(MID(TBBP[[#This Row],[Coluna1]],1,1)="1",MID(TBBP[[#This Row],[Coluna1]],1,1)="2"),"-",SUMIFS(92:92,listaPeriodos,$DR$1,listaPeriodos,$DR$2))</f>
        <v>-</v>
      </c>
      <c r="DQ92" s="63"/>
      <c r="DR92" s="63">
        <f t="shared" si="89"/>
        <v>0</v>
      </c>
      <c r="DS92" s="63"/>
      <c r="DT92" s="63"/>
    </row>
    <row r="93" spans="1:126" x14ac:dyDescent="0.3">
      <c r="A93" s="7" t="s">
        <v>148</v>
      </c>
      <c r="B93" t="s">
        <v>109</v>
      </c>
      <c r="C93" s="4">
        <v>1305233.3400000001</v>
      </c>
      <c r="D93" s="4">
        <v>1639498.27</v>
      </c>
      <c r="E93" s="4">
        <v>8332640.2999999998</v>
      </c>
      <c r="F93" s="4">
        <v>12619853.310000001</v>
      </c>
      <c r="G93" s="4">
        <v>13168756.68</v>
      </c>
      <c r="H93" s="4">
        <v>947850.77</v>
      </c>
      <c r="I93" s="4">
        <v>1394543.29</v>
      </c>
      <c r="J93" s="4">
        <v>1253684.54</v>
      </c>
      <c r="K93" s="4">
        <v>1661797.05</v>
      </c>
      <c r="L93" s="4">
        <v>769827.44</v>
      </c>
      <c r="M93" s="4">
        <v>929925.86</v>
      </c>
      <c r="N93" s="4">
        <v>2187200.92</v>
      </c>
      <c r="O93" s="4">
        <v>2045181.74</v>
      </c>
      <c r="P93" s="4">
        <v>2247031.2799999998</v>
      </c>
      <c r="Q93" s="4">
        <v>1647412.5</v>
      </c>
      <c r="R93" s="4">
        <v>1006957.67</v>
      </c>
      <c r="S93" s="4">
        <v>472766.75</v>
      </c>
      <c r="T93" s="4">
        <f>IF(OR(MID(TBBP[[#This Row],[Coluna1]],1,1)="1",MID(TBBP[[#This Row],[Coluna1]],1,1)="2"),TBBP[[#This Row],[Coluna19]],SUM(H93:S93))</f>
        <v>16564179.810000001</v>
      </c>
      <c r="U93" s="4">
        <v>1366210.07</v>
      </c>
      <c r="V93" s="4">
        <v>1392304.38</v>
      </c>
      <c r="W93" s="4">
        <v>1781041.58</v>
      </c>
      <c r="X93" s="4">
        <v>1932142.57</v>
      </c>
      <c r="Y93" s="4">
        <v>1506830.59</v>
      </c>
      <c r="Z93" s="4">
        <v>1489626.98</v>
      </c>
      <c r="AA93" s="4">
        <v>1051532.76</v>
      </c>
      <c r="AB93" s="4">
        <v>873608.58</v>
      </c>
      <c r="AC93" s="4">
        <v>2385732.6</v>
      </c>
      <c r="AD93" s="4">
        <v>2862482.78</v>
      </c>
      <c r="AE93" s="4">
        <v>2000207.17</v>
      </c>
      <c r="AF93" s="4">
        <v>1484994.4</v>
      </c>
      <c r="AG93" s="4">
        <f>IF(OR(MID(TBBP[[#This Row],[Coluna1]],1,1)="1",MID(TBBP[[#This Row],[Coluna1]],1,1)="2"),TBBP[[#This Row],[Coluna32]],SUM(U93:AF93))</f>
        <v>20126714.459999997</v>
      </c>
      <c r="AH93" s="4">
        <v>2380236.5499999998</v>
      </c>
      <c r="AI93" s="4">
        <v>1683913.48</v>
      </c>
      <c r="AJ93" s="4">
        <v>1167245.2</v>
      </c>
      <c r="AK93" s="4">
        <v>1092274.4099999999</v>
      </c>
      <c r="AL93" s="4">
        <v>1814205.24</v>
      </c>
      <c r="AM93" s="4">
        <v>3545061.24</v>
      </c>
      <c r="AN93" s="4">
        <v>3517699.38</v>
      </c>
      <c r="AO93" s="4">
        <v>3847892.59</v>
      </c>
      <c r="AP93" s="4">
        <v>3553860.46</v>
      </c>
      <c r="AQ93" s="4">
        <v>4699565</v>
      </c>
      <c r="AR93" s="4">
        <v>3926232.4</v>
      </c>
      <c r="AS93" s="4">
        <v>3545719.83</v>
      </c>
      <c r="AT93" s="4">
        <f>IF(OR(MID(TBBP[[#This Row],[Coluna1]],1,1)="1",MID(TBBP[[#This Row],[Coluna1]],1,1)="2"),TBBP[[#This Row],[Coluna45]],SUM(AH93:AS93))</f>
        <v>34773905.780000001</v>
      </c>
      <c r="AU93" s="4">
        <v>4386291.17</v>
      </c>
      <c r="AV93" s="4">
        <v>5042066.95</v>
      </c>
      <c r="AW93" s="4">
        <v>5154778.3</v>
      </c>
      <c r="AX93" s="4">
        <v>5198061.41</v>
      </c>
      <c r="AY93" s="4">
        <v>5678914.5899999999</v>
      </c>
      <c r="AZ93" s="4">
        <v>7509766.0599999996</v>
      </c>
      <c r="BA93" s="4">
        <v>7744603.4500000002</v>
      </c>
      <c r="BB93" s="4">
        <v>6555668.8300000001</v>
      </c>
      <c r="BC93" s="4">
        <v>8163755.4199999999</v>
      </c>
      <c r="BD93" s="4">
        <v>6881439.4199999999</v>
      </c>
      <c r="BE93" s="4">
        <v>6023303</v>
      </c>
      <c r="BF93" s="4">
        <v>6382278.2400000002</v>
      </c>
      <c r="BG93" s="4">
        <f>IF(OR(MID(TBBP[[#This Row],[Coluna1]],1,1)="1",MID(TBBP[[#This Row],[Coluna1]],1,1)="2"),TBBP[[#This Row],[Coluna58]],SUM(AU93:BF93))</f>
        <v>74720926.839999989</v>
      </c>
      <c r="BH93" s="4">
        <v>5223474.67</v>
      </c>
      <c r="BI93" s="4">
        <v>6968082.6500000004</v>
      </c>
      <c r="BJ93" s="4">
        <v>10041545.859999999</v>
      </c>
      <c r="BK93" s="4">
        <v>8289079.2400000002</v>
      </c>
      <c r="BL93" s="4">
        <v>7421306.5300000003</v>
      </c>
      <c r="BM93" s="4">
        <v>8027562.9100000001</v>
      </c>
      <c r="BN93" s="4">
        <v>5961995.5800000001</v>
      </c>
      <c r="BO93" s="4">
        <v>7130866.9800000004</v>
      </c>
      <c r="BP93" s="4">
        <v>7641209.6699999999</v>
      </c>
      <c r="BQ93" s="4">
        <v>5012914.8099999996</v>
      </c>
      <c r="BR93" s="4">
        <v>5707037.0999999996</v>
      </c>
      <c r="BS93" s="4">
        <v>4749371.9000000004</v>
      </c>
      <c r="BT93" s="4">
        <f>IF(OR(MID(TBBP[[#This Row],[Coluna1]],1,1)="1",MID(TBBP[[#This Row],[Coluna1]],1,1)="2"),TBBP[[#This Row],[Coluna127]],SUM(BH93:BS93))</f>
        <v>82174447.900000006</v>
      </c>
      <c r="BU93" s="4">
        <v>3605164.01</v>
      </c>
      <c r="BV93" s="4">
        <v>3701968.03</v>
      </c>
      <c r="BW93" s="4">
        <v>4957534.95</v>
      </c>
      <c r="BX93" s="4">
        <v>4435731.78</v>
      </c>
      <c r="BY93" s="4">
        <v>7658270.7599999998</v>
      </c>
      <c r="BZ93" s="4">
        <v>7505676.71</v>
      </c>
      <c r="CA93" s="4">
        <v>4547291.42</v>
      </c>
      <c r="CB93" s="4">
        <v>7241226.7199999997</v>
      </c>
      <c r="CC93" s="4">
        <v>6501039.1299999999</v>
      </c>
      <c r="CD93" s="4">
        <v>7922710.1399999997</v>
      </c>
      <c r="CE93" s="4">
        <v>5626654.6200000001</v>
      </c>
      <c r="CF93" s="4">
        <v>8993206.7100000009</v>
      </c>
      <c r="CG93" s="4">
        <f>IF(OR(MID(TBBP[[#This Row],[Coluna1]],1,1)="1",MID(TBBP[[#This Row],[Coluna1]],1,1)="2"),CF93,SUM(BU93:CF93))</f>
        <v>72696474.980000004</v>
      </c>
      <c r="CH93" s="4">
        <v>6373689.6699999999</v>
      </c>
      <c r="CI93" s="4">
        <v>7104647.5499999998</v>
      </c>
      <c r="CJ93" s="4">
        <v>7129281.8399999999</v>
      </c>
      <c r="CK93" s="4">
        <v>9314980.9299999997</v>
      </c>
      <c r="CL93" s="4">
        <v>10870287.789999999</v>
      </c>
      <c r="CM93" s="4">
        <v>9399783.0399999991</v>
      </c>
      <c r="CN93" s="4">
        <v>9438121.8000000007</v>
      </c>
      <c r="CO93" s="4">
        <v>7829127.9400000004</v>
      </c>
      <c r="CP93" s="4">
        <v>10502240.18</v>
      </c>
      <c r="CQ93" s="4">
        <v>9753582.3699999992</v>
      </c>
      <c r="CR93" s="4">
        <v>10943654.060000001</v>
      </c>
      <c r="CS93" s="4">
        <v>13540713.199999999</v>
      </c>
      <c r="CT93" s="4">
        <f>IF(OR(MID(TBBP[[#This Row],[Coluna1]],1,1)="1",MID(TBBP[[#This Row],[Coluna1]],1,1)="2"),CS93,SUM(CH93:CS93))</f>
        <v>112200110.37000002</v>
      </c>
      <c r="CU93" s="255">
        <v>6692754.3300000001</v>
      </c>
      <c r="CV93" s="255">
        <v>7333750.0499999998</v>
      </c>
      <c r="CW93" s="255">
        <v>8068780.2800000003</v>
      </c>
      <c r="CX93" s="255">
        <v>11872677.699999999</v>
      </c>
      <c r="CY93" s="255">
        <v>11198672.460000001</v>
      </c>
      <c r="CZ93" s="255">
        <v>9258494.9600000009</v>
      </c>
      <c r="DA93" s="255">
        <v>6566344.5199999996</v>
      </c>
      <c r="DB93" s="255">
        <v>8134523.9900000002</v>
      </c>
      <c r="DC93" s="255">
        <v>7832589.1100000003</v>
      </c>
      <c r="DD93" s="255">
        <v>6275819.6900000004</v>
      </c>
      <c r="DE93" s="255">
        <v>6367902.8099999996</v>
      </c>
      <c r="DF93" s="255">
        <v>7117642.2400000002</v>
      </c>
      <c r="DG93" s="255">
        <f>SUM(TBBP[[#This Row],[Coluna287]:[Coluna298]])</f>
        <v>96719952.139999986</v>
      </c>
      <c r="DH93" s="255">
        <v>8231240.6399999997</v>
      </c>
      <c r="DI93" s="255">
        <v>6430702.3799999999</v>
      </c>
      <c r="DJ93" s="255">
        <v>11354977.689999999</v>
      </c>
      <c r="DK93" s="255">
        <v>12361715.74</v>
      </c>
      <c r="DL93" s="255">
        <v>9337342.0800000001</v>
      </c>
      <c r="DM93" s="255">
        <v>11581833.029999999</v>
      </c>
      <c r="DO93" t="s">
        <v>109</v>
      </c>
      <c r="DP93" s="30">
        <f>IF(OR(MID(TBBP[[#This Row],[Coluna1]],1,1)="1",MID(TBBP[[#This Row],[Coluna1]],1,1)="2"),"-",SUMIFS(93:93,listaPeriodos,$DR$1,listaPeriodos,$DR$2))</f>
        <v>59297811.560000002</v>
      </c>
      <c r="DQ93" s="30">
        <v>11000000</v>
      </c>
      <c r="DR93" s="30">
        <f t="shared" si="89"/>
        <v>66000000</v>
      </c>
      <c r="DS93" s="30"/>
      <c r="DT93" s="30"/>
      <c r="DU93"/>
    </row>
    <row r="94" spans="1:126" x14ac:dyDescent="0.3">
      <c r="A94" s="7" t="s">
        <v>147</v>
      </c>
      <c r="B94" t="s">
        <v>110</v>
      </c>
      <c r="C94" s="4">
        <v>13114322.470000001</v>
      </c>
      <c r="D94" s="4">
        <v>17469414.649999999</v>
      </c>
      <c r="E94" s="4">
        <v>18074499.350000001</v>
      </c>
      <c r="F94" s="4">
        <v>10711886.609999999</v>
      </c>
      <c r="G94" s="4">
        <v>7959660.3600000003</v>
      </c>
      <c r="H94" s="4">
        <v>498151.9</v>
      </c>
      <c r="I94" s="4">
        <v>437130.42</v>
      </c>
      <c r="J94" s="4">
        <v>1271883.27</v>
      </c>
      <c r="K94" s="4">
        <v>604796.12</v>
      </c>
      <c r="L94" s="4">
        <v>370959.29</v>
      </c>
      <c r="M94" s="4">
        <v>1153082.47</v>
      </c>
      <c r="N94" s="4">
        <v>1434853.82</v>
      </c>
      <c r="O94" s="4">
        <v>839619.24</v>
      </c>
      <c r="P94" s="4">
        <v>1925123.09</v>
      </c>
      <c r="Q94" s="4">
        <v>1476516.71</v>
      </c>
      <c r="R94" s="4">
        <v>976712.09</v>
      </c>
      <c r="S94" s="4">
        <v>549835.01</v>
      </c>
      <c r="T94" s="4">
        <f>IF(OR(MID(TBBP[[#This Row],[Coluna1]],1,1)="1",MID(TBBP[[#This Row],[Coluna1]],1,1)="2"),TBBP[[#This Row],[Coluna19]],SUM(H94:S94))</f>
        <v>11538663.430000002</v>
      </c>
      <c r="U94" s="4">
        <v>1197171.97</v>
      </c>
      <c r="V94" s="4">
        <v>828050.71</v>
      </c>
      <c r="W94" s="4">
        <v>965558.99</v>
      </c>
      <c r="X94" s="4">
        <v>937029.35</v>
      </c>
      <c r="Y94" s="4">
        <v>1422535.51</v>
      </c>
      <c r="Z94" s="4">
        <v>763554.44</v>
      </c>
      <c r="AA94" s="4">
        <v>1534446.99</v>
      </c>
      <c r="AB94" s="4">
        <v>1489649.2</v>
      </c>
      <c r="AC94" s="4">
        <v>1524081.73</v>
      </c>
      <c r="AD94" s="4">
        <v>1089235.46</v>
      </c>
      <c r="AE94" s="4">
        <v>1108567</v>
      </c>
      <c r="AF94" s="4">
        <v>780577.63</v>
      </c>
      <c r="AG94" s="4">
        <f>IF(OR(MID(TBBP[[#This Row],[Coluna1]],1,1)="1",MID(TBBP[[#This Row],[Coluna1]],1,1)="2"),TBBP[[#This Row],[Coluna32]],SUM(U94:AF94))</f>
        <v>13640458.980000002</v>
      </c>
      <c r="AH94" s="4">
        <v>730956.42</v>
      </c>
      <c r="AI94" s="4">
        <v>719781.66</v>
      </c>
      <c r="AJ94" s="4">
        <v>604247.57999999996</v>
      </c>
      <c r="AK94" s="4">
        <v>773561.06</v>
      </c>
      <c r="AL94" s="4">
        <v>886570.69</v>
      </c>
      <c r="AM94" s="4">
        <v>712684.48</v>
      </c>
      <c r="AN94" s="4">
        <v>1193338.1100000001</v>
      </c>
      <c r="AO94" s="4">
        <v>999598.24</v>
      </c>
      <c r="AP94" s="4">
        <v>944574.15</v>
      </c>
      <c r="AQ94" s="4">
        <v>1492960.97</v>
      </c>
      <c r="AR94" s="4">
        <v>1172526.6000000001</v>
      </c>
      <c r="AS94" s="4">
        <v>1346927.06</v>
      </c>
      <c r="AT94" s="4">
        <f>IF(OR(MID(TBBP[[#This Row],[Coluna1]],1,1)="1",MID(TBBP[[#This Row],[Coluna1]],1,1)="2"),TBBP[[#This Row],[Coluna45]],SUM(AH94:AS94))</f>
        <v>11577727.020000001</v>
      </c>
      <c r="AU94" s="4">
        <v>1323548.2</v>
      </c>
      <c r="AV94" s="4">
        <v>1035981.19</v>
      </c>
      <c r="AW94" s="4">
        <v>1638780.33</v>
      </c>
      <c r="AX94" s="4">
        <v>2803139.14</v>
      </c>
      <c r="AY94" s="4">
        <v>2200321.34</v>
      </c>
      <c r="AZ94" s="4">
        <v>2526450.2400000002</v>
      </c>
      <c r="BA94" s="4">
        <v>2656085.17</v>
      </c>
      <c r="BB94" s="4">
        <v>1590296.24</v>
      </c>
      <c r="BC94" s="4">
        <v>1727522.67</v>
      </c>
      <c r="BD94" s="4">
        <v>1359035.13</v>
      </c>
      <c r="BE94" s="4">
        <v>1205579.81</v>
      </c>
      <c r="BF94" s="4">
        <v>899539.32</v>
      </c>
      <c r="BG94" s="4">
        <f>IF(OR(MID(TBBP[[#This Row],[Coluna1]],1,1)="1",MID(TBBP[[#This Row],[Coluna1]],1,1)="2"),TBBP[[#This Row],[Coluna58]],SUM(AU94:BF94))</f>
        <v>20966278.779999997</v>
      </c>
      <c r="BH94" s="4">
        <v>1484543.99</v>
      </c>
      <c r="BI94" s="4">
        <v>1573573.17</v>
      </c>
      <c r="BJ94" s="4">
        <v>3269991</v>
      </c>
      <c r="BK94" s="4">
        <v>1197835.8</v>
      </c>
      <c r="BL94" s="4">
        <v>1377182.9</v>
      </c>
      <c r="BM94" s="4">
        <v>2157564.31</v>
      </c>
      <c r="BN94" s="4">
        <v>3014492.71</v>
      </c>
      <c r="BO94" s="4">
        <v>2360619.73</v>
      </c>
      <c r="BP94" s="4">
        <v>2656880.1800000002</v>
      </c>
      <c r="BQ94" s="4">
        <v>2468878.2999999998</v>
      </c>
      <c r="BR94" s="4">
        <v>2447627.15</v>
      </c>
      <c r="BS94" s="4">
        <v>2143648.13</v>
      </c>
      <c r="BT94" s="4">
        <f>IF(OR(MID(TBBP[[#This Row],[Coluna1]],1,1)="1",MID(TBBP[[#This Row],[Coluna1]],1,1)="2"),TBBP[[#This Row],[Coluna127]],SUM(BH94:BS94))</f>
        <v>26152837.369999997</v>
      </c>
      <c r="BU94" s="4">
        <v>2235765.83</v>
      </c>
      <c r="BV94" s="4">
        <v>2383687.9300000002</v>
      </c>
      <c r="BW94" s="4">
        <v>2621118.2999999998</v>
      </c>
      <c r="BX94" s="4">
        <v>2520042.42</v>
      </c>
      <c r="BY94" s="4">
        <v>3349536.09</v>
      </c>
      <c r="BZ94" s="4">
        <v>2354474.0299999998</v>
      </c>
      <c r="CA94" s="4">
        <v>2663704.73</v>
      </c>
      <c r="CB94" s="4">
        <v>2355303.75</v>
      </c>
      <c r="CC94" s="4">
        <v>2628752.59</v>
      </c>
      <c r="CD94" s="4">
        <v>2625861.77</v>
      </c>
      <c r="CE94" s="4">
        <v>2096518.6</v>
      </c>
      <c r="CF94" s="4">
        <v>1646013.54</v>
      </c>
      <c r="CG94" s="4">
        <f>IF(OR(MID(TBBP[[#This Row],[Coluna1]],1,1)="1",MID(TBBP[[#This Row],[Coluna1]],1,1)="2"),CF94,SUM(BU94:CF94))</f>
        <v>29480779.579999998</v>
      </c>
      <c r="CH94" s="4">
        <v>2734645.96</v>
      </c>
      <c r="CI94" s="4">
        <v>3002314.87</v>
      </c>
      <c r="CJ94" s="4">
        <v>2595325.9900000002</v>
      </c>
      <c r="CK94" s="4">
        <v>3518060.03</v>
      </c>
      <c r="CL94" s="4">
        <v>3619138.12</v>
      </c>
      <c r="CM94" s="4">
        <v>3704557.7</v>
      </c>
      <c r="CN94" s="4">
        <v>3366163.5</v>
      </c>
      <c r="CO94" s="4">
        <v>3535463.37</v>
      </c>
      <c r="CP94" s="4">
        <v>3073353.78</v>
      </c>
      <c r="CQ94" s="4">
        <v>3617017.66</v>
      </c>
      <c r="CR94" s="4">
        <v>2010810</v>
      </c>
      <c r="CS94" s="4">
        <v>1973434.77</v>
      </c>
      <c r="CT94" s="4">
        <f>IF(OR(MID(TBBP[[#This Row],[Coluna1]],1,1)="1",MID(TBBP[[#This Row],[Coluna1]],1,1)="2"),CS94,SUM(CH94:CS94))</f>
        <v>36750285.750000007</v>
      </c>
      <c r="CU94" s="255">
        <v>3674149.02</v>
      </c>
      <c r="CV94" s="255">
        <v>4107206.47</v>
      </c>
      <c r="CW94" s="255">
        <v>4366344.9000000004</v>
      </c>
      <c r="CX94" s="255">
        <v>4559521.29</v>
      </c>
      <c r="CY94" s="255">
        <v>5276559.67</v>
      </c>
      <c r="CZ94" s="255">
        <v>4629585.9800000004</v>
      </c>
      <c r="DA94" s="255">
        <v>3708548.58</v>
      </c>
      <c r="DB94" s="255">
        <v>3352795.38</v>
      </c>
      <c r="DC94" s="255">
        <v>3982424.17</v>
      </c>
      <c r="DD94" s="255">
        <v>4013305.16</v>
      </c>
      <c r="DE94" s="255">
        <v>4089338.51</v>
      </c>
      <c r="DF94" s="255">
        <v>1821755.18</v>
      </c>
      <c r="DG94" s="255">
        <f>SUM(TBBP[[#This Row],[Coluna287]:[Coluna298]])</f>
        <v>47581534.310000002</v>
      </c>
      <c r="DH94" s="255">
        <v>3136819.95</v>
      </c>
      <c r="DI94" s="255">
        <v>2782382.09</v>
      </c>
      <c r="DJ94" s="255">
        <v>2867237.93</v>
      </c>
      <c r="DK94" s="255">
        <v>2969464.46</v>
      </c>
      <c r="DL94" s="255">
        <v>2456759.44</v>
      </c>
      <c r="DM94" s="255">
        <v>2514125.0299999998</v>
      </c>
      <c r="DO94" t="s">
        <v>110</v>
      </c>
      <c r="DP94" s="30">
        <f>IF(OR(MID(TBBP[[#This Row],[Coluna1]],1,1)="1",MID(TBBP[[#This Row],[Coluna1]],1,1)="2"),"-",SUMIFS(94:94,listaPeriodos,$DR$1,listaPeriodos,$DR$2))</f>
        <v>16726788.899999999</v>
      </c>
      <c r="DQ94" s="30">
        <v>4341666.666666667</v>
      </c>
      <c r="DR94" s="30">
        <f t="shared" si="89"/>
        <v>26050000</v>
      </c>
      <c r="DS94" s="30"/>
      <c r="DT94" s="30"/>
      <c r="DU94"/>
    </row>
    <row r="95" spans="1:126" x14ac:dyDescent="0.3">
      <c r="A95" s="7" t="s">
        <v>124</v>
      </c>
      <c r="B95" t="s">
        <v>111</v>
      </c>
      <c r="C95" s="4">
        <v>1681369.52</v>
      </c>
      <c r="D95" s="4">
        <v>1895626.3900000001</v>
      </c>
      <c r="E95" s="4">
        <v>3224317.54</v>
      </c>
      <c r="F95" s="4">
        <v>2722416.6400000001</v>
      </c>
      <c r="G95" s="4">
        <v>4125538.55</v>
      </c>
      <c r="H95" s="4">
        <v>352957.05</v>
      </c>
      <c r="I95" s="4">
        <v>233953.25</v>
      </c>
      <c r="J95" s="4">
        <v>225292.1</v>
      </c>
      <c r="K95" s="4">
        <v>192231.08</v>
      </c>
      <c r="L95" s="4">
        <v>377342.96</v>
      </c>
      <c r="M95" s="4">
        <v>165207.1</v>
      </c>
      <c r="N95" s="4">
        <v>361749.58</v>
      </c>
      <c r="O95" s="4">
        <v>122142.38</v>
      </c>
      <c r="P95" s="4">
        <v>392105.81</v>
      </c>
      <c r="Q95" s="4">
        <v>160322.13</v>
      </c>
      <c r="R95" s="4">
        <v>19814.52</v>
      </c>
      <c r="S95" s="4">
        <v>430384.89</v>
      </c>
      <c r="T95" s="4">
        <f>IF(OR(MID(TBBP[[#This Row],[Coluna1]],1,1)="1",MID(TBBP[[#This Row],[Coluna1]],1,1)="2"),TBBP[[#This Row],[Coluna19]],SUM(H95:S95))</f>
        <v>3033502.85</v>
      </c>
      <c r="U95" s="4">
        <v>200502.57</v>
      </c>
      <c r="V95" s="4">
        <v>213099.54</v>
      </c>
      <c r="W95" s="4">
        <v>179218.67</v>
      </c>
      <c r="X95" s="4">
        <v>216349.72</v>
      </c>
      <c r="Y95" s="4">
        <v>204810.46</v>
      </c>
      <c r="Z95" s="4">
        <v>39959.9</v>
      </c>
      <c r="AA95" s="4">
        <v>377623.95</v>
      </c>
      <c r="AB95" s="4">
        <v>201998.75</v>
      </c>
      <c r="AC95" s="4">
        <v>46830.65</v>
      </c>
      <c r="AD95" s="4">
        <v>263015.86</v>
      </c>
      <c r="AE95" s="4">
        <v>157919.22</v>
      </c>
      <c r="AF95" s="4">
        <v>158739.4</v>
      </c>
      <c r="AG95" s="4">
        <f>IF(OR(MID(TBBP[[#This Row],[Coluna1]],1,1)="1",MID(TBBP[[#This Row],[Coluna1]],1,1)="2"),TBBP[[#This Row],[Coluna32]],SUM(U95:AF95))</f>
        <v>2260068.69</v>
      </c>
      <c r="AH95" s="4">
        <v>156317.93</v>
      </c>
      <c r="AI95" s="4">
        <v>156424.74</v>
      </c>
      <c r="AJ95" s="4">
        <v>175470.6</v>
      </c>
      <c r="AK95" s="4">
        <v>174021.33</v>
      </c>
      <c r="AL95" s="4">
        <v>102976.1</v>
      </c>
      <c r="AM95" s="4">
        <v>143354.26</v>
      </c>
      <c r="AN95" s="4">
        <v>255869.5</v>
      </c>
      <c r="AO95" s="4">
        <v>270343.40000000002</v>
      </c>
      <c r="AP95" s="4">
        <v>308284.2</v>
      </c>
      <c r="AQ95" s="4">
        <v>326068.46000000002</v>
      </c>
      <c r="AR95" s="4">
        <v>285271.28000000003</v>
      </c>
      <c r="AS95" s="4">
        <v>155689.94</v>
      </c>
      <c r="AT95" s="4">
        <f>IF(OR(MID(TBBP[[#This Row],[Coluna1]],1,1)="1",MID(TBBP[[#This Row],[Coluna1]],1,1)="2"),TBBP[[#This Row],[Coluna45]],SUM(AH95:AS95))</f>
        <v>2510091.7399999998</v>
      </c>
      <c r="AU95" s="4">
        <v>153965.16</v>
      </c>
      <c r="AV95" s="4">
        <v>259811.99</v>
      </c>
      <c r="AW95" s="4">
        <v>241262.56</v>
      </c>
      <c r="AX95" s="4">
        <v>250296.21</v>
      </c>
      <c r="AY95" s="4">
        <v>181470.19</v>
      </c>
      <c r="AZ95" s="4">
        <v>99500.63</v>
      </c>
      <c r="BA95" s="4">
        <v>258132.39</v>
      </c>
      <c r="BB95" s="4">
        <v>218977.59</v>
      </c>
      <c r="BC95" s="4">
        <v>208732.32</v>
      </c>
      <c r="BD95" s="4">
        <v>187311.04</v>
      </c>
      <c r="BE95" s="4">
        <v>253883.51</v>
      </c>
      <c r="BF95" s="4">
        <v>19128.099999999999</v>
      </c>
      <c r="BG95" s="4">
        <f>IF(OR(MID(TBBP[[#This Row],[Coluna1]],1,1)="1",MID(TBBP[[#This Row],[Coluna1]],1,1)="2"),TBBP[[#This Row],[Coluna58]],SUM(AU95:BF95))</f>
        <v>2332471.69</v>
      </c>
      <c r="BH95" s="4">
        <v>197734.99</v>
      </c>
      <c r="BI95" s="4">
        <v>37285.29</v>
      </c>
      <c r="BJ95" s="4">
        <v>51847.32</v>
      </c>
      <c r="BK95" s="4">
        <v>37077.79</v>
      </c>
      <c r="BL95" s="4">
        <v>69294.45</v>
      </c>
      <c r="BM95" s="4">
        <v>73111.179999999993</v>
      </c>
      <c r="BN95" s="4">
        <v>68472.509999999995</v>
      </c>
      <c r="BO95" s="4">
        <v>60052.07</v>
      </c>
      <c r="BP95" s="4">
        <v>36800.31</v>
      </c>
      <c r="BQ95" s="4">
        <v>128739.46</v>
      </c>
      <c r="BR95" s="4">
        <v>19854.88</v>
      </c>
      <c r="BS95" s="4">
        <v>37010.22</v>
      </c>
      <c r="BT95" s="4">
        <f>IF(OR(MID(TBBP[[#This Row],[Coluna1]],1,1)="1",MID(TBBP[[#This Row],[Coluna1]],1,1)="2"),TBBP[[#This Row],[Coluna127]],SUM(BH95:BS95))</f>
        <v>817280.46999999986</v>
      </c>
      <c r="BU95" s="4">
        <v>31629.95</v>
      </c>
      <c r="BV95" s="4">
        <v>23662.42</v>
      </c>
      <c r="BW95" s="4">
        <v>119141.97</v>
      </c>
      <c r="BX95" s="4">
        <v>92438.26</v>
      </c>
      <c r="BY95" s="4">
        <v>76177.77</v>
      </c>
      <c r="BZ95" s="4">
        <v>36745.230000000003</v>
      </c>
      <c r="CA95" s="4">
        <v>59465.42</v>
      </c>
      <c r="CB95" s="4">
        <v>93881.18</v>
      </c>
      <c r="CC95" s="4">
        <v>40585.879999999997</v>
      </c>
      <c r="CD95" s="4">
        <v>40072.11</v>
      </c>
      <c r="CE95" s="4">
        <v>84480.68</v>
      </c>
      <c r="CF95" s="4">
        <v>39374.370000000003</v>
      </c>
      <c r="CG95" s="4">
        <f>IF(OR(MID(TBBP[[#This Row],[Coluna1]],1,1)="1",MID(TBBP[[#This Row],[Coluna1]],1,1)="2"),CF95,SUM(BU95:CF95))</f>
        <v>737655.23999999987</v>
      </c>
      <c r="CH95" s="4">
        <v>44194.63</v>
      </c>
      <c r="CI95" s="4">
        <v>119650.25</v>
      </c>
      <c r="CJ95" s="4">
        <v>69198.759999999995</v>
      </c>
      <c r="CK95" s="4">
        <v>45395.88</v>
      </c>
      <c r="CL95" s="4">
        <v>73982.87</v>
      </c>
      <c r="CM95" s="4">
        <v>39098.83</v>
      </c>
      <c r="CN95" s="4">
        <v>43401.49</v>
      </c>
      <c r="CO95" s="4">
        <v>120101.23</v>
      </c>
      <c r="CP95" s="4">
        <v>54859.02</v>
      </c>
      <c r="CQ95" s="4">
        <v>100936.33</v>
      </c>
      <c r="CR95" s="4">
        <v>53257.23</v>
      </c>
      <c r="CS95" s="4">
        <v>79037.02</v>
      </c>
      <c r="CT95" s="4">
        <f>IF(OR(MID(TBBP[[#This Row],[Coluna1]],1,1)="1",MID(TBBP[[#This Row],[Coluna1]],1,1)="2"),CS95,SUM(CH95:CS95))</f>
        <v>843113.54</v>
      </c>
      <c r="CU95" s="255">
        <v>73789.850000000006</v>
      </c>
      <c r="CV95" s="255">
        <v>65765.27</v>
      </c>
      <c r="CW95" s="255">
        <v>34277.230000000003</v>
      </c>
      <c r="CX95" s="255">
        <v>64056.83</v>
      </c>
      <c r="CY95" s="255">
        <v>44732.37</v>
      </c>
      <c r="CZ95" s="255">
        <v>63654.400000000001</v>
      </c>
      <c r="DA95" s="255">
        <v>50075.03</v>
      </c>
      <c r="DB95" s="255">
        <v>67024.19</v>
      </c>
      <c r="DC95" s="255">
        <v>63165.79</v>
      </c>
      <c r="DD95" s="255">
        <v>104105.34</v>
      </c>
      <c r="DE95" s="255">
        <v>87336.67</v>
      </c>
      <c r="DF95" s="255">
        <v>46673.440000000002</v>
      </c>
      <c r="DG95" s="255">
        <f>SUM(TBBP[[#This Row],[Coluna287]:[Coluna298]])</f>
        <v>764656.40999999992</v>
      </c>
      <c r="DH95" s="255">
        <v>27109.119999999999</v>
      </c>
      <c r="DI95" s="255">
        <v>45894.59</v>
      </c>
      <c r="DJ95" s="255">
        <v>69161.789999999994</v>
      </c>
      <c r="DK95" s="255">
        <v>45924.95</v>
      </c>
      <c r="DL95" s="255">
        <v>70579.41</v>
      </c>
      <c r="DM95" s="255">
        <v>45122.53</v>
      </c>
      <c r="DO95" t="s">
        <v>111</v>
      </c>
      <c r="DP95" s="30">
        <f>IF(OR(MID(TBBP[[#This Row],[Coluna1]],1,1)="1",MID(TBBP[[#This Row],[Coluna1]],1,1)="2"),"-",SUMIFS(95:95,listaPeriodos,$DR$1,listaPeriodos,$DR$2))</f>
        <v>303792.39</v>
      </c>
      <c r="DQ95" s="30">
        <v>25000</v>
      </c>
      <c r="DR95" s="30">
        <f t="shared" si="89"/>
        <v>150000</v>
      </c>
      <c r="DS95" s="30"/>
      <c r="DT95" s="30"/>
      <c r="DU95"/>
    </row>
    <row r="96" spans="1:126" x14ac:dyDescent="0.3">
      <c r="A96" s="7" t="s">
        <v>125</v>
      </c>
      <c r="B96" t="s">
        <v>112</v>
      </c>
      <c r="C96" s="4">
        <v>482625</v>
      </c>
      <c r="D96" s="4">
        <v>893856.34</v>
      </c>
      <c r="E96" s="4">
        <v>1019022.99</v>
      </c>
      <c r="F96" s="4">
        <v>331787.3</v>
      </c>
      <c r="G96" s="4">
        <v>890425</v>
      </c>
      <c r="H96" s="4">
        <v>26118.75</v>
      </c>
      <c r="I96" s="4">
        <v>95618.75</v>
      </c>
      <c r="J96" s="4">
        <v>70618.75</v>
      </c>
      <c r="K96" s="4">
        <v>85118.75</v>
      </c>
      <c r="L96" s="4">
        <v>65118.75</v>
      </c>
      <c r="M96" s="4">
        <v>93118.75</v>
      </c>
      <c r="N96" s="4">
        <v>65118.75</v>
      </c>
      <c r="O96" s="4">
        <v>65118.75</v>
      </c>
      <c r="P96" s="4">
        <v>65118.75</v>
      </c>
      <c r="Q96" s="4">
        <v>35118.75</v>
      </c>
      <c r="R96" s="4">
        <v>35118.75</v>
      </c>
      <c r="S96" s="4">
        <v>326247.15000000002</v>
      </c>
      <c r="T96" s="4">
        <f>IF(OR(MID(TBBP[[#This Row],[Coluna1]],1,1)="1",MID(TBBP[[#This Row],[Coluna1]],1,1)="2"),TBBP[[#This Row],[Coluna19]],SUM(H96:S96))</f>
        <v>1027553.4</v>
      </c>
      <c r="U96" s="4">
        <v>136732.76</v>
      </c>
      <c r="V96" s="4">
        <v>141732.76</v>
      </c>
      <c r="W96" s="4">
        <v>130240.23</v>
      </c>
      <c r="X96" s="4">
        <v>141734.25</v>
      </c>
      <c r="Y96" s="4">
        <v>137852.49</v>
      </c>
      <c r="Z96" s="4">
        <v>21399.69</v>
      </c>
      <c r="AA96" s="4">
        <v>258187.05</v>
      </c>
      <c r="AB96" s="4">
        <v>302732.76</v>
      </c>
      <c r="AC96" s="4">
        <v>178649.25</v>
      </c>
      <c r="AD96" s="4">
        <v>185973.15</v>
      </c>
      <c r="AE96" s="4">
        <v>208770.53</v>
      </c>
      <c r="AF96" s="4">
        <v>215851.05</v>
      </c>
      <c r="AG96" s="4">
        <f>IF(OR(MID(TBBP[[#This Row],[Coluna1]],1,1)="1",MID(TBBP[[#This Row],[Coluna1]],1,1)="2"),TBBP[[#This Row],[Coluna32]],SUM(U96:AF96))</f>
        <v>2059855.97</v>
      </c>
      <c r="AH96" s="4">
        <v>146171.69</v>
      </c>
      <c r="AI96" s="4">
        <v>161732.76</v>
      </c>
      <c r="AJ96" s="4">
        <v>128969.34</v>
      </c>
      <c r="AK96" s="4">
        <v>136732.76</v>
      </c>
      <c r="AL96" s="4">
        <v>133362.12</v>
      </c>
      <c r="AM96" s="4">
        <v>136732.76</v>
      </c>
      <c r="AN96" s="4">
        <v>132851.04999999999</v>
      </c>
      <c r="AO96" s="4">
        <v>136732.76</v>
      </c>
      <c r="AP96" s="4">
        <v>136732.76</v>
      </c>
      <c r="AQ96" s="4">
        <v>130263.24</v>
      </c>
      <c r="AR96" s="4">
        <v>120333.07</v>
      </c>
      <c r="AS96" s="4">
        <v>87408.07</v>
      </c>
      <c r="AT96" s="4">
        <f>IF(OR(MID(TBBP[[#This Row],[Coluna1]],1,1)="1",MID(TBBP[[#This Row],[Coluna1]],1,1)="2"),TBBP[[#This Row],[Coluna45]],SUM(AH96:AS96))</f>
        <v>1588022.3800000001</v>
      </c>
      <c r="AU96" s="4">
        <v>120333.07</v>
      </c>
      <c r="AV96" s="4">
        <v>120333.07</v>
      </c>
      <c r="AW96" s="4">
        <v>108687.94</v>
      </c>
      <c r="AX96" s="4">
        <v>116451.36</v>
      </c>
      <c r="AY96" s="4">
        <v>116451.36</v>
      </c>
      <c r="AZ96" s="4">
        <v>79785.350000000006</v>
      </c>
      <c r="BA96" s="4">
        <v>83861.149999999994</v>
      </c>
      <c r="BB96" s="4">
        <v>120333.07</v>
      </c>
      <c r="BC96" s="4">
        <v>67169.789999999994</v>
      </c>
      <c r="BD96" s="4">
        <v>81192.479999999996</v>
      </c>
      <c r="BE96" s="4">
        <v>89383.46</v>
      </c>
      <c r="BF96" s="4">
        <v>0</v>
      </c>
      <c r="BG96" s="4">
        <f>IF(OR(MID(TBBP[[#This Row],[Coluna1]],1,1)="1",MID(TBBP[[#This Row],[Coluna1]],1,1)="2"),TBBP[[#This Row],[Coluna58]],SUM(AU96:BF96))</f>
        <v>1103982.1000000001</v>
      </c>
      <c r="BH96" s="4">
        <v>0</v>
      </c>
      <c r="BI96" s="4">
        <v>0</v>
      </c>
      <c r="BJ96" s="4">
        <v>0</v>
      </c>
      <c r="BK96" s="4">
        <v>0</v>
      </c>
      <c r="BL96" s="4">
        <v>0</v>
      </c>
      <c r="BM96" s="4">
        <v>0</v>
      </c>
      <c r="BN96" s="4">
        <v>0</v>
      </c>
      <c r="BO96" s="4">
        <v>0</v>
      </c>
      <c r="BP96" s="4">
        <v>0</v>
      </c>
      <c r="BQ96" s="4">
        <v>0</v>
      </c>
      <c r="BR96" s="4">
        <v>0</v>
      </c>
      <c r="BS96" s="4">
        <v>0</v>
      </c>
      <c r="BT96" s="4">
        <f>IF(OR(MID(TBBP[[#This Row],[Coluna1]],1,1)="1",MID(TBBP[[#This Row],[Coluna1]],1,1)="2"),TBBP[[#This Row],[Coluna127]],SUM(BH96:BS96))</f>
        <v>0</v>
      </c>
      <c r="BU96" s="4">
        <v>0</v>
      </c>
      <c r="BV96" s="4">
        <v>0</v>
      </c>
      <c r="BW96" s="4">
        <v>0</v>
      </c>
      <c r="BX96" s="4">
        <v>0</v>
      </c>
      <c r="BY96" s="4">
        <v>0</v>
      </c>
      <c r="BZ96" s="4">
        <v>0</v>
      </c>
      <c r="CA96" s="4">
        <v>0</v>
      </c>
      <c r="CB96" s="4">
        <v>0</v>
      </c>
      <c r="CC96" s="4">
        <v>0</v>
      </c>
      <c r="CD96" s="4">
        <v>0</v>
      </c>
      <c r="CE96" s="4">
        <v>0</v>
      </c>
      <c r="CF96" s="4">
        <v>0</v>
      </c>
      <c r="CG96" s="4">
        <f>IF(OR(MID(TBBP[[#This Row],[Coluna1]],1,1)="1",MID(TBBP[[#This Row],[Coluna1]],1,1)="2"),CF96,SUM(BU96:CF96))</f>
        <v>0</v>
      </c>
      <c r="CH96" s="4">
        <v>0</v>
      </c>
      <c r="CI96" s="4">
        <v>0</v>
      </c>
      <c r="CJ96" s="4">
        <v>18000</v>
      </c>
      <c r="CK96" s="4">
        <v>18000</v>
      </c>
      <c r="CL96" s="4">
        <v>18000</v>
      </c>
      <c r="CM96" s="4">
        <v>38000</v>
      </c>
      <c r="CN96" s="4">
        <v>18000</v>
      </c>
      <c r="CO96" s="4">
        <v>18000</v>
      </c>
      <c r="CP96" s="4">
        <v>0</v>
      </c>
      <c r="CQ96" s="4">
        <v>0</v>
      </c>
      <c r="CR96" s="4">
        <v>0</v>
      </c>
      <c r="CS96" s="4">
        <v>0</v>
      </c>
      <c r="CT96" s="4">
        <f>IF(OR(MID(TBBP[[#This Row],[Coluna1]],1,1)="1",MID(TBBP[[#This Row],[Coluna1]],1,1)="2"),CS96,SUM(CH96:CS96))</f>
        <v>128000</v>
      </c>
      <c r="CU96" s="255">
        <v>0</v>
      </c>
      <c r="CV96" s="255">
        <v>0</v>
      </c>
      <c r="CW96" s="255">
        <v>0</v>
      </c>
      <c r="CX96" s="255">
        <v>0</v>
      </c>
      <c r="CY96" s="255">
        <v>0</v>
      </c>
      <c r="CZ96" s="255">
        <v>0</v>
      </c>
      <c r="DA96" s="255">
        <v>0</v>
      </c>
      <c r="DB96" s="255">
        <v>0</v>
      </c>
      <c r="DC96" s="255">
        <v>0</v>
      </c>
      <c r="DD96" s="255">
        <v>0</v>
      </c>
      <c r="DE96" s="255">
        <v>0</v>
      </c>
      <c r="DF96" s="255">
        <v>0</v>
      </c>
      <c r="DG96" s="255">
        <f>SUM(TBBP[[#This Row],[Coluna287]:[Coluna298]])</f>
        <v>0</v>
      </c>
      <c r="DH96" s="255">
        <v>0</v>
      </c>
      <c r="DI96" s="255">
        <v>0</v>
      </c>
      <c r="DJ96" s="255">
        <v>0</v>
      </c>
      <c r="DK96" s="255">
        <v>0</v>
      </c>
      <c r="DL96" s="255">
        <v>0</v>
      </c>
      <c r="DM96" s="255">
        <v>0</v>
      </c>
      <c r="DO96" t="s">
        <v>112</v>
      </c>
      <c r="DP96" s="30">
        <f>IF(OR(MID(TBBP[[#This Row],[Coluna1]],1,1)="1",MID(TBBP[[#This Row],[Coluna1]],1,1)="2"),"-",SUMIFS(96:96,listaPeriodos,$DR$1,listaPeriodos,$DR$2))</f>
        <v>0</v>
      </c>
      <c r="DQ96" s="30">
        <v>8333.3333333333339</v>
      </c>
      <c r="DR96" s="30">
        <f t="shared" si="89"/>
        <v>50000</v>
      </c>
      <c r="DS96" s="30"/>
      <c r="DT96" s="30"/>
      <c r="DU96"/>
    </row>
    <row r="97" spans="1:125" x14ac:dyDescent="0.3">
      <c r="A97" s="7" t="s">
        <v>126</v>
      </c>
      <c r="B97" t="s">
        <v>113</v>
      </c>
      <c r="C97" s="4">
        <v>0</v>
      </c>
      <c r="D97" s="4">
        <v>0</v>
      </c>
      <c r="E97" s="4">
        <v>4199.7299999999996</v>
      </c>
      <c r="F97" s="4">
        <v>54681.97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26000</v>
      </c>
      <c r="O97" s="4">
        <v>0</v>
      </c>
      <c r="P97" s="4">
        <v>0</v>
      </c>
      <c r="Q97" s="4">
        <v>79632.800000000003</v>
      </c>
      <c r="R97" s="4">
        <v>0</v>
      </c>
      <c r="S97" s="4">
        <v>0</v>
      </c>
      <c r="T97" s="4">
        <f>IF(OR(MID(TBBP[[#This Row],[Coluna1]],1,1)="1",MID(TBBP[[#This Row],[Coluna1]],1,1)="2"),TBBP[[#This Row],[Coluna19]],SUM(H97:S97))</f>
        <v>105632.8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  <c r="Z97" s="4">
        <v>0</v>
      </c>
      <c r="AA97" s="4">
        <v>0</v>
      </c>
      <c r="AB97" s="4">
        <v>0</v>
      </c>
      <c r="AC97" s="4">
        <v>0</v>
      </c>
      <c r="AD97" s="4">
        <v>0</v>
      </c>
      <c r="AE97" s="4">
        <v>0</v>
      </c>
      <c r="AF97" s="4">
        <v>0</v>
      </c>
      <c r="AG97" s="4">
        <f>IF(OR(MID(TBBP[[#This Row],[Coluna1]],1,1)="1",MID(TBBP[[#This Row],[Coluna1]],1,1)="2"),TBBP[[#This Row],[Coluna32]],SUM(U97:AF97))</f>
        <v>0</v>
      </c>
      <c r="AH97" s="4">
        <v>0</v>
      </c>
      <c r="AI97" s="4">
        <v>0</v>
      </c>
      <c r="AJ97" s="4">
        <v>0</v>
      </c>
      <c r="AK97" s="4">
        <v>0</v>
      </c>
      <c r="AL97" s="4">
        <v>0</v>
      </c>
      <c r="AM97" s="4">
        <v>0</v>
      </c>
      <c r="AN97" s="4">
        <v>0</v>
      </c>
      <c r="AO97" s="4">
        <v>0</v>
      </c>
      <c r="AP97" s="4">
        <v>626040</v>
      </c>
      <c r="AQ97" s="4">
        <v>0</v>
      </c>
      <c r="AR97" s="4">
        <v>0</v>
      </c>
      <c r="AS97" s="4">
        <v>0</v>
      </c>
      <c r="AT97" s="4">
        <f>IF(OR(MID(TBBP[[#This Row],[Coluna1]],1,1)="1",MID(TBBP[[#This Row],[Coluna1]],1,1)="2"),TBBP[[#This Row],[Coluna45]],SUM(AH97:AS97))</f>
        <v>626040</v>
      </c>
      <c r="AU97" s="4">
        <v>0</v>
      </c>
      <c r="AV97" s="4">
        <v>0</v>
      </c>
      <c r="AW97" s="4">
        <v>0</v>
      </c>
      <c r="AX97" s="4">
        <v>0</v>
      </c>
      <c r="AY97" s="4">
        <v>853270.85</v>
      </c>
      <c r="AZ97" s="4">
        <v>184188.36</v>
      </c>
      <c r="BA97" s="4">
        <v>41113.17</v>
      </c>
      <c r="BB97" s="4">
        <v>2082253.61</v>
      </c>
      <c r="BC97" s="4">
        <v>0</v>
      </c>
      <c r="BD97" s="4">
        <v>581265.19999999995</v>
      </c>
      <c r="BE97" s="4">
        <v>0</v>
      </c>
      <c r="BF97" s="4">
        <v>0</v>
      </c>
      <c r="BG97" s="4">
        <f>IF(OR(MID(TBBP[[#This Row],[Coluna1]],1,1)="1",MID(TBBP[[#This Row],[Coluna1]],1,1)="2"),TBBP[[#This Row],[Coluna58]],SUM(AU97:BF97))</f>
        <v>3742091.1900000004</v>
      </c>
      <c r="BH97" s="4">
        <v>0</v>
      </c>
      <c r="BI97" s="4">
        <v>0</v>
      </c>
      <c r="BJ97" s="4">
        <v>0</v>
      </c>
      <c r="BK97" s="4">
        <v>0</v>
      </c>
      <c r="BL97" s="4">
        <v>552919.6</v>
      </c>
      <c r="BM97" s="4">
        <v>0</v>
      </c>
      <c r="BN97" s="4">
        <v>0</v>
      </c>
      <c r="BO97" s="4">
        <v>0</v>
      </c>
      <c r="BP97" s="4">
        <v>0</v>
      </c>
      <c r="BQ97" s="4">
        <v>0</v>
      </c>
      <c r="BR97" s="4">
        <v>0</v>
      </c>
      <c r="BS97" s="4">
        <v>0</v>
      </c>
      <c r="BT97" s="4">
        <f>IF(OR(MID(TBBP[[#This Row],[Coluna1]],1,1)="1",MID(TBBP[[#This Row],[Coluna1]],1,1)="2"),TBBP[[#This Row],[Coluna127]],SUM(BH97:BS97))</f>
        <v>552919.6</v>
      </c>
      <c r="BU97" s="4">
        <v>0</v>
      </c>
      <c r="BV97" s="4">
        <v>0</v>
      </c>
      <c r="BW97" s="4">
        <v>0</v>
      </c>
      <c r="BX97" s="4">
        <v>0</v>
      </c>
      <c r="BY97" s="4">
        <v>0</v>
      </c>
      <c r="BZ97" s="4">
        <v>268891.24</v>
      </c>
      <c r="CA97" s="4">
        <v>0</v>
      </c>
      <c r="CB97" s="4">
        <v>357987.7</v>
      </c>
      <c r="CC97" s="4">
        <v>0</v>
      </c>
      <c r="CD97" s="4">
        <v>656340.76</v>
      </c>
      <c r="CE97" s="4">
        <v>18365.900000000001</v>
      </c>
      <c r="CF97" s="4">
        <v>0</v>
      </c>
      <c r="CG97" s="4">
        <f>IF(OR(MID(TBBP[[#This Row],[Coluna1]],1,1)="1",MID(TBBP[[#This Row],[Coluna1]],1,1)="2"),CF97,SUM(BU97:CF97))</f>
        <v>1301585.5999999999</v>
      </c>
      <c r="CH97" s="4">
        <v>0</v>
      </c>
      <c r="CI97" s="4">
        <v>0</v>
      </c>
      <c r="CJ97" s="4">
        <v>0</v>
      </c>
      <c r="CK97" s="4">
        <v>266241.91999999998</v>
      </c>
      <c r="CL97" s="4">
        <v>0</v>
      </c>
      <c r="CM97" s="4">
        <v>0</v>
      </c>
      <c r="CN97" s="4">
        <v>1946027</v>
      </c>
      <c r="CO97" s="4">
        <v>256892.25</v>
      </c>
      <c r="CP97" s="4">
        <v>0</v>
      </c>
      <c r="CQ97" s="4">
        <v>0</v>
      </c>
      <c r="CR97" s="4">
        <v>0</v>
      </c>
      <c r="CS97" s="4">
        <v>0</v>
      </c>
      <c r="CT97" s="4">
        <f>IF(OR(MID(TBBP[[#This Row],[Coluna1]],1,1)="1",MID(TBBP[[#This Row],[Coluna1]],1,1)="2"),CS97,SUM(CH97:CS97))</f>
        <v>2469161.17</v>
      </c>
      <c r="CU97" s="255">
        <v>0</v>
      </c>
      <c r="CV97" s="255">
        <v>0</v>
      </c>
      <c r="CW97" s="255">
        <v>206379.03</v>
      </c>
      <c r="CX97" s="255">
        <v>233376.8</v>
      </c>
      <c r="CY97" s="255">
        <v>0</v>
      </c>
      <c r="CZ97" s="255">
        <v>224761.09</v>
      </c>
      <c r="DA97" s="255">
        <v>732028.78</v>
      </c>
      <c r="DB97" s="255">
        <v>181513.8</v>
      </c>
      <c r="DC97" s="255">
        <v>131367.01</v>
      </c>
      <c r="DD97" s="255">
        <v>205562.88</v>
      </c>
      <c r="DE97" s="255">
        <v>590166.36</v>
      </c>
      <c r="DF97" s="255">
        <v>287263.98</v>
      </c>
      <c r="DG97" s="255">
        <f>SUM(TBBP[[#This Row],[Coluna287]:[Coluna298]])</f>
        <v>2792419.73</v>
      </c>
      <c r="DH97" s="255">
        <v>34505.599999999999</v>
      </c>
      <c r="DI97" s="255">
        <v>219808.32</v>
      </c>
      <c r="DJ97" s="255">
        <v>192892.1</v>
      </c>
      <c r="DK97" s="255">
        <v>251700.44</v>
      </c>
      <c r="DL97" s="255">
        <v>534471.17000000004</v>
      </c>
      <c r="DM97" s="255">
        <v>251318.56</v>
      </c>
      <c r="DO97" t="s">
        <v>113</v>
      </c>
      <c r="DP97" s="30">
        <f>IF(OR(MID(TBBP[[#This Row],[Coluna1]],1,1)="1",MID(TBBP[[#This Row],[Coluna1]],1,1)="2"),"-",SUMIFS(97:97,listaPeriodos,$DR$1,listaPeriodos,$DR$2))</f>
        <v>1484696.19</v>
      </c>
      <c r="DQ97" s="30">
        <v>808333.33333333337</v>
      </c>
      <c r="DR97" s="30">
        <f t="shared" si="89"/>
        <v>4850000</v>
      </c>
      <c r="DS97" s="30"/>
      <c r="DT97" s="30"/>
      <c r="DU97"/>
    </row>
    <row r="98" spans="1:125" x14ac:dyDescent="0.3">
      <c r="A98" s="70" t="s">
        <v>127</v>
      </c>
      <c r="B98" s="65" t="s">
        <v>99</v>
      </c>
      <c r="C98" s="65">
        <f>SUM(C93:C97)</f>
        <v>16583550.33</v>
      </c>
      <c r="D98" s="65">
        <f t="shared" ref="D98:AI98" si="99">SUM(D93:D97)</f>
        <v>21898395.649999999</v>
      </c>
      <c r="E98" s="65">
        <f t="shared" si="99"/>
        <v>30654679.91</v>
      </c>
      <c r="F98" s="65">
        <f t="shared" si="99"/>
        <v>26440625.830000002</v>
      </c>
      <c r="G98" s="65">
        <f t="shared" si="99"/>
        <v>26144380.59</v>
      </c>
      <c r="H98" s="65">
        <f t="shared" si="99"/>
        <v>1825078.47</v>
      </c>
      <c r="I98" s="65">
        <f t="shared" si="99"/>
        <v>2161245.71</v>
      </c>
      <c r="J98" s="65">
        <f t="shared" si="99"/>
        <v>2821478.66</v>
      </c>
      <c r="K98" s="65">
        <f t="shared" si="99"/>
        <v>2543943</v>
      </c>
      <c r="L98" s="65">
        <f t="shared" si="99"/>
        <v>1583248.44</v>
      </c>
      <c r="M98" s="65">
        <f t="shared" si="99"/>
        <v>2341334.1800000002</v>
      </c>
      <c r="N98" s="65">
        <f t="shared" si="99"/>
        <v>4074923.0700000003</v>
      </c>
      <c r="O98" s="65">
        <f t="shared" si="99"/>
        <v>3072062.11</v>
      </c>
      <c r="P98" s="65">
        <f t="shared" si="99"/>
        <v>4629378.93</v>
      </c>
      <c r="Q98" s="65">
        <f t="shared" si="99"/>
        <v>3399002.8899999997</v>
      </c>
      <c r="R98" s="65">
        <f t="shared" si="99"/>
        <v>2038603.03</v>
      </c>
      <c r="S98" s="65">
        <f t="shared" si="99"/>
        <v>1779233.7999999998</v>
      </c>
      <c r="T98" s="65">
        <f>IF(OR(MID(TBBP[[#This Row],[Coluna1]],1,1)="1",MID(TBBP[[#This Row],[Coluna1]],1,1)="2"),TBBP[[#This Row],[Coluna19]],SUM(H98:S98))</f>
        <v>32269532.290000003</v>
      </c>
      <c r="U98" s="65">
        <f t="shared" si="99"/>
        <v>2900617.37</v>
      </c>
      <c r="V98" s="65">
        <f t="shared" si="99"/>
        <v>2575187.3899999997</v>
      </c>
      <c r="W98" s="65">
        <f t="shared" si="99"/>
        <v>3056059.47</v>
      </c>
      <c r="X98" s="65">
        <f t="shared" si="99"/>
        <v>3227255.89</v>
      </c>
      <c r="Y98" s="65">
        <f t="shared" si="99"/>
        <v>3272029.05</v>
      </c>
      <c r="Z98" s="65">
        <f t="shared" si="99"/>
        <v>2314541.0099999998</v>
      </c>
      <c r="AA98" s="65">
        <f t="shared" si="99"/>
        <v>3221790.75</v>
      </c>
      <c r="AB98" s="65">
        <f t="shared" si="99"/>
        <v>2867989.29</v>
      </c>
      <c r="AC98" s="65">
        <f t="shared" si="99"/>
        <v>4135294.23</v>
      </c>
      <c r="AD98" s="65">
        <f t="shared" si="99"/>
        <v>4400707.25</v>
      </c>
      <c r="AE98" s="65">
        <f t="shared" si="99"/>
        <v>3475463.92</v>
      </c>
      <c r="AF98" s="65">
        <f t="shared" si="99"/>
        <v>2640162.4799999995</v>
      </c>
      <c r="AG98" s="65">
        <f>IF(OR(MID(TBBP[[#This Row],[Coluna1]],1,1)="1",MID(TBBP[[#This Row],[Coluna1]],1,1)="2"),TBBP[[#This Row],[Coluna32]],SUM(U98:AF98))</f>
        <v>38087098.099999994</v>
      </c>
      <c r="AH98" s="65">
        <f t="shared" si="99"/>
        <v>3413682.59</v>
      </c>
      <c r="AI98" s="65">
        <f t="shared" si="99"/>
        <v>2721852.6399999997</v>
      </c>
      <c r="AJ98" s="65">
        <f t="shared" ref="AJ98:AS98" si="100">SUM(AJ93:AJ97)</f>
        <v>2075932.72</v>
      </c>
      <c r="AK98" s="65">
        <f t="shared" si="100"/>
        <v>2176589.56</v>
      </c>
      <c r="AL98" s="65">
        <f t="shared" si="100"/>
        <v>2937114.15</v>
      </c>
      <c r="AM98" s="65">
        <f t="shared" si="100"/>
        <v>4537832.74</v>
      </c>
      <c r="AN98" s="65">
        <f t="shared" si="100"/>
        <v>5099758.04</v>
      </c>
      <c r="AO98" s="65">
        <f t="shared" si="100"/>
        <v>5254566.99</v>
      </c>
      <c r="AP98" s="65">
        <f t="shared" si="100"/>
        <v>5569491.5700000003</v>
      </c>
      <c r="AQ98" s="65">
        <f>SUM(AQ93:AQ97)</f>
        <v>6648857.6699999999</v>
      </c>
      <c r="AR98" s="65">
        <f t="shared" si="100"/>
        <v>5504363.3500000006</v>
      </c>
      <c r="AS98" s="65">
        <f t="shared" si="100"/>
        <v>5135744.9000000013</v>
      </c>
      <c r="AT98" s="65">
        <f>IF(OR(MID(TBBP[[#This Row],[Coluna1]],1,1)="1",MID(TBBP[[#This Row],[Coluna1]],1,1)="2"),TBBP[[#This Row],[Coluna45]],SUM(AH98:AS98))</f>
        <v>51075786.920000002</v>
      </c>
      <c r="AU98" s="65">
        <f t="shared" ref="AU98:BF98" si="101">SUM(AU93:AU97)</f>
        <v>5984137.6000000006</v>
      </c>
      <c r="AV98" s="65">
        <f t="shared" si="101"/>
        <v>6458193.2000000011</v>
      </c>
      <c r="AW98" s="65">
        <f t="shared" si="101"/>
        <v>7143509.1299999999</v>
      </c>
      <c r="AX98" s="65">
        <f t="shared" si="101"/>
        <v>8367948.120000001</v>
      </c>
      <c r="AY98" s="65">
        <f t="shared" si="101"/>
        <v>9030428.3300000001</v>
      </c>
      <c r="AZ98" s="65">
        <f t="shared" si="101"/>
        <v>10399690.640000001</v>
      </c>
      <c r="BA98" s="65">
        <f t="shared" si="101"/>
        <v>10783795.330000002</v>
      </c>
      <c r="BB98" s="65">
        <f t="shared" si="101"/>
        <v>10567529.34</v>
      </c>
      <c r="BC98" s="65">
        <f t="shared" si="101"/>
        <v>10167180.199999999</v>
      </c>
      <c r="BD98" s="65">
        <f t="shared" si="101"/>
        <v>9090243.2699999996</v>
      </c>
      <c r="BE98" s="65">
        <f t="shared" si="101"/>
        <v>7572149.7800000003</v>
      </c>
      <c r="BF98" s="65">
        <f t="shared" si="101"/>
        <v>7300945.6600000001</v>
      </c>
      <c r="BG98" s="65">
        <f>SUM(BG93:BG97)</f>
        <v>102865750.59999998</v>
      </c>
      <c r="BH98" s="65">
        <f t="shared" ref="BH98:BO98" si="102">SUM(BH93:BH97)</f>
        <v>6905753.6500000004</v>
      </c>
      <c r="BI98" s="65">
        <f t="shared" si="102"/>
        <v>8578941.1099999994</v>
      </c>
      <c r="BJ98" s="65">
        <f t="shared" si="102"/>
        <v>13363384.18</v>
      </c>
      <c r="BK98" s="65">
        <f t="shared" si="102"/>
        <v>9523992.8300000001</v>
      </c>
      <c r="BL98" s="65">
        <f t="shared" si="102"/>
        <v>9420703.4799999986</v>
      </c>
      <c r="BM98" s="65">
        <f t="shared" si="102"/>
        <v>10258238.4</v>
      </c>
      <c r="BN98" s="65">
        <f t="shared" si="102"/>
        <v>9044960.7999999989</v>
      </c>
      <c r="BO98" s="65">
        <f t="shared" si="102"/>
        <v>9551538.7800000012</v>
      </c>
      <c r="BP98" s="65">
        <v>10334890.16</v>
      </c>
      <c r="BQ98" s="65">
        <f t="shared" ref="BQ98:CT98" si="103">SUM(BQ93:BQ97)</f>
        <v>7610532.5699999994</v>
      </c>
      <c r="BR98" s="65">
        <f t="shared" si="103"/>
        <v>8174519.1299999999</v>
      </c>
      <c r="BS98" s="65">
        <f t="shared" si="103"/>
        <v>6930030.25</v>
      </c>
      <c r="BT98" s="65">
        <f t="shared" si="103"/>
        <v>109697485.34</v>
      </c>
      <c r="BU98" s="65">
        <f t="shared" si="103"/>
        <v>5872559.79</v>
      </c>
      <c r="BV98" s="65">
        <f t="shared" si="103"/>
        <v>6109318.3799999999</v>
      </c>
      <c r="BW98" s="65">
        <f t="shared" si="103"/>
        <v>7697795.2199999997</v>
      </c>
      <c r="BX98" s="65">
        <f t="shared" si="103"/>
        <v>7048212.46</v>
      </c>
      <c r="BY98" s="65">
        <f t="shared" si="103"/>
        <v>11083984.619999999</v>
      </c>
      <c r="BZ98" s="65">
        <f t="shared" si="103"/>
        <v>10165787.210000001</v>
      </c>
      <c r="CA98" s="65">
        <f t="shared" si="103"/>
        <v>7270461.5700000003</v>
      </c>
      <c r="CB98" s="65">
        <f t="shared" si="103"/>
        <v>10048399.349999998</v>
      </c>
      <c r="CC98" s="65">
        <f t="shared" si="103"/>
        <v>9170377.5999999996</v>
      </c>
      <c r="CD98" s="65">
        <f t="shared" si="103"/>
        <v>11244984.779999999</v>
      </c>
      <c r="CE98" s="65">
        <f t="shared" si="103"/>
        <v>7826019.8000000007</v>
      </c>
      <c r="CF98" s="65">
        <v>10678594.619999999</v>
      </c>
      <c r="CG98" s="65">
        <f t="shared" si="103"/>
        <v>104216495.39999999</v>
      </c>
      <c r="CH98" s="65">
        <f t="shared" si="103"/>
        <v>9152530.2599999998</v>
      </c>
      <c r="CI98" s="65">
        <f t="shared" si="103"/>
        <v>10226612.67</v>
      </c>
      <c r="CJ98" s="65">
        <f t="shared" si="103"/>
        <v>9811806.5899999999</v>
      </c>
      <c r="CK98" s="65">
        <f t="shared" si="103"/>
        <v>13162678.76</v>
      </c>
      <c r="CL98" s="65">
        <f t="shared" si="103"/>
        <v>14581408.779999999</v>
      </c>
      <c r="CM98" s="65">
        <f t="shared" si="103"/>
        <v>13181439.569999998</v>
      </c>
      <c r="CN98" s="65">
        <f t="shared" si="103"/>
        <v>14811713.790000001</v>
      </c>
      <c r="CO98" s="65">
        <f t="shared" si="103"/>
        <v>11759584.790000001</v>
      </c>
      <c r="CP98" s="65">
        <f t="shared" si="103"/>
        <v>13630452.979999999</v>
      </c>
      <c r="CQ98" s="65">
        <f t="shared" si="103"/>
        <v>13471536.359999999</v>
      </c>
      <c r="CR98" s="65">
        <f t="shared" si="103"/>
        <v>13007721.290000001</v>
      </c>
      <c r="CS98" s="65">
        <f t="shared" si="103"/>
        <v>15593184.989999998</v>
      </c>
      <c r="CT98" s="65">
        <f t="shared" si="103"/>
        <v>152390670.83000001</v>
      </c>
      <c r="CU98" s="65">
        <f t="shared" ref="CU98:DM98" si="104">SUM(CU93:CU97)</f>
        <v>10440693.199999999</v>
      </c>
      <c r="CV98" s="65">
        <f t="shared" si="104"/>
        <v>11506721.789999999</v>
      </c>
      <c r="CW98" s="65">
        <f t="shared" si="104"/>
        <v>12675781.439999999</v>
      </c>
      <c r="CX98" s="65">
        <f t="shared" si="104"/>
        <v>16729632.619999999</v>
      </c>
      <c r="CY98" s="65">
        <f t="shared" si="104"/>
        <v>16519964.5</v>
      </c>
      <c r="CZ98" s="65">
        <f t="shared" si="104"/>
        <v>14176496.430000002</v>
      </c>
      <c r="DA98" s="65">
        <f t="shared" si="104"/>
        <v>11056996.909999998</v>
      </c>
      <c r="DB98" s="65">
        <f t="shared" si="104"/>
        <v>11735857.360000001</v>
      </c>
      <c r="DC98" s="65">
        <f t="shared" si="104"/>
        <v>12009546.08</v>
      </c>
      <c r="DD98" s="65">
        <f t="shared" si="104"/>
        <v>10598793.070000002</v>
      </c>
      <c r="DE98" s="65">
        <f t="shared" si="104"/>
        <v>11134744.35</v>
      </c>
      <c r="DF98" s="65">
        <f t="shared" si="104"/>
        <v>9273334.8399999999</v>
      </c>
      <c r="DG98" s="65">
        <f>SUM(TBBP[[#This Row],[Coluna287]:[Coluna298]])</f>
        <v>147858562.59</v>
      </c>
      <c r="DH98" s="65">
        <f t="shared" si="104"/>
        <v>11429675.309999999</v>
      </c>
      <c r="DI98" s="65">
        <f t="shared" si="104"/>
        <v>9478787.379999999</v>
      </c>
      <c r="DJ98" s="65">
        <f t="shared" si="104"/>
        <v>14484269.509999998</v>
      </c>
      <c r="DK98" s="65">
        <f t="shared" si="104"/>
        <v>15628805.589999998</v>
      </c>
      <c r="DL98" s="65">
        <f t="shared" si="104"/>
        <v>12399152.1</v>
      </c>
      <c r="DM98" s="65">
        <f t="shared" si="104"/>
        <v>14392399.149999999</v>
      </c>
      <c r="DO98" t="s">
        <v>99</v>
      </c>
      <c r="DP98" s="30">
        <f>IF(OR(MID(TBBP[[#This Row],[Coluna1]],1,1)="1",MID(TBBP[[#This Row],[Coluna1]],1,1)="2"),"-",SUMIFS(98:98,listaPeriodos,$DR$1,listaPeriodos,$DR$2))</f>
        <v>77813089.039999992</v>
      </c>
      <c r="DQ98" s="30">
        <v>16166666.666666666</v>
      </c>
      <c r="DR98" s="30">
        <f t="shared" si="89"/>
        <v>97000000</v>
      </c>
      <c r="DS98" s="30"/>
      <c r="DT98" s="30"/>
      <c r="DU98"/>
    </row>
    <row r="99" spans="1:125" x14ac:dyDescent="0.3">
      <c r="A99" s="7" t="s">
        <v>128</v>
      </c>
      <c r="B99" t="s">
        <v>114</v>
      </c>
      <c r="C99" s="4">
        <v>-2077720.78</v>
      </c>
      <c r="D99" s="4">
        <v>-3122370.2199999997</v>
      </c>
      <c r="E99" s="4">
        <v>-3814679.7800000003</v>
      </c>
      <c r="F99" s="4">
        <v>-3225472.29</v>
      </c>
      <c r="G99" s="4">
        <v>-3184143.34</v>
      </c>
      <c r="H99" s="4">
        <v>-230222.02</v>
      </c>
      <c r="I99" s="4">
        <v>-236237.64</v>
      </c>
      <c r="J99" s="4">
        <v>-348284.34</v>
      </c>
      <c r="K99" s="4">
        <v>-283130.57</v>
      </c>
      <c r="L99" s="4">
        <v>-175277.69</v>
      </c>
      <c r="M99" s="4">
        <v>-342546.78</v>
      </c>
      <c r="N99" s="4">
        <v>-448048.12</v>
      </c>
      <c r="O99" s="4">
        <v>-379516.83</v>
      </c>
      <c r="P99" s="4">
        <v>-584797.68999999994</v>
      </c>
      <c r="Q99" s="4">
        <v>-476573.08</v>
      </c>
      <c r="R99" s="4">
        <v>-273466.59999999998</v>
      </c>
      <c r="S99" s="4">
        <v>-166110.69</v>
      </c>
      <c r="T99" s="4">
        <f>IF(OR(MID(TBBP[[#This Row],[Coluna1]],1,1)="1",MID(TBBP[[#This Row],[Coluna1]],1,1)="2"),TBBP[[#This Row],[Coluna19]],SUM(H99:S99))</f>
        <v>-3944212.0500000003</v>
      </c>
      <c r="U99" s="4">
        <v>-337759.97</v>
      </c>
      <c r="V99" s="4">
        <v>-304120.86</v>
      </c>
      <c r="W99" s="4">
        <v>-343158.21</v>
      </c>
      <c r="X99" s="4">
        <v>-385898.68</v>
      </c>
      <c r="Y99" s="4">
        <v>-422127.38</v>
      </c>
      <c r="Z99" s="4">
        <v>-312179.20000000001</v>
      </c>
      <c r="AA99" s="4">
        <v>-428743.47</v>
      </c>
      <c r="AB99" s="4">
        <v>-356765.45</v>
      </c>
      <c r="AC99" s="4">
        <v>-514904.97</v>
      </c>
      <c r="AD99" s="4">
        <v>-542911.59</v>
      </c>
      <c r="AE99" s="4">
        <v>-448681.94</v>
      </c>
      <c r="AF99" s="4">
        <v>-391317.26</v>
      </c>
      <c r="AG99" s="4">
        <f>IF(OR(MID(TBBP[[#This Row],[Coluna1]],1,1)="1",MID(TBBP[[#This Row],[Coluna1]],1,1)="2"),TBBP[[#This Row],[Coluna32]],SUM(U99:AF99))</f>
        <v>-4788568.9800000004</v>
      </c>
      <c r="AH99" s="4">
        <v>-431863.75</v>
      </c>
      <c r="AI99" s="4">
        <v>-351715.06</v>
      </c>
      <c r="AJ99" s="4">
        <v>-296805.06</v>
      </c>
      <c r="AK99" s="4">
        <v>-283861.01</v>
      </c>
      <c r="AL99" s="4">
        <v>-374723.96</v>
      </c>
      <c r="AM99" s="4">
        <v>-572834.47</v>
      </c>
      <c r="AN99" s="4">
        <v>-678791.72</v>
      </c>
      <c r="AO99" s="4">
        <v>-633026.55000000005</v>
      </c>
      <c r="AP99" s="4">
        <v>-655372.89</v>
      </c>
      <c r="AQ99" s="4">
        <v>-953076.46</v>
      </c>
      <c r="AR99" s="4">
        <v>-700185.58</v>
      </c>
      <c r="AS99" s="4">
        <v>-628226.67000000004</v>
      </c>
      <c r="AT99" s="4">
        <f>IF(OR(MID(TBBP[[#This Row],[Coluna1]],1,1)="1",MID(TBBP[[#This Row],[Coluna1]],1,1)="2"),TBBP[[#This Row],[Coluna45]],SUM(AH99:AS99))</f>
        <v>-6560483.1799999997</v>
      </c>
      <c r="AU99" s="4">
        <v>-786447.73</v>
      </c>
      <c r="AV99" s="4">
        <v>-907564.05</v>
      </c>
      <c r="AW99" s="4">
        <v>-1009010.24</v>
      </c>
      <c r="AX99" s="4">
        <v>-1103223.9099999999</v>
      </c>
      <c r="AY99" s="4">
        <v>-1110039.8700000001</v>
      </c>
      <c r="AZ99" s="4">
        <v>-1407613.37</v>
      </c>
      <c r="BA99" s="4">
        <v>-1295518.3400000001</v>
      </c>
      <c r="BB99" s="4">
        <v>-1118811.28</v>
      </c>
      <c r="BC99" s="4">
        <v>-1408202.55</v>
      </c>
      <c r="BD99" s="4">
        <v>-1201108.3600000001</v>
      </c>
      <c r="BE99" s="4">
        <v>-1005108.07</v>
      </c>
      <c r="BF99" s="4">
        <v>-981657.84</v>
      </c>
      <c r="BG99" s="4">
        <f>IF(OR(MID(TBBP[[#This Row],[Coluna1]],1,1)="1",MID(TBBP[[#This Row],[Coluna1]],1,1)="2"),TBBP[[#This Row],[Coluna58]],SUM(AU99:BF99))</f>
        <v>-13334305.609999999</v>
      </c>
      <c r="BH99" s="4">
        <v>-1179137.29</v>
      </c>
      <c r="BI99" s="4">
        <v>-1430553.1</v>
      </c>
      <c r="BJ99" s="4">
        <v>-2219755.7400000002</v>
      </c>
      <c r="BK99" s="4">
        <v>-1561877.73</v>
      </c>
      <c r="BL99" s="4">
        <v>-1584305.4000000001</v>
      </c>
      <c r="BM99" s="4">
        <v>-1758250.02</v>
      </c>
      <c r="BN99" s="4">
        <v>-1598050.38</v>
      </c>
      <c r="BO99" s="4">
        <v>-1712908.89</v>
      </c>
      <c r="BP99" s="4">
        <v>-1906829.9200000002</v>
      </c>
      <c r="BQ99" s="4">
        <v>-1447132.78</v>
      </c>
      <c r="BR99" s="4">
        <v>-1359327.6800000002</v>
      </c>
      <c r="BS99" s="4">
        <v>-1213447.8599999999</v>
      </c>
      <c r="BT99" s="4">
        <f>IF(OR(MID(TBBP[[#This Row],[Coluna1]],1,1)="1",MID(TBBP[[#This Row],[Coluna1]],1,1)="2"),TBBP[[#This Row],[Coluna127]],SUM(BH99:BS99))</f>
        <v>-18971576.789999999</v>
      </c>
      <c r="BU99" s="4">
        <v>-1063643.3</v>
      </c>
      <c r="BV99" s="4">
        <v>-1042996.55</v>
      </c>
      <c r="BW99" s="4">
        <v>-1361181.49</v>
      </c>
      <c r="BX99" s="4">
        <v>-1334750.77</v>
      </c>
      <c r="BY99" s="4">
        <v>-1880304.9400000002</v>
      </c>
      <c r="BZ99" s="4">
        <v>-1628710.52</v>
      </c>
      <c r="CA99" s="4">
        <v>-1358606.57</v>
      </c>
      <c r="CB99" s="4">
        <v>-1781670.1700000002</v>
      </c>
      <c r="CC99" s="4">
        <v>-1644310.3900000001</v>
      </c>
      <c r="CD99" s="4">
        <v>-1815922.84</v>
      </c>
      <c r="CE99" s="4">
        <v>-1422965.32</v>
      </c>
      <c r="CF99" s="4">
        <v>-1828914.6099999999</v>
      </c>
      <c r="CG99" s="4">
        <f>IF(OR(MID(TBBP[[#This Row],[Coluna1]],1,1)="1",MID(TBBP[[#This Row],[Coluna1]],1,1)="2"),CF99,SUM(BU99:CF99))</f>
        <v>-18163977.470000003</v>
      </c>
      <c r="CH99" s="4">
        <v>-1636562.63</v>
      </c>
      <c r="CI99" s="4">
        <v>-1798782.8</v>
      </c>
      <c r="CJ99" s="4">
        <v>-1764685.63</v>
      </c>
      <c r="CK99" s="4">
        <v>-2224242.7000000002</v>
      </c>
      <c r="CL99" s="4">
        <v>-2514694.6800000002</v>
      </c>
      <c r="CM99" s="4">
        <v>-2227087.98</v>
      </c>
      <c r="CN99" s="4">
        <v>-2211560.77</v>
      </c>
      <c r="CO99" s="4">
        <v>-2079348.1300000001</v>
      </c>
      <c r="CP99" s="4">
        <v>-2258135.84</v>
      </c>
      <c r="CQ99" s="4">
        <v>-2400475.0900000003</v>
      </c>
      <c r="CR99" s="4">
        <v>-2188676.2999999998</v>
      </c>
      <c r="CS99" s="4">
        <v>-2402173.4</v>
      </c>
      <c r="CT99" s="4">
        <f>IF(OR(MID(TBBP[[#This Row],[Coluna1]],1,1)="1",MID(TBBP[[#This Row],[Coluna1]],1,1)="2"),CS99,SUM(CH99:CS99))</f>
        <v>-25706425.949999999</v>
      </c>
      <c r="CU99" s="255">
        <v>-1982265.21</v>
      </c>
      <c r="CV99" s="255">
        <v>-1930511.16</v>
      </c>
      <c r="CW99" s="255">
        <v>-2186026.3000000003</v>
      </c>
      <c r="CX99" s="255">
        <v>-2803122.77</v>
      </c>
      <c r="CY99" s="255">
        <v>-2413304.4700000002</v>
      </c>
      <c r="CZ99" s="255">
        <v>-2482387.2199999997</v>
      </c>
      <c r="DA99" s="255">
        <v>-1861266.35</v>
      </c>
      <c r="DB99" s="255">
        <v>-1742715.42</v>
      </c>
      <c r="DC99" s="255">
        <v>-2094180.18</v>
      </c>
      <c r="DD99" s="255">
        <v>-1802411.84</v>
      </c>
      <c r="DE99" s="255">
        <v>-1838060.42</v>
      </c>
      <c r="DF99" s="255">
        <v>-1592285.6900000002</v>
      </c>
      <c r="DG99" s="255">
        <f>SUM(TBBP[[#This Row],[Coluna287]:[Coluna298]])</f>
        <v>-24728537.029999997</v>
      </c>
      <c r="DH99" s="255">
        <v>-1943414.25</v>
      </c>
      <c r="DI99" s="255">
        <v>-1699785.51</v>
      </c>
      <c r="DJ99" s="255">
        <v>-2548455.5699999998</v>
      </c>
      <c r="DK99" s="255">
        <v>-2674882.65</v>
      </c>
      <c r="DL99" s="255">
        <v>-2078824.0599999998</v>
      </c>
      <c r="DM99" s="255">
        <v>-2495778.3199999998</v>
      </c>
      <c r="DO99" t="s">
        <v>114</v>
      </c>
      <c r="DP99" s="30">
        <f>IF(OR(MID(TBBP[[#This Row],[Coluna1]],1,1)="1",MID(TBBP[[#This Row],[Coluna1]],1,1)="2"),"-",SUMIFS(99:99,listaPeriodos,$DR$1,listaPeriodos,$DR$2))</f>
        <v>-13441140.360000001</v>
      </c>
      <c r="DQ99" s="30">
        <v>-2748333.3333333335</v>
      </c>
      <c r="DR99" s="30">
        <f t="shared" si="89"/>
        <v>-16490000</v>
      </c>
      <c r="DS99" s="30"/>
      <c r="DT99" s="30"/>
      <c r="DU99"/>
    </row>
    <row r="100" spans="1:125" x14ac:dyDescent="0.3">
      <c r="A100" s="7" t="s">
        <v>129</v>
      </c>
      <c r="B100" t="s">
        <v>115</v>
      </c>
      <c r="C100" s="4">
        <v>-788595.49</v>
      </c>
      <c r="D100" s="4">
        <v>-956690.62</v>
      </c>
      <c r="E100" s="4">
        <v>-2043447.8699999999</v>
      </c>
      <c r="F100" s="4">
        <v>-1656960.49</v>
      </c>
      <c r="G100" s="4">
        <v>-1521337.96</v>
      </c>
      <c r="H100" s="4">
        <v>-82190.91</v>
      </c>
      <c r="I100" s="4">
        <v>-237801.78</v>
      </c>
      <c r="J100" s="4">
        <v>-75055.75</v>
      </c>
      <c r="K100" s="4">
        <v>-133054.32</v>
      </c>
      <c r="L100" s="4">
        <v>-24057.410000000003</v>
      </c>
      <c r="M100" s="4">
        <v>-907.68</v>
      </c>
      <c r="N100" s="4">
        <v>-344582.59</v>
      </c>
      <c r="O100" s="4">
        <v>-131491.07</v>
      </c>
      <c r="P100" s="4">
        <v>-546846.74</v>
      </c>
      <c r="Q100" s="4">
        <v>-96687.56</v>
      </c>
      <c r="R100" s="4">
        <v>-9304.39</v>
      </c>
      <c r="S100" s="4">
        <v>0</v>
      </c>
      <c r="T100" s="4">
        <f>IF(OR(MID(TBBP[[#This Row],[Coluna1]],1,1)="1",MID(TBBP[[#This Row],[Coluna1]],1,1)="2"),TBBP[[#This Row],[Coluna19]],SUM(H100:S100))</f>
        <v>-1681980.2000000002</v>
      </c>
      <c r="U100" s="4">
        <v>-133945.76999999999</v>
      </c>
      <c r="V100" s="4">
        <v>-39972.43</v>
      </c>
      <c r="W100" s="4">
        <v>-256920.22</v>
      </c>
      <c r="X100" s="4">
        <v>-16965.349999999999</v>
      </c>
      <c r="Y100" s="4">
        <v>-53610.74</v>
      </c>
      <c r="Z100" s="4">
        <v>0</v>
      </c>
      <c r="AA100" s="4">
        <v>-1375.26</v>
      </c>
      <c r="AB100" s="4">
        <v>-58310.79</v>
      </c>
      <c r="AC100" s="4">
        <v>-11649.93</v>
      </c>
      <c r="AD100" s="4">
        <v>-164433</v>
      </c>
      <c r="AE100" s="4">
        <v>-271399.8</v>
      </c>
      <c r="AF100" s="4">
        <v>-182926.65</v>
      </c>
      <c r="AG100" s="4">
        <f>IF(OR(MID(TBBP[[#This Row],[Coluna1]],1,1)="1",MID(TBBP[[#This Row],[Coluna1]],1,1)="2"),TBBP[[#This Row],[Coluna32]],SUM(U100:AF100))</f>
        <v>-1191509.94</v>
      </c>
      <c r="AH100" s="4">
        <v>-40481.06</v>
      </c>
      <c r="AI100" s="4">
        <v>-20681.189999999999</v>
      </c>
      <c r="AJ100" s="4">
        <v>-2984.08</v>
      </c>
      <c r="AK100" s="4">
        <v>-134617.70000000001</v>
      </c>
      <c r="AL100" s="4">
        <v>-2445.8000000000002</v>
      </c>
      <c r="AM100" s="4">
        <v>-77488.740000000005</v>
      </c>
      <c r="AN100" s="4">
        <v>-277789.68</v>
      </c>
      <c r="AO100" s="4">
        <v>-153746.75999999998</v>
      </c>
      <c r="AP100" s="4">
        <v>-111862.68000000001</v>
      </c>
      <c r="AQ100" s="4">
        <v>-9853.18</v>
      </c>
      <c r="AR100" s="4">
        <v>-159846.54</v>
      </c>
      <c r="AS100" s="4">
        <v>-34297.24</v>
      </c>
      <c r="AT100" s="4">
        <f>IF(OR(MID(TBBP[[#This Row],[Coluna1]],1,1)="1",MID(TBBP[[#This Row],[Coluna1]],1,1)="2"),TBBP[[#This Row],[Coluna45]],SUM(AH100:AS100))</f>
        <v>-1026094.6500000001</v>
      </c>
      <c r="AU100" s="4">
        <v>-252764.27</v>
      </c>
      <c r="AV100" s="4">
        <v>-316380.53000000003</v>
      </c>
      <c r="AW100" s="4">
        <v>-104239.16</v>
      </c>
      <c r="AX100" s="4">
        <v>-159433.86000000002</v>
      </c>
      <c r="AY100" s="4">
        <v>-1678.64</v>
      </c>
      <c r="AZ100" s="4">
        <v>-123558.93999999999</v>
      </c>
      <c r="BA100" s="4">
        <v>-84745.73</v>
      </c>
      <c r="BB100" s="4">
        <v>-748255.39999999991</v>
      </c>
      <c r="BC100" s="4">
        <v>-151115.28999999998</v>
      </c>
      <c r="BD100" s="4">
        <v>-425796.69999999995</v>
      </c>
      <c r="BE100" s="4">
        <v>-401379.27</v>
      </c>
      <c r="BF100" s="4">
        <v>-802299.27</v>
      </c>
      <c r="BG100" s="4">
        <f>IF(OR(MID(TBBP[[#This Row],[Coluna1]],1,1)="1",MID(TBBP[[#This Row],[Coluna1]],1,1)="2"),TBBP[[#This Row],[Coluna58]],SUM(AU100:BF100))</f>
        <v>-3571647.0599999996</v>
      </c>
      <c r="BH100" s="4">
        <v>-379785.82999999996</v>
      </c>
      <c r="BI100" s="4">
        <v>-480449.19</v>
      </c>
      <c r="BJ100" s="4">
        <v>-745279.56</v>
      </c>
      <c r="BK100" s="4">
        <v>-720080.39</v>
      </c>
      <c r="BL100" s="4">
        <v>-4117.29</v>
      </c>
      <c r="BM100" s="4">
        <v>-628478.76</v>
      </c>
      <c r="BN100" s="4">
        <v>-313536.35000000003</v>
      </c>
      <c r="BO100" s="4">
        <v>-85172.77</v>
      </c>
      <c r="BP100" s="4">
        <v>-526239.27</v>
      </c>
      <c r="BQ100" s="4">
        <v>-950423.44</v>
      </c>
      <c r="BR100" s="4">
        <v>-181259.11</v>
      </c>
      <c r="BS100" s="4">
        <v>-194252.90999999997</v>
      </c>
      <c r="BT100" s="4">
        <f>IF(OR(MID(TBBP[[#This Row],[Coluna1]],1,1)="1",MID(TBBP[[#This Row],[Coluna1]],1,1)="2"),TBBP[[#This Row],[Coluna127]],SUM(BH100:BS100))</f>
        <v>-5209074.870000001</v>
      </c>
      <c r="BU100" s="4">
        <v>-285554.20999999996</v>
      </c>
      <c r="BV100" s="4">
        <v>-45716.69</v>
      </c>
      <c r="BW100" s="4">
        <v>-173214.72</v>
      </c>
      <c r="BX100" s="4">
        <v>-263173.8</v>
      </c>
      <c r="BY100" s="4">
        <v>-115775.93000000001</v>
      </c>
      <c r="BZ100" s="4">
        <v>-260001.58</v>
      </c>
      <c r="CA100" s="4">
        <v>-713410.84000000008</v>
      </c>
      <c r="CB100" s="4">
        <v>-277742.27</v>
      </c>
      <c r="CC100" s="4">
        <v>-220478.81</v>
      </c>
      <c r="CD100" s="4">
        <v>-597312.31000000006</v>
      </c>
      <c r="CE100" s="4">
        <v>-431756.46</v>
      </c>
      <c r="CF100" s="4">
        <v>-616778.42999999993</v>
      </c>
      <c r="CG100" s="4">
        <f>IF(OR(MID(TBBP[[#This Row],[Coluna1]],1,1)="1",MID(TBBP[[#This Row],[Coluna1]],1,1)="2"),CF100,SUM(BU100:CF100))</f>
        <v>-4000916.05</v>
      </c>
      <c r="CH100" s="4">
        <v>-34556.740000000005</v>
      </c>
      <c r="CI100" s="4">
        <v>-19892.55</v>
      </c>
      <c r="CJ100" s="4">
        <v>-375718.16</v>
      </c>
      <c r="CK100" s="4">
        <v>-349289.17000000004</v>
      </c>
      <c r="CL100" s="4">
        <v>-257127.24</v>
      </c>
      <c r="CM100" s="4">
        <v>-344162.42</v>
      </c>
      <c r="CN100" s="4">
        <v>-650099.2699999999</v>
      </c>
      <c r="CO100" s="4">
        <v>-300384.51</v>
      </c>
      <c r="CP100" s="4">
        <v>-980996.73</v>
      </c>
      <c r="CQ100" s="4">
        <v>-148211.03</v>
      </c>
      <c r="CR100" s="4">
        <v>-2386733.7799999998</v>
      </c>
      <c r="CS100" s="4">
        <v>-334834.70999999996</v>
      </c>
      <c r="CT100" s="4">
        <f>IF(OR(MID(TBBP[[#This Row],[Coluna1]],1,1)="1",MID(TBBP[[#This Row],[Coluna1]],1,1)="2"),CS100,SUM(CH100:CS100))</f>
        <v>-6182006.3099999996</v>
      </c>
      <c r="CU100" s="255">
        <v>-381971.67</v>
      </c>
      <c r="CV100" s="255">
        <v>-267330.32</v>
      </c>
      <c r="CW100" s="255">
        <v>-1241570.72</v>
      </c>
      <c r="CX100" s="255">
        <v>-767496.78</v>
      </c>
      <c r="CY100" s="255">
        <v>-146687.03</v>
      </c>
      <c r="CZ100" s="255">
        <v>-4108011.5200000005</v>
      </c>
      <c r="DA100" s="255">
        <v>-654919.13</v>
      </c>
      <c r="DB100" s="255">
        <v>-1057511.26</v>
      </c>
      <c r="DC100" s="255">
        <v>-1644325.75</v>
      </c>
      <c r="DD100" s="255">
        <v>-570799.61</v>
      </c>
      <c r="DE100" s="255">
        <v>-324419.95999999996</v>
      </c>
      <c r="DF100" s="255">
        <v>-489217.89999999997</v>
      </c>
      <c r="DG100" s="255">
        <f>SUM(TBBP[[#This Row],[Coluna287]:[Coluna298]])</f>
        <v>-11654261.65</v>
      </c>
      <c r="DH100" s="255">
        <v>-571540.85</v>
      </c>
      <c r="DI100" s="255">
        <v>-422013.69</v>
      </c>
      <c r="DJ100" s="255">
        <v>-2876582.99</v>
      </c>
      <c r="DK100" s="255">
        <v>-1811121.47</v>
      </c>
      <c r="DL100" s="255">
        <v>-384156.55</v>
      </c>
      <c r="DM100" s="255">
        <v>-1044972.09</v>
      </c>
      <c r="DO100" t="s">
        <v>115</v>
      </c>
      <c r="DP100" s="30">
        <f>IF(OR(MID(TBBP[[#This Row],[Coluna1]],1,1)="1",MID(TBBP[[#This Row],[Coluna1]],1,1)="2"),"-",SUMIFS(100:100,listaPeriodos,$DR$1,listaPeriodos,$DR$2))</f>
        <v>-7110387.6399999997</v>
      </c>
      <c r="DQ100" s="30">
        <v>-333356.66666666669</v>
      </c>
      <c r="DR100" s="30">
        <f t="shared" si="89"/>
        <v>-2000140</v>
      </c>
      <c r="DS100" s="30"/>
      <c r="DT100" s="30"/>
      <c r="DU100"/>
    </row>
    <row r="101" spans="1:125" x14ac:dyDescent="0.3">
      <c r="A101" s="7" t="s">
        <v>762</v>
      </c>
      <c r="B101" t="s">
        <v>763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f>-(35000+55000+586.34+4931.05)</f>
        <v>-95517.39</v>
      </c>
      <c r="I101" s="4">
        <f>-(110000+80000+70000+2152.5)</f>
        <v>-262152.5</v>
      </c>
      <c r="J101" s="4">
        <f>-(32000+4160.37+18500+14490+22000)</f>
        <v>-91150.37</v>
      </c>
      <c r="K101" s="4">
        <f>-(38000+70000+38000+513.82+514.21)</f>
        <v>-147028.03</v>
      </c>
      <c r="L101" s="4">
        <f>-(12000+1620.73+658.85+15500)</f>
        <v>-29779.58</v>
      </c>
      <c r="M101" s="4">
        <f>-(1124.05)</f>
        <v>-1124.05</v>
      </c>
      <c r="N101" s="4">
        <f>-(21100+105000+180000+1742.75+35500+38000+5000)</f>
        <v>-386342.75</v>
      </c>
      <c r="O101" s="4">
        <f>-(31607.92+1489.52+175.66+587.2+70000+32800+11399.14+1620.73+2630)</f>
        <v>-152310.17000000001</v>
      </c>
      <c r="P101" s="4">
        <f>-(40000+35000+413.58+280000+101000+75000+110000)</f>
        <v>-641413.58000000007</v>
      </c>
      <c r="Q101" s="4">
        <f>-(1771.6+2182.93+99999.99+1149.44+1186.6)</f>
        <v>-106290.56000000001</v>
      </c>
      <c r="R101" s="4">
        <f>-(5050.78+3543.96+2465.82)</f>
        <v>-11060.56</v>
      </c>
      <c r="S101" s="4">
        <v>0</v>
      </c>
      <c r="T101" s="4">
        <f>IF(OR(MID(TBBP[[#This Row],[Coluna1]],1,1)="1",MID(TBBP[[#This Row],[Coluna1]],1,1)="2"),TBBP[[#This Row],[Coluna19]],SUM(H101:S101))</f>
        <v>-1924169.5400000003</v>
      </c>
      <c r="U101" s="4">
        <f>-(1000+107000+38000)</f>
        <v>-146000</v>
      </c>
      <c r="V101" s="4">
        <f>-(2905+38000+3219.7)</f>
        <v>-44124.7</v>
      </c>
      <c r="W101" s="4">
        <f>-(85000+194000+3198.61+1104.39)</f>
        <v>-283303</v>
      </c>
      <c r="X101" s="4">
        <f>-(15000+616.6+2299.5)</f>
        <v>-17916.099999999999</v>
      </c>
      <c r="Y101" s="4">
        <f>-(1275.7+13230+10488.81+10000+26742.05+1632.08)</f>
        <v>-63368.639999999999</v>
      </c>
      <c r="Z101" s="4">
        <v>0</v>
      </c>
      <c r="AA101" s="4">
        <f>-(1036.61+805.53)</f>
        <v>-1842.1399999999999</v>
      </c>
      <c r="AB101" s="4">
        <f>-(11475+102+51500)</f>
        <v>-63077</v>
      </c>
      <c r="AC101" s="4">
        <f>-(6837.11+5210+1129.72)</f>
        <v>-13176.83</v>
      </c>
      <c r="AD101" s="4">
        <f>-(38000+15000+5227.56+40000+85000)</f>
        <v>-183227.56</v>
      </c>
      <c r="AE101" s="4">
        <f>-(70000+46000+10193.83+74000+4500+100000+502.32)</f>
        <v>-305196.15000000002</v>
      </c>
      <c r="AF101" s="4">
        <f>-(70000+142000)</f>
        <v>-212000</v>
      </c>
      <c r="AG101" s="4">
        <f>IF(OR(MID(TBBP[[#This Row],[Coluna1]],1,1)="1",MID(TBBP[[#This Row],[Coluna1]],1,1)="2"),TBBP[[#This Row],[Coluna32]],SUM(U101:AF101))</f>
        <v>-1333232.1200000001</v>
      </c>
      <c r="AH101" s="4">
        <f>-(2733.29+5228.16+38000)</f>
        <v>-45961.45</v>
      </c>
      <c r="AI101" s="4">
        <f>-(1138.02+20000+2500)</f>
        <v>-23638.02</v>
      </c>
      <c r="AJ101" s="4">
        <f>-(2500+978.88)</f>
        <v>-3478.88</v>
      </c>
      <c r="AK101" s="4">
        <f>-(35000+3805.73+98500+1801.8+8155.14)</f>
        <v>-147262.67000000001</v>
      </c>
      <c r="AL101" s="4">
        <f>-(434.87+434.87+2012.07)</f>
        <v>-2881.81</v>
      </c>
      <c r="AM101" s="4">
        <f>-(2452.81+7223.39+1808.79+2900+4359.78+76500)</f>
        <v>-95244.77</v>
      </c>
      <c r="AN101" s="4">
        <f>-(145000+75000+590.04+465.63+11500+634.56+67500+514.58)</f>
        <v>-301204.81</v>
      </c>
      <c r="AO101" s="4">
        <f>-(40000+1196.6+6863.85+120000+465.63)</f>
        <v>-168526.08000000002</v>
      </c>
      <c r="AP101" s="4">
        <f>-(82000+5187.18+374.91+37000+298.62+191.1+293.02)</f>
        <v>-125344.83</v>
      </c>
      <c r="AQ101" s="4">
        <f>-(4235.01+6148.41+1130+1014.82)</f>
        <v>-12528.24</v>
      </c>
      <c r="AR101" s="4">
        <f>-(65000+2900.01+100000+10064.58)</f>
        <v>-177964.59</v>
      </c>
      <c r="AS101" s="4">
        <f>-(940.53+5562+32508.53+1894.9)</f>
        <v>-40905.96</v>
      </c>
      <c r="AT101" s="4">
        <f>IF(OR(MID(TBBP[[#This Row],[Coluna1]],1,1)="1",MID(TBBP[[#This Row],[Coluna1]],1,1)="2"),TBBP[[#This Row],[Coluna45]],SUM(AH101:AS101))</f>
        <v>-1144942.1099999999</v>
      </c>
      <c r="AU101" s="4">
        <v>-280173.61</v>
      </c>
      <c r="AV101" s="4">
        <v>-346768.14</v>
      </c>
      <c r="AW101" s="4">
        <v>-114132.21</v>
      </c>
      <c r="AX101" s="4">
        <v>-166857.48000000001</v>
      </c>
      <c r="AY101" s="4">
        <v>-2007.71</v>
      </c>
      <c r="AZ101" s="4">
        <v>-142681.71</v>
      </c>
      <c r="BA101" s="4">
        <v>-97705.67</v>
      </c>
      <c r="BB101" s="4">
        <v>-748962.08</v>
      </c>
      <c r="BC101" s="4">
        <v>-163893.24</v>
      </c>
      <c r="BD101" s="4">
        <v>-473639.41</v>
      </c>
      <c r="BE101" s="4">
        <v>-450430.56</v>
      </c>
      <c r="BF101" s="4">
        <v>-907751.49</v>
      </c>
      <c r="BG101" s="4">
        <f>IF(OR(MID(TBBP[[#This Row],[Coluna1]],1,1)="1",MID(TBBP[[#This Row],[Coluna1]],1,1)="2"),TBBP[[#This Row],[Coluna58]],SUM(AU101:BF101))</f>
        <v>-3895003.3099999996</v>
      </c>
      <c r="BH101" s="4">
        <v>-447532.97</v>
      </c>
      <c r="BI101" s="4">
        <v>-564980.61</v>
      </c>
      <c r="BJ101" s="4">
        <v>-906923.54</v>
      </c>
      <c r="BK101" s="4">
        <v>-842567.06</v>
      </c>
      <c r="BL101" s="4">
        <v>-5825</v>
      </c>
      <c r="BM101" s="4">
        <v>-711513.66</v>
      </c>
      <c r="BN101" s="4">
        <v>-378882.95</v>
      </c>
      <c r="BO101" s="4">
        <v>-106416.85</v>
      </c>
      <c r="BP101" s="4">
        <v>-598916.26</v>
      </c>
      <c r="BQ101" s="4">
        <v>-1216751.49</v>
      </c>
      <c r="BR101" s="4">
        <v>-215252.65</v>
      </c>
      <c r="BS101" s="4">
        <v>-222064.11</v>
      </c>
      <c r="BT101" s="4">
        <f>IF(OR(MID(TBBP[[#This Row],[Coluna1]],1,1)="1",MID(TBBP[[#This Row],[Coluna1]],1,1)="2"),TBBP[[#This Row],[Coluna127]],SUM(BH101:BS101))</f>
        <v>-6217627.1500000013</v>
      </c>
      <c r="BU101" s="4">
        <v>-342782.5</v>
      </c>
      <c r="BV101" s="4">
        <v>-58672.86</v>
      </c>
      <c r="BW101" s="4">
        <v>-204573.88</v>
      </c>
      <c r="BX101" s="4">
        <v>-314577.98</v>
      </c>
      <c r="BY101" s="4">
        <v>-144645.32</v>
      </c>
      <c r="BZ101" s="4">
        <v>-314916.05</v>
      </c>
      <c r="CA101" s="4">
        <v>-861846.68</v>
      </c>
      <c r="CB101" s="4">
        <v>-315953.43</v>
      </c>
      <c r="CC101" s="4">
        <v>-268850.26</v>
      </c>
      <c r="CD101" s="4">
        <v>-711066.74</v>
      </c>
      <c r="CE101" s="4">
        <v>-518464.95</v>
      </c>
      <c r="CF101" s="4">
        <v>-727648.96</v>
      </c>
      <c r="CG101" s="4">
        <f>IF(OR(MID(TBBP[[#This Row],[Coluna1]],1,1)="1",MID(TBBP[[#This Row],[Coluna1]],1,1)="2"),CF101,SUM(BU101:CF101))</f>
        <v>-4783999.6100000003</v>
      </c>
      <c r="CH101" s="4">
        <v>-42596.66</v>
      </c>
      <c r="CI101" s="4">
        <v>-25478.84</v>
      </c>
      <c r="CJ101" s="4">
        <v>-463947.98</v>
      </c>
      <c r="CK101" s="4">
        <v>-418658.26</v>
      </c>
      <c r="CL101" s="4">
        <v>-298763.25</v>
      </c>
      <c r="CM101" s="4">
        <v>-414735.06</v>
      </c>
      <c r="CN101" s="4">
        <v>-769767.44</v>
      </c>
      <c r="CO101" s="4">
        <v>-350564.28</v>
      </c>
      <c r="CP101" s="4">
        <v>-1172519.05</v>
      </c>
      <c r="CQ101" s="4">
        <v>-186728.69</v>
      </c>
      <c r="CR101" s="4">
        <v>-2780083.61</v>
      </c>
      <c r="CS101" s="4">
        <v>-394814.87</v>
      </c>
      <c r="CT101" s="4">
        <f>IF(OR(MID(TBBP[[#This Row],[Coluna1]],1,1)="1",MID(TBBP[[#This Row],[Coluna1]],1,1)="2"),CS101,SUM(CH101:CS101))</f>
        <v>-7318657.9900000002</v>
      </c>
      <c r="CU101" s="255">
        <v>-442354.06</v>
      </c>
      <c r="CV101" s="255">
        <v>-332772.8</v>
      </c>
      <c r="CW101" s="255">
        <v>-1435435.14</v>
      </c>
      <c r="CX101" s="255">
        <v>-927392.68</v>
      </c>
      <c r="CY101" s="255">
        <v>-178349.62</v>
      </c>
      <c r="CZ101" s="255">
        <v>-4757101.57</v>
      </c>
      <c r="DA101" s="255">
        <v>-784598.14</v>
      </c>
      <c r="DB101" s="255">
        <v>-1282378.72</v>
      </c>
      <c r="DC101" s="255">
        <v>-1949562.4</v>
      </c>
      <c r="DD101" s="255">
        <v>-675029.9</v>
      </c>
      <c r="DE101" s="255">
        <v>-419436.97</v>
      </c>
      <c r="DF101" s="255">
        <v>-591514.36</v>
      </c>
      <c r="DG101" s="255">
        <f>SUM(TBBP[[#This Row],[Coluna287]:[Coluna298]])</f>
        <v>-13775926.360000003</v>
      </c>
      <c r="DH101" s="255">
        <v>-670390.73</v>
      </c>
      <c r="DI101" s="255">
        <v>-517104.61</v>
      </c>
      <c r="DJ101" s="255">
        <v>-3390610.2</v>
      </c>
      <c r="DK101" s="255">
        <v>-2206817.88</v>
      </c>
      <c r="DL101" s="255">
        <v>-471816.17</v>
      </c>
      <c r="DM101" s="255">
        <v>-1249886.67</v>
      </c>
      <c r="DP101" s="30"/>
      <c r="DQ101" s="30"/>
      <c r="DR101" s="30"/>
      <c r="DS101" s="30"/>
      <c r="DT101" s="30"/>
      <c r="DU101"/>
    </row>
    <row r="102" spans="1:125" x14ac:dyDescent="0.3">
      <c r="A102" s="70" t="s">
        <v>141</v>
      </c>
      <c r="B102" s="65" t="s">
        <v>100</v>
      </c>
      <c r="C102" s="65">
        <f>C98+C99+C100</f>
        <v>13717234.060000001</v>
      </c>
      <c r="D102" s="65">
        <f t="shared" ref="D102:AS102" si="105">D98+D99+D100</f>
        <v>17819334.809999999</v>
      </c>
      <c r="E102" s="65">
        <f t="shared" si="105"/>
        <v>24796552.259999998</v>
      </c>
      <c r="F102" s="65">
        <f t="shared" si="105"/>
        <v>21558193.050000004</v>
      </c>
      <c r="G102" s="65">
        <f t="shared" si="105"/>
        <v>21438899.289999999</v>
      </c>
      <c r="H102" s="65">
        <f t="shared" si="105"/>
        <v>1512665.54</v>
      </c>
      <c r="I102" s="65">
        <f t="shared" si="105"/>
        <v>1687206.2899999998</v>
      </c>
      <c r="J102" s="65">
        <f t="shared" si="105"/>
        <v>2398138.5700000003</v>
      </c>
      <c r="K102" s="65">
        <f t="shared" si="105"/>
        <v>2127758.1100000003</v>
      </c>
      <c r="L102" s="65">
        <f t="shared" si="105"/>
        <v>1383913.34</v>
      </c>
      <c r="M102" s="65">
        <f t="shared" si="105"/>
        <v>1997879.7200000002</v>
      </c>
      <c r="N102" s="65">
        <f t="shared" si="105"/>
        <v>3282292.3600000003</v>
      </c>
      <c r="O102" s="65">
        <f t="shared" si="105"/>
        <v>2561054.21</v>
      </c>
      <c r="P102" s="65">
        <f t="shared" si="105"/>
        <v>3497734.5</v>
      </c>
      <c r="Q102" s="65">
        <f t="shared" si="105"/>
        <v>2825742.2499999995</v>
      </c>
      <c r="R102" s="65">
        <f t="shared" si="105"/>
        <v>1755832.0400000003</v>
      </c>
      <c r="S102" s="65">
        <f t="shared" si="105"/>
        <v>1613123.1099999999</v>
      </c>
      <c r="T102" s="65">
        <f>IF(OR(MID(TBBP[[#This Row],[Coluna1]],1,1)="1",MID(TBBP[[#This Row],[Coluna1]],1,1)="2"),TBBP[[#This Row],[Coluna19]],SUM(H102:S102))</f>
        <v>26643340.040000003</v>
      </c>
      <c r="U102" s="65">
        <f t="shared" si="105"/>
        <v>2428911.6300000004</v>
      </c>
      <c r="V102" s="65">
        <f t="shared" si="105"/>
        <v>2231094.0999999996</v>
      </c>
      <c r="W102" s="65">
        <f t="shared" si="105"/>
        <v>2455981.04</v>
      </c>
      <c r="X102" s="65">
        <f t="shared" si="105"/>
        <v>2824391.86</v>
      </c>
      <c r="Y102" s="65">
        <f t="shared" si="105"/>
        <v>2796290.9299999997</v>
      </c>
      <c r="Z102" s="65">
        <f t="shared" si="105"/>
        <v>2002361.8099999998</v>
      </c>
      <c r="AA102" s="65">
        <f t="shared" si="105"/>
        <v>2791672.0200000005</v>
      </c>
      <c r="AB102" s="65">
        <f t="shared" si="105"/>
        <v>2452913.0499999998</v>
      </c>
      <c r="AC102" s="65">
        <f t="shared" si="105"/>
        <v>3608739.3299999996</v>
      </c>
      <c r="AD102" s="65">
        <f t="shared" si="105"/>
        <v>3693362.66</v>
      </c>
      <c r="AE102" s="65">
        <f t="shared" si="105"/>
        <v>2755382.18</v>
      </c>
      <c r="AF102" s="65">
        <f t="shared" si="105"/>
        <v>2065918.5699999998</v>
      </c>
      <c r="AG102" s="65">
        <f>IF(OR(MID(TBBP[[#This Row],[Coluna1]],1,1)="1",MID(TBBP[[#This Row],[Coluna1]],1,1)="2"),TBBP[[#This Row],[Coluna32]],SUM(U102:AF102))</f>
        <v>32107019.18</v>
      </c>
      <c r="AH102" s="65">
        <f t="shared" si="105"/>
        <v>2941337.78</v>
      </c>
      <c r="AI102" s="65">
        <f t="shared" si="105"/>
        <v>2349456.3899999997</v>
      </c>
      <c r="AJ102" s="65">
        <f t="shared" si="105"/>
        <v>1776143.5799999998</v>
      </c>
      <c r="AK102" s="65">
        <v>1758110.85</v>
      </c>
      <c r="AL102" s="65">
        <f t="shared" si="105"/>
        <v>2559944.39</v>
      </c>
      <c r="AM102" s="65">
        <f t="shared" si="105"/>
        <v>3887509.5300000003</v>
      </c>
      <c r="AN102" s="65">
        <f t="shared" si="105"/>
        <v>4143176.64</v>
      </c>
      <c r="AO102" s="65">
        <f t="shared" si="105"/>
        <v>4467793.6800000006</v>
      </c>
      <c r="AP102" s="65">
        <f t="shared" si="105"/>
        <v>4802256.0000000009</v>
      </c>
      <c r="AQ102" s="65">
        <f t="shared" si="105"/>
        <v>5685928.0300000003</v>
      </c>
      <c r="AR102" s="65">
        <f t="shared" si="105"/>
        <v>4644331.2300000004</v>
      </c>
      <c r="AS102" s="65">
        <f t="shared" si="105"/>
        <v>4473220.9900000012</v>
      </c>
      <c r="AT102" s="65">
        <f>IF(OR(MID(TBBP[[#This Row],[Coluna1]],1,1)="1",MID(TBBP[[#This Row],[Coluna1]],1,1)="2"),TBBP[[#This Row],[Coluna45]],SUM(AH102:AS102))</f>
        <v>43489209.089999996</v>
      </c>
      <c r="AU102" s="65">
        <f t="shared" ref="AU102:BD102" si="106">AU98+AU99+AU100</f>
        <v>4944925.6000000015</v>
      </c>
      <c r="AV102" s="65">
        <f t="shared" si="106"/>
        <v>5234248.620000001</v>
      </c>
      <c r="AW102" s="65">
        <f t="shared" si="106"/>
        <v>6030259.7299999995</v>
      </c>
      <c r="AX102" s="65">
        <f t="shared" si="106"/>
        <v>7105290.3500000006</v>
      </c>
      <c r="AY102" s="65">
        <f t="shared" si="106"/>
        <v>7918709.8200000003</v>
      </c>
      <c r="AZ102" s="65">
        <f t="shared" si="106"/>
        <v>8868518.3300000001</v>
      </c>
      <c r="BA102" s="65">
        <f t="shared" si="106"/>
        <v>9403531.2600000016</v>
      </c>
      <c r="BB102" s="65">
        <f t="shared" si="106"/>
        <v>8700462.6600000001</v>
      </c>
      <c r="BC102" s="65">
        <f t="shared" si="106"/>
        <v>8607862.3599999994</v>
      </c>
      <c r="BD102" s="65">
        <f t="shared" si="106"/>
        <v>7463338.209999999</v>
      </c>
      <c r="BE102" s="65">
        <f>BE98+BE99+BE100</f>
        <v>6165662.4399999995</v>
      </c>
      <c r="BF102" s="65">
        <v>5516988.5500000007</v>
      </c>
      <c r="BG102" s="65">
        <f>BG98+BG99+BG100</f>
        <v>85959797.929999977</v>
      </c>
      <c r="BH102" s="65">
        <f t="shared" ref="BH102:BO102" si="107">BH98+BH99+BH100</f>
        <v>5346830.53</v>
      </c>
      <c r="BI102" s="65">
        <f t="shared" si="107"/>
        <v>6667938.8199999994</v>
      </c>
      <c r="BJ102" s="65">
        <f t="shared" si="107"/>
        <v>10398348.879999999</v>
      </c>
      <c r="BK102" s="65">
        <f t="shared" si="107"/>
        <v>7242034.71</v>
      </c>
      <c r="BL102" s="65">
        <f t="shared" si="107"/>
        <v>7832280.7899999982</v>
      </c>
      <c r="BM102" s="65">
        <f t="shared" si="107"/>
        <v>7871509.620000001</v>
      </c>
      <c r="BN102" s="65">
        <f t="shared" si="107"/>
        <v>7133374.0699999994</v>
      </c>
      <c r="BO102" s="65">
        <f t="shared" si="107"/>
        <v>7753457.120000002</v>
      </c>
      <c r="BP102" s="65">
        <v>7901820.9700000007</v>
      </c>
      <c r="BQ102" s="65">
        <f t="shared" ref="BQ102:CT102" si="108">BQ98+BQ99+BQ100</f>
        <v>5212976.3499999996</v>
      </c>
      <c r="BR102" s="65">
        <f t="shared" si="108"/>
        <v>6633932.3399999989</v>
      </c>
      <c r="BS102" s="65">
        <f t="shared" si="108"/>
        <v>5522329.4800000004</v>
      </c>
      <c r="BT102" s="65">
        <f t="shared" si="108"/>
        <v>85516833.680000007</v>
      </c>
      <c r="BU102" s="65">
        <f t="shared" si="108"/>
        <v>4523362.28</v>
      </c>
      <c r="BV102" s="65">
        <f t="shared" si="108"/>
        <v>5020605.1399999997</v>
      </c>
      <c r="BW102" s="65">
        <f t="shared" si="108"/>
        <v>6163399.0099999998</v>
      </c>
      <c r="BX102" s="65">
        <f t="shared" si="108"/>
        <v>5450287.8899999997</v>
      </c>
      <c r="BY102" s="65">
        <f t="shared" si="108"/>
        <v>9087903.75</v>
      </c>
      <c r="BZ102" s="65">
        <f t="shared" si="108"/>
        <v>8277075.1100000013</v>
      </c>
      <c r="CA102" s="65">
        <f t="shared" si="108"/>
        <v>5198444.16</v>
      </c>
      <c r="CB102" s="65">
        <f t="shared" si="108"/>
        <v>7988986.9099999983</v>
      </c>
      <c r="CC102" s="65">
        <f t="shared" si="108"/>
        <v>7305588.3999999994</v>
      </c>
      <c r="CD102" s="65">
        <f t="shared" si="108"/>
        <v>8831749.629999999</v>
      </c>
      <c r="CE102" s="65">
        <f t="shared" si="108"/>
        <v>5971298.0200000005</v>
      </c>
      <c r="CF102" s="65">
        <v>8232901.5800000001</v>
      </c>
      <c r="CG102" s="65">
        <f t="shared" si="108"/>
        <v>82051601.879999995</v>
      </c>
      <c r="CH102" s="65">
        <f t="shared" si="108"/>
        <v>7481410.8899999997</v>
      </c>
      <c r="CI102" s="65">
        <f t="shared" si="108"/>
        <v>8407937.3199999984</v>
      </c>
      <c r="CJ102" s="65">
        <f t="shared" si="108"/>
        <v>7671402.7999999998</v>
      </c>
      <c r="CK102" s="65">
        <f t="shared" si="108"/>
        <v>10589146.889999999</v>
      </c>
      <c r="CL102" s="65">
        <f t="shared" si="108"/>
        <v>11809586.859999999</v>
      </c>
      <c r="CM102" s="65">
        <f t="shared" si="108"/>
        <v>10610189.169999998</v>
      </c>
      <c r="CN102" s="65">
        <f t="shared" si="108"/>
        <v>11950053.750000002</v>
      </c>
      <c r="CO102" s="65">
        <f t="shared" si="108"/>
        <v>9379852.1500000004</v>
      </c>
      <c r="CP102" s="65">
        <f t="shared" si="108"/>
        <v>10391320.409999998</v>
      </c>
      <c r="CQ102" s="65">
        <f t="shared" si="108"/>
        <v>10922850.24</v>
      </c>
      <c r="CR102" s="65">
        <f t="shared" si="108"/>
        <v>8432311.2100000028</v>
      </c>
      <c r="CS102" s="65">
        <f t="shared" si="108"/>
        <v>12856176.879999999</v>
      </c>
      <c r="CT102" s="65">
        <f t="shared" si="108"/>
        <v>120502238.57000001</v>
      </c>
      <c r="CU102" s="65">
        <f t="shared" ref="CU102:DM102" si="109">CU98+CU99+CU100</f>
        <v>8076456.3199999984</v>
      </c>
      <c r="CV102" s="65">
        <f t="shared" si="109"/>
        <v>9308880.3099999987</v>
      </c>
      <c r="CW102" s="65">
        <f t="shared" si="109"/>
        <v>9248184.4199999981</v>
      </c>
      <c r="CX102" s="65">
        <f t="shared" si="109"/>
        <v>13159013.07</v>
      </c>
      <c r="CY102" s="65">
        <f t="shared" si="109"/>
        <v>13959973</v>
      </c>
      <c r="CZ102" s="65">
        <f t="shared" si="109"/>
        <v>7586097.6900000004</v>
      </c>
      <c r="DA102" s="65">
        <f t="shared" si="109"/>
        <v>8540811.4299999978</v>
      </c>
      <c r="DB102" s="65">
        <f t="shared" si="109"/>
        <v>8935630.6800000016</v>
      </c>
      <c r="DC102" s="65">
        <f t="shared" si="109"/>
        <v>8271040.1500000004</v>
      </c>
      <c r="DD102" s="65">
        <f t="shared" si="109"/>
        <v>8225581.620000002</v>
      </c>
      <c r="DE102" s="65">
        <f t="shared" si="109"/>
        <v>8972263.9699999988</v>
      </c>
      <c r="DF102" s="65">
        <f t="shared" si="109"/>
        <v>7191831.2499999991</v>
      </c>
      <c r="DG102" s="65">
        <f>SUM(TBBP[[#This Row],[Coluna287]:[Coluna298]])</f>
        <v>111475763.91</v>
      </c>
      <c r="DH102" s="65">
        <f t="shared" si="109"/>
        <v>8914720.209999999</v>
      </c>
      <c r="DI102" s="65">
        <f t="shared" si="109"/>
        <v>7356988.1799999988</v>
      </c>
      <c r="DJ102" s="65">
        <f t="shared" si="109"/>
        <v>9059230.9499999974</v>
      </c>
      <c r="DK102" s="65">
        <f t="shared" si="109"/>
        <v>11142801.469999997</v>
      </c>
      <c r="DL102" s="65">
        <f t="shared" si="109"/>
        <v>9936171.4899999984</v>
      </c>
      <c r="DM102" s="65">
        <f t="shared" si="109"/>
        <v>10851648.739999998</v>
      </c>
      <c r="DO102" t="s">
        <v>100</v>
      </c>
      <c r="DP102" s="30">
        <f>IF(OR(MID(TBBP[[#This Row],[Coluna1]],1,1)="1",MID(TBBP[[#This Row],[Coluna1]],1,1)="2"),"-",SUMIFS(102:102,listaPeriodos,$DR$1,listaPeriodos,$DR$2))</f>
        <v>57261561.039999992</v>
      </c>
      <c r="DQ102" s="30">
        <v>13084976.666666666</v>
      </c>
      <c r="DR102" s="30">
        <f t="shared" si="89"/>
        <v>78509860</v>
      </c>
      <c r="DS102" s="30"/>
      <c r="DT102" s="30"/>
      <c r="DU102"/>
    </row>
    <row r="103" spans="1:125" x14ac:dyDescent="0.3">
      <c r="A103" s="7" t="s">
        <v>130</v>
      </c>
      <c r="B103" t="s">
        <v>116</v>
      </c>
      <c r="C103" s="4">
        <v>-6786151.1500000004</v>
      </c>
      <c r="D103" s="4">
        <v>-9872807.570000004</v>
      </c>
      <c r="E103" s="4">
        <v>-14468351.000000002</v>
      </c>
      <c r="F103" s="4">
        <v>-14038268.550000001</v>
      </c>
      <c r="G103" s="4">
        <v>-14236314.180000002</v>
      </c>
      <c r="H103" s="4">
        <v>-917433.83</v>
      </c>
      <c r="I103" s="4">
        <v>-1013540.1900000001</v>
      </c>
      <c r="J103" s="4">
        <v>-1524372.4000000001</v>
      </c>
      <c r="K103" s="4">
        <v>-1305060.3</v>
      </c>
      <c r="L103" s="4">
        <v>-874446.1</v>
      </c>
      <c r="M103" s="4">
        <v>-1358559.56</v>
      </c>
      <c r="N103" s="4">
        <v>-2034131.15</v>
      </c>
      <c r="O103" s="4">
        <v>-1659240.12</v>
      </c>
      <c r="P103" s="4">
        <v>-1818924.36</v>
      </c>
      <c r="Q103" s="4">
        <v>-1800075.36</v>
      </c>
      <c r="R103" s="4">
        <v>-1253624.43</v>
      </c>
      <c r="S103" s="4">
        <v>-722141.85</v>
      </c>
      <c r="T103" s="4">
        <f>IF(OR(MID(TBBP[[#This Row],[Coluna1]],1,1)="1",MID(TBBP[[#This Row],[Coluna1]],1,1)="2"),TBBP[[#This Row],[Coluna19]],SUM(H103:S103))</f>
        <v>-16281549.649999997</v>
      </c>
      <c r="U103" s="4">
        <v>-1749016.91</v>
      </c>
      <c r="V103" s="4">
        <v>-1431427.34</v>
      </c>
      <c r="W103" s="4">
        <v>-1605255.39</v>
      </c>
      <c r="X103" s="4">
        <v>-1773507.37</v>
      </c>
      <c r="Y103" s="4">
        <v>-1765563.92</v>
      </c>
      <c r="Z103" s="4">
        <v>-1478159.6</v>
      </c>
      <c r="AA103" s="4">
        <v>-1521053.84</v>
      </c>
      <c r="AB103" s="4">
        <v>-1560143.08</v>
      </c>
      <c r="AC103" s="4">
        <v>-2191344.1800000002</v>
      </c>
      <c r="AD103" s="4">
        <v>-2286583.39</v>
      </c>
      <c r="AE103" s="4">
        <v>-1813987.43</v>
      </c>
      <c r="AF103" s="4">
        <v>-1228291.53</v>
      </c>
      <c r="AG103" s="4">
        <f>IF(OR(MID(TBBP[[#This Row],[Coluna1]],1,1)="1",MID(TBBP[[#This Row],[Coluna1]],1,1)="2"),TBBP[[#This Row],[Coluna32]],SUM(U103:AF103))</f>
        <v>-20404333.98</v>
      </c>
      <c r="AH103" s="4">
        <v>-1889355.79</v>
      </c>
      <c r="AI103" s="4">
        <v>-1453070.63</v>
      </c>
      <c r="AJ103" s="4">
        <v>-1222706.57</v>
      </c>
      <c r="AK103" s="4">
        <v>-1213512.5900000001</v>
      </c>
      <c r="AL103" s="4">
        <v>-1526576.25</v>
      </c>
      <c r="AM103" s="4">
        <v>-1941653.0299999998</v>
      </c>
      <c r="AN103" s="4">
        <v>-2396020.77</v>
      </c>
      <c r="AO103" s="4">
        <v>-2532465.96</v>
      </c>
      <c r="AP103" s="4">
        <v>-2803458.1999999997</v>
      </c>
      <c r="AQ103" s="4">
        <v>-3338574.4499999997</v>
      </c>
      <c r="AR103" s="4">
        <v>-3006745.42</v>
      </c>
      <c r="AS103" s="4">
        <v>-2562979.8000000003</v>
      </c>
      <c r="AT103" s="4">
        <f>IF(OR(MID(TBBP[[#This Row],[Coluna1]],1,1)="1",MID(TBBP[[#This Row],[Coluna1]],1,1)="2"),TBBP[[#This Row],[Coluna45]],SUM(AH103:AS103))</f>
        <v>-25887119.459999997</v>
      </c>
      <c r="AU103" s="4">
        <v>-3053456.98</v>
      </c>
      <c r="AV103" s="4">
        <v>-3379678.69</v>
      </c>
      <c r="AW103" s="4">
        <v>-3594454.1</v>
      </c>
      <c r="AX103" s="4">
        <v>-3946802.1300000004</v>
      </c>
      <c r="AY103" s="4">
        <v>-4745916.2399999993</v>
      </c>
      <c r="AZ103" s="4">
        <v>-5219928.76</v>
      </c>
      <c r="BA103" s="4">
        <v>-5687378.5300000003</v>
      </c>
      <c r="BB103" s="4">
        <v>-5011838.4799999995</v>
      </c>
      <c r="BC103" s="4">
        <v>-4846781.0199999996</v>
      </c>
      <c r="BD103" s="4">
        <v>-5153393.17</v>
      </c>
      <c r="BE103" s="4">
        <v>-3769309.0999999996</v>
      </c>
      <c r="BF103" s="4">
        <v>-3903823.15</v>
      </c>
      <c r="BG103" s="4">
        <f>IF(OR(MID(TBBP[[#This Row],[Coluna1]],1,1)="1",MID(TBBP[[#This Row],[Coluna1]],1,1)="2"),TBBP[[#This Row],[Coluna58]],SUM(AU103:BF103))</f>
        <v>-52312760.349999994</v>
      </c>
      <c r="BH103" s="4">
        <v>-3623643.54</v>
      </c>
      <c r="BI103" s="4">
        <v>-4218428.7399999993</v>
      </c>
      <c r="BJ103" s="4">
        <v>-6713499.7800000003</v>
      </c>
      <c r="BK103" s="4">
        <v>-4087978.2199999997</v>
      </c>
      <c r="BL103" s="4">
        <v>-4918021.05</v>
      </c>
      <c r="BM103" s="4">
        <v>-4897134.66</v>
      </c>
      <c r="BN103" s="4">
        <v>-4287317.22</v>
      </c>
      <c r="BO103" s="4">
        <v>-5054587.0999999996</v>
      </c>
      <c r="BP103" s="4">
        <v>-4560338.0199999996</v>
      </c>
      <c r="BQ103" s="4">
        <v>-4044201.7</v>
      </c>
      <c r="BR103" s="4">
        <v>-3899260.6900000004</v>
      </c>
      <c r="BS103" s="4">
        <v>-4108655.87</v>
      </c>
      <c r="BT103" s="4">
        <f>IF(OR(MID(TBBP[[#This Row],[Coluna1]],1,1)="1",MID(TBBP[[#This Row],[Coluna1]],1,1)="2"),TBBP[[#This Row],[Coluna127]],SUM(BH103:BS103))</f>
        <v>-54413066.589999996</v>
      </c>
      <c r="BU103" s="4">
        <v>-3267856.09</v>
      </c>
      <c r="BV103" s="4">
        <v>-3924162.88</v>
      </c>
      <c r="BW103" s="4">
        <v>-3981212.41</v>
      </c>
      <c r="BX103" s="4">
        <v>-3468384.37</v>
      </c>
      <c r="BY103" s="4">
        <v>-5569106.54</v>
      </c>
      <c r="BZ103" s="4">
        <v>-5030424.7699999996</v>
      </c>
      <c r="CA103" s="4">
        <v>-3741393.0100000002</v>
      </c>
      <c r="CB103" s="4">
        <v>-5248055.04</v>
      </c>
      <c r="CC103" s="4">
        <v>-4790532.84</v>
      </c>
      <c r="CD103" s="4">
        <v>-5570750.25</v>
      </c>
      <c r="CE103" s="4">
        <v>-4650176.2700000005</v>
      </c>
      <c r="CF103" s="4">
        <v>-4803520.4799999995</v>
      </c>
      <c r="CG103" s="4">
        <f>IF(OR(MID(TBBP[[#This Row],[Coluna1]],1,1)="1",MID(TBBP[[#This Row],[Coluna1]],1,1)="2"),CF103,SUM(BU103:CF103))</f>
        <v>-54045574.950000003</v>
      </c>
      <c r="CH103" s="4">
        <v>-5494373.4500000002</v>
      </c>
      <c r="CI103" s="4">
        <v>-5257647.3900000006</v>
      </c>
      <c r="CJ103" s="4">
        <v>-5312430.72</v>
      </c>
      <c r="CK103" s="4">
        <v>-6615038.5300000003</v>
      </c>
      <c r="CL103" s="4">
        <v>-7284929.8099999996</v>
      </c>
      <c r="CM103" s="4">
        <v>-6820422.9199999999</v>
      </c>
      <c r="CN103" s="4">
        <v>-8567092.8000000007</v>
      </c>
      <c r="CO103" s="4">
        <v>-7041597.6799999997</v>
      </c>
      <c r="CP103" s="4">
        <v>-7043119.21</v>
      </c>
      <c r="CQ103" s="4">
        <v>-7847679.0099999998</v>
      </c>
      <c r="CR103" s="4">
        <v>-6538370.0700000003</v>
      </c>
      <c r="CS103" s="4">
        <v>-7894601.8500000006</v>
      </c>
      <c r="CT103" s="4">
        <f>IF(OR(MID(TBBP[[#This Row],[Coluna1]],1,1)="1",MID(TBBP[[#This Row],[Coluna1]],1,1)="2"),CS103,SUM(CH103:CS103))</f>
        <v>-81717303.439999998</v>
      </c>
      <c r="CU103" s="255">
        <v>-5770954.9800000004</v>
      </c>
      <c r="CV103" s="255">
        <v>-6181850.7699999996</v>
      </c>
      <c r="CW103" s="255">
        <v>-5953444.6400000006</v>
      </c>
      <c r="CX103" s="255">
        <v>-8720317.6400000006</v>
      </c>
      <c r="CY103" s="255">
        <v>-9728535.7800000012</v>
      </c>
      <c r="CZ103" s="255">
        <v>-6031886.5199999996</v>
      </c>
      <c r="DA103" s="255">
        <v>-6007438.9199999999</v>
      </c>
      <c r="DB103" s="255">
        <v>-5978639.0999999996</v>
      </c>
      <c r="DC103" s="255">
        <v>-5957849.9900000002</v>
      </c>
      <c r="DD103" s="255">
        <v>-5690453.9800000004</v>
      </c>
      <c r="DE103" s="255">
        <v>-6529015.9400000004</v>
      </c>
      <c r="DF103" s="255">
        <v>-5353541.5399999991</v>
      </c>
      <c r="DG103" s="255">
        <f>SUM(TBBP[[#This Row],[Coluna287]:[Coluna298]])</f>
        <v>-77903929.800000012</v>
      </c>
      <c r="DH103" s="255">
        <v>-6224700.54</v>
      </c>
      <c r="DI103" s="255">
        <v>-5561149.9300000006</v>
      </c>
      <c r="DJ103" s="255">
        <v>-6714958.4199999999</v>
      </c>
      <c r="DK103" s="255">
        <v>-8140660.7699999996</v>
      </c>
      <c r="DL103" s="255">
        <f>-7675375.33+139000-135109.95</f>
        <v>-7671485.2800000003</v>
      </c>
      <c r="DM103" s="255">
        <v>-8163268.21</v>
      </c>
      <c r="DO103" t="s">
        <v>116</v>
      </c>
      <c r="DP103" s="30">
        <f>IF(OR(MID(TBBP[[#This Row],[Coluna1]],1,1)="1",MID(TBBP[[#This Row],[Coluna1]],1,1)="2"),"-",SUMIFS(103:103,listaPeriodos,$DR$1,listaPeriodos,$DR$2))</f>
        <v>-42476223.149999999</v>
      </c>
      <c r="DQ103" s="30">
        <v>-8508333.333333334</v>
      </c>
      <c r="DR103" s="30">
        <f t="shared" si="89"/>
        <v>-51050000</v>
      </c>
      <c r="DS103" s="30"/>
      <c r="DT103" s="30"/>
      <c r="DU103"/>
    </row>
    <row r="104" spans="1:125" x14ac:dyDescent="0.3">
      <c r="A104" s="70" t="s">
        <v>80</v>
      </c>
      <c r="B104" s="65" t="s">
        <v>101</v>
      </c>
      <c r="C104" s="65">
        <f>C102+C103</f>
        <v>6931082.9100000001</v>
      </c>
      <c r="D104" s="65">
        <f t="shared" ref="D104:AL104" si="110">D102+D103</f>
        <v>7946527.2399999946</v>
      </c>
      <c r="E104" s="65">
        <f t="shared" si="110"/>
        <v>10328201.259999996</v>
      </c>
      <c r="F104" s="65">
        <f t="shared" si="110"/>
        <v>7519924.5000000037</v>
      </c>
      <c r="G104" s="65">
        <f t="shared" si="110"/>
        <v>7202585.1099999975</v>
      </c>
      <c r="H104" s="65">
        <f t="shared" si="110"/>
        <v>595231.71000000008</v>
      </c>
      <c r="I104" s="65">
        <f t="shared" si="110"/>
        <v>673666.09999999974</v>
      </c>
      <c r="J104" s="65">
        <f t="shared" si="110"/>
        <v>873766.17000000016</v>
      </c>
      <c r="K104" s="65">
        <f t="shared" si="110"/>
        <v>822697.81000000029</v>
      </c>
      <c r="L104" s="65">
        <f t="shared" si="110"/>
        <v>509467.24000000011</v>
      </c>
      <c r="M104" s="65">
        <f t="shared" si="110"/>
        <v>639320.16000000015</v>
      </c>
      <c r="N104" s="65">
        <f t="shared" si="110"/>
        <v>1248161.2100000004</v>
      </c>
      <c r="O104" s="65">
        <f t="shared" si="110"/>
        <v>901814.08999999985</v>
      </c>
      <c r="P104" s="65">
        <f t="shared" si="110"/>
        <v>1678810.14</v>
      </c>
      <c r="Q104" s="65">
        <f t="shared" si="110"/>
        <v>1025666.8899999994</v>
      </c>
      <c r="R104" s="65">
        <f t="shared" si="110"/>
        <v>502207.61000000034</v>
      </c>
      <c r="S104" s="65">
        <f t="shared" si="110"/>
        <v>890981.25999999989</v>
      </c>
      <c r="T104" s="65">
        <f>IF(OR(MID(TBBP[[#This Row],[Coluna1]],1,1)="1",MID(TBBP[[#This Row],[Coluna1]],1,1)="2"),TBBP[[#This Row],[Coluna19]],SUM(H104:S104))</f>
        <v>10361790.389999999</v>
      </c>
      <c r="U104" s="65">
        <f t="shared" si="110"/>
        <v>679894.72000000044</v>
      </c>
      <c r="V104" s="65">
        <f t="shared" si="110"/>
        <v>799666.75999999954</v>
      </c>
      <c r="W104" s="65">
        <f t="shared" si="110"/>
        <v>850725.65000000014</v>
      </c>
      <c r="X104" s="65">
        <f t="shared" si="110"/>
        <v>1050884.4899999998</v>
      </c>
      <c r="Y104" s="65">
        <f t="shared" si="110"/>
        <v>1030727.0099999998</v>
      </c>
      <c r="Z104" s="65">
        <f t="shared" si="110"/>
        <v>524202.20999999973</v>
      </c>
      <c r="AA104" s="65">
        <f t="shared" si="110"/>
        <v>1270618.1800000004</v>
      </c>
      <c r="AB104" s="65">
        <f t="shared" si="110"/>
        <v>892769.96999999974</v>
      </c>
      <c r="AC104" s="65">
        <f t="shared" si="110"/>
        <v>1417395.1499999994</v>
      </c>
      <c r="AD104" s="65">
        <f t="shared" si="110"/>
        <v>1406779.27</v>
      </c>
      <c r="AE104" s="65">
        <f t="shared" si="110"/>
        <v>941394.75000000023</v>
      </c>
      <c r="AF104" s="65">
        <f t="shared" si="110"/>
        <v>837627.0399999998</v>
      </c>
      <c r="AG104" s="65">
        <f>IF(OR(MID(TBBP[[#This Row],[Coluna1]],1,1)="1",MID(TBBP[[#This Row],[Coluna1]],1,1)="2"),TBBP[[#This Row],[Coluna32]],SUM(U104:AF104))</f>
        <v>11702685.199999997</v>
      </c>
      <c r="AH104" s="65">
        <f t="shared" si="110"/>
        <v>1051981.9899999998</v>
      </c>
      <c r="AI104" s="65">
        <f t="shared" si="110"/>
        <v>896385.75999999978</v>
      </c>
      <c r="AJ104" s="65">
        <f t="shared" si="110"/>
        <v>553437.00999999978</v>
      </c>
      <c r="AK104" s="65">
        <f t="shared" si="110"/>
        <v>544598.26</v>
      </c>
      <c r="AL104" s="65">
        <f t="shared" si="110"/>
        <v>1033368.1400000001</v>
      </c>
      <c r="AM104" s="65">
        <f t="shared" ref="AM104:AS104" si="111">AM102+AM103</f>
        <v>1945856.5000000005</v>
      </c>
      <c r="AN104" s="65">
        <f t="shared" si="111"/>
        <v>1747155.87</v>
      </c>
      <c r="AO104" s="65">
        <f t="shared" si="111"/>
        <v>1935327.7200000007</v>
      </c>
      <c r="AP104" s="65">
        <f t="shared" si="111"/>
        <v>1998797.8000000012</v>
      </c>
      <c r="AQ104" s="65">
        <f t="shared" si="111"/>
        <v>2347353.5800000005</v>
      </c>
      <c r="AR104" s="65">
        <f t="shared" si="111"/>
        <v>1637585.8100000005</v>
      </c>
      <c r="AS104" s="65">
        <f t="shared" si="111"/>
        <v>1910241.1900000009</v>
      </c>
      <c r="AT104" s="65">
        <f>IF(OR(MID(TBBP[[#This Row],[Coluna1]],1,1)="1",MID(TBBP[[#This Row],[Coluna1]],1,1)="2"),TBBP[[#This Row],[Coluna45]],SUM(AH104:AS104))</f>
        <v>17602089.630000003</v>
      </c>
      <c r="AU104" s="65">
        <f t="shared" ref="AU104:BD104" si="112">AU102+AU103</f>
        <v>1891468.6200000015</v>
      </c>
      <c r="AV104" s="65">
        <f t="shared" si="112"/>
        <v>1854569.9300000011</v>
      </c>
      <c r="AW104" s="65">
        <f t="shared" si="112"/>
        <v>2435805.6299999994</v>
      </c>
      <c r="AX104" s="65">
        <f t="shared" si="112"/>
        <v>3158488.22</v>
      </c>
      <c r="AY104" s="65">
        <f t="shared" si="112"/>
        <v>3172793.580000001</v>
      </c>
      <c r="AZ104" s="65">
        <f t="shared" si="112"/>
        <v>3648589.5700000003</v>
      </c>
      <c r="BA104" s="65">
        <f t="shared" si="112"/>
        <v>3716152.7300000014</v>
      </c>
      <c r="BB104" s="65">
        <f t="shared" si="112"/>
        <v>3688624.1800000006</v>
      </c>
      <c r="BC104" s="65">
        <f t="shared" si="112"/>
        <v>3761081.34</v>
      </c>
      <c r="BD104" s="65">
        <f t="shared" si="112"/>
        <v>2309945.0399999991</v>
      </c>
      <c r="BE104" s="65">
        <f>BE102+BE103</f>
        <v>2396353.34</v>
      </c>
      <c r="BF104" s="65">
        <v>1613165.4000000008</v>
      </c>
      <c r="BG104" s="65">
        <f>BG102+BG103</f>
        <v>33647037.579999983</v>
      </c>
      <c r="BH104" s="65">
        <f t="shared" ref="BH104:BO104" si="113">BH102+BH103</f>
        <v>1723186.9900000002</v>
      </c>
      <c r="BI104" s="65">
        <f t="shared" si="113"/>
        <v>2449510.08</v>
      </c>
      <c r="BJ104" s="65">
        <f t="shared" si="113"/>
        <v>3684849.0999999987</v>
      </c>
      <c r="BK104" s="65">
        <f t="shared" si="113"/>
        <v>3154056.49</v>
      </c>
      <c r="BL104" s="65">
        <f t="shared" si="113"/>
        <v>2914259.7399999984</v>
      </c>
      <c r="BM104" s="65">
        <f t="shared" si="113"/>
        <v>2974374.9600000009</v>
      </c>
      <c r="BN104" s="65">
        <f t="shared" si="113"/>
        <v>2846056.8499999996</v>
      </c>
      <c r="BO104" s="65">
        <f t="shared" si="113"/>
        <v>2698870.0200000023</v>
      </c>
      <c r="BP104" s="65">
        <v>3341482.9500000011</v>
      </c>
      <c r="BQ104" s="65">
        <f t="shared" ref="BQ104:CT104" si="114">BQ102+BQ103</f>
        <v>1168774.6499999994</v>
      </c>
      <c r="BR104" s="65">
        <f t="shared" si="114"/>
        <v>2734671.6499999985</v>
      </c>
      <c r="BS104" s="65">
        <f t="shared" si="114"/>
        <v>1413673.6100000003</v>
      </c>
      <c r="BT104" s="65">
        <f t="shared" si="114"/>
        <v>31103767.090000011</v>
      </c>
      <c r="BU104" s="65">
        <f t="shared" si="114"/>
        <v>1255506.1900000004</v>
      </c>
      <c r="BV104" s="65">
        <f t="shared" si="114"/>
        <v>1096442.2599999998</v>
      </c>
      <c r="BW104" s="65">
        <f t="shared" si="114"/>
        <v>2182186.5999999996</v>
      </c>
      <c r="BX104" s="65">
        <f t="shared" si="114"/>
        <v>1981903.5199999996</v>
      </c>
      <c r="BY104" s="65">
        <f t="shared" si="114"/>
        <v>3518797.21</v>
      </c>
      <c r="BZ104" s="65">
        <f t="shared" si="114"/>
        <v>3246650.3400000017</v>
      </c>
      <c r="CA104" s="65">
        <f t="shared" si="114"/>
        <v>1457051.15</v>
      </c>
      <c r="CB104" s="65">
        <f t="shared" si="114"/>
        <v>2740931.8699999982</v>
      </c>
      <c r="CC104" s="65">
        <f t="shared" si="114"/>
        <v>2515055.5599999996</v>
      </c>
      <c r="CD104" s="65">
        <f t="shared" si="114"/>
        <v>3260999.379999999</v>
      </c>
      <c r="CE104" s="65">
        <f t="shared" si="114"/>
        <v>1321121.75</v>
      </c>
      <c r="CF104" s="65">
        <v>3429381.1000000006</v>
      </c>
      <c r="CG104" s="65">
        <f t="shared" si="114"/>
        <v>28006026.929999992</v>
      </c>
      <c r="CH104" s="65">
        <f t="shared" si="114"/>
        <v>1987037.4399999995</v>
      </c>
      <c r="CI104" s="65">
        <f t="shared" si="114"/>
        <v>3150289.9299999978</v>
      </c>
      <c r="CJ104" s="65">
        <f t="shared" si="114"/>
        <v>2358972.08</v>
      </c>
      <c r="CK104" s="65">
        <f t="shared" si="114"/>
        <v>3974108.3599999985</v>
      </c>
      <c r="CL104" s="65">
        <f t="shared" si="114"/>
        <v>4524657.05</v>
      </c>
      <c r="CM104" s="65">
        <f t="shared" si="114"/>
        <v>3789766.2499999981</v>
      </c>
      <c r="CN104" s="65">
        <f t="shared" si="114"/>
        <v>3382960.9500000011</v>
      </c>
      <c r="CO104" s="65">
        <f t="shared" si="114"/>
        <v>2338254.4700000007</v>
      </c>
      <c r="CP104" s="65">
        <f t="shared" si="114"/>
        <v>3348201.1999999983</v>
      </c>
      <c r="CQ104" s="65">
        <f t="shared" si="114"/>
        <v>3075171.2300000004</v>
      </c>
      <c r="CR104" s="65">
        <f t="shared" si="114"/>
        <v>1893941.1400000025</v>
      </c>
      <c r="CS104" s="65">
        <f t="shared" si="114"/>
        <v>4961575.0299999984</v>
      </c>
      <c r="CT104" s="65">
        <f t="shared" si="114"/>
        <v>38784935.13000001</v>
      </c>
      <c r="CU104" s="65">
        <f t="shared" ref="CU104:DM104" si="115">CU102+CU103</f>
        <v>2305501.339999998</v>
      </c>
      <c r="CV104" s="65">
        <f t="shared" si="115"/>
        <v>3127029.5399999991</v>
      </c>
      <c r="CW104" s="65">
        <f t="shared" si="115"/>
        <v>3294739.7799999975</v>
      </c>
      <c r="CX104" s="65">
        <f t="shared" si="115"/>
        <v>4438695.43</v>
      </c>
      <c r="CY104" s="65">
        <f t="shared" si="115"/>
        <v>4231437.2199999988</v>
      </c>
      <c r="CZ104" s="65">
        <f t="shared" si="115"/>
        <v>1554211.1700000009</v>
      </c>
      <c r="DA104" s="65">
        <f t="shared" si="115"/>
        <v>2533372.5099999979</v>
      </c>
      <c r="DB104" s="65">
        <f t="shared" si="115"/>
        <v>2956991.5800000019</v>
      </c>
      <c r="DC104" s="65">
        <f t="shared" si="115"/>
        <v>2313190.16</v>
      </c>
      <c r="DD104" s="65">
        <f t="shared" si="115"/>
        <v>2535127.6400000015</v>
      </c>
      <c r="DE104" s="65">
        <f t="shared" si="115"/>
        <v>2443248.0299999984</v>
      </c>
      <c r="DF104" s="65">
        <f t="shared" si="115"/>
        <v>1838289.71</v>
      </c>
      <c r="DG104" s="65">
        <f>SUM(TBBP[[#This Row],[Coluna287]:[Coluna298]])</f>
        <v>33571834.109999992</v>
      </c>
      <c r="DH104" s="65">
        <f t="shared" si="115"/>
        <v>2690019.669999999</v>
      </c>
      <c r="DI104" s="65">
        <f t="shared" si="115"/>
        <v>1795838.2499999981</v>
      </c>
      <c r="DJ104" s="65">
        <f t="shared" si="115"/>
        <v>2344272.5299999975</v>
      </c>
      <c r="DK104" s="65">
        <f t="shared" si="115"/>
        <v>3002140.6999999974</v>
      </c>
      <c r="DL104" s="65">
        <f t="shared" si="115"/>
        <v>2264686.2099999981</v>
      </c>
      <c r="DM104" s="65">
        <f t="shared" si="115"/>
        <v>2688380.5299999984</v>
      </c>
      <c r="DO104" t="s">
        <v>101</v>
      </c>
      <c r="DP104" s="30">
        <f>IF(OR(MID(TBBP[[#This Row],[Coluna1]],1,1)="1",MID(TBBP[[#This Row],[Coluna1]],1,1)="2"),"-",SUMIFS(104:104,listaPeriodos,$DR$1,listaPeriodos,$DR$2))</f>
        <v>14785337.889999986</v>
      </c>
      <c r="DQ104" s="30">
        <v>4576643.333333333</v>
      </c>
      <c r="DR104" s="30">
        <f t="shared" si="89"/>
        <v>27459860</v>
      </c>
      <c r="DS104" s="30"/>
      <c r="DT104" s="30"/>
      <c r="DU104"/>
    </row>
    <row r="105" spans="1:125" x14ac:dyDescent="0.3">
      <c r="A105" s="7" t="s">
        <v>132</v>
      </c>
      <c r="B105" t="s">
        <v>117</v>
      </c>
      <c r="C105" s="4">
        <v>-1127487.45</v>
      </c>
      <c r="D105" s="4">
        <v>-1341788.03</v>
      </c>
      <c r="E105" s="4">
        <v>-1832119.71</v>
      </c>
      <c r="F105" s="4">
        <v>-1223228.6399999999</v>
      </c>
      <c r="G105" s="4">
        <v>-1407893.32</v>
      </c>
      <c r="H105" s="4">
        <v>-85916.29</v>
      </c>
      <c r="I105" s="4">
        <v>-110275.79</v>
      </c>
      <c r="J105" s="4">
        <v>-115899.96</v>
      </c>
      <c r="K105" s="4">
        <v>-118661.15000000001</v>
      </c>
      <c r="L105" s="4">
        <v>-63646.659999999996</v>
      </c>
      <c r="M105" s="4">
        <v>-210501.36</v>
      </c>
      <c r="N105" s="4">
        <v>-132843.67000000001</v>
      </c>
      <c r="O105" s="4">
        <v>-171180.63</v>
      </c>
      <c r="P105" s="4">
        <v>-176120.63</v>
      </c>
      <c r="Q105" s="4">
        <v>-164316.19</v>
      </c>
      <c r="R105" s="4">
        <v>-219030.94</v>
      </c>
      <c r="S105" s="4">
        <v>-323782.81</v>
      </c>
      <c r="T105" s="4">
        <f>IF(OR(MID(TBBP[[#This Row],[Coluna1]],1,1)="1",MID(TBBP[[#This Row],[Coluna1]],1,1)="2"),TBBP[[#This Row],[Coluna19]],SUM(H105:S105))</f>
        <v>-1892176.08</v>
      </c>
      <c r="U105" s="4">
        <v>-179718.77</v>
      </c>
      <c r="V105" s="4">
        <v>-268169.46999999997</v>
      </c>
      <c r="W105" s="4">
        <v>-171439.93</v>
      </c>
      <c r="X105" s="4">
        <v>-161967.54</v>
      </c>
      <c r="Y105" s="4">
        <v>-163301.63</v>
      </c>
      <c r="Z105" s="4">
        <v>-171637.44</v>
      </c>
      <c r="AA105" s="4">
        <v>-150313.88</v>
      </c>
      <c r="AB105" s="4">
        <v>-180095.57</v>
      </c>
      <c r="AC105" s="4">
        <v>-247551.02</v>
      </c>
      <c r="AD105" s="4">
        <v>-162634.75</v>
      </c>
      <c r="AE105" s="4">
        <v>-198989.55</v>
      </c>
      <c r="AF105" s="4">
        <v>-170700.77</v>
      </c>
      <c r="AG105" s="4">
        <f>IF(OR(MID(TBBP[[#This Row],[Coluna1]],1,1)="1",MID(TBBP[[#This Row],[Coluna1]],1,1)="2"),TBBP[[#This Row],[Coluna32]],SUM(U105:AF105))</f>
        <v>-2226520.3200000003</v>
      </c>
      <c r="AH105" s="4">
        <v>-176432.23</v>
      </c>
      <c r="AI105" s="4">
        <v>-321227.96999999997</v>
      </c>
      <c r="AJ105" s="4">
        <v>-148634.1</v>
      </c>
      <c r="AK105" s="4">
        <v>-116107.58</v>
      </c>
      <c r="AL105" s="4">
        <v>-148782.76999999999</v>
      </c>
      <c r="AM105" s="4">
        <v>-138210.34</v>
      </c>
      <c r="AN105" s="4">
        <v>-165742.85</v>
      </c>
      <c r="AO105" s="4">
        <v>-157175.23000000001</v>
      </c>
      <c r="AP105" s="4">
        <v>-177107.85</v>
      </c>
      <c r="AQ105" s="4">
        <v>-197458.79</v>
      </c>
      <c r="AR105" s="4">
        <v>-191403.84</v>
      </c>
      <c r="AS105" s="4">
        <v>-170273.54</v>
      </c>
      <c r="AT105" s="4">
        <f>IF(OR(MID(TBBP[[#This Row],[Coluna1]],1,1)="1",MID(TBBP[[#This Row],[Coluna1]],1,1)="2"),TBBP[[#This Row],[Coluna45]],SUM(AH105:AS105))</f>
        <v>-2108557.0900000003</v>
      </c>
      <c r="AU105" s="4">
        <v>-158203.44</v>
      </c>
      <c r="AV105" s="4">
        <v>-396872.58999999997</v>
      </c>
      <c r="AW105" s="4">
        <v>-166343.57</v>
      </c>
      <c r="AX105" s="4">
        <v>-173706.23</v>
      </c>
      <c r="AY105" s="4">
        <v>-208430.27000000002</v>
      </c>
      <c r="AZ105" s="4">
        <v>-207290.84</v>
      </c>
      <c r="BA105" s="4">
        <v>-261359.77000000002</v>
      </c>
      <c r="BB105" s="4">
        <v>-259688.84</v>
      </c>
      <c r="BC105" s="4">
        <v>-307595.21999999997</v>
      </c>
      <c r="BD105" s="4">
        <v>-531020.89</v>
      </c>
      <c r="BE105" s="4">
        <v>-418443.93</v>
      </c>
      <c r="BF105" s="4">
        <v>-350119.93</v>
      </c>
      <c r="BG105" s="4">
        <f>IF(OR(MID(TBBP[[#This Row],[Coluna1]],1,1)="1",MID(TBBP[[#This Row],[Coluna1]],1,1)="2"),TBBP[[#This Row],[Coluna58]],SUM(AU105:BF105))</f>
        <v>-3439075.5200000009</v>
      </c>
      <c r="BH105" s="4">
        <v>-357200.12</v>
      </c>
      <c r="BI105" s="4">
        <v>-610154.16999999993</v>
      </c>
      <c r="BJ105" s="4">
        <v>-475119.15</v>
      </c>
      <c r="BK105" s="4">
        <v>-422949.57</v>
      </c>
      <c r="BL105" s="4">
        <v>-570897.87</v>
      </c>
      <c r="BM105" s="4">
        <v>-454645.55</v>
      </c>
      <c r="BN105" s="4">
        <v>-377098.23</v>
      </c>
      <c r="BO105" s="4">
        <v>-404368.99</v>
      </c>
      <c r="BP105" s="4">
        <v>-687589.79</v>
      </c>
      <c r="BQ105" s="4">
        <v>-489327.61</v>
      </c>
      <c r="BR105" s="4">
        <v>-421300.4</v>
      </c>
      <c r="BS105" s="4">
        <v>-497142.17</v>
      </c>
      <c r="BT105" s="4">
        <f>IF(OR(MID(TBBP[[#This Row],[Coluna1]],1,1)="1",MID(TBBP[[#This Row],[Coluna1]],1,1)="2"),TBBP[[#This Row],[Coluna127]],SUM(BH105:BS105))</f>
        <v>-5767793.6200000001</v>
      </c>
      <c r="BU105" s="4">
        <v>-494277.4</v>
      </c>
      <c r="BV105" s="4">
        <v>-567654.85</v>
      </c>
      <c r="BW105" s="4">
        <v>-617931.63</v>
      </c>
      <c r="BX105" s="4">
        <v>-320640.49</v>
      </c>
      <c r="BY105" s="4">
        <v>-340375.01</v>
      </c>
      <c r="BZ105" s="4">
        <v>-489961.87</v>
      </c>
      <c r="CA105" s="4">
        <v>-603462.56999999995</v>
      </c>
      <c r="CB105" s="4">
        <v>-589187.07999999996</v>
      </c>
      <c r="CC105" s="4">
        <v>-708526.28</v>
      </c>
      <c r="CD105" s="4">
        <v>-666806.54</v>
      </c>
      <c r="CE105" s="4">
        <v>-479974.99</v>
      </c>
      <c r="CF105" s="4">
        <v>-414684.73000000004</v>
      </c>
      <c r="CG105" s="4">
        <f>IF(OR(MID(TBBP[[#This Row],[Coluna1]],1,1)="1",MID(TBBP[[#This Row],[Coluna1]],1,1)="2"),CF105,SUM(BU105:CF105))</f>
        <v>-6293483.4400000004</v>
      </c>
      <c r="CH105" s="4">
        <v>-627478.37</v>
      </c>
      <c r="CI105" s="4">
        <v>-859391.47</v>
      </c>
      <c r="CJ105" s="4">
        <v>-520725.27</v>
      </c>
      <c r="CK105" s="4">
        <v>-685851.9</v>
      </c>
      <c r="CL105" s="4">
        <v>-1060078.29</v>
      </c>
      <c r="CM105" s="4">
        <v>-640447.78</v>
      </c>
      <c r="CN105" s="4">
        <v>-859830.96</v>
      </c>
      <c r="CO105" s="4">
        <v>-1071337.53</v>
      </c>
      <c r="CP105" s="4">
        <v>-867341.60000000009</v>
      </c>
      <c r="CQ105" s="4">
        <v>-890390.29</v>
      </c>
      <c r="CR105" s="4">
        <v>-932718.02</v>
      </c>
      <c r="CS105" s="4">
        <v>-688740.6</v>
      </c>
      <c r="CT105" s="4">
        <f>IF(OR(MID(TBBP[[#This Row],[Coluna1]],1,1)="1",MID(TBBP[[#This Row],[Coluna1]],1,1)="2"),CS105,SUM(CH105:CS105))</f>
        <v>-9704332.0800000001</v>
      </c>
      <c r="CU105" s="255">
        <v>-689982.46</v>
      </c>
      <c r="CV105" s="255">
        <v>-853253.07000000007</v>
      </c>
      <c r="CW105" s="255">
        <v>-834594.84</v>
      </c>
      <c r="CX105" s="255">
        <v>-691158.21000000008</v>
      </c>
      <c r="CY105" s="255">
        <v>-850821.51</v>
      </c>
      <c r="CZ105" s="255">
        <v>-1115937.8199999998</v>
      </c>
      <c r="DA105" s="255">
        <v>-784913.29</v>
      </c>
      <c r="DB105" s="255">
        <v>-1020734.61</v>
      </c>
      <c r="DC105" s="255">
        <v>-1244771.1300000001</v>
      </c>
      <c r="DD105" s="255">
        <v>-834233.84000000008</v>
      </c>
      <c r="DE105" s="255">
        <v>-813807.15999999992</v>
      </c>
      <c r="DF105" s="255">
        <v>-810183.26</v>
      </c>
      <c r="DG105" s="255">
        <f>SUM(TBBP[[#This Row],[Coluna287]:[Coluna298]])</f>
        <v>-10544391.200000001</v>
      </c>
      <c r="DH105" s="255">
        <v>-714949.65</v>
      </c>
      <c r="DI105" s="255">
        <v>-838853.16</v>
      </c>
      <c r="DJ105" s="255">
        <v>-887347.66999999993</v>
      </c>
      <c r="DK105" s="255">
        <v>-635991.36</v>
      </c>
      <c r="DL105" s="255">
        <v>-907238.80999999994</v>
      </c>
      <c r="DM105" s="255">
        <v>-865280.91</v>
      </c>
      <c r="DO105" t="s">
        <v>117</v>
      </c>
      <c r="DP105" s="30">
        <f>IF(OR(MID(TBBP[[#This Row],[Coluna1]],1,1)="1",MID(TBBP[[#This Row],[Coluna1]],1,1)="2"),"-",SUMIFS(105:105,listaPeriodos,$DR$1,listaPeriodos,$DR$2))</f>
        <v>-4849661.5599999996</v>
      </c>
      <c r="DQ105" s="30">
        <v>-915948.3666666667</v>
      </c>
      <c r="DR105" s="30">
        <f t="shared" si="89"/>
        <v>-5495690.2000000002</v>
      </c>
      <c r="DS105" s="30"/>
      <c r="DT105" s="30"/>
      <c r="DU105"/>
    </row>
    <row r="106" spans="1:125" x14ac:dyDescent="0.3">
      <c r="A106" s="67" t="s">
        <v>80</v>
      </c>
      <c r="B106" t="s">
        <v>118</v>
      </c>
      <c r="C106" s="4">
        <v>-333507.28999999998</v>
      </c>
      <c r="D106" s="4">
        <v>-522504.53</v>
      </c>
      <c r="E106" s="4">
        <v>-696229.96000000008</v>
      </c>
      <c r="F106" s="4">
        <v>-884805.73</v>
      </c>
      <c r="G106" s="4">
        <v>-1085026.8499999999</v>
      </c>
      <c r="H106" s="8">
        <v>-96945.420000000013</v>
      </c>
      <c r="I106" s="8">
        <v>-117265.57</v>
      </c>
      <c r="J106" s="8">
        <v>-107485.56</v>
      </c>
      <c r="K106" s="8">
        <v>-110788.01000000001</v>
      </c>
      <c r="L106" s="8">
        <v>-139917.9</v>
      </c>
      <c r="M106" s="8">
        <v>-117075.02000000002</v>
      </c>
      <c r="N106" s="8">
        <v>-154006.54</v>
      </c>
      <c r="O106" s="8">
        <v>-111268.35</v>
      </c>
      <c r="P106" s="8">
        <v>-135318.91</v>
      </c>
      <c r="Q106" s="8">
        <v>-126326.71</v>
      </c>
      <c r="R106" s="8">
        <v>-129271.07</v>
      </c>
      <c r="S106" s="8">
        <v>-124377.75</v>
      </c>
      <c r="T106" s="8">
        <f>IF(OR(MID(TBBP[[#This Row],[Coluna1]],1,1)="1",MID(TBBP[[#This Row],[Coluna1]],1,1)="2"),TBBP[[#This Row],[Coluna19]],SUM(H106:S106))</f>
        <v>-1470046.81</v>
      </c>
      <c r="U106" s="8">
        <v>-124981.77</v>
      </c>
      <c r="V106" s="8">
        <v>-136526.92000000001</v>
      </c>
      <c r="W106" s="8">
        <v>-124038.5</v>
      </c>
      <c r="X106" s="8">
        <v>-108210.66</v>
      </c>
      <c r="Y106" s="8">
        <v>-118333.2</v>
      </c>
      <c r="Z106" s="8">
        <v>-119639.19</v>
      </c>
      <c r="AA106" s="8">
        <v>-144145.31</v>
      </c>
      <c r="AB106" s="8">
        <v>-108460.88</v>
      </c>
      <c r="AC106" s="8">
        <v>-135547.62</v>
      </c>
      <c r="AD106" s="8">
        <v>-124000.28</v>
      </c>
      <c r="AE106" s="4">
        <v>-118193.41</v>
      </c>
      <c r="AF106" s="4">
        <v>-106844.46</v>
      </c>
      <c r="AG106" s="4">
        <f>IF(OR(MID(TBBP[[#This Row],[Coluna1]],1,1)="1",MID(TBBP[[#This Row],[Coluna1]],1,1)="2"),TBBP[[#This Row],[Coluna32]],SUM(U106:AF106))</f>
        <v>-1468922.2</v>
      </c>
      <c r="AH106" s="4">
        <v>-124482.36</v>
      </c>
      <c r="AI106" s="4">
        <v>-99806.55</v>
      </c>
      <c r="AJ106" s="4">
        <v>-130483.2</v>
      </c>
      <c r="AK106" s="4">
        <v>-74779.27</v>
      </c>
      <c r="AL106" s="4">
        <f>-152871.18-AL107-AL108</f>
        <v>-85997.29</v>
      </c>
      <c r="AM106" s="4">
        <v>-106731.6</v>
      </c>
      <c r="AN106" s="4">
        <v>-118655.93</v>
      </c>
      <c r="AO106" s="4">
        <v>-133578.04</v>
      </c>
      <c r="AP106" s="4">
        <v>-135791.29999999999</v>
      </c>
      <c r="AQ106" s="4">
        <v>-124481.59</v>
      </c>
      <c r="AR106" s="4">
        <v>-151028.1</v>
      </c>
      <c r="AS106" s="4">
        <v>-165760.07999999999</v>
      </c>
      <c r="AT106" s="4">
        <f>IF(OR(MID(TBBP[[#This Row],[Coluna1]],1,1)="1",MID(TBBP[[#This Row],[Coluna1]],1,1)="2"),TBBP[[#This Row],[Coluna45]],SUM(AH106:AS106))</f>
        <v>-1451575.3100000003</v>
      </c>
      <c r="AU106" s="4">
        <v>-141887.57</v>
      </c>
      <c r="AV106" s="4">
        <v>-204513.45</v>
      </c>
      <c r="AW106" s="4">
        <v>-126017.39</v>
      </c>
      <c r="AX106" s="4">
        <v>-155055.21</v>
      </c>
      <c r="AY106" s="4">
        <v>-192711.92</v>
      </c>
      <c r="AZ106" s="4">
        <v>-243574.25</v>
      </c>
      <c r="BA106" s="4">
        <v>-214863.19</v>
      </c>
      <c r="BB106" s="4">
        <v>-230962.65</v>
      </c>
      <c r="BC106" s="4">
        <v>-199214.72</v>
      </c>
      <c r="BD106" s="4">
        <v>-298891.84000000003</v>
      </c>
      <c r="BE106" s="4">
        <v>-275529.73</v>
      </c>
      <c r="BF106" s="4">
        <v>-258474.29</v>
      </c>
      <c r="BG106" s="4">
        <f>IF(OR(MID(TBBP[[#This Row],[Coluna1]],1,1)="1",MID(TBBP[[#This Row],[Coluna1]],1,1)="2"),TBBP[[#This Row],[Coluna58]],SUM(AU106:BF106))</f>
        <v>-2541696.21</v>
      </c>
      <c r="BH106" s="4">
        <v>-207194.2</v>
      </c>
      <c r="BI106" s="4">
        <v>-309071.42</v>
      </c>
      <c r="BJ106" s="4">
        <v>-273960.58</v>
      </c>
      <c r="BK106" s="4">
        <v>-268865.90000000002</v>
      </c>
      <c r="BL106" s="4">
        <v>-286542.7</v>
      </c>
      <c r="BM106" s="4">
        <v>-307952.53000000003</v>
      </c>
      <c r="BN106" s="4">
        <v>-264628.96999999997</v>
      </c>
      <c r="BO106" s="4">
        <v>-314583.3</v>
      </c>
      <c r="BP106" s="4">
        <v>-323386.48</v>
      </c>
      <c r="BQ106" s="4">
        <v>-311238.07</v>
      </c>
      <c r="BR106" s="4">
        <v>-257067.44</v>
      </c>
      <c r="BS106" s="4">
        <v>-265504.03999999998</v>
      </c>
      <c r="BT106" s="4">
        <f>IF(OR(MID(TBBP[[#This Row],[Coluna1]],1,1)="1",MID(TBBP[[#This Row],[Coluna1]],1,1)="2"),TBBP[[#This Row],[Coluna127]],SUM(BH106:BS106))</f>
        <v>-3389995.63</v>
      </c>
      <c r="BU106" s="4">
        <v>-336709.46</v>
      </c>
      <c r="BV106" s="4">
        <v>-311841.17</v>
      </c>
      <c r="BW106" s="4">
        <v>-281414.78000000003</v>
      </c>
      <c r="BX106" s="4">
        <v>-266394.73</v>
      </c>
      <c r="BY106" s="4">
        <v>-382474.43</v>
      </c>
      <c r="BZ106" s="4">
        <v>-271818.83</v>
      </c>
      <c r="CA106" s="4">
        <v>-266808.32000000001</v>
      </c>
      <c r="CB106" s="4">
        <v>-380776.43</v>
      </c>
      <c r="CC106" s="4">
        <v>-346546.33</v>
      </c>
      <c r="CD106" s="4">
        <v>-338734.14</v>
      </c>
      <c r="CE106" s="4">
        <v>-321208.65999999997</v>
      </c>
      <c r="CF106" s="4">
        <v>-376942.59</v>
      </c>
      <c r="CG106" s="4">
        <f>IF(OR(MID(TBBP[[#This Row],[Coluna1]],1,1)="1",MID(TBBP[[#This Row],[Coluna1]],1,1)="2"),CF106,SUM(BU106:CF106))</f>
        <v>-3881669.8700000006</v>
      </c>
      <c r="CH106" s="4">
        <v>-361186.87</v>
      </c>
      <c r="CI106" s="4">
        <v>-346950.12</v>
      </c>
      <c r="CJ106" s="4">
        <v>-451097.64</v>
      </c>
      <c r="CK106" s="4">
        <v>-284995.03000000003</v>
      </c>
      <c r="CL106" s="4">
        <v>-387336.47</v>
      </c>
      <c r="CM106" s="4">
        <v>-400381.85</v>
      </c>
      <c r="CN106" s="4">
        <v>-455595.46</v>
      </c>
      <c r="CO106" s="4">
        <v>-469789.17</v>
      </c>
      <c r="CP106" s="4">
        <v>-411917.68</v>
      </c>
      <c r="CQ106" s="4">
        <v>-423081.57</v>
      </c>
      <c r="CR106" s="4">
        <v>-396385.22</v>
      </c>
      <c r="CS106" s="4">
        <v>-463579.88</v>
      </c>
      <c r="CT106" s="4">
        <f>IF(OR(MID(TBBP[[#This Row],[Coluna1]],1,1)="1",MID(TBBP[[#This Row],[Coluna1]],1,1)="2"),CS106,SUM(CH106:CS106))</f>
        <v>-4852296.96</v>
      </c>
      <c r="CU106" s="4">
        <v>-559326.02</v>
      </c>
      <c r="CV106" s="4">
        <v>-634181.67000000004</v>
      </c>
      <c r="CW106" s="4">
        <v>-473343.4</v>
      </c>
      <c r="CX106" s="4">
        <v>-526119.1</v>
      </c>
      <c r="CY106" s="4">
        <v>-465241.57</v>
      </c>
      <c r="CZ106" s="4">
        <v>-552749.29</v>
      </c>
      <c r="DA106" s="4">
        <v>-538874.53</v>
      </c>
      <c r="DB106" s="4">
        <v>-534953.62</v>
      </c>
      <c r="DC106" s="4">
        <v>-552840.05000000005</v>
      </c>
      <c r="DD106" s="4">
        <v>-512208.34</v>
      </c>
      <c r="DE106" s="4">
        <v>-451888.62</v>
      </c>
      <c r="DF106" s="255">
        <v>-553681.36</v>
      </c>
      <c r="DG106" s="255">
        <f>SUM(TBBP[[#This Row],[Coluna287]:[Coluna298]])</f>
        <v>-6355407.5700000003</v>
      </c>
      <c r="DH106" s="255">
        <v>-512081.34</v>
      </c>
      <c r="DI106" s="255">
        <f>-502340.18-144.34</f>
        <v>-502484.52</v>
      </c>
      <c r="DJ106" s="255">
        <f>-597452.86-144.34</f>
        <v>-597597.19999999995</v>
      </c>
      <c r="DK106" s="255">
        <f>-627756.34-2144.34</f>
        <v>-629900.67999999993</v>
      </c>
      <c r="DL106" s="255">
        <f>-562477.49-1144.34</f>
        <v>-563621.82999999996</v>
      </c>
      <c r="DM106" s="255">
        <f>-434002.57-1144.34</f>
        <v>-435146.91000000003</v>
      </c>
      <c r="DO106" t="s">
        <v>118</v>
      </c>
      <c r="DP106" s="30">
        <f>IF(OR(MID(TBBP[[#This Row],[Coluna1]],1,1)="1",MID(TBBP[[#This Row],[Coluna1]],1,1)="2"),"-",SUMIFS(106:106,listaPeriodos,$DR$1,listaPeriodos,$DR$2))</f>
        <v>-3240832.4800000004</v>
      </c>
      <c r="DQ106" s="30">
        <v>-654248.83333333337</v>
      </c>
      <c r="DR106" s="30">
        <f t="shared" si="89"/>
        <v>-3925493</v>
      </c>
      <c r="DS106" s="30"/>
      <c r="DT106" s="30"/>
      <c r="DU106"/>
    </row>
    <row r="107" spans="1:125" x14ac:dyDescent="0.3">
      <c r="A107" s="7" t="s">
        <v>133</v>
      </c>
      <c r="B107" t="s">
        <v>119</v>
      </c>
      <c r="C107" s="4">
        <v>-14974.07</v>
      </c>
      <c r="D107" s="4">
        <v>-7429.2599999999993</v>
      </c>
      <c r="E107" s="4">
        <v>-8699.6899999999987</v>
      </c>
      <c r="F107" s="4">
        <v>-58497.499999999985</v>
      </c>
      <c r="G107" s="4">
        <v>-23248.12</v>
      </c>
      <c r="H107" s="4">
        <v>-42.74</v>
      </c>
      <c r="I107" s="4">
        <v>-25.68</v>
      </c>
      <c r="J107" s="4">
        <v>-1385.63</v>
      </c>
      <c r="K107" s="4">
        <v>-4116.83</v>
      </c>
      <c r="L107" s="4">
        <v>-538.80999999999995</v>
      </c>
      <c r="M107" s="4">
        <v>-583.33000000000004</v>
      </c>
      <c r="N107" s="4">
        <v>-36769.83</v>
      </c>
      <c r="O107" s="4">
        <v>-154.88</v>
      </c>
      <c r="P107" s="4">
        <v>-2816.97</v>
      </c>
      <c r="Q107" s="4">
        <v>-24.23</v>
      </c>
      <c r="R107" s="4">
        <v>-539.41999999999996</v>
      </c>
      <c r="S107" s="4">
        <v>-50.57</v>
      </c>
      <c r="T107" s="4">
        <f>IF(OR(MID(TBBP[[#This Row],[Coluna1]],1,1)="1",MID(TBBP[[#This Row],[Coluna1]],1,1)="2"),TBBP[[#This Row],[Coluna19]],SUM(H107:S107))</f>
        <v>-47048.920000000006</v>
      </c>
      <c r="U107" s="4">
        <v>-190.06</v>
      </c>
      <c r="V107" s="4">
        <v>-549.92999999999995</v>
      </c>
      <c r="W107" s="4">
        <v>-7671.08</v>
      </c>
      <c r="X107" s="4">
        <v>-4118.32</v>
      </c>
      <c r="Y107" s="4">
        <v>-5753.29</v>
      </c>
      <c r="Z107" s="4">
        <v>-518.54</v>
      </c>
      <c r="AA107" s="4">
        <v>-1630.21</v>
      </c>
      <c r="AB107" s="4">
        <v>-963.01</v>
      </c>
      <c r="AC107" s="4">
        <v>-969.93</v>
      </c>
      <c r="AD107" s="4">
        <v>-15434.83</v>
      </c>
      <c r="AE107" s="4">
        <v>-2064.4899999999998</v>
      </c>
      <c r="AF107" s="4">
        <v>-1425.92</v>
      </c>
      <c r="AG107" s="4">
        <f>IF(OR(MID(TBBP[[#This Row],[Coluna1]],1,1)="1",MID(TBBP[[#This Row],[Coluna1]],1,1)="2"),TBBP[[#This Row],[Coluna32]],SUM(U107:AF107))</f>
        <v>-41289.609999999993</v>
      </c>
      <c r="AH107" s="4">
        <v>-1150.27</v>
      </c>
      <c r="AI107" s="4">
        <v>-7941.9</v>
      </c>
      <c r="AJ107" s="4">
        <v>-15546.61</v>
      </c>
      <c r="AK107" s="4">
        <v>-6167.14</v>
      </c>
      <c r="AL107" s="4">
        <v>-423.59</v>
      </c>
      <c r="AM107" s="4">
        <v>-22539.81</v>
      </c>
      <c r="AN107" s="4">
        <v>-3337.15</v>
      </c>
      <c r="AO107" s="4">
        <v>-391.79</v>
      </c>
      <c r="AP107" s="4">
        <v>-20165.36</v>
      </c>
      <c r="AQ107" s="4">
        <v>-2590.0300000000002</v>
      </c>
      <c r="AR107" s="4">
        <v>-423.07</v>
      </c>
      <c r="AS107" s="4">
        <v>-12.21</v>
      </c>
      <c r="AT107" s="4">
        <f>IF(OR(MID(TBBP[[#This Row],[Coluna1]],1,1)="1",MID(TBBP[[#This Row],[Coluna1]],1,1)="2"),TBBP[[#This Row],[Coluna45]],SUM(AH107:AS107))</f>
        <v>-80688.930000000008</v>
      </c>
      <c r="AU107" s="4">
        <v>-2658.42</v>
      </c>
      <c r="AV107" s="4">
        <v>-12805.15</v>
      </c>
      <c r="AW107" s="4">
        <v>-973.6</v>
      </c>
      <c r="AX107" s="4">
        <v>-3770.93</v>
      </c>
      <c r="AY107" s="4">
        <v>-17.68</v>
      </c>
      <c r="AZ107" s="4">
        <v>-26.87</v>
      </c>
      <c r="BA107" s="4">
        <v>-23842.38</v>
      </c>
      <c r="BB107" s="4">
        <v>-1329.55</v>
      </c>
      <c r="BC107" s="4">
        <v>-928.54</v>
      </c>
      <c r="BD107" s="4">
        <v>-18813.310000000001</v>
      </c>
      <c r="BE107" s="4">
        <v>-3974.91</v>
      </c>
      <c r="BF107" s="4">
        <v>-336.49</v>
      </c>
      <c r="BG107" s="4">
        <f>IF(OR(MID(TBBP[[#This Row],[Coluna1]],1,1)="1",MID(TBBP[[#This Row],[Coluna1]],1,1)="2"),TBBP[[#This Row],[Coluna58]],SUM(AU107:BF107))</f>
        <v>-69477.830000000016</v>
      </c>
      <c r="BH107" s="4">
        <v>-2390.5</v>
      </c>
      <c r="BI107" s="4">
        <v>-18126.36</v>
      </c>
      <c r="BJ107" s="4">
        <v>-1148.07</v>
      </c>
      <c r="BK107" s="4">
        <v>-17030.650000000001</v>
      </c>
      <c r="BL107" s="4">
        <v>-2082.35</v>
      </c>
      <c r="BM107" s="4">
        <v>-2263.23</v>
      </c>
      <c r="BN107" s="4">
        <v>-5898.4</v>
      </c>
      <c r="BO107" s="4">
        <v>-304.2</v>
      </c>
      <c r="BP107" s="4">
        <v>-3289.03</v>
      </c>
      <c r="BQ107" s="4">
        <v>-5000.99</v>
      </c>
      <c r="BR107" s="4">
        <v>-71.77</v>
      </c>
      <c r="BS107" s="4">
        <v>-171.35</v>
      </c>
      <c r="BT107" s="4">
        <f>IF(OR(MID(TBBP[[#This Row],[Coluna1]],1,1)="1",MID(TBBP[[#This Row],[Coluna1]],1,1)="2"),TBBP[[#This Row],[Coluna127]],SUM(BH107:BS107))</f>
        <v>-57776.899999999994</v>
      </c>
      <c r="BU107" s="4">
        <v>-9741.74</v>
      </c>
      <c r="BV107" s="4">
        <v>-17178.039999999997</v>
      </c>
      <c r="BW107" s="4">
        <v>-6807.7</v>
      </c>
      <c r="BX107" s="4">
        <v>-35419.550000000003</v>
      </c>
      <c r="BY107" s="4">
        <v>-7991.02</v>
      </c>
      <c r="BZ107" s="4">
        <v>-5395.82</v>
      </c>
      <c r="CA107" s="4">
        <v>-49637.72</v>
      </c>
      <c r="CB107" s="4">
        <v>-55355.86</v>
      </c>
      <c r="CC107" s="4">
        <v>-10124.06</v>
      </c>
      <c r="CD107" s="4">
        <v>-40683.85</v>
      </c>
      <c r="CE107" s="4">
        <v>-17850.91</v>
      </c>
      <c r="CF107" s="4">
        <v>-10581.9</v>
      </c>
      <c r="CG107" s="4">
        <f>IF(OR(MID(TBBP[[#This Row],[Coluna1]],1,1)="1",MID(TBBP[[#This Row],[Coluna1]],1,1)="2"),CF107,SUM(BU107:CF107))</f>
        <v>-266768.17000000004</v>
      </c>
      <c r="CH107" s="4">
        <v>-12442.41</v>
      </c>
      <c r="CI107" s="4">
        <v>-60607.75</v>
      </c>
      <c r="CJ107" s="4">
        <v>3528.16</v>
      </c>
      <c r="CK107" s="4">
        <v>-23234.19</v>
      </c>
      <c r="CL107" s="4">
        <v>-33819.21</v>
      </c>
      <c r="CM107" s="4">
        <v>-14835.26</v>
      </c>
      <c r="CN107" s="4">
        <v>-19512.47</v>
      </c>
      <c r="CO107" s="4">
        <v>-39860.43</v>
      </c>
      <c r="CP107" s="4">
        <v>-61240.69</v>
      </c>
      <c r="CQ107" s="4">
        <v>-30743.31</v>
      </c>
      <c r="CR107" s="4">
        <v>-33729.57</v>
      </c>
      <c r="CS107" s="4">
        <v>-46276.35</v>
      </c>
      <c r="CT107" s="4">
        <f>IF(OR(MID(TBBP[[#This Row],[Coluna1]],1,1)="1",MID(TBBP[[#This Row],[Coluna1]],1,1)="2"),CS107,SUM(CH107:CS107))</f>
        <v>-372773.48</v>
      </c>
      <c r="CU107" s="255">
        <v>-25674.61</v>
      </c>
      <c r="CV107" s="255">
        <v>-34902.589999999997</v>
      </c>
      <c r="CW107" s="255">
        <v>-36632.65</v>
      </c>
      <c r="CX107" s="255">
        <v>-36742.379999999997</v>
      </c>
      <c r="CY107" s="255">
        <v>-31747.52</v>
      </c>
      <c r="CZ107" s="255">
        <v>-502630.29</v>
      </c>
      <c r="DA107" s="255">
        <v>-35977.800000000003</v>
      </c>
      <c r="DB107" s="255">
        <v>-8373.56</v>
      </c>
      <c r="DC107" s="255">
        <v>-92515.33</v>
      </c>
      <c r="DD107" s="255">
        <v>-20570.57</v>
      </c>
      <c r="DE107" s="255">
        <v>-19735.87</v>
      </c>
      <c r="DF107" s="255">
        <v>-77072.2</v>
      </c>
      <c r="DG107" s="255">
        <f>SUM(TBBP[[#This Row],[Coluna287]:[Coluna298]])</f>
        <v>-922575.37</v>
      </c>
      <c r="DH107" s="255">
        <v>-33183.82</v>
      </c>
      <c r="DI107" s="255">
        <v>-123.4</v>
      </c>
      <c r="DJ107" s="255">
        <v>-50.08</v>
      </c>
      <c r="DK107" s="255">
        <v>-2536.73</v>
      </c>
      <c r="DL107" s="255">
        <v>-12370.609999999999</v>
      </c>
      <c r="DM107" s="255">
        <v>-37059.01</v>
      </c>
      <c r="DO107" t="s">
        <v>119</v>
      </c>
      <c r="DP107" s="30">
        <f>IF(OR(MID(TBBP[[#This Row],[Coluna1]],1,1)="1",MID(TBBP[[#This Row],[Coluna1]],1,1)="2"),"-",SUMIFS(107:107,listaPeriodos,$DR$1,listaPeriodos,$DR$2))</f>
        <v>-85323.650000000009</v>
      </c>
      <c r="DQ107" s="30">
        <v>-5233.333333333333</v>
      </c>
      <c r="DR107" s="30">
        <f t="shared" si="89"/>
        <v>-31400</v>
      </c>
      <c r="DS107" s="30"/>
      <c r="DT107" s="30"/>
      <c r="DU107"/>
    </row>
    <row r="108" spans="1:125" x14ac:dyDescent="0.3">
      <c r="A108" s="7" t="s">
        <v>134</v>
      </c>
      <c r="B108" t="s">
        <v>120</v>
      </c>
      <c r="C108" s="4">
        <v>-104154.41</v>
      </c>
      <c r="D108" s="4">
        <v>-246603.63</v>
      </c>
      <c r="E108" s="4">
        <v>-413841.65</v>
      </c>
      <c r="F108" s="4">
        <v>-457825.96</v>
      </c>
      <c r="G108" s="4">
        <v>-574287.56000000006</v>
      </c>
      <c r="H108" s="4">
        <v>-55673.62</v>
      </c>
      <c r="I108" s="4">
        <v>-55673.62</v>
      </c>
      <c r="J108" s="4">
        <v>-53323.62</v>
      </c>
      <c r="K108" s="4">
        <v>-53323.62</v>
      </c>
      <c r="L108" s="4">
        <v>-53323.62</v>
      </c>
      <c r="M108" s="4">
        <v>-53323.62</v>
      </c>
      <c r="N108" s="4">
        <v>-53323.62</v>
      </c>
      <c r="O108" s="4">
        <v>-50616.04</v>
      </c>
      <c r="P108" s="4">
        <v>-57966.83</v>
      </c>
      <c r="Q108" s="4">
        <v>-52466.84</v>
      </c>
      <c r="R108" s="4">
        <v>-57498.36</v>
      </c>
      <c r="S108" s="4">
        <v>-57498.37</v>
      </c>
      <c r="T108" s="4">
        <f>IF(OR(MID(TBBP[[#This Row],[Coluna1]],1,1)="1",MID(TBBP[[#This Row],[Coluna1]],1,1)="2"),TBBP[[#This Row],[Coluna19]],SUM(H108:S108))</f>
        <v>-654011.78</v>
      </c>
      <c r="U108" s="4">
        <v>-57720.32</v>
      </c>
      <c r="V108" s="4">
        <v>-55982.8</v>
      </c>
      <c r="W108" s="4">
        <v>-57089.79</v>
      </c>
      <c r="X108" s="4">
        <v>-58394.77</v>
      </c>
      <c r="Y108" s="4">
        <v>-58931.24</v>
      </c>
      <c r="Z108" s="4">
        <v>-58121.29</v>
      </c>
      <c r="AA108" s="4">
        <v>-58467.81</v>
      </c>
      <c r="AB108" s="4">
        <v>-59340.2</v>
      </c>
      <c r="AC108" s="4">
        <v>-58259.38</v>
      </c>
      <c r="AD108" s="4">
        <v>-52704.95</v>
      </c>
      <c r="AE108" s="4">
        <v>-62762.32</v>
      </c>
      <c r="AF108" s="4">
        <v>-62931.72</v>
      </c>
      <c r="AG108" s="4">
        <f>IF(OR(MID(TBBP[[#This Row],[Coluna1]],1,1)="1",MID(TBBP[[#This Row],[Coluna1]],1,1)="2"),TBBP[[#This Row],[Coluna32]],SUM(U108:AF108))</f>
        <v>-700706.58999999985</v>
      </c>
      <c r="AH108" s="4">
        <v>-64793.57</v>
      </c>
      <c r="AI108" s="4">
        <v>-65276.99</v>
      </c>
      <c r="AJ108" s="4">
        <v>-65511.3</v>
      </c>
      <c r="AK108" s="4">
        <v>-66357.039999999994</v>
      </c>
      <c r="AL108" s="4">
        <v>-66450.3</v>
      </c>
      <c r="AM108" s="4">
        <v>-70921.89</v>
      </c>
      <c r="AN108" s="4">
        <v>-73047.19</v>
      </c>
      <c r="AO108" s="4">
        <v>-74105.210000000006</v>
      </c>
      <c r="AP108" s="4">
        <v>-76659.100000000006</v>
      </c>
      <c r="AQ108" s="4">
        <v>-79223.27</v>
      </c>
      <c r="AR108" s="4">
        <v>-79154.73</v>
      </c>
      <c r="AS108" s="4">
        <v>-81225.88</v>
      </c>
      <c r="AT108" s="4">
        <f>IF(OR(MID(TBBP[[#This Row],[Coluna1]],1,1)="1",MID(TBBP[[#This Row],[Coluna1]],1,1)="2"),TBBP[[#This Row],[Coluna45]],SUM(AH108:AS108))</f>
        <v>-862726.47</v>
      </c>
      <c r="AU108" s="4">
        <v>-82131.63</v>
      </c>
      <c r="AV108" s="4">
        <v>-83812.84</v>
      </c>
      <c r="AW108" s="4">
        <v>-69789.429999999993</v>
      </c>
      <c r="AX108" s="4">
        <v>-70094.080000000002</v>
      </c>
      <c r="AY108" s="4">
        <v>-71434.91</v>
      </c>
      <c r="AZ108" s="4">
        <v>-72968.83</v>
      </c>
      <c r="BA108" s="4">
        <v>-75052.52</v>
      </c>
      <c r="BB108" s="4">
        <v>-71089.81</v>
      </c>
      <c r="BC108" s="4">
        <v>-72526.289999999994</v>
      </c>
      <c r="BD108" s="4">
        <v>-73428.41</v>
      </c>
      <c r="BE108" s="4">
        <v>-73863.23</v>
      </c>
      <c r="BF108" s="4">
        <v>277684.63</v>
      </c>
      <c r="BG108" s="4">
        <f>IF(OR(MID(TBBP[[#This Row],[Coluna1]],1,1)="1",MID(TBBP[[#This Row],[Coluna1]],1,1)="2"),TBBP[[#This Row],[Coluna58]],SUM(AU108:BF108))</f>
        <v>-538507.35000000009</v>
      </c>
      <c r="BH108" s="4">
        <v>-70197.56</v>
      </c>
      <c r="BI108" s="4">
        <v>-59132.88</v>
      </c>
      <c r="BJ108" s="4">
        <v>-57405.760000000002</v>
      </c>
      <c r="BK108" s="4">
        <v>-62336.14</v>
      </c>
      <c r="BL108" s="4">
        <v>-64290.13</v>
      </c>
      <c r="BM108" s="4">
        <v>-66905.89</v>
      </c>
      <c r="BN108" s="4">
        <v>-67244.740000000005</v>
      </c>
      <c r="BO108" s="4">
        <v>-67662.990000000005</v>
      </c>
      <c r="BP108" s="4">
        <v>-66551.039999999994</v>
      </c>
      <c r="BQ108" s="4">
        <v>-66982.64</v>
      </c>
      <c r="BR108" s="4">
        <v>-75325.89</v>
      </c>
      <c r="BS108" s="4">
        <v>-76562.36</v>
      </c>
      <c r="BT108" s="4">
        <f>IF(OR(MID(TBBP[[#This Row],[Coluna1]],1,1)="1",MID(TBBP[[#This Row],[Coluna1]],1,1)="2"),TBBP[[#This Row],[Coluna127]],SUM(BH108:BS108))</f>
        <v>-800598.02</v>
      </c>
      <c r="BU108" s="4">
        <v>-76722.5</v>
      </c>
      <c r="BV108" s="4">
        <v>-77110.92</v>
      </c>
      <c r="BW108" s="4">
        <v>-77528.479999999996</v>
      </c>
      <c r="BX108" s="4">
        <v>-77611.95</v>
      </c>
      <c r="BY108" s="4">
        <v>-81143.91</v>
      </c>
      <c r="BZ108" s="4">
        <v>-81838.16</v>
      </c>
      <c r="CA108" s="4">
        <v>-86951.19</v>
      </c>
      <c r="CB108" s="4">
        <v>-95802.3</v>
      </c>
      <c r="CC108" s="4">
        <v>-98949.53</v>
      </c>
      <c r="CD108" s="4">
        <v>-100910.86</v>
      </c>
      <c r="CE108" s="4">
        <v>-103347.38</v>
      </c>
      <c r="CF108" s="4">
        <v>-108887.54</v>
      </c>
      <c r="CG108" s="4">
        <f>IF(OR(MID(TBBP[[#This Row],[Coluna1]],1,1)="1",MID(TBBP[[#This Row],[Coluna1]],1,1)="2"),CF108,SUM(BU108:CF108))</f>
        <v>-1066804.7200000002</v>
      </c>
      <c r="CH108" s="4">
        <v>-109275.19</v>
      </c>
      <c r="CI108" s="4">
        <v>-112499.84</v>
      </c>
      <c r="CJ108" s="4">
        <v>-113863.82</v>
      </c>
      <c r="CK108" s="4">
        <v>-126671.67</v>
      </c>
      <c r="CL108" s="4">
        <v>-128038.33</v>
      </c>
      <c r="CM108" s="4">
        <v>-210621.66</v>
      </c>
      <c r="CN108" s="4">
        <v>-225697.44</v>
      </c>
      <c r="CO108" s="4">
        <v>-229557.01</v>
      </c>
      <c r="CP108" s="4">
        <v>-237062.95</v>
      </c>
      <c r="CQ108" s="4">
        <v>-231401.34</v>
      </c>
      <c r="CR108" s="4">
        <v>-224500.13</v>
      </c>
      <c r="CS108" s="4">
        <v>-226558.58</v>
      </c>
      <c r="CT108" s="4">
        <f>IF(OR(MID(TBBP[[#This Row],[Coluna1]],1,1)="1",MID(TBBP[[#This Row],[Coluna1]],1,1)="2"),CS108,SUM(CH108:CS108))</f>
        <v>-2175747.96</v>
      </c>
      <c r="CU108" s="255">
        <v>-227746.17</v>
      </c>
      <c r="CV108" s="255">
        <v>-228653.32</v>
      </c>
      <c r="CW108" s="255">
        <v>-234063.23</v>
      </c>
      <c r="CX108" s="255">
        <v>-233156.5</v>
      </c>
      <c r="CY108" s="255">
        <v>-233436.43999999997</v>
      </c>
      <c r="CZ108" s="255">
        <v>-237204.69</v>
      </c>
      <c r="DA108" s="255">
        <v>-237556.19</v>
      </c>
      <c r="DB108" s="255">
        <v>-244273.9</v>
      </c>
      <c r="DC108" s="255">
        <v>-241290.25</v>
      </c>
      <c r="DD108" s="255">
        <v>-240534.17</v>
      </c>
      <c r="DE108" s="255">
        <v>-240636.83</v>
      </c>
      <c r="DF108" s="255">
        <v>-240084.72</v>
      </c>
      <c r="DG108" s="255">
        <f>SUM(TBBP[[#This Row],[Coluna287]:[Coluna298]])</f>
        <v>-2838636.4099999997</v>
      </c>
      <c r="DH108" s="255">
        <v>-242347.08</v>
      </c>
      <c r="DI108" s="255">
        <v>-243756.74</v>
      </c>
      <c r="DJ108" s="255">
        <v>-242817.01</v>
      </c>
      <c r="DK108" s="255">
        <v>-242817.01</v>
      </c>
      <c r="DL108" s="255">
        <v>-245155.72</v>
      </c>
      <c r="DM108" s="255">
        <v>-242744.38</v>
      </c>
      <c r="DO108" t="s">
        <v>120</v>
      </c>
      <c r="DP108" s="30">
        <f>IF(OR(MID(TBBP[[#This Row],[Coluna1]],1,1)="1",MID(TBBP[[#This Row],[Coluna1]],1,1)="2"),"-",SUMIFS(108:108,listaPeriodos,$DR$1,listaPeriodos,$DR$2))</f>
        <v>-1459637.94</v>
      </c>
      <c r="DQ108" s="30">
        <v>-250000</v>
      </c>
      <c r="DR108" s="30">
        <f t="shared" si="89"/>
        <v>-1500000</v>
      </c>
      <c r="DS108" s="30"/>
      <c r="DT108" s="30"/>
      <c r="DU108"/>
    </row>
    <row r="109" spans="1:125" x14ac:dyDescent="0.3">
      <c r="A109" s="7" t="s">
        <v>991</v>
      </c>
      <c r="B109" t="s">
        <v>992</v>
      </c>
      <c r="C109" s="4">
        <v>0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4">
        <v>0</v>
      </c>
      <c r="AO109" s="4">
        <v>0</v>
      </c>
      <c r="AP109" s="4">
        <v>0</v>
      </c>
      <c r="AQ109" s="4">
        <v>0</v>
      </c>
      <c r="AR109" s="4">
        <v>0</v>
      </c>
      <c r="AS109" s="4">
        <v>0</v>
      </c>
      <c r="AT109" s="4">
        <v>0</v>
      </c>
      <c r="AU109" s="4">
        <v>0</v>
      </c>
      <c r="AV109" s="4">
        <v>0</v>
      </c>
      <c r="AW109" s="4">
        <v>0</v>
      </c>
      <c r="AX109" s="4">
        <v>0</v>
      </c>
      <c r="AY109" s="4">
        <v>0</v>
      </c>
      <c r="AZ109" s="4">
        <v>0</v>
      </c>
      <c r="BA109" s="4">
        <v>0</v>
      </c>
      <c r="BB109" s="4">
        <v>0</v>
      </c>
      <c r="BC109" s="4">
        <v>0</v>
      </c>
      <c r="BD109" s="4">
        <v>0</v>
      </c>
      <c r="BE109" s="4">
        <v>0</v>
      </c>
      <c r="BF109" s="4">
        <v>0</v>
      </c>
      <c r="BG109" s="4">
        <v>0</v>
      </c>
      <c r="BH109" s="4">
        <v>0</v>
      </c>
      <c r="BI109" s="4">
        <v>0</v>
      </c>
      <c r="BJ109" s="4">
        <v>0</v>
      </c>
      <c r="BK109" s="4">
        <v>0</v>
      </c>
      <c r="BL109" s="4">
        <v>0</v>
      </c>
      <c r="BM109" s="4">
        <v>0</v>
      </c>
      <c r="BN109" s="4">
        <v>0</v>
      </c>
      <c r="BO109" s="4">
        <v>0</v>
      </c>
      <c r="BP109" s="4">
        <v>-35000</v>
      </c>
      <c r="BQ109" s="4">
        <v>0</v>
      </c>
      <c r="BR109" s="4">
        <v>0</v>
      </c>
      <c r="BS109" s="4">
        <v>-3000</v>
      </c>
      <c r="BT109" s="4">
        <f>IF(OR(MID(TBBP[[#This Row],[Coluna1]],1,1)="1",MID(TBBP[[#This Row],[Coluna1]],1,1)="2"),TBBP[[#This Row],[Coluna127]],SUM(BH109:BS109))</f>
        <v>-38000</v>
      </c>
      <c r="BU109" s="4">
        <v>0</v>
      </c>
      <c r="BV109" s="4">
        <v>0</v>
      </c>
      <c r="BW109" s="4">
        <v>0</v>
      </c>
      <c r="BX109" s="4">
        <v>0</v>
      </c>
      <c r="BY109" s="4">
        <v>0</v>
      </c>
      <c r="BZ109" s="4">
        <v>0</v>
      </c>
      <c r="CA109" s="4">
        <v>0</v>
      </c>
      <c r="CB109" s="4">
        <v>0</v>
      </c>
      <c r="CC109" s="4">
        <v>0</v>
      </c>
      <c r="CD109" s="4">
        <v>0</v>
      </c>
      <c r="CE109" s="4">
        <v>0</v>
      </c>
      <c r="CF109" s="4">
        <v>-80000</v>
      </c>
      <c r="CG109" s="4">
        <f>IF(OR(MID(TBBP[[#This Row],[Coluna1]],1,1)="1",MID(TBBP[[#This Row],[Coluna1]],1,1)="2"),CF109,SUM(BU109:CF109))</f>
        <v>-80000</v>
      </c>
      <c r="CH109" s="4">
        <v>0</v>
      </c>
      <c r="CI109" s="4">
        <v>0</v>
      </c>
      <c r="CJ109" s="4">
        <v>0</v>
      </c>
      <c r="CK109" s="4">
        <v>0</v>
      </c>
      <c r="CL109" s="4">
        <v>0</v>
      </c>
      <c r="CM109" s="4">
        <v>0</v>
      </c>
      <c r="CN109" s="4">
        <v>0</v>
      </c>
      <c r="CO109" s="4">
        <v>0</v>
      </c>
      <c r="CP109" s="4">
        <v>0</v>
      </c>
      <c r="CQ109" s="4">
        <v>0</v>
      </c>
      <c r="CR109" s="4">
        <v>0</v>
      </c>
      <c r="CS109" s="4">
        <v>-115000</v>
      </c>
      <c r="CT109" s="4">
        <f>IF(OR(MID(TBBP[[#This Row],[Coluna1]],1,1)="1",MID(TBBP[[#This Row],[Coluna1]],1,1)="2"),CS109,SUM(CH109:CS109))</f>
        <v>-115000</v>
      </c>
      <c r="CU109" s="255">
        <v>0</v>
      </c>
      <c r="CV109" s="255">
        <v>0</v>
      </c>
      <c r="CW109" s="255">
        <v>0</v>
      </c>
      <c r="CX109" s="255">
        <v>0</v>
      </c>
      <c r="CY109" s="255">
        <v>0</v>
      </c>
      <c r="CZ109" s="255">
        <v>0</v>
      </c>
      <c r="DA109" s="255">
        <v>0</v>
      </c>
      <c r="DB109" s="255">
        <v>0</v>
      </c>
      <c r="DC109" s="255">
        <v>0</v>
      </c>
      <c r="DD109" s="255">
        <v>0</v>
      </c>
      <c r="DE109" s="255">
        <v>0</v>
      </c>
      <c r="DF109" s="255">
        <v>-196000</v>
      </c>
      <c r="DG109" s="255">
        <f>SUM(TBBP[[#This Row],[Coluna287]:[Coluna298]])</f>
        <v>-196000</v>
      </c>
      <c r="DH109" s="255">
        <v>0</v>
      </c>
      <c r="DI109" s="255">
        <v>0</v>
      </c>
      <c r="DJ109" s="255">
        <v>0</v>
      </c>
      <c r="DK109" s="255">
        <v>0</v>
      </c>
      <c r="DL109" s="255"/>
      <c r="DM109" s="255">
        <v>0</v>
      </c>
      <c r="DP109" s="30">
        <f>IF(OR(MID(TBBP[[#This Row],[Coluna1]],1,1)="1",MID(TBBP[[#This Row],[Coluna1]],1,1)="2"),"-",SUMIFS(109:109,listaPeriodos,$DR$1,listaPeriodos,$DR$2))</f>
        <v>0</v>
      </c>
      <c r="DQ109" s="30"/>
      <c r="DR109" s="30">
        <f t="shared" si="89"/>
        <v>0</v>
      </c>
      <c r="DS109" s="30"/>
      <c r="DT109" s="30"/>
      <c r="DU109"/>
    </row>
    <row r="110" spans="1:125" x14ac:dyDescent="0.3">
      <c r="A110" s="70" t="s">
        <v>131</v>
      </c>
      <c r="B110" s="65" t="s">
        <v>102</v>
      </c>
      <c r="C110" s="65">
        <f>SUM(C105:C108)</f>
        <v>-1580123.22</v>
      </c>
      <c r="D110" s="65">
        <f t="shared" ref="D110:AI110" si="116">SUM(D105:D108)</f>
        <v>-2118325.4500000002</v>
      </c>
      <c r="E110" s="65">
        <f t="shared" si="116"/>
        <v>-2950891.01</v>
      </c>
      <c r="F110" s="65">
        <f t="shared" si="116"/>
        <v>-2624357.83</v>
      </c>
      <c r="G110" s="65">
        <f t="shared" si="116"/>
        <v>-3090455.85</v>
      </c>
      <c r="H110" s="65">
        <f t="shared" si="116"/>
        <v>-238578.07</v>
      </c>
      <c r="I110" s="65">
        <f t="shared" si="116"/>
        <v>-283240.65999999997</v>
      </c>
      <c r="J110" s="65">
        <f t="shared" si="116"/>
        <v>-278094.77</v>
      </c>
      <c r="K110" s="65">
        <f t="shared" si="116"/>
        <v>-286889.61000000004</v>
      </c>
      <c r="L110" s="65">
        <f t="shared" si="116"/>
        <v>-257426.99</v>
      </c>
      <c r="M110" s="65">
        <f t="shared" si="116"/>
        <v>-381483.33</v>
      </c>
      <c r="N110" s="65">
        <f t="shared" si="116"/>
        <v>-376943.66000000003</v>
      </c>
      <c r="O110" s="65">
        <f t="shared" si="116"/>
        <v>-333219.89999999997</v>
      </c>
      <c r="P110" s="65">
        <f t="shared" si="116"/>
        <v>-372223.34</v>
      </c>
      <c r="Q110" s="65">
        <f t="shared" si="116"/>
        <v>-343133.97</v>
      </c>
      <c r="R110" s="65">
        <f t="shared" si="116"/>
        <v>-406339.79</v>
      </c>
      <c r="S110" s="65">
        <f t="shared" si="116"/>
        <v>-505709.5</v>
      </c>
      <c r="T110" s="65">
        <f>IF(OR(MID(TBBP[[#This Row],[Coluna1]],1,1)="1",MID(TBBP[[#This Row],[Coluna1]],1,1)="2"),TBBP[[#This Row],[Coluna19]],SUM(H110:S110))</f>
        <v>-4063283.59</v>
      </c>
      <c r="U110" s="65">
        <f t="shared" si="116"/>
        <v>-362610.92</v>
      </c>
      <c r="V110" s="65">
        <f t="shared" si="116"/>
        <v>-461229.12</v>
      </c>
      <c r="W110" s="65">
        <f t="shared" si="116"/>
        <v>-360239.3</v>
      </c>
      <c r="X110" s="65">
        <f t="shared" si="116"/>
        <v>-332691.29000000004</v>
      </c>
      <c r="Y110" s="65">
        <f t="shared" si="116"/>
        <v>-346319.35999999999</v>
      </c>
      <c r="Z110" s="65">
        <f t="shared" si="116"/>
        <v>-349916.45999999996</v>
      </c>
      <c r="AA110" s="65">
        <f t="shared" si="116"/>
        <v>-354557.21</v>
      </c>
      <c r="AB110" s="65">
        <f t="shared" si="116"/>
        <v>-348859.66000000003</v>
      </c>
      <c r="AC110" s="65">
        <f t="shared" si="116"/>
        <v>-442327.95</v>
      </c>
      <c r="AD110" s="65">
        <f t="shared" si="116"/>
        <v>-354774.81000000006</v>
      </c>
      <c r="AE110" s="65">
        <f t="shared" si="116"/>
        <v>-382009.76999999996</v>
      </c>
      <c r="AF110" s="65">
        <f t="shared" si="116"/>
        <v>-341902.87</v>
      </c>
      <c r="AG110" s="65">
        <f>IF(OR(MID(TBBP[[#This Row],[Coluna1]],1,1)="1",MID(TBBP[[#This Row],[Coluna1]],1,1)="2"),TBBP[[#This Row],[Coluna32]],SUM(U110:AF110))</f>
        <v>-4437438.7200000007</v>
      </c>
      <c r="AH110" s="65">
        <f t="shared" si="116"/>
        <v>-366858.43000000005</v>
      </c>
      <c r="AI110" s="65">
        <f t="shared" si="116"/>
        <v>-494253.41</v>
      </c>
      <c r="AJ110" s="65">
        <f t="shared" ref="AJ110:AS110" si="117">SUM(AJ105:AJ108)</f>
        <v>-360175.20999999996</v>
      </c>
      <c r="AK110" s="65">
        <f t="shared" si="117"/>
        <v>-263411.03000000003</v>
      </c>
      <c r="AL110" s="65">
        <f t="shared" si="117"/>
        <v>-301653.95</v>
      </c>
      <c r="AM110" s="65">
        <f t="shared" si="117"/>
        <v>-338403.64</v>
      </c>
      <c r="AN110" s="65">
        <f t="shared" si="117"/>
        <v>-360783.12000000005</v>
      </c>
      <c r="AO110" s="65">
        <f t="shared" si="117"/>
        <v>-365250.27</v>
      </c>
      <c r="AP110" s="65">
        <f t="shared" si="117"/>
        <v>-409723.61</v>
      </c>
      <c r="AQ110" s="65">
        <f t="shared" si="117"/>
        <v>-403753.68000000005</v>
      </c>
      <c r="AR110" s="65">
        <f t="shared" si="117"/>
        <v>-422009.74</v>
      </c>
      <c r="AS110" s="65">
        <f t="shared" si="117"/>
        <v>-417271.71</v>
      </c>
      <c r="AT110" s="65">
        <f>IF(OR(MID(TBBP[[#This Row],[Coluna1]],1,1)="1",MID(TBBP[[#This Row],[Coluna1]],1,1)="2"),TBBP[[#This Row],[Coluna45]],SUM(AH110:AS110))</f>
        <v>-4503547.8</v>
      </c>
      <c r="AU110" s="65">
        <f t="shared" ref="AU110:BD110" si="118">SUM(AU105:AU108)</f>
        <v>-384881.06</v>
      </c>
      <c r="AV110" s="65">
        <f t="shared" si="118"/>
        <v>-698004.03</v>
      </c>
      <c r="AW110" s="65">
        <f t="shared" si="118"/>
        <v>-363123.99</v>
      </c>
      <c r="AX110" s="65">
        <f t="shared" si="118"/>
        <v>-402626.45</v>
      </c>
      <c r="AY110" s="65">
        <f t="shared" si="118"/>
        <v>-472594.78</v>
      </c>
      <c r="AZ110" s="65">
        <f t="shared" si="118"/>
        <v>-523860.79</v>
      </c>
      <c r="BA110" s="65">
        <f t="shared" si="118"/>
        <v>-575117.86</v>
      </c>
      <c r="BB110" s="65">
        <f t="shared" si="118"/>
        <v>-563070.85</v>
      </c>
      <c r="BC110" s="65">
        <f t="shared" si="118"/>
        <v>-580264.7699999999</v>
      </c>
      <c r="BD110" s="65">
        <f t="shared" si="118"/>
        <v>-922154.45000000007</v>
      </c>
      <c r="BE110" s="65">
        <f>SUM(BE105:BE108)</f>
        <v>-771811.79999999993</v>
      </c>
      <c r="BF110" s="92">
        <v>-331246.08000000002</v>
      </c>
      <c r="BG110" s="65">
        <f>SUM(BG105:BG108)</f>
        <v>-6588756.9100000001</v>
      </c>
      <c r="BH110" s="65">
        <f t="shared" ref="BH110:BO110" si="119">SUM(BH105:BH108)</f>
        <v>-636982.38000000012</v>
      </c>
      <c r="BI110" s="65">
        <f t="shared" si="119"/>
        <v>-996484.82999999984</v>
      </c>
      <c r="BJ110" s="65">
        <f t="shared" si="119"/>
        <v>-807633.55999999994</v>
      </c>
      <c r="BK110" s="65">
        <f t="shared" si="119"/>
        <v>-771182.26</v>
      </c>
      <c r="BL110" s="65">
        <f t="shared" si="119"/>
        <v>-923813.05</v>
      </c>
      <c r="BM110" s="65">
        <f t="shared" si="119"/>
        <v>-831767.20000000007</v>
      </c>
      <c r="BN110" s="65">
        <f t="shared" si="119"/>
        <v>-714870.34</v>
      </c>
      <c r="BO110" s="65">
        <f t="shared" si="119"/>
        <v>-786919.48</v>
      </c>
      <c r="BP110" s="65">
        <v>-1115816.3400000001</v>
      </c>
      <c r="BQ110" s="65">
        <f>SUM(BQ105:BQ109)</f>
        <v>-872549.30999999994</v>
      </c>
      <c r="BR110" s="65">
        <f>SUM(BR105:BR109)</f>
        <v>-753765.50000000012</v>
      </c>
      <c r="BS110" s="65">
        <f>SUM(BS105:BS109)</f>
        <v>-842379.91999999993</v>
      </c>
      <c r="BT110" s="65">
        <f>SUM(BT105:BT109)</f>
        <v>-10054164.17</v>
      </c>
      <c r="BU110" s="65">
        <f t="shared" ref="BU110:CG110" si="120">SUM(BU105:BU109)</f>
        <v>-917451.10000000009</v>
      </c>
      <c r="BV110" s="65">
        <f t="shared" si="120"/>
        <v>-973784.9800000001</v>
      </c>
      <c r="BW110" s="65">
        <f t="shared" si="120"/>
        <v>-983682.59</v>
      </c>
      <c r="BX110" s="65">
        <f t="shared" si="120"/>
        <v>-700066.72</v>
      </c>
      <c r="BY110" s="65">
        <f t="shared" si="120"/>
        <v>-811984.37</v>
      </c>
      <c r="BZ110" s="65">
        <f t="shared" si="120"/>
        <v>-849014.67999999993</v>
      </c>
      <c r="CA110" s="65">
        <f t="shared" si="120"/>
        <v>-1006859.7999999998</v>
      </c>
      <c r="CB110" s="65">
        <f t="shared" si="120"/>
        <v>-1121121.67</v>
      </c>
      <c r="CC110" s="65">
        <f t="shared" si="120"/>
        <v>-1164146.2000000002</v>
      </c>
      <c r="CD110" s="65">
        <f t="shared" si="120"/>
        <v>-1147135.3900000001</v>
      </c>
      <c r="CE110" s="65">
        <f>SUM(CE105:CE109)</f>
        <v>-922381.94</v>
      </c>
      <c r="CF110" s="65">
        <v>-991096.76000000013</v>
      </c>
      <c r="CG110" s="65">
        <f t="shared" si="120"/>
        <v>-11588726.200000001</v>
      </c>
      <c r="CH110" s="65">
        <f t="shared" ref="CH110:CT110" si="121">SUM(CH105:CH109)</f>
        <v>-1110382.8400000001</v>
      </c>
      <c r="CI110" s="65">
        <f t="shared" si="121"/>
        <v>-1379449.18</v>
      </c>
      <c r="CJ110" s="65">
        <f t="shared" si="121"/>
        <v>-1082158.57</v>
      </c>
      <c r="CK110" s="65">
        <f t="shared" si="121"/>
        <v>-1120752.79</v>
      </c>
      <c r="CL110" s="65">
        <f t="shared" si="121"/>
        <v>-1609272.3</v>
      </c>
      <c r="CM110" s="65">
        <f t="shared" si="121"/>
        <v>-1266286.5499999998</v>
      </c>
      <c r="CN110" s="65">
        <f t="shared" si="121"/>
        <v>-1560636.3299999998</v>
      </c>
      <c r="CO110" s="65">
        <f t="shared" si="121"/>
        <v>-1810544.14</v>
      </c>
      <c r="CP110" s="65">
        <f t="shared" si="121"/>
        <v>-1577562.92</v>
      </c>
      <c r="CQ110" s="65">
        <f t="shared" si="121"/>
        <v>-1575616.5100000002</v>
      </c>
      <c r="CR110" s="65">
        <f t="shared" si="121"/>
        <v>-1587332.94</v>
      </c>
      <c r="CS110" s="65">
        <f t="shared" si="121"/>
        <v>-1540155.4100000001</v>
      </c>
      <c r="CT110" s="65">
        <f t="shared" si="121"/>
        <v>-17220150.48</v>
      </c>
      <c r="CU110" s="65">
        <f t="shared" ref="CU110:DE110" si="122">SUM(CU105:CU109)</f>
        <v>-1502729.26</v>
      </c>
      <c r="CV110" s="65">
        <f t="shared" si="122"/>
        <v>-1750990.6500000004</v>
      </c>
      <c r="CW110" s="65">
        <f t="shared" si="122"/>
        <v>-1578634.1199999999</v>
      </c>
      <c r="CX110" s="65">
        <f t="shared" si="122"/>
        <v>-1487176.19</v>
      </c>
      <c r="CY110" s="65">
        <f t="shared" si="122"/>
        <v>-1581247.04</v>
      </c>
      <c r="CZ110" s="65">
        <f t="shared" si="122"/>
        <v>-2408522.09</v>
      </c>
      <c r="DA110" s="65">
        <f t="shared" si="122"/>
        <v>-1597321.81</v>
      </c>
      <c r="DB110" s="65">
        <f t="shared" si="122"/>
        <v>-1808335.69</v>
      </c>
      <c r="DC110" s="65">
        <f t="shared" si="122"/>
        <v>-2131416.7600000002</v>
      </c>
      <c r="DD110" s="65">
        <f t="shared" si="122"/>
        <v>-1607546.9200000002</v>
      </c>
      <c r="DE110" s="65">
        <f t="shared" si="122"/>
        <v>-1526068.48</v>
      </c>
      <c r="DF110" s="65">
        <f t="shared" ref="DF110:DH110" si="123">SUM(DF105:DF109)</f>
        <v>-1877021.54</v>
      </c>
      <c r="DG110" s="65">
        <f>SUM(TBBP[[#This Row],[Coluna287]:[Coluna298]])</f>
        <v>-20857010.550000001</v>
      </c>
      <c r="DH110" s="65">
        <f t="shared" si="123"/>
        <v>-1502561.8900000001</v>
      </c>
      <c r="DI110" s="65">
        <f t="shared" ref="DI110:DM110" si="124">SUM(DI105:DI109)</f>
        <v>-1585217.82</v>
      </c>
      <c r="DJ110" s="65">
        <f t="shared" si="124"/>
        <v>-1727811.96</v>
      </c>
      <c r="DK110" s="65">
        <f t="shared" si="124"/>
        <v>-1511245.78</v>
      </c>
      <c r="DL110" s="65">
        <f t="shared" si="124"/>
        <v>-1728386.97</v>
      </c>
      <c r="DM110" s="65">
        <f t="shared" si="124"/>
        <v>-1580231.21</v>
      </c>
      <c r="DO110" t="s">
        <v>102</v>
      </c>
      <c r="DP110" s="30">
        <f>IF(OR(MID(TBBP[[#This Row],[Coluna1]],1,1)="1",MID(TBBP[[#This Row],[Coluna1]],1,1)="2"),"-",SUMIFS(110:110,listaPeriodos,$DR$1,listaPeriodos,$DR$2))</f>
        <v>-9635455.629999999</v>
      </c>
      <c r="DQ110" s="30">
        <v>-1825430.5333333332</v>
      </c>
      <c r="DR110" s="30">
        <f t="shared" si="89"/>
        <v>-10952583.199999999</v>
      </c>
      <c r="DS110" s="30"/>
      <c r="DT110" s="30"/>
      <c r="DU110"/>
    </row>
    <row r="111" spans="1:125" x14ac:dyDescent="0.3">
      <c r="A111" s="66">
        <v>9</v>
      </c>
      <c r="B111" s="65" t="s">
        <v>103</v>
      </c>
      <c r="C111" s="65">
        <f>C104+C110</f>
        <v>5350959.6900000004</v>
      </c>
      <c r="D111" s="65">
        <f t="shared" ref="D111:AJ111" si="125">D104+D110</f>
        <v>5828201.7899999944</v>
      </c>
      <c r="E111" s="65">
        <f t="shared" si="125"/>
        <v>7377310.2499999963</v>
      </c>
      <c r="F111" s="65">
        <f t="shared" si="125"/>
        <v>4895566.6700000037</v>
      </c>
      <c r="G111" s="65">
        <f t="shared" si="125"/>
        <v>4112129.2599999974</v>
      </c>
      <c r="H111" s="65">
        <f t="shared" si="125"/>
        <v>356653.64000000007</v>
      </c>
      <c r="I111" s="65">
        <f t="shared" si="125"/>
        <v>390425.43999999977</v>
      </c>
      <c r="J111" s="65">
        <f t="shared" si="125"/>
        <v>595671.40000000014</v>
      </c>
      <c r="K111" s="65">
        <f t="shared" si="125"/>
        <v>535808.20000000019</v>
      </c>
      <c r="L111" s="65">
        <f t="shared" si="125"/>
        <v>252040.25000000012</v>
      </c>
      <c r="M111" s="65">
        <f t="shared" si="125"/>
        <v>257836.83000000013</v>
      </c>
      <c r="N111" s="65">
        <f t="shared" si="125"/>
        <v>871217.5500000004</v>
      </c>
      <c r="O111" s="65">
        <f t="shared" si="125"/>
        <v>568594.18999999994</v>
      </c>
      <c r="P111" s="65">
        <f t="shared" si="125"/>
        <v>1306586.7999999998</v>
      </c>
      <c r="Q111" s="65">
        <f t="shared" si="125"/>
        <v>682532.91999999946</v>
      </c>
      <c r="R111" s="65">
        <f t="shared" si="125"/>
        <v>95867.820000000356</v>
      </c>
      <c r="S111" s="65">
        <f t="shared" si="125"/>
        <v>385271.75999999989</v>
      </c>
      <c r="T111" s="65">
        <f>IF(OR(MID(TBBP[[#This Row],[Coluna1]],1,1)="1",MID(TBBP[[#This Row],[Coluna1]],1,1)="2"),TBBP[[#This Row],[Coluna19]],SUM(H111:S111))</f>
        <v>6298506.8000000007</v>
      </c>
      <c r="U111" s="65">
        <f t="shared" si="125"/>
        <v>317283.80000000045</v>
      </c>
      <c r="V111" s="65">
        <f t="shared" si="125"/>
        <v>338437.63999999955</v>
      </c>
      <c r="W111" s="65">
        <f t="shared" si="125"/>
        <v>490486.35000000015</v>
      </c>
      <c r="X111" s="65">
        <f t="shared" si="125"/>
        <v>718193.19999999972</v>
      </c>
      <c r="Y111" s="65">
        <f t="shared" si="125"/>
        <v>684407.64999999979</v>
      </c>
      <c r="Z111" s="65">
        <f t="shared" si="125"/>
        <v>174285.74999999977</v>
      </c>
      <c r="AA111" s="65">
        <f t="shared" si="125"/>
        <v>916060.97000000044</v>
      </c>
      <c r="AB111" s="65">
        <f t="shared" si="125"/>
        <v>543910.30999999971</v>
      </c>
      <c r="AC111" s="65">
        <f t="shared" si="125"/>
        <v>975067.19999999949</v>
      </c>
      <c r="AD111" s="65">
        <f t="shared" si="125"/>
        <v>1052004.46</v>
      </c>
      <c r="AE111" s="65">
        <f t="shared" si="125"/>
        <v>559384.98000000021</v>
      </c>
      <c r="AF111" s="65">
        <f t="shared" si="125"/>
        <v>495724.16999999981</v>
      </c>
      <c r="AG111" s="65">
        <f>IF(OR(MID(TBBP[[#This Row],[Coluna1]],1,1)="1",MID(TBBP[[#This Row],[Coluna1]],1,1)="2"),TBBP[[#This Row],[Coluna32]],SUM(U111:AF111))</f>
        <v>7265246.4799999995</v>
      </c>
      <c r="AH111" s="65">
        <f t="shared" si="125"/>
        <v>685123.55999999971</v>
      </c>
      <c r="AI111" s="65">
        <f t="shared" si="125"/>
        <v>402132.3499999998</v>
      </c>
      <c r="AJ111" s="65">
        <f t="shared" si="125"/>
        <v>193261.79999999981</v>
      </c>
      <c r="AK111" s="65">
        <f t="shared" ref="AK111:AS111" si="126">AK104+AK110</f>
        <v>281187.23</v>
      </c>
      <c r="AL111" s="65">
        <f t="shared" si="126"/>
        <v>731714.19000000018</v>
      </c>
      <c r="AM111" s="65">
        <f t="shared" si="126"/>
        <v>1607452.8600000003</v>
      </c>
      <c r="AN111" s="65">
        <f t="shared" si="126"/>
        <v>1386372.75</v>
      </c>
      <c r="AO111" s="65">
        <f t="shared" si="126"/>
        <v>1570077.4500000007</v>
      </c>
      <c r="AP111" s="65">
        <f t="shared" si="126"/>
        <v>1589074.1900000013</v>
      </c>
      <c r="AQ111" s="65">
        <f t="shared" si="126"/>
        <v>1943599.9000000004</v>
      </c>
      <c r="AR111" s="65">
        <f t="shared" si="126"/>
        <v>1215576.0700000005</v>
      </c>
      <c r="AS111" s="65">
        <f t="shared" si="126"/>
        <v>1492969.4800000009</v>
      </c>
      <c r="AT111" s="65">
        <f>IF(OR(MID(TBBP[[#This Row],[Coluna1]],1,1)="1",MID(TBBP[[#This Row],[Coluna1]],1,1)="2"),TBBP[[#This Row],[Coluna45]],SUM(AH111:AS111))</f>
        <v>13098541.830000004</v>
      </c>
      <c r="AU111" s="65">
        <f t="shared" ref="AU111:BE111" si="127">AU104+AU110</f>
        <v>1506587.5600000015</v>
      </c>
      <c r="AV111" s="65">
        <f t="shared" si="127"/>
        <v>1156565.9000000011</v>
      </c>
      <c r="AW111" s="65">
        <f t="shared" si="127"/>
        <v>2072681.6399999994</v>
      </c>
      <c r="AX111" s="65">
        <f t="shared" si="127"/>
        <v>2755861.77</v>
      </c>
      <c r="AY111" s="65">
        <f t="shared" si="127"/>
        <v>2700198.8000000007</v>
      </c>
      <c r="AZ111" s="65">
        <f t="shared" si="127"/>
        <v>3124728.7800000003</v>
      </c>
      <c r="BA111" s="65">
        <f t="shared" si="127"/>
        <v>3141034.8700000015</v>
      </c>
      <c r="BB111" s="65">
        <f t="shared" si="127"/>
        <v>3125553.3300000005</v>
      </c>
      <c r="BC111" s="65">
        <f t="shared" si="127"/>
        <v>3180816.57</v>
      </c>
      <c r="BD111" s="65">
        <f t="shared" si="127"/>
        <v>1387790.5899999989</v>
      </c>
      <c r="BE111" s="65">
        <f t="shared" si="127"/>
        <v>1624541.54</v>
      </c>
      <c r="BF111" s="65">
        <v>1281919.3200000008</v>
      </c>
      <c r="BG111" s="65">
        <f>BG104+BG110</f>
        <v>27058280.669999983</v>
      </c>
      <c r="BH111" s="65">
        <f t="shared" ref="BH111:BO111" si="128">BH104+BH110</f>
        <v>1086204.6100000001</v>
      </c>
      <c r="BI111" s="65">
        <f t="shared" si="128"/>
        <v>1453025.2500000002</v>
      </c>
      <c r="BJ111" s="65">
        <f t="shared" si="128"/>
        <v>2877215.5399999986</v>
      </c>
      <c r="BK111" s="65">
        <f t="shared" si="128"/>
        <v>2382874.2300000004</v>
      </c>
      <c r="BL111" s="65">
        <f t="shared" si="128"/>
        <v>1990446.6899999983</v>
      </c>
      <c r="BM111" s="65">
        <f t="shared" si="128"/>
        <v>2142607.7600000007</v>
      </c>
      <c r="BN111" s="65">
        <f t="shared" si="128"/>
        <v>2131186.5099999998</v>
      </c>
      <c r="BO111" s="65">
        <f t="shared" si="128"/>
        <v>1911950.5400000024</v>
      </c>
      <c r="BP111" s="65">
        <v>2225666.6100000013</v>
      </c>
      <c r="BQ111" s="65">
        <f t="shared" ref="BQ111:CD111" si="129">BQ104+BQ110</f>
        <v>296225.3399999995</v>
      </c>
      <c r="BR111" s="65">
        <f t="shared" si="129"/>
        <v>1980906.1499999985</v>
      </c>
      <c r="BS111" s="65">
        <f t="shared" si="129"/>
        <v>571293.69000000041</v>
      </c>
      <c r="BT111" s="65">
        <f t="shared" si="129"/>
        <v>21049602.920000009</v>
      </c>
      <c r="BU111" s="65">
        <f t="shared" si="129"/>
        <v>338055.09000000032</v>
      </c>
      <c r="BV111" s="65">
        <f t="shared" si="129"/>
        <v>122657.27999999968</v>
      </c>
      <c r="BW111" s="65">
        <f t="shared" si="129"/>
        <v>1198504.0099999998</v>
      </c>
      <c r="BX111" s="65">
        <f t="shared" si="129"/>
        <v>1281836.7999999996</v>
      </c>
      <c r="BY111" s="65">
        <f t="shared" si="129"/>
        <v>2706812.84</v>
      </c>
      <c r="BZ111" s="65">
        <f t="shared" si="129"/>
        <v>2397635.660000002</v>
      </c>
      <c r="CA111" s="65">
        <f t="shared" si="129"/>
        <v>450191.35000000009</v>
      </c>
      <c r="CB111" s="65">
        <f t="shared" si="129"/>
        <v>1619810.1999999983</v>
      </c>
      <c r="CC111" s="65">
        <f t="shared" si="129"/>
        <v>1350909.3599999994</v>
      </c>
      <c r="CD111" s="65">
        <f t="shared" si="129"/>
        <v>2113863.9899999988</v>
      </c>
      <c r="CE111" s="65">
        <f>CE104+CE110</f>
        <v>398739.81000000006</v>
      </c>
      <c r="CF111" s="65">
        <v>2438284.3400000003</v>
      </c>
      <c r="CG111" s="65">
        <f>CG104+CG110</f>
        <v>16417300.729999991</v>
      </c>
      <c r="CH111" s="65">
        <f t="shared" ref="CH111:CT111" si="130">CH104+CH110</f>
        <v>876654.59999999939</v>
      </c>
      <c r="CI111" s="65">
        <f t="shared" si="130"/>
        <v>1770840.7499999979</v>
      </c>
      <c r="CJ111" s="65">
        <f t="shared" si="130"/>
        <v>1276813.51</v>
      </c>
      <c r="CK111" s="65">
        <f t="shared" si="130"/>
        <v>2853355.5699999984</v>
      </c>
      <c r="CL111" s="65">
        <f t="shared" si="130"/>
        <v>2915384.75</v>
      </c>
      <c r="CM111" s="65">
        <f t="shared" si="130"/>
        <v>2523479.6999999983</v>
      </c>
      <c r="CN111" s="65">
        <f t="shared" si="130"/>
        <v>1822324.6200000013</v>
      </c>
      <c r="CO111" s="65">
        <f t="shared" si="130"/>
        <v>527710.33000000077</v>
      </c>
      <c r="CP111" s="65">
        <f t="shared" si="130"/>
        <v>1770638.2799999984</v>
      </c>
      <c r="CQ111" s="65">
        <f t="shared" si="130"/>
        <v>1499554.7200000002</v>
      </c>
      <c r="CR111" s="65">
        <f t="shared" si="130"/>
        <v>306608.20000000251</v>
      </c>
      <c r="CS111" s="65">
        <f t="shared" si="130"/>
        <v>3421419.6199999982</v>
      </c>
      <c r="CT111" s="65">
        <f t="shared" si="130"/>
        <v>21564784.65000001</v>
      </c>
      <c r="CU111" s="65">
        <f t="shared" ref="CU111:DE111" si="131">CU104+CU110</f>
        <v>802772.07999999798</v>
      </c>
      <c r="CV111" s="65">
        <f t="shared" si="131"/>
        <v>1376038.8899999987</v>
      </c>
      <c r="CW111" s="65">
        <f t="shared" si="131"/>
        <v>1716105.6599999976</v>
      </c>
      <c r="CX111" s="65">
        <f t="shared" si="131"/>
        <v>2951519.2399999998</v>
      </c>
      <c r="CY111" s="65">
        <f t="shared" si="131"/>
        <v>2650190.1799999988</v>
      </c>
      <c r="CZ111" s="65">
        <f t="shared" si="131"/>
        <v>-854310.91999999899</v>
      </c>
      <c r="DA111" s="65">
        <f t="shared" si="131"/>
        <v>936050.69999999786</v>
      </c>
      <c r="DB111" s="65">
        <f t="shared" si="131"/>
        <v>1148655.890000002</v>
      </c>
      <c r="DC111" s="65">
        <f t="shared" si="131"/>
        <v>181773.39999999991</v>
      </c>
      <c r="DD111" s="65">
        <f t="shared" si="131"/>
        <v>927580.72000000137</v>
      </c>
      <c r="DE111" s="65">
        <f t="shared" si="131"/>
        <v>917179.54999999842</v>
      </c>
      <c r="DF111" s="65">
        <f t="shared" ref="DF111:DH111" si="132">DF104+DF110</f>
        <v>-38731.830000000075</v>
      </c>
      <c r="DG111" s="65">
        <f>SUM(TBBP[[#This Row],[Coluna287]:[Coluna298]])</f>
        <v>12714823.559999995</v>
      </c>
      <c r="DH111" s="65">
        <f t="shared" si="132"/>
        <v>1187457.7799999989</v>
      </c>
      <c r="DI111" s="65">
        <f t="shared" ref="DI111:DM111" si="133">DI104+DI110</f>
        <v>210620.42999999807</v>
      </c>
      <c r="DJ111" s="65">
        <f t="shared" si="133"/>
        <v>616460.5699999975</v>
      </c>
      <c r="DK111" s="65">
        <f t="shared" si="133"/>
        <v>1490894.9199999974</v>
      </c>
      <c r="DL111" s="65">
        <f t="shared" si="133"/>
        <v>536299.23999999813</v>
      </c>
      <c r="DM111" s="65">
        <f t="shared" si="133"/>
        <v>1108149.3199999984</v>
      </c>
      <c r="DO111" t="s">
        <v>103</v>
      </c>
      <c r="DP111" s="30">
        <f>IF(OR(MID(TBBP[[#This Row],[Coluna1]],1,1)="1",MID(TBBP[[#This Row],[Coluna1]],1,1)="2"),"-",SUMIFS(111:111,listaPeriodos,$DR$1,listaPeriodos,$DR$2))</f>
        <v>5149882.2599999886</v>
      </c>
      <c r="DQ111" s="30">
        <v>2751212.8000000003</v>
      </c>
      <c r="DR111" s="30">
        <f t="shared" si="89"/>
        <v>16507276.800000001</v>
      </c>
      <c r="DS111" s="30"/>
      <c r="DT111" s="30"/>
      <c r="DU111"/>
    </row>
    <row r="112" spans="1:125" x14ac:dyDescent="0.3">
      <c r="A112" s="7" t="s">
        <v>138</v>
      </c>
      <c r="B112" t="s">
        <v>121</v>
      </c>
      <c r="C112" s="4">
        <v>93666.77</v>
      </c>
      <c r="D112" s="4">
        <v>313918.63000000006</v>
      </c>
      <c r="E112" s="4">
        <v>455031.03999999998</v>
      </c>
      <c r="F112" s="4">
        <v>519670.41000000003</v>
      </c>
      <c r="G112" s="4">
        <v>357752.22</v>
      </c>
      <c r="H112" s="4">
        <v>45408.14</v>
      </c>
      <c r="I112" s="4">
        <v>17053.71</v>
      </c>
      <c r="J112" s="4">
        <v>17258.240000000002</v>
      </c>
      <c r="K112" s="4">
        <v>27577.8</v>
      </c>
      <c r="L112" s="4">
        <v>15865.07</v>
      </c>
      <c r="M112" s="4">
        <v>17468.3</v>
      </c>
      <c r="N112" s="4">
        <v>15628.77</v>
      </c>
      <c r="O112" s="4">
        <v>18661.72</v>
      </c>
      <c r="P112" s="4">
        <v>20504.71</v>
      </c>
      <c r="Q112" s="4">
        <v>29789.39</v>
      </c>
      <c r="R112" s="4">
        <v>19411.78</v>
      </c>
      <c r="S112" s="4">
        <v>16147.63</v>
      </c>
      <c r="T112" s="4">
        <f>IF(OR(MID(TBBP[[#This Row],[Coluna1]],1,1)="1",MID(TBBP[[#This Row],[Coluna1]],1,1)="2"),TBBP[[#This Row],[Coluna19]],SUM(H112:S112))</f>
        <v>260775.25999999998</v>
      </c>
      <c r="U112" s="4">
        <v>19777.47</v>
      </c>
      <c r="V112" s="4">
        <v>20916.189999999999</v>
      </c>
      <c r="W112" s="4">
        <v>21304.14</v>
      </c>
      <c r="X112" s="4">
        <v>25220.44</v>
      </c>
      <c r="Y112" s="4">
        <v>29796.34</v>
      </c>
      <c r="Z112" s="4">
        <v>19383.95</v>
      </c>
      <c r="AA112" s="4">
        <v>36898.639999999999</v>
      </c>
      <c r="AB112" s="4">
        <v>21861.01</v>
      </c>
      <c r="AC112" s="4">
        <v>21080.639999999999</v>
      </c>
      <c r="AD112" s="4">
        <v>25202.35</v>
      </c>
      <c r="AE112" s="4">
        <v>13634.62</v>
      </c>
      <c r="AF112" s="4">
        <v>24563.03</v>
      </c>
      <c r="AG112" s="4">
        <f>IF(OR(MID(TBBP[[#This Row],[Coluna1]],1,1)="1",MID(TBBP[[#This Row],[Coluna1]],1,1)="2"),TBBP[[#This Row],[Coluna32]],SUM(U112:AF112))</f>
        <v>279638.82</v>
      </c>
      <c r="AH112" s="4">
        <v>20402.7</v>
      </c>
      <c r="AI112" s="4">
        <v>15596.42</v>
      </c>
      <c r="AJ112" s="4">
        <v>-3032.75</v>
      </c>
      <c r="AK112" s="4">
        <v>4291.5200000000004</v>
      </c>
      <c r="AL112" s="4">
        <v>10264.67</v>
      </c>
      <c r="AM112" s="4">
        <v>10482.280000000001</v>
      </c>
      <c r="AN112" s="4">
        <v>19851.3</v>
      </c>
      <c r="AO112" s="4">
        <v>12023.6</v>
      </c>
      <c r="AP112" s="4">
        <v>15138.6</v>
      </c>
      <c r="AQ112" s="4">
        <v>15232.84</v>
      </c>
      <c r="AR112" s="4">
        <v>16129.49</v>
      </c>
      <c r="AS112" s="4">
        <v>18320.36</v>
      </c>
      <c r="AT112" s="4">
        <f>IF(OR(MID(TBBP[[#This Row],[Coluna1]],1,1)="1",MID(TBBP[[#This Row],[Coluna1]],1,1)="2"),TBBP[[#This Row],[Coluna45]],SUM(AH112:AS112))</f>
        <v>154701.03000000003</v>
      </c>
      <c r="AU112" s="4">
        <v>18251.489999999998</v>
      </c>
      <c r="AV112" s="4">
        <v>12667.91</v>
      </c>
      <c r="AW112" s="4">
        <v>23122.47</v>
      </c>
      <c r="AX112" s="4">
        <v>23413.17</v>
      </c>
      <c r="AY112" s="4">
        <v>29890.799999999999</v>
      </c>
      <c r="AZ112" s="4">
        <v>65596.37</v>
      </c>
      <c r="BA112" s="4">
        <v>36023.229999999996</v>
      </c>
      <c r="BB112" s="4">
        <v>40039.75</v>
      </c>
      <c r="BC112" s="4">
        <v>30744.639999999999</v>
      </c>
      <c r="BD112" s="4">
        <v>60277.33</v>
      </c>
      <c r="BE112" s="4">
        <v>48647.11</v>
      </c>
      <c r="BF112" s="4">
        <v>83956.74</v>
      </c>
      <c r="BG112" s="4">
        <f>IF(OR(MID(TBBP[[#This Row],[Coluna1]],1,1)="1",MID(TBBP[[#This Row],[Coluna1]],1,1)="2"),TBBP[[#This Row],[Coluna58]],SUM(AU112:BF112))</f>
        <v>472631.01</v>
      </c>
      <c r="BH112" s="4">
        <v>54298.600000000006</v>
      </c>
      <c r="BI112" s="4">
        <v>71454.39</v>
      </c>
      <c r="BJ112" s="4">
        <v>111764.22</v>
      </c>
      <c r="BK112" s="4">
        <v>113003.93</v>
      </c>
      <c r="BL112" s="4">
        <v>136687.13</v>
      </c>
      <c r="BM112" s="4">
        <v>144714.93</v>
      </c>
      <c r="BN112" s="4">
        <v>138071.63</v>
      </c>
      <c r="BO112" s="4">
        <v>176201.60000000001</v>
      </c>
      <c r="BP112" s="4">
        <v>148184.94</v>
      </c>
      <c r="BQ112" s="4">
        <v>145122.87</v>
      </c>
      <c r="BR112" s="4">
        <v>140270.73000000001</v>
      </c>
      <c r="BS112" s="4">
        <v>149480.04999999999</v>
      </c>
      <c r="BT112" s="4">
        <f>IF(OR(MID(TBBP[[#This Row],[Coluna1]],1,1)="1",MID(TBBP[[#This Row],[Coluna1]],1,1)="2"),TBBP[[#This Row],[Coluna127]],SUM(BH112:BS112))</f>
        <v>1529255.0199999998</v>
      </c>
      <c r="BU112" s="4">
        <v>155874.54</v>
      </c>
      <c r="BV112" s="4">
        <v>128257.07</v>
      </c>
      <c r="BW112" s="4">
        <v>173576.94</v>
      </c>
      <c r="BX112" s="4">
        <v>136088.29999999999</v>
      </c>
      <c r="BY112" s="4">
        <v>189371.88</v>
      </c>
      <c r="BZ112" s="4">
        <v>181551.46</v>
      </c>
      <c r="CA112" s="4">
        <v>184247.33</v>
      </c>
      <c r="CB112" s="4">
        <v>189450.65</v>
      </c>
      <c r="CC112" s="4">
        <v>158968.4</v>
      </c>
      <c r="CD112" s="4">
        <v>177131.66</v>
      </c>
      <c r="CE112" s="4">
        <v>143165.23000000001</v>
      </c>
      <c r="CF112" s="4">
        <v>134003.69</v>
      </c>
      <c r="CG112" s="4">
        <f>IF(OR(MID(TBBP[[#This Row],[Coluna1]],1,1)="1",MID(TBBP[[#This Row],[Coluna1]],1,1)="2"),CF112,SUM(BU112:CF112))</f>
        <v>1951687.1499999997</v>
      </c>
      <c r="CH112" s="4">
        <v>169676.54</v>
      </c>
      <c r="CI112" s="4">
        <v>113485.34</v>
      </c>
      <c r="CJ112" s="4">
        <v>144458.45000000001</v>
      </c>
      <c r="CK112" s="4">
        <v>143874.66</v>
      </c>
      <c r="CL112" s="4">
        <v>140419.73000000001</v>
      </c>
      <c r="CM112" s="4">
        <v>109726.24</v>
      </c>
      <c r="CN112" s="4">
        <v>95312.16</v>
      </c>
      <c r="CO112" s="4">
        <v>144333.4</v>
      </c>
      <c r="CP112" s="4">
        <v>151929.96</v>
      </c>
      <c r="CQ112" s="4">
        <v>181571.17</v>
      </c>
      <c r="CR112" s="4">
        <v>147757.48000000001</v>
      </c>
      <c r="CS112" s="4">
        <v>166455.23000000001</v>
      </c>
      <c r="CT112" s="4">
        <f>IF(OR(MID(TBBP[[#This Row],[Coluna1]],1,1)="1",MID(TBBP[[#This Row],[Coluna1]],1,1)="2"),CS112,SUM(CH112:CS112))</f>
        <v>1709000.3599999999</v>
      </c>
      <c r="CU112" s="255">
        <v>207419.24</v>
      </c>
      <c r="CV112" s="255">
        <v>207044.82</v>
      </c>
      <c r="CW112" s="255">
        <v>172462.47</v>
      </c>
      <c r="CX112" s="255">
        <v>178860.42</v>
      </c>
      <c r="CY112" s="255">
        <v>161940.12999999998</v>
      </c>
      <c r="CZ112" s="255">
        <v>137885.5</v>
      </c>
      <c r="DA112" s="255">
        <v>203141.73</v>
      </c>
      <c r="DB112" s="255">
        <v>208420.52</v>
      </c>
      <c r="DC112" s="255">
        <v>211310.68</v>
      </c>
      <c r="DD112" s="255">
        <v>250066.63</v>
      </c>
      <c r="DE112" s="255">
        <v>220903.88</v>
      </c>
      <c r="DF112" s="255">
        <v>240631.22</v>
      </c>
      <c r="DG112" s="255">
        <f>SUM(TBBP[[#This Row],[Coluna287]:[Coluna298]])</f>
        <v>2400087.2400000002</v>
      </c>
      <c r="DH112" s="255">
        <v>252039.7</v>
      </c>
      <c r="DI112" s="255">
        <v>172136.82</v>
      </c>
      <c r="DJ112" s="255">
        <v>189940.51</v>
      </c>
      <c r="DK112" s="255">
        <v>183729.27</v>
      </c>
      <c r="DL112" s="255">
        <v>154394.82</v>
      </c>
      <c r="DM112" s="255">
        <v>155520.65</v>
      </c>
      <c r="DO112" t="s">
        <v>121</v>
      </c>
      <c r="DP112" s="30">
        <f>IF(OR(MID(TBBP[[#This Row],[Coluna1]],1,1)="1",MID(TBBP[[#This Row],[Coluna1]],1,1)="2"),"-",SUMIFS(112:112,listaPeriodos,$DR$1,listaPeriodos,$DR$2))</f>
        <v>1107761.77</v>
      </c>
      <c r="DQ112" s="30">
        <v>196274.65</v>
      </c>
      <c r="DR112" s="30">
        <f t="shared" si="89"/>
        <v>1177647.8999999999</v>
      </c>
      <c r="DS112" s="30"/>
      <c r="DT112" s="30"/>
      <c r="DU112"/>
    </row>
    <row r="113" spans="1:125" x14ac:dyDescent="0.3">
      <c r="A113" s="7" t="s">
        <v>137</v>
      </c>
      <c r="B113" t="s">
        <v>122</v>
      </c>
      <c r="C113" s="4">
        <v>-61392</v>
      </c>
      <c r="D113" s="4">
        <v>-188706.6</v>
      </c>
      <c r="E113" s="4">
        <v>-234186.72</v>
      </c>
      <c r="F113" s="4">
        <v>-186455.88999999998</v>
      </c>
      <c r="G113" s="4">
        <v>-203555.34</v>
      </c>
      <c r="H113" s="4">
        <v>-15495.08</v>
      </c>
      <c r="I113" s="4">
        <v>-14298.16</v>
      </c>
      <c r="J113" s="4">
        <v>-9719.2800000000007</v>
      </c>
      <c r="K113" s="4">
        <v>-10916.95</v>
      </c>
      <c r="L113" s="4">
        <v>-12493.21</v>
      </c>
      <c r="M113" s="4">
        <v>-9307.17</v>
      </c>
      <c r="N113" s="4">
        <v>-9863.34</v>
      </c>
      <c r="O113" s="4">
        <v>-6435.57</v>
      </c>
      <c r="P113" s="4">
        <v>-14617.8</v>
      </c>
      <c r="Q113" s="4">
        <v>-14653.61</v>
      </c>
      <c r="R113" s="4">
        <v>-10922.32</v>
      </c>
      <c r="S113" s="4">
        <v>-11380.42</v>
      </c>
      <c r="T113" s="4">
        <f>IF(OR(MID(TBBP[[#This Row],[Coluna1]],1,1)="1",MID(TBBP[[#This Row],[Coluna1]],1,1)="2"),TBBP[[#This Row],[Coluna19]],SUM(H113:S113))</f>
        <v>-140102.91000000003</v>
      </c>
      <c r="U113" s="4">
        <v>-10680.21</v>
      </c>
      <c r="V113" s="4">
        <v>-9674.74</v>
      </c>
      <c r="W113" s="4">
        <v>-8761.82</v>
      </c>
      <c r="X113" s="4">
        <v>-11124.68</v>
      </c>
      <c r="Y113" s="4">
        <v>-9812.64</v>
      </c>
      <c r="Z113" s="4">
        <v>-8372.7999999999993</v>
      </c>
      <c r="AA113" s="4">
        <v>-7810.15</v>
      </c>
      <c r="AB113" s="4">
        <v>-14497.33</v>
      </c>
      <c r="AC113" s="4">
        <v>-12755.09</v>
      </c>
      <c r="AD113" s="4">
        <v>-12270.15</v>
      </c>
      <c r="AE113" s="4">
        <v>-12065.19</v>
      </c>
      <c r="AF113" s="4">
        <v>-11365.45</v>
      </c>
      <c r="AG113" s="4">
        <f>IF(OR(MID(TBBP[[#This Row],[Coluna1]],1,1)="1",MID(TBBP[[#This Row],[Coluna1]],1,1)="2"),TBBP[[#This Row],[Coluna32]],SUM(U113:AF113))</f>
        <v>-129190.24999999999</v>
      </c>
      <c r="AH113" s="4">
        <v>-11361.03</v>
      </c>
      <c r="AI113" s="4">
        <v>-11078.93</v>
      </c>
      <c r="AJ113" s="4">
        <v>-15664.49</v>
      </c>
      <c r="AK113" s="4">
        <v>-17505.38</v>
      </c>
      <c r="AL113" s="4">
        <v>-15552.06</v>
      </c>
      <c r="AM113" s="4">
        <v>-16898.04</v>
      </c>
      <c r="AN113" s="4">
        <v>-20132.150000000001</v>
      </c>
      <c r="AO113" s="4">
        <v>-112769.16</v>
      </c>
      <c r="AP113" s="4">
        <v>-15889.45</v>
      </c>
      <c r="AQ113" s="4">
        <v>-15446.03</v>
      </c>
      <c r="AR113" s="4">
        <v>-16033.01</v>
      </c>
      <c r="AS113" s="4">
        <v>-14883.66</v>
      </c>
      <c r="AT113" s="4">
        <f>IF(OR(MID(TBBP[[#This Row],[Coluna1]],1,1)="1",MID(TBBP[[#This Row],[Coluna1]],1,1)="2"),TBBP[[#This Row],[Coluna45]],SUM(AH113:AS113))</f>
        <v>-283213.38999999996</v>
      </c>
      <c r="AU113" s="4">
        <v>-16351.92</v>
      </c>
      <c r="AV113" s="4">
        <v>-12943.07</v>
      </c>
      <c r="AW113" s="4">
        <v>-19773.080000000002</v>
      </c>
      <c r="AX113" s="4">
        <v>-20944.349999999999</v>
      </c>
      <c r="AY113" s="4">
        <v>-14980.37</v>
      </c>
      <c r="AZ113" s="4">
        <v>-25955.3</v>
      </c>
      <c r="BA113" s="4">
        <v>-59415.78</v>
      </c>
      <c r="BB113" s="4">
        <v>-26321.23</v>
      </c>
      <c r="BC113" s="4">
        <v>-25747.61</v>
      </c>
      <c r="BD113" s="4">
        <v>-29288.78</v>
      </c>
      <c r="BE113" s="4">
        <v>-44788.74</v>
      </c>
      <c r="BF113" s="4">
        <v>-30168.780000000002</v>
      </c>
      <c r="BG113" s="4">
        <f>IF(OR(MID(TBBP[[#This Row],[Coluna1]],1,1)="1",MID(TBBP[[#This Row],[Coluna1]],1,1)="2"),TBBP[[#This Row],[Coluna58]],SUM(AU113:BF113))</f>
        <v>-326679.01000000007</v>
      </c>
      <c r="BH113" s="4">
        <v>-30359.96</v>
      </c>
      <c r="BI113" s="4">
        <v>-27954.75</v>
      </c>
      <c r="BJ113" s="4">
        <v>-530755.26</v>
      </c>
      <c r="BK113" s="4">
        <v>-46820.53</v>
      </c>
      <c r="BL113" s="4">
        <v>-34679.93</v>
      </c>
      <c r="BM113" s="4">
        <v>-525854.5</v>
      </c>
      <c r="BN113" s="4">
        <v>-52674.68</v>
      </c>
      <c r="BO113" s="4">
        <v>-23070.29</v>
      </c>
      <c r="BP113" s="4">
        <v>-546776.42999999993</v>
      </c>
      <c r="BQ113" s="4">
        <v>-103170.42</v>
      </c>
      <c r="BR113" s="4">
        <v>-27563.89</v>
      </c>
      <c r="BS113" s="4">
        <v>-530795.54</v>
      </c>
      <c r="BT113" s="4">
        <f>IF(OR(MID(TBBP[[#This Row],[Coluna1]],1,1)="1",MID(TBBP[[#This Row],[Coluna1]],1,1)="2"),TBBP[[#This Row],[Coluna127]],SUM(BH113:BS113))</f>
        <v>-2480476.1799999997</v>
      </c>
      <c r="BU113" s="4">
        <v>-63340.66</v>
      </c>
      <c r="BV113" s="4">
        <v>-52325.91</v>
      </c>
      <c r="BW113" s="4">
        <v>-525091.77</v>
      </c>
      <c r="BX113" s="4">
        <v>-64838.03</v>
      </c>
      <c r="BY113" s="4">
        <v>-42252.520000000004</v>
      </c>
      <c r="BZ113" s="4">
        <v>-541869.19999999995</v>
      </c>
      <c r="CA113" s="4">
        <v>-57829.51</v>
      </c>
      <c r="CB113" s="4">
        <v>-63252.61</v>
      </c>
      <c r="CC113" s="4">
        <v>-533175.07999999996</v>
      </c>
      <c r="CD113" s="4">
        <v>-59484.59</v>
      </c>
      <c r="CE113" s="4">
        <v>-49232.22</v>
      </c>
      <c r="CF113" s="4">
        <v>-530132.19999999995</v>
      </c>
      <c r="CG113" s="4">
        <f>IF(OR(MID(TBBP[[#This Row],[Coluna1]],1,1)="1",MID(TBBP[[#This Row],[Coluna1]],1,1)="2"),CF113,SUM(BU113:CF113))</f>
        <v>-2582824.2999999998</v>
      </c>
      <c r="CH113" s="4">
        <v>-51145.24</v>
      </c>
      <c r="CI113" s="4">
        <v>-75665.09</v>
      </c>
      <c r="CJ113" s="4">
        <v>-520238.44999999995</v>
      </c>
      <c r="CK113" s="4">
        <v>-81983.490000000005</v>
      </c>
      <c r="CL113" s="4">
        <v>-90697.72</v>
      </c>
      <c r="CM113" s="4">
        <v>-568254.66</v>
      </c>
      <c r="CN113" s="4">
        <v>-98093.89</v>
      </c>
      <c r="CO113" s="4">
        <v>-173305.57</v>
      </c>
      <c r="CP113" s="4">
        <v>-240640.34</v>
      </c>
      <c r="CQ113" s="4">
        <v>-385762.02999999997</v>
      </c>
      <c r="CR113" s="4">
        <v>-421458.5</v>
      </c>
      <c r="CS113" s="4">
        <v>-886493.72</v>
      </c>
      <c r="CT113" s="4">
        <f>IF(OR(MID(TBBP[[#This Row],[Coluna1]],1,1)="1",MID(TBBP[[#This Row],[Coluna1]],1,1)="2"),CS113,SUM(CH113:CS113))</f>
        <v>-3593738.7</v>
      </c>
      <c r="CU113" s="255">
        <v>-414088.99</v>
      </c>
      <c r="CV113" s="255">
        <v>-204394.61000000002</v>
      </c>
      <c r="CW113" s="255">
        <v>-444817.46</v>
      </c>
      <c r="CX113" s="255">
        <v>-438625.94</v>
      </c>
      <c r="CY113" s="255">
        <v>-458424.37</v>
      </c>
      <c r="CZ113" s="255">
        <v>-230627.01</v>
      </c>
      <c r="DA113" s="255">
        <v>-506508.5</v>
      </c>
      <c r="DB113" s="255">
        <v>-419696.58</v>
      </c>
      <c r="DC113" s="255">
        <v>-218499.03</v>
      </c>
      <c r="DD113" s="255">
        <v>-170318.23</v>
      </c>
      <c r="DE113" s="255">
        <v>-412419.57</v>
      </c>
      <c r="DF113" s="255">
        <v>-226024.94</v>
      </c>
      <c r="DG113" s="255">
        <f>SUM(TBBP[[#This Row],[Coluna287]:[Coluna298]])</f>
        <v>-4144445.2299999995</v>
      </c>
      <c r="DH113" s="255">
        <v>-182146.28</v>
      </c>
      <c r="DI113" s="255">
        <v>-198620.03</v>
      </c>
      <c r="DJ113" s="255">
        <v>-197147.96</v>
      </c>
      <c r="DK113" s="255">
        <v>-186339.94</v>
      </c>
      <c r="DL113" s="255">
        <v>-196572.93000000002</v>
      </c>
      <c r="DM113" s="255">
        <v>-236403.47</v>
      </c>
      <c r="DO113" t="s">
        <v>122</v>
      </c>
      <c r="DP113" s="30">
        <f>IF(OR(MID(TBBP[[#This Row],[Coluna1]],1,1)="1",MID(TBBP[[#This Row],[Coluna1]],1,1)="2"),"-",SUMIFS(113:113,listaPeriodos,$DR$1,listaPeriodos,$DR$2))</f>
        <v>-1197230.6100000001</v>
      </c>
      <c r="DQ113" s="30">
        <v>-261699.53333333333</v>
      </c>
      <c r="DR113" s="30">
        <f t="shared" si="89"/>
        <v>-1570197.2</v>
      </c>
      <c r="DS113" s="30"/>
      <c r="DT113" s="30"/>
      <c r="DU113"/>
    </row>
    <row r="114" spans="1:125" x14ac:dyDescent="0.3">
      <c r="A114" s="7" t="s">
        <v>136</v>
      </c>
      <c r="B114" t="s">
        <v>123</v>
      </c>
      <c r="C114" s="4">
        <v>72410.98</v>
      </c>
      <c r="D114" s="4">
        <v>-117402.63999999998</v>
      </c>
      <c r="E114" s="4">
        <v>-231237.61000000002</v>
      </c>
      <c r="F114" s="4">
        <v>46439.07</v>
      </c>
      <c r="G114" s="4">
        <v>-14087.69</v>
      </c>
      <c r="H114" s="4">
        <v>1206.5300000000007</v>
      </c>
      <c r="I114" s="4">
        <v>2282.64</v>
      </c>
      <c r="J114" s="4">
        <v>1137.6500000000001</v>
      </c>
      <c r="K114" s="4">
        <v>5270.4400000000005</v>
      </c>
      <c r="L114" s="4">
        <v>6513.1</v>
      </c>
      <c r="M114" s="4">
        <v>11454.91</v>
      </c>
      <c r="N114" s="4">
        <v>-8560.58</v>
      </c>
      <c r="O114" s="4">
        <v>11385.49</v>
      </c>
      <c r="P114" s="4">
        <v>-3156.72</v>
      </c>
      <c r="Q114" s="4">
        <v>-4273.5600000000004</v>
      </c>
      <c r="R114" s="4">
        <v>-6858.72</v>
      </c>
      <c r="S114" s="4">
        <v>-15675.59</v>
      </c>
      <c r="T114" s="4">
        <f>IF(OR(MID(TBBP[[#This Row],[Coluna1]],1,1)="1",MID(TBBP[[#This Row],[Coluna1]],1,1)="2"),TBBP[[#This Row],[Coluna19]],SUM(H114:S114))</f>
        <v>725.58999999999651</v>
      </c>
      <c r="U114" s="4">
        <v>35361.629999999997</v>
      </c>
      <c r="V114" s="4">
        <v>-15508.91</v>
      </c>
      <c r="W114" s="4">
        <v>10822.54</v>
      </c>
      <c r="X114" s="4">
        <v>-853.57</v>
      </c>
      <c r="Y114" s="4">
        <v>462.28</v>
      </c>
      <c r="Z114" s="4">
        <v>21770.27</v>
      </c>
      <c r="AA114" s="4">
        <v>31053</v>
      </c>
      <c r="AB114" s="4">
        <v>-48118.55</v>
      </c>
      <c r="AC114" s="4">
        <v>9928.39</v>
      </c>
      <c r="AD114" s="4">
        <v>8433.23</v>
      </c>
      <c r="AE114" s="4">
        <v>-17389.63</v>
      </c>
      <c r="AF114" s="4">
        <v>30605.119999999999</v>
      </c>
      <c r="AG114" s="4">
        <f>IF(OR(MID(TBBP[[#This Row],[Coluna1]],1,1)="1",MID(TBBP[[#This Row],[Coluna1]],1,1)="2"),TBBP[[#This Row],[Coluna32]],SUM(U114:AF114))</f>
        <v>66565.799999999974</v>
      </c>
      <c r="AH114" s="4">
        <v>-47582.63</v>
      </c>
      <c r="AI114" s="4">
        <v>-45953.72</v>
      </c>
      <c r="AJ114" s="4">
        <v>-100188.81</v>
      </c>
      <c r="AK114" s="4">
        <v>-30095.03</v>
      </c>
      <c r="AL114" s="4">
        <v>-51195.119999999995</v>
      </c>
      <c r="AM114" s="4">
        <v>38405.9</v>
      </c>
      <c r="AN114" s="4">
        <v>-4408.010000000002</v>
      </c>
      <c r="AO114" s="4">
        <v>28647.920000000002</v>
      </c>
      <c r="AP114" s="4">
        <v>77145.780000000013</v>
      </c>
      <c r="AQ114" s="4">
        <v>9344.369999999999</v>
      </c>
      <c r="AR114" s="4">
        <v>-30596.160000000003</v>
      </c>
      <c r="AS114" s="4">
        <v>1594.0900000000001</v>
      </c>
      <c r="AT114" s="4">
        <f>IF(OR(MID(TBBP[[#This Row],[Coluna1]],1,1)="1",MID(TBBP[[#This Row],[Coluna1]],1,1)="2"),TBBP[[#This Row],[Coluna45]],SUM(AH114:AS114))</f>
        <v>-154881.41999999998</v>
      </c>
      <c r="AU114" s="4">
        <v>73250</v>
      </c>
      <c r="AV114" s="4">
        <v>-34353.5</v>
      </c>
      <c r="AW114" s="4">
        <v>-47514.75</v>
      </c>
      <c r="AX114" s="4">
        <v>49685.87</v>
      </c>
      <c r="AY114" s="4">
        <v>2234.8900000000067</v>
      </c>
      <c r="AZ114" s="4">
        <v>-86687.51999999999</v>
      </c>
      <c r="BA114" s="4">
        <v>33729.75</v>
      </c>
      <c r="BB114" s="4">
        <v>-2812.9500000000044</v>
      </c>
      <c r="BC114" s="4">
        <v>64612.710000000006</v>
      </c>
      <c r="BD114" s="4">
        <v>35448.939999999988</v>
      </c>
      <c r="BE114" s="4">
        <v>-50252.369999999995</v>
      </c>
      <c r="BF114" s="4">
        <v>-22372.959999999999</v>
      </c>
      <c r="BG114" s="4">
        <f>IF(OR(MID(TBBP[[#This Row],[Coluna1]],1,1)="1",MID(TBBP[[#This Row],[Coluna1]],1,1)="2"),TBBP[[#This Row],[Coluna58]],SUM(AU114:BF114))</f>
        <v>14968.110000000008</v>
      </c>
      <c r="BH114" s="4">
        <v>-76017.109999999986</v>
      </c>
      <c r="BI114" s="4">
        <v>-69179.58</v>
      </c>
      <c r="BJ114" s="4">
        <v>-31422.429999999993</v>
      </c>
      <c r="BK114" s="4">
        <v>60603.040000000001</v>
      </c>
      <c r="BL114" s="4">
        <v>-107213.45</v>
      </c>
      <c r="BM114" s="4">
        <v>178393.78999999998</v>
      </c>
      <c r="BN114" s="4">
        <v>9215.3699999999953</v>
      </c>
      <c r="BO114" s="4">
        <v>-8164.48</v>
      </c>
      <c r="BP114" s="4">
        <v>-61243.08</v>
      </c>
      <c r="BQ114" s="4">
        <v>78397.199999999983</v>
      </c>
      <c r="BR114" s="4">
        <v>-32101.130000000005</v>
      </c>
      <c r="BS114" s="4">
        <v>8120.1699999999983</v>
      </c>
      <c r="BT114" s="4">
        <f>IF(OR(MID(TBBP[[#This Row],[Coluna1]],1,1)="1",MID(TBBP[[#This Row],[Coluna1]],1,1)="2"),TBBP[[#This Row],[Coluna127]],SUM(BH114:BS114))</f>
        <v>-50611.690000000017</v>
      </c>
      <c r="BU114" s="4">
        <v>28381.9</v>
      </c>
      <c r="BV114" s="4">
        <v>-60549.260000000009</v>
      </c>
      <c r="BW114" s="4">
        <v>75659.55</v>
      </c>
      <c r="BX114" s="4">
        <v>42098.430000000008</v>
      </c>
      <c r="BY114" s="4">
        <v>-41371.11</v>
      </c>
      <c r="BZ114" s="4">
        <v>115770.5</v>
      </c>
      <c r="CA114" s="4">
        <v>50079.97</v>
      </c>
      <c r="CB114" s="4">
        <v>-113047.9</v>
      </c>
      <c r="CC114" s="4">
        <v>-36214.630000000005</v>
      </c>
      <c r="CD114" s="4">
        <v>-37333.89</v>
      </c>
      <c r="CE114" s="4">
        <v>65337.720000000016</v>
      </c>
      <c r="CF114" s="4">
        <v>83226.070000000007</v>
      </c>
      <c r="CG114" s="4">
        <f>IF(OR(MID(TBBP[[#This Row],[Coluna1]],1,1)="1",MID(TBBP[[#This Row],[Coluna1]],1,1)="2"),CF114,SUM(BU114:CF114))</f>
        <v>172037.35000000003</v>
      </c>
      <c r="CH114" s="4">
        <v>-96761.709999999992</v>
      </c>
      <c r="CI114" s="4">
        <v>-18979.77</v>
      </c>
      <c r="CJ114" s="4">
        <v>-6361.01</v>
      </c>
      <c r="CK114" s="4">
        <v>-130267.09999999998</v>
      </c>
      <c r="CL114" s="4">
        <v>1675.7099999999919</v>
      </c>
      <c r="CM114" s="4">
        <v>-241620.66999999998</v>
      </c>
      <c r="CN114" s="4">
        <v>-19150.610000000015</v>
      </c>
      <c r="CO114" s="4">
        <v>49715.520000000004</v>
      </c>
      <c r="CP114" s="4">
        <v>142377.82</v>
      </c>
      <c r="CQ114" s="4">
        <v>-401575.94000000006</v>
      </c>
      <c r="CR114" s="4">
        <v>-506291.29999999993</v>
      </c>
      <c r="CS114" s="4">
        <v>-293745.14</v>
      </c>
      <c r="CT114" s="4">
        <f>IF(OR(MID(TBBP[[#This Row],[Coluna1]],1,1)="1",MID(TBBP[[#This Row],[Coluna1]],1,1)="2"),CS114,SUM(CH114:CS114))</f>
        <v>-1520984.2000000002</v>
      </c>
      <c r="CU114" s="255">
        <v>497687.95</v>
      </c>
      <c r="CV114" s="255">
        <v>94360.060000000012</v>
      </c>
      <c r="CW114" s="255">
        <v>237569.40000000002</v>
      </c>
      <c r="CX114" s="255">
        <v>235625.33000000002</v>
      </c>
      <c r="CY114" s="255">
        <v>426912.11</v>
      </c>
      <c r="CZ114" s="255">
        <v>26070.959999999999</v>
      </c>
      <c r="DA114" s="255">
        <v>-381656.81999999995</v>
      </c>
      <c r="DB114" s="255">
        <v>490040.37999999995</v>
      </c>
      <c r="DC114" s="255">
        <v>250178.59</v>
      </c>
      <c r="DD114" s="255">
        <v>-229612.27000000002</v>
      </c>
      <c r="DE114" s="255">
        <v>122592.98999999999</v>
      </c>
      <c r="DF114" s="255">
        <v>197868.2</v>
      </c>
      <c r="DG114" s="255">
        <f>SUM(TBBP[[#This Row],[Coluna287]:[Coluna298]])</f>
        <v>1967636.8800000001</v>
      </c>
      <c r="DH114" s="255">
        <v>-18328.650000000009</v>
      </c>
      <c r="DI114" s="255">
        <v>171963.77</v>
      </c>
      <c r="DJ114" s="255">
        <v>-186237.55</v>
      </c>
      <c r="DK114" s="255">
        <v>837498.4800000001</v>
      </c>
      <c r="DL114" s="255">
        <v>-173271.43</v>
      </c>
      <c r="DM114" s="255">
        <v>-341099.08999999997</v>
      </c>
      <c r="DO114" t="s">
        <v>123</v>
      </c>
      <c r="DP114" s="30">
        <f>IF(OR(MID(TBBP[[#This Row],[Coluna1]],1,1)="1",MID(TBBP[[#This Row],[Coluna1]],1,1)="2"),"-",SUMIFS(114:114,listaPeriodos,$DR$1,listaPeriodos,$DR$2))</f>
        <v>290525.53000000014</v>
      </c>
      <c r="DQ114" s="30">
        <v>-196274.65</v>
      </c>
      <c r="DR114" s="30">
        <f t="shared" si="89"/>
        <v>-1177647.8999999999</v>
      </c>
      <c r="DS114" s="30"/>
      <c r="DT114" s="30"/>
      <c r="DU114"/>
    </row>
    <row r="115" spans="1:125" x14ac:dyDescent="0.3">
      <c r="A115" s="67" t="s">
        <v>80</v>
      </c>
      <c r="B115" t="s">
        <v>166</v>
      </c>
      <c r="C115" s="4">
        <v>130435.37</v>
      </c>
      <c r="D115" s="4">
        <v>32016.78</v>
      </c>
      <c r="E115" s="4">
        <v>0</v>
      </c>
      <c r="F115" s="4">
        <v>0</v>
      </c>
      <c r="G115" s="4"/>
      <c r="H115" s="4"/>
      <c r="I115" s="4"/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/>
      <c r="T115" s="4">
        <f>IF(OR(MID(TBBP[[#This Row],[Coluna1]],1,1)="1",MID(TBBP[[#This Row],[Coluna1]],1,1)="2"),TBBP[[#This Row],[Coluna19]],SUM(H115:S115))</f>
        <v>0</v>
      </c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>
        <f>IF(OR(MID(TBBP[[#This Row],[Coluna1]],1,1)="1",MID(TBBP[[#This Row],[Coluna1]],1,1)="2"),TBBP[[#This Row],[Coluna32]],SUM(U115:AF115))</f>
        <v>0</v>
      </c>
      <c r="AH115" s="4"/>
      <c r="AI115" s="4"/>
      <c r="AJ115" s="4"/>
      <c r="AK115" s="4">
        <v>0</v>
      </c>
      <c r="AL115" s="4">
        <v>0</v>
      </c>
      <c r="AM115" s="4">
        <v>0</v>
      </c>
      <c r="AN115" s="4">
        <v>0</v>
      </c>
      <c r="AO115" s="4">
        <v>0</v>
      </c>
      <c r="AP115" s="4">
        <v>0</v>
      </c>
      <c r="AQ115" s="4">
        <v>0</v>
      </c>
      <c r="AR115" s="4">
        <v>0</v>
      </c>
      <c r="AS115" s="4">
        <v>0</v>
      </c>
      <c r="AT115" s="4">
        <f>IF(OR(MID(TBBP[[#This Row],[Coluna1]],1,1)="1",MID(TBBP[[#This Row],[Coluna1]],1,1)="2"),TBBP[[#This Row],[Coluna45]],SUM(AH115:AS115))</f>
        <v>0</v>
      </c>
      <c r="AU115" s="4">
        <v>0</v>
      </c>
      <c r="AV115" s="4">
        <v>0</v>
      </c>
      <c r="AW115" s="4">
        <v>0</v>
      </c>
      <c r="AX115" s="4">
        <v>0</v>
      </c>
      <c r="AY115" s="4">
        <v>0</v>
      </c>
      <c r="AZ115" s="4">
        <v>0</v>
      </c>
      <c r="BA115" s="4">
        <v>0</v>
      </c>
      <c r="BB115" s="4">
        <v>0</v>
      </c>
      <c r="BC115" s="4">
        <v>0</v>
      </c>
      <c r="BD115" s="4">
        <v>0</v>
      </c>
      <c r="BE115" s="4">
        <v>0</v>
      </c>
      <c r="BF115" s="4">
        <v>0</v>
      </c>
      <c r="BG115" s="4">
        <f>IF(OR(MID(TBBP[[#This Row],[Coluna1]],1,1)="1",MID(TBBP[[#This Row],[Coluna1]],1,1)="2"),TBBP[[#This Row],[Coluna58]],SUM(AU115:BF115))</f>
        <v>0</v>
      </c>
      <c r="BH115" s="4">
        <v>0</v>
      </c>
      <c r="BI115" s="4">
        <v>0</v>
      </c>
      <c r="BJ115" s="4">
        <v>0</v>
      </c>
      <c r="BK115" s="4">
        <v>0</v>
      </c>
      <c r="BL115" s="4">
        <v>0</v>
      </c>
      <c r="BM115" s="4">
        <v>0</v>
      </c>
      <c r="BN115" s="4">
        <v>0</v>
      </c>
      <c r="BO115" s="4">
        <v>0</v>
      </c>
      <c r="BP115" s="4">
        <v>0</v>
      </c>
      <c r="BQ115" s="4">
        <v>0</v>
      </c>
      <c r="BR115" s="4">
        <v>0</v>
      </c>
      <c r="BS115" s="4">
        <v>0</v>
      </c>
      <c r="BT115" s="4">
        <f>IF(OR(MID(TBBP[[#This Row],[Coluna1]],1,1)="1",MID(TBBP[[#This Row],[Coluna1]],1,1)="2"),TBBP[[#This Row],[Coluna127]],SUM(BH115:BS115))</f>
        <v>0</v>
      </c>
      <c r="BU115" s="4">
        <v>0</v>
      </c>
      <c r="BV115" s="4">
        <v>0</v>
      </c>
      <c r="BW115" s="4">
        <v>0</v>
      </c>
      <c r="BX115" s="4">
        <v>0</v>
      </c>
      <c r="BY115" s="4">
        <v>0</v>
      </c>
      <c r="BZ115" s="4">
        <v>0</v>
      </c>
      <c r="CA115" s="4">
        <v>0</v>
      </c>
      <c r="CB115" s="4">
        <v>0</v>
      </c>
      <c r="CC115" s="4">
        <v>0</v>
      </c>
      <c r="CD115" s="4">
        <v>0</v>
      </c>
      <c r="CE115" s="4">
        <v>0</v>
      </c>
      <c r="CF115" s="4">
        <v>0</v>
      </c>
      <c r="CG115" s="4">
        <f>IF(OR(MID(TBBP[[#This Row],[Coluna1]],1,1)="1",MID(TBBP[[#This Row],[Coluna1]],1,1)="2"),CF115,SUM(BU115:CF115))</f>
        <v>0</v>
      </c>
      <c r="CH115" s="4">
        <v>0</v>
      </c>
      <c r="CI115" s="4">
        <v>0</v>
      </c>
      <c r="CJ115" s="4">
        <v>0</v>
      </c>
      <c r="CK115" s="4">
        <v>0</v>
      </c>
      <c r="CL115" s="4">
        <v>0</v>
      </c>
      <c r="CM115" s="4">
        <v>0</v>
      </c>
      <c r="CN115" s="4">
        <v>0</v>
      </c>
      <c r="CO115" s="4">
        <v>0</v>
      </c>
      <c r="CP115" s="4">
        <v>0</v>
      </c>
      <c r="CQ115" s="4">
        <v>0</v>
      </c>
      <c r="CR115" s="4">
        <v>0</v>
      </c>
      <c r="CS115" s="4">
        <v>0</v>
      </c>
      <c r="CT115" s="4">
        <f>IF(OR(MID(TBBP[[#This Row],[Coluna1]],1,1)="1",MID(TBBP[[#This Row],[Coluna1]],1,1)="2"),CS115,SUM(CH115:CS115))</f>
        <v>0</v>
      </c>
      <c r="CU115" s="255">
        <v>0</v>
      </c>
      <c r="CV115" s="255">
        <v>0</v>
      </c>
      <c r="CW115" s="255">
        <v>0</v>
      </c>
      <c r="CX115" s="255">
        <v>0</v>
      </c>
      <c r="CY115" s="255">
        <v>0</v>
      </c>
      <c r="CZ115" s="255">
        <v>0</v>
      </c>
      <c r="DA115" s="255">
        <v>0</v>
      </c>
      <c r="DB115" s="255">
        <v>0</v>
      </c>
      <c r="DC115" s="255">
        <v>0</v>
      </c>
      <c r="DD115" s="255">
        <v>0</v>
      </c>
      <c r="DE115" s="255">
        <v>0</v>
      </c>
      <c r="DF115" s="255">
        <v>0</v>
      </c>
      <c r="DG115" s="255">
        <v>0</v>
      </c>
      <c r="DH115" s="255">
        <v>0</v>
      </c>
      <c r="DI115" s="255">
        <v>0</v>
      </c>
      <c r="DJ115" s="255">
        <v>0</v>
      </c>
      <c r="DK115" s="255">
        <v>0</v>
      </c>
      <c r="DL115" s="255">
        <v>0</v>
      </c>
      <c r="DM115" s="255">
        <v>0</v>
      </c>
      <c r="DO115" t="s">
        <v>166</v>
      </c>
      <c r="DP115" s="30">
        <f>IF(OR(MID(TBBP[[#This Row],[Coluna1]],1,1)="1",MID(TBBP[[#This Row],[Coluna1]],1,1)="2"),"-",SUMIFS(115:115,listaPeriodos,$DR$1,listaPeriodos,$DR$2))</f>
        <v>0</v>
      </c>
      <c r="DQ115" s="30"/>
      <c r="DR115" s="30">
        <f t="shared" si="89"/>
        <v>0</v>
      </c>
      <c r="DS115" s="30"/>
      <c r="DT115" s="30"/>
      <c r="DU115"/>
    </row>
    <row r="116" spans="1:125" x14ac:dyDescent="0.3">
      <c r="A116" s="70" t="s">
        <v>135</v>
      </c>
      <c r="B116" s="65" t="s">
        <v>104</v>
      </c>
      <c r="C116" s="65">
        <f>SUM(C112:C115)</f>
        <v>235121.12</v>
      </c>
      <c r="D116" s="65">
        <f t="shared" ref="D116:AI116" si="134">SUM(D112:D115)</f>
        <v>39826.170000000071</v>
      </c>
      <c r="E116" s="65">
        <f t="shared" si="134"/>
        <v>-10393.290000000037</v>
      </c>
      <c r="F116" s="65">
        <f t="shared" si="134"/>
        <v>379653.59</v>
      </c>
      <c r="G116" s="65">
        <f t="shared" si="134"/>
        <v>140109.18999999997</v>
      </c>
      <c r="H116" s="65">
        <f t="shared" si="134"/>
        <v>31119.589999999997</v>
      </c>
      <c r="I116" s="65">
        <f t="shared" si="134"/>
        <v>5038.1899999999987</v>
      </c>
      <c r="J116" s="65">
        <f t="shared" si="134"/>
        <v>8676.61</v>
      </c>
      <c r="K116" s="65">
        <f t="shared" si="134"/>
        <v>21931.29</v>
      </c>
      <c r="L116" s="65">
        <f t="shared" si="134"/>
        <v>9884.9600000000009</v>
      </c>
      <c r="M116" s="65">
        <f t="shared" si="134"/>
        <v>19616.04</v>
      </c>
      <c r="N116" s="65">
        <f t="shared" si="134"/>
        <v>-2795.1499999999996</v>
      </c>
      <c r="O116" s="65">
        <f t="shared" si="134"/>
        <v>23611.64</v>
      </c>
      <c r="P116" s="65">
        <f t="shared" si="134"/>
        <v>2730.19</v>
      </c>
      <c r="Q116" s="65">
        <f t="shared" si="134"/>
        <v>10862.219999999998</v>
      </c>
      <c r="R116" s="65">
        <f t="shared" si="134"/>
        <v>1630.7399999999989</v>
      </c>
      <c r="S116" s="65">
        <f t="shared" si="134"/>
        <v>-10908.380000000001</v>
      </c>
      <c r="T116" s="65">
        <f>IF(OR(MID(TBBP[[#This Row],[Coluna1]],1,1)="1",MID(TBBP[[#This Row],[Coluna1]],1,1)="2"),TBBP[[#This Row],[Coluna19]],SUM(H116:S116))</f>
        <v>121397.94</v>
      </c>
      <c r="U116" s="65">
        <f t="shared" si="134"/>
        <v>44458.89</v>
      </c>
      <c r="V116" s="65">
        <f t="shared" si="134"/>
        <v>-4267.4600000000009</v>
      </c>
      <c r="W116" s="65">
        <f t="shared" si="134"/>
        <v>23364.86</v>
      </c>
      <c r="X116" s="65">
        <f t="shared" si="134"/>
        <v>13242.189999999999</v>
      </c>
      <c r="Y116" s="65">
        <f t="shared" si="134"/>
        <v>20445.98</v>
      </c>
      <c r="Z116" s="65">
        <f t="shared" si="134"/>
        <v>32781.42</v>
      </c>
      <c r="AA116" s="65">
        <f t="shared" si="134"/>
        <v>60141.49</v>
      </c>
      <c r="AB116" s="65">
        <f t="shared" si="134"/>
        <v>-40754.870000000003</v>
      </c>
      <c r="AC116" s="65">
        <f t="shared" si="134"/>
        <v>18253.939999999999</v>
      </c>
      <c r="AD116" s="65">
        <f t="shared" si="134"/>
        <v>21365.43</v>
      </c>
      <c r="AE116" s="65">
        <f t="shared" si="134"/>
        <v>-15820.2</v>
      </c>
      <c r="AF116" s="65">
        <f t="shared" si="134"/>
        <v>43802.7</v>
      </c>
      <c r="AG116" s="65">
        <f>IF(OR(MID(TBBP[[#This Row],[Coluna1]],1,1)="1",MID(TBBP[[#This Row],[Coluna1]],1,1)="2"),TBBP[[#This Row],[Coluna32]],SUM(U116:AF116))</f>
        <v>217014.37</v>
      </c>
      <c r="AH116" s="65">
        <f t="shared" si="134"/>
        <v>-38540.959999999999</v>
      </c>
      <c r="AI116" s="65">
        <f t="shared" si="134"/>
        <v>-41436.230000000003</v>
      </c>
      <c r="AJ116" s="65">
        <f t="shared" ref="AJ116:AS116" si="135">SUM(AJ112:AJ115)</f>
        <v>-118886.04999999999</v>
      </c>
      <c r="AK116" s="65">
        <f t="shared" si="135"/>
        <v>-43308.89</v>
      </c>
      <c r="AL116" s="65">
        <f t="shared" si="135"/>
        <v>-56482.509999999995</v>
      </c>
      <c r="AM116" s="65">
        <f t="shared" si="135"/>
        <v>31990.14</v>
      </c>
      <c r="AN116" s="65">
        <f t="shared" si="135"/>
        <v>-4688.8600000000042</v>
      </c>
      <c r="AO116" s="65">
        <f t="shared" si="135"/>
        <v>-72097.64</v>
      </c>
      <c r="AP116" s="65">
        <f t="shared" si="135"/>
        <v>76394.930000000008</v>
      </c>
      <c r="AQ116" s="65">
        <f t="shared" si="135"/>
        <v>9131.1799999999985</v>
      </c>
      <c r="AR116" s="65">
        <f t="shared" si="135"/>
        <v>-30499.680000000004</v>
      </c>
      <c r="AS116" s="65">
        <f t="shared" si="135"/>
        <v>5030.7900000000009</v>
      </c>
      <c r="AT116" s="65">
        <f>IF(OR(MID(TBBP[[#This Row],[Coluna1]],1,1)="1",MID(TBBP[[#This Row],[Coluna1]],1,1)="2"),TBBP[[#This Row],[Coluna45]],SUM(AH116:AS116))</f>
        <v>-283393.78000000003</v>
      </c>
      <c r="AU116" s="65">
        <f t="shared" ref="AU116:BD116" si="136">SUM(AU112:AU115)</f>
        <v>75149.569999999992</v>
      </c>
      <c r="AV116" s="65">
        <f t="shared" si="136"/>
        <v>-34628.660000000003</v>
      </c>
      <c r="AW116" s="65">
        <f t="shared" si="136"/>
        <v>-44165.36</v>
      </c>
      <c r="AX116" s="65">
        <f t="shared" si="136"/>
        <v>52154.69</v>
      </c>
      <c r="AY116" s="65">
        <f t="shared" si="136"/>
        <v>17145.320000000007</v>
      </c>
      <c r="AZ116" s="65">
        <f t="shared" si="136"/>
        <v>-47046.45</v>
      </c>
      <c r="BA116" s="65">
        <f t="shared" si="136"/>
        <v>10337.199999999997</v>
      </c>
      <c r="BB116" s="65">
        <f t="shared" si="136"/>
        <v>10905.569999999996</v>
      </c>
      <c r="BC116" s="65">
        <f t="shared" si="136"/>
        <v>69609.740000000005</v>
      </c>
      <c r="BD116" s="65">
        <f t="shared" si="136"/>
        <v>66437.489999999991</v>
      </c>
      <c r="BE116" s="65">
        <f>SUM(BE112:BE115)</f>
        <v>-46393.999999999993</v>
      </c>
      <c r="BF116" s="65">
        <v>31415.000000000007</v>
      </c>
      <c r="BG116" s="65">
        <f>SUM(BG112:BG115)</f>
        <v>160920.10999999996</v>
      </c>
      <c r="BH116" s="65">
        <f t="shared" ref="BH116:BO116" si="137">SUM(BH112:BH115)</f>
        <v>-52078.469999999979</v>
      </c>
      <c r="BI116" s="65">
        <f t="shared" si="137"/>
        <v>-25679.940000000002</v>
      </c>
      <c r="BJ116" s="65">
        <f t="shared" si="137"/>
        <v>-450413.47000000003</v>
      </c>
      <c r="BK116" s="65">
        <f t="shared" si="137"/>
        <v>126786.44</v>
      </c>
      <c r="BL116" s="65">
        <f t="shared" si="137"/>
        <v>-5206.2499999999854</v>
      </c>
      <c r="BM116" s="65">
        <f t="shared" si="137"/>
        <v>-202745.78000000003</v>
      </c>
      <c r="BN116" s="65">
        <f t="shared" si="137"/>
        <v>94612.32</v>
      </c>
      <c r="BO116" s="65">
        <f t="shared" si="137"/>
        <v>144966.82999999999</v>
      </c>
      <c r="BP116" s="65">
        <v>-459834.56999999995</v>
      </c>
      <c r="BQ116" s="65">
        <f t="shared" ref="BQ116:DM116" si="138">SUM(BQ112:BQ115)</f>
        <v>120349.64999999998</v>
      </c>
      <c r="BR116" s="65">
        <f t="shared" si="138"/>
        <v>80605.710000000006</v>
      </c>
      <c r="BS116" s="65">
        <f t="shared" si="138"/>
        <v>-373195.32000000007</v>
      </c>
      <c r="BT116" s="65">
        <f t="shared" si="138"/>
        <v>-1001832.85</v>
      </c>
      <c r="BU116" s="65">
        <f t="shared" si="138"/>
        <v>120915.78</v>
      </c>
      <c r="BV116" s="65">
        <f t="shared" si="138"/>
        <v>15381.899999999994</v>
      </c>
      <c r="BW116" s="65">
        <f t="shared" si="138"/>
        <v>-275855.28000000003</v>
      </c>
      <c r="BX116" s="65">
        <f t="shared" si="138"/>
        <v>113348.7</v>
      </c>
      <c r="BY116" s="65">
        <f t="shared" si="138"/>
        <v>105748.24999999999</v>
      </c>
      <c r="BZ116" s="65">
        <f t="shared" si="138"/>
        <v>-244547.24</v>
      </c>
      <c r="CA116" s="65">
        <f t="shared" si="138"/>
        <v>176497.78999999998</v>
      </c>
      <c r="CB116" s="65">
        <f t="shared" si="138"/>
        <v>13150.14</v>
      </c>
      <c r="CC116" s="65">
        <f t="shared" si="138"/>
        <v>-410421.30999999994</v>
      </c>
      <c r="CD116" s="65">
        <f t="shared" si="138"/>
        <v>80313.180000000008</v>
      </c>
      <c r="CE116" s="65">
        <f t="shared" si="138"/>
        <v>159270.73000000004</v>
      </c>
      <c r="CF116" s="65">
        <v>-312902.43999999994</v>
      </c>
      <c r="CG116" s="65">
        <f t="shared" si="138"/>
        <v>-459099.8000000001</v>
      </c>
      <c r="CH116" s="65">
        <f t="shared" si="138"/>
        <v>21769.590000000026</v>
      </c>
      <c r="CI116" s="65">
        <f t="shared" si="138"/>
        <v>18840.48</v>
      </c>
      <c r="CJ116" s="65">
        <f t="shared" si="138"/>
        <v>-382141.00999999995</v>
      </c>
      <c r="CK116" s="65">
        <f t="shared" si="138"/>
        <v>-68375.929999999978</v>
      </c>
      <c r="CL116" s="65">
        <f t="shared" si="138"/>
        <v>51397.72</v>
      </c>
      <c r="CM116" s="65">
        <f t="shared" si="138"/>
        <v>-700149.09000000008</v>
      </c>
      <c r="CN116" s="65">
        <f t="shared" si="138"/>
        <v>-21932.340000000011</v>
      </c>
      <c r="CO116" s="65">
        <f t="shared" si="138"/>
        <v>20743.349999999991</v>
      </c>
      <c r="CP116" s="65">
        <f t="shared" si="138"/>
        <v>53667.44</v>
      </c>
      <c r="CQ116" s="65">
        <f t="shared" si="138"/>
        <v>-605766.80000000005</v>
      </c>
      <c r="CR116" s="65">
        <f t="shared" si="138"/>
        <v>-779992.32</v>
      </c>
      <c r="CS116" s="65">
        <f t="shared" si="138"/>
        <v>-1013783.63</v>
      </c>
      <c r="CT116" s="65">
        <f t="shared" si="138"/>
        <v>-3405722.5400000005</v>
      </c>
      <c r="CU116" s="65">
        <f t="shared" si="138"/>
        <v>291018.2</v>
      </c>
      <c r="CV116" s="65">
        <f t="shared" si="138"/>
        <v>97010.27</v>
      </c>
      <c r="CW116" s="65">
        <f t="shared" si="138"/>
        <v>-34785.589999999967</v>
      </c>
      <c r="CX116" s="65">
        <f t="shared" si="138"/>
        <v>-24140.189999999973</v>
      </c>
      <c r="CY116" s="65">
        <f t="shared" si="138"/>
        <v>130427.87</v>
      </c>
      <c r="CZ116" s="65">
        <f t="shared" si="138"/>
        <v>-66670.550000000017</v>
      </c>
      <c r="DA116" s="65">
        <f t="shared" si="138"/>
        <v>-685023.59</v>
      </c>
      <c r="DB116" s="65">
        <f t="shared" si="138"/>
        <v>278764.31999999995</v>
      </c>
      <c r="DC116" s="65">
        <f t="shared" si="138"/>
        <v>242990.24</v>
      </c>
      <c r="DD116" s="65">
        <f t="shared" si="138"/>
        <v>-149863.87000000002</v>
      </c>
      <c r="DE116" s="65">
        <f t="shared" si="138"/>
        <v>-68922.700000000012</v>
      </c>
      <c r="DF116" s="65">
        <f t="shared" si="138"/>
        <v>212474.48</v>
      </c>
      <c r="DG116" s="65">
        <f>SUM(TBBP[[#This Row],[Coluna287]:[Coluna298]])</f>
        <v>223278.88999999996</v>
      </c>
      <c r="DH116" s="65">
        <f t="shared" si="138"/>
        <v>51564.770000000004</v>
      </c>
      <c r="DI116" s="65">
        <f t="shared" si="138"/>
        <v>145480.56</v>
      </c>
      <c r="DJ116" s="65">
        <f t="shared" si="138"/>
        <v>-193444.99999999997</v>
      </c>
      <c r="DK116" s="65">
        <f t="shared" si="138"/>
        <v>834887.81</v>
      </c>
      <c r="DL116" s="65">
        <f t="shared" si="138"/>
        <v>-215449.54</v>
      </c>
      <c r="DM116" s="65">
        <f t="shared" si="138"/>
        <v>-421981.91</v>
      </c>
      <c r="DO116" t="s">
        <v>104</v>
      </c>
      <c r="DP116" s="30">
        <f>IF(OR(MID(TBBP[[#This Row],[Coluna1]],1,1)="1",MID(TBBP[[#This Row],[Coluna1]],1,1)="2"),"-",SUMIFS(116:116,listaPeriodos,$DR$1,listaPeriodos,$DR$2))</f>
        <v>201056.69000000012</v>
      </c>
      <c r="DQ116" s="30">
        <v>-261699.53333333333</v>
      </c>
      <c r="DR116" s="30">
        <f t="shared" si="89"/>
        <v>-1570197.2</v>
      </c>
      <c r="DS116" s="30"/>
      <c r="DT116" s="30"/>
      <c r="DU116"/>
    </row>
    <row r="117" spans="1:125" x14ac:dyDescent="0.3">
      <c r="A117" s="7" t="s">
        <v>139</v>
      </c>
      <c r="B117" t="s">
        <v>105</v>
      </c>
      <c r="C117" s="4">
        <v>0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/>
      <c r="J117" s="4"/>
      <c r="K117" s="4">
        <v>0</v>
      </c>
      <c r="L117" s="4">
        <v>0</v>
      </c>
      <c r="M117" s="4">
        <v>18659.580000000002</v>
      </c>
      <c r="N117" s="4">
        <v>0</v>
      </c>
      <c r="O117" s="4">
        <v>0</v>
      </c>
      <c r="P117" s="4">
        <v>51192.44</v>
      </c>
      <c r="Q117" s="4">
        <v>-461</v>
      </c>
      <c r="R117" s="4">
        <v>27569.23</v>
      </c>
      <c r="S117" s="4">
        <v>-20418.86</v>
      </c>
      <c r="T117" s="4">
        <f>IF(OR(MID(TBBP[[#This Row],[Coluna1]],1,1)="1",MID(TBBP[[#This Row],[Coluna1]],1,1)="2"),TBBP[[#This Row],[Coluna19]],SUM(H117:S117))</f>
        <v>76541.39</v>
      </c>
      <c r="U117" s="4">
        <v>8721.1200000000008</v>
      </c>
      <c r="V117" s="4">
        <v>-2089.7399999999998</v>
      </c>
      <c r="W117" s="4">
        <v>0</v>
      </c>
      <c r="X117" s="4">
        <v>19334.3</v>
      </c>
      <c r="Y117" s="4">
        <v>11881.55</v>
      </c>
      <c r="Z117" s="4">
        <v>18072.310000000001</v>
      </c>
      <c r="AA117" s="4">
        <v>12899.15</v>
      </c>
      <c r="AB117" s="4">
        <v>25169.48</v>
      </c>
      <c r="AC117" s="4">
        <v>36317.699999999997</v>
      </c>
      <c r="AD117" s="4">
        <v>13021.94</v>
      </c>
      <c r="AE117" s="4">
        <v>20375.580000000002</v>
      </c>
      <c r="AF117" s="4">
        <v>4949.8999999999996</v>
      </c>
      <c r="AG117" s="4">
        <f>IF(OR(MID(TBBP[[#This Row],[Coluna1]],1,1)="1",MID(TBBP[[#This Row],[Coluna1]],1,1)="2"),TBBP[[#This Row],[Coluna32]],SUM(U117:AF117))</f>
        <v>168653.28999999995</v>
      </c>
      <c r="AH117" s="4">
        <v>19059.78</v>
      </c>
      <c r="AI117" s="4">
        <v>16235.08</v>
      </c>
      <c r="AJ117" s="4">
        <v>46838.81</v>
      </c>
      <c r="AK117" s="4">
        <v>17501.259999999998</v>
      </c>
      <c r="AL117" s="4">
        <v>32189.85</v>
      </c>
      <c r="AM117" s="4">
        <v>32834.25</v>
      </c>
      <c r="AN117" s="4">
        <v>18384.38</v>
      </c>
      <c r="AO117" s="4">
        <v>10705.63</v>
      </c>
      <c r="AP117" s="4">
        <v>7837.99</v>
      </c>
      <c r="AQ117" s="4">
        <v>0.01</v>
      </c>
      <c r="AR117" s="4">
        <v>50384.71</v>
      </c>
      <c r="AS117" s="4">
        <v>-33649.14</v>
      </c>
      <c r="AT117" s="4">
        <f>IF(OR(MID(TBBP[[#This Row],[Coluna1]],1,1)="1",MID(TBBP[[#This Row],[Coluna1]],1,1)="2"),TBBP[[#This Row],[Coluna45]],SUM(AH117:AS117))</f>
        <v>218322.61</v>
      </c>
      <c r="AU117" s="4">
        <v>14181.34</v>
      </c>
      <c r="AV117" s="4">
        <v>49758.44</v>
      </c>
      <c r="AW117" s="4">
        <v>40506.36</v>
      </c>
      <c r="AX117" s="4">
        <v>9103.2000000000007</v>
      </c>
      <c r="AY117" s="4">
        <v>-27549.84</v>
      </c>
      <c r="AZ117" s="4">
        <v>139587.35999999999</v>
      </c>
      <c r="BA117" s="4">
        <v>107563.45</v>
      </c>
      <c r="BB117" s="4">
        <v>-48322.13</v>
      </c>
      <c r="BC117" s="4">
        <v>160300.32</v>
      </c>
      <c r="BD117" s="4">
        <v>241140.65</v>
      </c>
      <c r="BE117" s="4">
        <v>129340.42</v>
      </c>
      <c r="BF117" s="4">
        <v>-205724.92</v>
      </c>
      <c r="BG117" s="4">
        <f>IF(OR(MID(TBBP[[#This Row],[Coluna1]],1,1)="1",MID(TBBP[[#This Row],[Coluna1]],1,1)="2"),TBBP[[#This Row],[Coluna58]],SUM(AU117:BF117))</f>
        <v>609884.65</v>
      </c>
      <c r="BH117" s="4">
        <v>43888.77</v>
      </c>
      <c r="BI117" s="4">
        <v>155010.04999999999</v>
      </c>
      <c r="BJ117" s="4">
        <v>38504.949999999997</v>
      </c>
      <c r="BK117" s="4">
        <v>29734.22</v>
      </c>
      <c r="BL117" s="4">
        <v>233859.56</v>
      </c>
      <c r="BM117" s="4">
        <v>31714.880000000001</v>
      </c>
      <c r="BN117" s="4">
        <v>223431.31</v>
      </c>
      <c r="BO117" s="4">
        <v>73989.14</v>
      </c>
      <c r="BP117" s="4">
        <v>139155.43</v>
      </c>
      <c r="BQ117" s="4">
        <v>112012.35</v>
      </c>
      <c r="BR117" s="4">
        <v>147503.74</v>
      </c>
      <c r="BS117" s="4">
        <v>8332.31</v>
      </c>
      <c r="BT117" s="4">
        <f>IF(OR(MID(TBBP[[#This Row],[Coluna1]],1,1)="1",MID(TBBP[[#This Row],[Coluna1]],1,1)="2"),TBBP[[#This Row],[Coluna127]],SUM(BH117:BS117))</f>
        <v>1237136.7100000002</v>
      </c>
      <c r="BU117" s="4">
        <v>205974.81</v>
      </c>
      <c r="BV117" s="4">
        <v>99739.17</v>
      </c>
      <c r="BW117" s="4">
        <v>57074.41</v>
      </c>
      <c r="BX117" s="4">
        <v>1</v>
      </c>
      <c r="BY117" s="4">
        <v>1</v>
      </c>
      <c r="BZ117" s="4">
        <v>1</v>
      </c>
      <c r="CA117" s="4">
        <v>1</v>
      </c>
      <c r="CB117" s="4">
        <v>1</v>
      </c>
      <c r="CC117" s="4">
        <v>1</v>
      </c>
      <c r="CD117" s="4">
        <v>1</v>
      </c>
      <c r="CE117" s="4">
        <v>1</v>
      </c>
      <c r="CF117" s="4">
        <v>1</v>
      </c>
      <c r="CG117" s="4">
        <f>IF(OR(MID(TBBP[[#This Row],[Coluna1]],1,1)="1",MID(TBBP[[#This Row],[Coluna1]],1,1)="2"),CF117,SUM(BU117:CF117))+993457</f>
        <v>1356254.3900000001</v>
      </c>
      <c r="CH117" s="4">
        <v>107871.7</v>
      </c>
      <c r="CI117" s="4">
        <v>67490.64</v>
      </c>
      <c r="CJ117" s="4">
        <v>-51956.35</v>
      </c>
      <c r="CK117" s="4">
        <v>247218.28</v>
      </c>
      <c r="CL117" s="4">
        <v>-1473609.55</v>
      </c>
      <c r="CM117" s="4">
        <v>92385.31</v>
      </c>
      <c r="CN117" s="4">
        <v>82024.27</v>
      </c>
      <c r="CO117" s="4">
        <v>185274.44</v>
      </c>
      <c r="CP117" s="4">
        <v>58886.83</v>
      </c>
      <c r="CQ117" s="4">
        <v>-67943.28</v>
      </c>
      <c r="CR117" s="4">
        <v>49909.84</v>
      </c>
      <c r="CS117" s="4">
        <v>111043.08</v>
      </c>
      <c r="CT117" s="4">
        <f>IF(OR(MID(TBBP[[#This Row],[Coluna1]],1,1)="1",MID(TBBP[[#This Row],[Coluna1]],1,1)="2"),CS117,SUM(CH117:CS117))</f>
        <v>-591404.79000000015</v>
      </c>
      <c r="CU117" s="255">
        <v>295161</v>
      </c>
      <c r="CV117" s="255">
        <v>-203375.88</v>
      </c>
      <c r="CW117" s="255">
        <v>-72628.19</v>
      </c>
      <c r="CX117" s="255">
        <v>-3119.14</v>
      </c>
      <c r="CY117" s="255">
        <v>146771.49</v>
      </c>
      <c r="CZ117" s="255">
        <v>96296.49</v>
      </c>
      <c r="DA117" s="255">
        <v>42836.05</v>
      </c>
      <c r="DB117" s="255">
        <v>132885.64000000001</v>
      </c>
      <c r="DC117" s="255">
        <v>0</v>
      </c>
      <c r="DD117" s="255">
        <v>0</v>
      </c>
      <c r="DE117" s="255">
        <v>0</v>
      </c>
      <c r="DF117" s="255">
        <v>0</v>
      </c>
      <c r="DG117" s="255">
        <f>SUM(TBBP[[#This Row],[Coluna287]:[Coluna298]])</f>
        <v>434827.45999999996</v>
      </c>
      <c r="DH117" s="255">
        <v>0</v>
      </c>
      <c r="DI117" s="255">
        <v>0</v>
      </c>
      <c r="DJ117" s="255">
        <v>0</v>
      </c>
      <c r="DK117" s="255">
        <v>0</v>
      </c>
      <c r="DL117" s="255">
        <v>0</v>
      </c>
      <c r="DM117" s="255">
        <v>0</v>
      </c>
      <c r="DO117" t="s">
        <v>105</v>
      </c>
      <c r="DP117" s="30">
        <f>IF(OR(MID(TBBP[[#This Row],[Coluna1]],1,1)="1",MID(TBBP[[#This Row],[Coluna1]],1,1)="2"),"-",SUMIFS(117:117,listaPeriodos,$DR$1,listaPeriodos,$DR$2))</f>
        <v>0</v>
      </c>
      <c r="DQ117" s="30">
        <v>65424.883333333331</v>
      </c>
      <c r="DR117" s="30">
        <f t="shared" si="89"/>
        <v>392549.3</v>
      </c>
      <c r="DS117" s="30"/>
      <c r="DT117" s="30"/>
      <c r="DU117"/>
    </row>
    <row r="118" spans="1:125" x14ac:dyDescent="0.3">
      <c r="A118" s="70" t="s">
        <v>80</v>
      </c>
      <c r="B118" s="65" t="s">
        <v>106</v>
      </c>
      <c r="C118" s="65">
        <f>C111+C116+C117</f>
        <v>5586080.8100000005</v>
      </c>
      <c r="D118" s="65">
        <f t="shared" ref="D118:AM118" si="139">D111+D116+D117</f>
        <v>5868027.9599999944</v>
      </c>
      <c r="E118" s="65">
        <f t="shared" si="139"/>
        <v>7366916.9599999962</v>
      </c>
      <c r="F118" s="65">
        <f t="shared" si="139"/>
        <v>5275220.2600000035</v>
      </c>
      <c r="G118" s="65">
        <f t="shared" si="139"/>
        <v>4252238.4499999974</v>
      </c>
      <c r="H118" s="65">
        <f t="shared" si="139"/>
        <v>387773.2300000001</v>
      </c>
      <c r="I118" s="65">
        <f t="shared" si="139"/>
        <v>395463.62999999977</v>
      </c>
      <c r="J118" s="65">
        <f t="shared" si="139"/>
        <v>604348.01000000013</v>
      </c>
      <c r="K118" s="65">
        <f t="shared" si="139"/>
        <v>557739.49000000022</v>
      </c>
      <c r="L118" s="65">
        <f t="shared" si="139"/>
        <v>261925.21000000011</v>
      </c>
      <c r="M118" s="65">
        <f t="shared" si="139"/>
        <v>296112.45000000013</v>
      </c>
      <c r="N118" s="65">
        <f t="shared" si="139"/>
        <v>868422.40000000037</v>
      </c>
      <c r="O118" s="65">
        <f t="shared" si="139"/>
        <v>592205.82999999996</v>
      </c>
      <c r="P118" s="65">
        <f t="shared" si="139"/>
        <v>1360509.4299999997</v>
      </c>
      <c r="Q118" s="65">
        <f t="shared" si="139"/>
        <v>692934.13999999943</v>
      </c>
      <c r="R118" s="65">
        <f t="shared" si="139"/>
        <v>125067.79000000036</v>
      </c>
      <c r="S118" s="65">
        <f t="shared" si="139"/>
        <v>353944.5199999999</v>
      </c>
      <c r="T118" s="65">
        <f>IF(OR(MID(TBBP[[#This Row],[Coluna1]],1,1)="1",MID(TBBP[[#This Row],[Coluna1]],1,1)="2"),TBBP[[#This Row],[Coluna19]],SUM(H118:S118))</f>
        <v>6496446.1299999999</v>
      </c>
      <c r="U118" s="65">
        <f t="shared" si="139"/>
        <v>370463.81000000046</v>
      </c>
      <c r="V118" s="65">
        <f t="shared" si="139"/>
        <v>332080.43999999954</v>
      </c>
      <c r="W118" s="65">
        <f t="shared" si="139"/>
        <v>513851.21000000014</v>
      </c>
      <c r="X118" s="65">
        <f t="shared" si="139"/>
        <v>750769.68999999971</v>
      </c>
      <c r="Y118" s="65">
        <f t="shared" si="139"/>
        <v>716735.17999999982</v>
      </c>
      <c r="Z118" s="65">
        <f t="shared" si="139"/>
        <v>225139.47999999975</v>
      </c>
      <c r="AA118" s="65">
        <f t="shared" si="139"/>
        <v>989101.61000000045</v>
      </c>
      <c r="AB118" s="65">
        <f t="shared" si="139"/>
        <v>528324.91999999969</v>
      </c>
      <c r="AC118" s="65">
        <f t="shared" si="139"/>
        <v>1029638.8399999994</v>
      </c>
      <c r="AD118" s="65">
        <f t="shared" si="139"/>
        <v>1086391.8299999998</v>
      </c>
      <c r="AE118" s="65">
        <f t="shared" si="139"/>
        <v>563940.36000000022</v>
      </c>
      <c r="AF118" s="65">
        <f t="shared" si="139"/>
        <v>544476.76999999979</v>
      </c>
      <c r="AG118" s="65">
        <f>IF(OR(MID(TBBP[[#This Row],[Coluna1]],1,1)="1",MID(TBBP[[#This Row],[Coluna1]],1,1)="2"),TBBP[[#This Row],[Coluna32]],SUM(U118:AF118))</f>
        <v>7650914.1399999997</v>
      </c>
      <c r="AH118" s="65">
        <f t="shared" si="139"/>
        <v>665642.37999999977</v>
      </c>
      <c r="AI118" s="65">
        <f t="shared" si="139"/>
        <v>376931.19999999984</v>
      </c>
      <c r="AJ118" s="65">
        <f t="shared" si="139"/>
        <v>121214.55999999982</v>
      </c>
      <c r="AK118" s="65">
        <f t="shared" si="139"/>
        <v>255379.59999999998</v>
      </c>
      <c r="AL118" s="65">
        <f t="shared" si="139"/>
        <v>707421.53000000014</v>
      </c>
      <c r="AM118" s="65">
        <f t="shared" si="139"/>
        <v>1672277.2500000002</v>
      </c>
      <c r="AN118" s="65">
        <f t="shared" ref="AN118:AS118" si="140">AN111+AN116+AN117</f>
        <v>1400068.2699999998</v>
      </c>
      <c r="AO118" s="65">
        <f t="shared" si="140"/>
        <v>1508685.4400000006</v>
      </c>
      <c r="AP118" s="65">
        <f t="shared" si="140"/>
        <v>1673307.1100000013</v>
      </c>
      <c r="AQ118" s="65">
        <f t="shared" si="140"/>
        <v>1952731.0900000003</v>
      </c>
      <c r="AR118" s="65">
        <f t="shared" si="140"/>
        <v>1235461.1000000006</v>
      </c>
      <c r="AS118" s="65">
        <f t="shared" si="140"/>
        <v>1464351.1300000011</v>
      </c>
      <c r="AT118" s="65">
        <f>IF(OR(MID(TBBP[[#This Row],[Coluna1]],1,1)="1",MID(TBBP[[#This Row],[Coluna1]],1,1)="2"),TBBP[[#This Row],[Coluna45]],SUM(AH118:AS118))</f>
        <v>13033470.660000002</v>
      </c>
      <c r="AU118" s="65">
        <f t="shared" ref="AU118:BD118" si="141">AU111+AU116+AU117</f>
        <v>1595918.4700000016</v>
      </c>
      <c r="AV118" s="65">
        <f t="shared" si="141"/>
        <v>1171695.6800000011</v>
      </c>
      <c r="AW118" s="65">
        <f t="shared" si="141"/>
        <v>2069022.6399999994</v>
      </c>
      <c r="AX118" s="65">
        <f t="shared" si="141"/>
        <v>2817119.66</v>
      </c>
      <c r="AY118" s="65">
        <f t="shared" si="141"/>
        <v>2689794.2800000007</v>
      </c>
      <c r="AZ118" s="65">
        <f t="shared" si="141"/>
        <v>3217269.69</v>
      </c>
      <c r="BA118" s="65">
        <f t="shared" si="141"/>
        <v>3258935.5200000019</v>
      </c>
      <c r="BB118" s="65">
        <f t="shared" si="141"/>
        <v>3088136.7700000005</v>
      </c>
      <c r="BC118" s="65">
        <f t="shared" si="141"/>
        <v>3410726.63</v>
      </c>
      <c r="BD118" s="65">
        <f t="shared" si="141"/>
        <v>1695368.7299999988</v>
      </c>
      <c r="BE118" s="65">
        <f>BE111+BE116+BE117</f>
        <v>1707487.96</v>
      </c>
      <c r="BF118" s="65">
        <v>1107609.4000000008</v>
      </c>
      <c r="BG118" s="65">
        <f>BG111+BG116+BG117</f>
        <v>27829085.429999981</v>
      </c>
      <c r="BH118" s="65">
        <f t="shared" ref="BH118:BO118" si="142">BH111+BH116+BH117</f>
        <v>1078014.9100000001</v>
      </c>
      <c r="BI118" s="65">
        <f t="shared" si="142"/>
        <v>1582355.3600000003</v>
      </c>
      <c r="BJ118" s="65">
        <f t="shared" si="142"/>
        <v>2465307.0199999986</v>
      </c>
      <c r="BK118" s="65">
        <f t="shared" si="142"/>
        <v>2539394.8900000006</v>
      </c>
      <c r="BL118" s="65">
        <f t="shared" si="142"/>
        <v>2219099.9999999981</v>
      </c>
      <c r="BM118" s="65">
        <f t="shared" si="142"/>
        <v>1971576.8600000006</v>
      </c>
      <c r="BN118" s="65">
        <f t="shared" si="142"/>
        <v>2449230.1399999997</v>
      </c>
      <c r="BO118" s="65">
        <f t="shared" si="142"/>
        <v>2130906.5100000026</v>
      </c>
      <c r="BP118" s="65">
        <v>1904987.4700000014</v>
      </c>
      <c r="BQ118" s="65">
        <f t="shared" ref="BQ118:DM118" si="143">BQ111+BQ116+BQ117</f>
        <v>528587.3399999995</v>
      </c>
      <c r="BR118" s="65">
        <f t="shared" si="143"/>
        <v>2209015.5999999987</v>
      </c>
      <c r="BS118" s="65">
        <f t="shared" si="143"/>
        <v>206430.68000000034</v>
      </c>
      <c r="BT118" s="65">
        <f t="shared" si="143"/>
        <v>21284906.780000009</v>
      </c>
      <c r="BU118" s="65">
        <f t="shared" si="143"/>
        <v>664945.6800000004</v>
      </c>
      <c r="BV118" s="65">
        <f t="shared" si="143"/>
        <v>237778.34999999969</v>
      </c>
      <c r="BW118" s="65">
        <f t="shared" si="143"/>
        <v>979723.13999999978</v>
      </c>
      <c r="BX118" s="65">
        <f t="shared" si="143"/>
        <v>1395186.4999999995</v>
      </c>
      <c r="BY118" s="65">
        <f t="shared" si="143"/>
        <v>2812562.09</v>
      </c>
      <c r="BZ118" s="65">
        <f t="shared" si="143"/>
        <v>2153089.4200000018</v>
      </c>
      <c r="CA118" s="65">
        <f t="shared" si="143"/>
        <v>626690.14000000013</v>
      </c>
      <c r="CB118" s="65">
        <f t="shared" si="143"/>
        <v>1632961.3399999982</v>
      </c>
      <c r="CC118" s="65">
        <f t="shared" si="143"/>
        <v>940489.04999999946</v>
      </c>
      <c r="CD118" s="65">
        <f t="shared" si="143"/>
        <v>2194178.169999999</v>
      </c>
      <c r="CE118" s="65">
        <f t="shared" si="143"/>
        <v>558011.54</v>
      </c>
      <c r="CF118" s="65">
        <v>2125382.9000000004</v>
      </c>
      <c r="CG118" s="65">
        <f t="shared" si="143"/>
        <v>17314455.319999989</v>
      </c>
      <c r="CH118" s="65">
        <f t="shared" si="143"/>
        <v>1006295.8899999994</v>
      </c>
      <c r="CI118" s="65">
        <f t="shared" si="143"/>
        <v>1857171.8699999978</v>
      </c>
      <c r="CJ118" s="65">
        <f t="shared" si="143"/>
        <v>842716.15</v>
      </c>
      <c r="CK118" s="65">
        <f t="shared" si="143"/>
        <v>3032197.9199999981</v>
      </c>
      <c r="CL118" s="65">
        <f t="shared" si="143"/>
        <v>1493172.9200000002</v>
      </c>
      <c r="CM118" s="65">
        <f t="shared" si="143"/>
        <v>1915715.9199999983</v>
      </c>
      <c r="CN118" s="65">
        <f t="shared" si="143"/>
        <v>1882416.5500000012</v>
      </c>
      <c r="CO118" s="65">
        <f t="shared" si="143"/>
        <v>733728.12000000081</v>
      </c>
      <c r="CP118" s="65">
        <f t="shared" si="143"/>
        <v>1883192.5499999984</v>
      </c>
      <c r="CQ118" s="65">
        <f t="shared" si="143"/>
        <v>825844.64000000013</v>
      </c>
      <c r="CR118" s="65">
        <f t="shared" si="143"/>
        <v>-423474.27999999747</v>
      </c>
      <c r="CS118" s="65">
        <f t="shared" si="143"/>
        <v>2518679.0699999984</v>
      </c>
      <c r="CT118" s="65">
        <f t="shared" si="143"/>
        <v>17567657.320000011</v>
      </c>
      <c r="CU118" s="65">
        <f t="shared" si="143"/>
        <v>1388951.2799999979</v>
      </c>
      <c r="CV118" s="65">
        <f t="shared" si="143"/>
        <v>1269673.2799999989</v>
      </c>
      <c r="CW118" s="65">
        <f t="shared" si="143"/>
        <v>1608691.8799999976</v>
      </c>
      <c r="CX118" s="65">
        <f t="shared" si="143"/>
        <v>2924259.9099999997</v>
      </c>
      <c r="CY118" s="65">
        <f t="shared" si="143"/>
        <v>2927389.5399999991</v>
      </c>
      <c r="CZ118" s="65">
        <f t="shared" si="143"/>
        <v>-824684.97999999905</v>
      </c>
      <c r="DA118" s="65">
        <f t="shared" si="143"/>
        <v>293863.15999999788</v>
      </c>
      <c r="DB118" s="65">
        <f t="shared" si="143"/>
        <v>1560305.850000002</v>
      </c>
      <c r="DC118" s="65">
        <f t="shared" si="143"/>
        <v>424763.6399999999</v>
      </c>
      <c r="DD118" s="65">
        <f t="shared" si="143"/>
        <v>777716.85000000137</v>
      </c>
      <c r="DE118" s="65">
        <f t="shared" si="143"/>
        <v>848256.84999999846</v>
      </c>
      <c r="DF118" s="65">
        <f t="shared" si="143"/>
        <v>173742.64999999994</v>
      </c>
      <c r="DG118" s="65">
        <f>SUM(TBBP[[#This Row],[Coluna287]:[Coluna298]])</f>
        <v>13372929.909999995</v>
      </c>
      <c r="DH118" s="65">
        <f t="shared" si="143"/>
        <v>1239022.5499999989</v>
      </c>
      <c r="DI118" s="65">
        <f t="shared" si="143"/>
        <v>356100.98999999807</v>
      </c>
      <c r="DJ118" s="65">
        <f t="shared" si="143"/>
        <v>423015.5699999975</v>
      </c>
      <c r="DK118" s="65">
        <f t="shared" si="143"/>
        <v>2325782.7299999977</v>
      </c>
      <c r="DL118" s="65">
        <f t="shared" si="143"/>
        <v>320849.69999999809</v>
      </c>
      <c r="DM118" s="65">
        <f t="shared" si="143"/>
        <v>686167.40999999852</v>
      </c>
      <c r="DO118" t="s">
        <v>106</v>
      </c>
      <c r="DP118" s="30">
        <f>IF(OR(MID(TBBP[[#This Row],[Coluna1]],1,1)="1",MID(TBBP[[#This Row],[Coluna1]],1,1)="2"),"-",SUMIFS(118:118,listaPeriodos,$DR$1,listaPeriodos,$DR$2))</f>
        <v>5350938.949999989</v>
      </c>
      <c r="DQ118" s="30">
        <v>2554938.1500000004</v>
      </c>
      <c r="DR118" s="30">
        <f t="shared" si="89"/>
        <v>15329628.900000002</v>
      </c>
      <c r="DS118" s="30"/>
      <c r="DT118" s="30"/>
      <c r="DU118"/>
    </row>
    <row r="119" spans="1:125" x14ac:dyDescent="0.3">
      <c r="A119" s="7" t="s">
        <v>140</v>
      </c>
      <c r="B119" t="s">
        <v>107</v>
      </c>
      <c r="C119" s="4">
        <v>2500</v>
      </c>
      <c r="D119" s="4">
        <v>1504.6799999999996</v>
      </c>
      <c r="E119" s="4">
        <v>-15437.440000000002</v>
      </c>
      <c r="F119" s="4">
        <v>10180.129999999996</v>
      </c>
      <c r="G119" s="4">
        <v>18660.93</v>
      </c>
      <c r="H119" s="4">
        <v>800</v>
      </c>
      <c r="I119" s="4">
        <v>0</v>
      </c>
      <c r="J119" s="4">
        <v>-1000</v>
      </c>
      <c r="K119" s="4">
        <v>-5000</v>
      </c>
      <c r="L119" s="4">
        <v>-3000</v>
      </c>
      <c r="M119" s="4">
        <v>0</v>
      </c>
      <c r="N119" s="4">
        <v>-114854.45</v>
      </c>
      <c r="O119" s="4">
        <v>70000</v>
      </c>
      <c r="P119" s="4">
        <v>-49666.67</v>
      </c>
      <c r="Q119" s="4">
        <v>17000</v>
      </c>
      <c r="R119" s="4"/>
      <c r="S119" s="4">
        <v>0</v>
      </c>
      <c r="T119" s="4">
        <f>IF(OR(MID(TBBP[[#This Row],[Coluna1]],1,1)="1",MID(TBBP[[#This Row],[Coluna1]],1,1)="2"),TBBP[[#This Row],[Coluna19]],SUM(H119:S119))</f>
        <v>-85721.12</v>
      </c>
      <c r="U119" s="4">
        <v>0</v>
      </c>
      <c r="V119" s="4">
        <v>22636.87</v>
      </c>
      <c r="W119" s="4">
        <v>0</v>
      </c>
      <c r="X119" s="4">
        <v>0</v>
      </c>
      <c r="Y119" s="4">
        <v>1000</v>
      </c>
      <c r="Z119" s="4">
        <v>-9566.67</v>
      </c>
      <c r="AA119" s="4">
        <v>0</v>
      </c>
      <c r="AB119" s="4">
        <v>0</v>
      </c>
      <c r="AC119" s="4">
        <v>1000</v>
      </c>
      <c r="AD119" s="4">
        <v>-4400</v>
      </c>
      <c r="AE119" s="4">
        <v>-25000</v>
      </c>
      <c r="AF119" s="4">
        <v>0</v>
      </c>
      <c r="AG119" s="4">
        <f>IF(OR(MID(TBBP[[#This Row],[Coluna1]],1,1)="1",MID(TBBP[[#This Row],[Coluna1]],1,1)="2"),TBBP[[#This Row],[Coluna32]],SUM(U119:AF119))</f>
        <v>-14329.800000000001</v>
      </c>
      <c r="AH119" s="4">
        <v>0</v>
      </c>
      <c r="AI119" s="4">
        <v>0</v>
      </c>
      <c r="AJ119" s="4">
        <v>0</v>
      </c>
      <c r="AK119" s="4">
        <v>0</v>
      </c>
      <c r="AL119" s="4">
        <v>0</v>
      </c>
      <c r="AM119" s="4">
        <v>0</v>
      </c>
      <c r="AN119" s="4">
        <v>0</v>
      </c>
      <c r="AO119" s="4">
        <v>-4500</v>
      </c>
      <c r="AP119" s="4">
        <v>-900</v>
      </c>
      <c r="AQ119" s="4">
        <v>0</v>
      </c>
      <c r="AR119" s="4">
        <v>124299.00000000003</v>
      </c>
      <c r="AS119" s="4">
        <v>-3000</v>
      </c>
      <c r="AT119" s="4">
        <f>IF(OR(MID(TBBP[[#This Row],[Coluna1]],1,1)="1",MID(TBBP[[#This Row],[Coluna1]],1,1)="2"),TBBP[[#This Row],[Coluna45]],SUM(AH119:AS119))</f>
        <v>115899.00000000003</v>
      </c>
      <c r="AU119" s="4">
        <v>0</v>
      </c>
      <c r="AV119" s="4">
        <v>0</v>
      </c>
      <c r="AW119" s="4">
        <v>0</v>
      </c>
      <c r="AX119" s="4">
        <v>4664.1699999999983</v>
      </c>
      <c r="AY119" s="4">
        <v>0</v>
      </c>
      <c r="AZ119" s="4">
        <v>0</v>
      </c>
      <c r="BA119" s="4">
        <v>0</v>
      </c>
      <c r="BB119" s="4">
        <v>1600.6500000000233</v>
      </c>
      <c r="BC119" s="4">
        <v>0</v>
      </c>
      <c r="BD119" s="4">
        <v>1525</v>
      </c>
      <c r="BE119" s="4">
        <v>67191.67</v>
      </c>
      <c r="BF119" s="4">
        <v>247702.22999999998</v>
      </c>
      <c r="BG119" s="4">
        <f>IF(OR(MID(TBBP[[#This Row],[Coluna1]],1,1)="1",MID(TBBP[[#This Row],[Coluna1]],1,1)="2"),TBBP[[#This Row],[Coluna58]],SUM(AU119:BF119))</f>
        <v>322683.71999999997</v>
      </c>
      <c r="BH119" s="4">
        <v>26833.330000000016</v>
      </c>
      <c r="BI119" s="4">
        <v>36136.339999999851</v>
      </c>
      <c r="BJ119" s="4">
        <v>6241.6699999999837</v>
      </c>
      <c r="BK119" s="4">
        <v>1525</v>
      </c>
      <c r="BL119" s="4">
        <v>1525</v>
      </c>
      <c r="BM119" s="4">
        <v>-14475</v>
      </c>
      <c r="BN119" s="4">
        <v>4087.77</v>
      </c>
      <c r="BO119" s="4">
        <v>1525</v>
      </c>
      <c r="BP119" s="4">
        <v>145431.39000000001</v>
      </c>
      <c r="BQ119" s="4">
        <v>-133.23000000000002</v>
      </c>
      <c r="BR119" s="4">
        <v>1525</v>
      </c>
      <c r="BS119" s="4">
        <v>1525</v>
      </c>
      <c r="BT119" s="4">
        <f>IF(OR(MID(TBBP[[#This Row],[Coluna1]],1,1)="1",MID(TBBP[[#This Row],[Coluna1]],1,1)="2"),TBBP[[#This Row],[Coluna127]],SUM(BH119:BS119))</f>
        <v>211747.26999999984</v>
      </c>
      <c r="BU119" s="4">
        <v>1525</v>
      </c>
      <c r="BV119" s="4">
        <v>1525</v>
      </c>
      <c r="BW119" s="4">
        <v>1525</v>
      </c>
      <c r="BX119" s="4">
        <v>1525</v>
      </c>
      <c r="BY119" s="4">
        <v>1525</v>
      </c>
      <c r="BZ119" s="4">
        <v>1525</v>
      </c>
      <c r="CA119" s="4">
        <v>4035.62</v>
      </c>
      <c r="CB119" s="4">
        <v>1525</v>
      </c>
      <c r="CC119" s="4">
        <v>2525</v>
      </c>
      <c r="CD119" s="4">
        <v>1525</v>
      </c>
      <c r="CE119" s="4">
        <v>-41016.660000000003</v>
      </c>
      <c r="CF119" s="4">
        <v>-2263</v>
      </c>
      <c r="CG119" s="4">
        <f>IF(OR(MID(TBBP[[#This Row],[Coluna1]],1,1)="1",MID(TBBP[[#This Row],[Coluna1]],1,1)="2"),CF119,SUM(BU119:CF119))</f>
        <v>-24519.040000000005</v>
      </c>
      <c r="CH119" s="4">
        <v>-475</v>
      </c>
      <c r="CI119" s="4">
        <v>-1975</v>
      </c>
      <c r="CJ119" s="4">
        <v>1525</v>
      </c>
      <c r="CK119" s="4">
        <v>-3491.9</v>
      </c>
      <c r="CL119" s="4">
        <v>550</v>
      </c>
      <c r="CM119" s="4">
        <v>-475</v>
      </c>
      <c r="CN119" s="4">
        <v>11525</v>
      </c>
      <c r="CO119" s="4">
        <v>11525</v>
      </c>
      <c r="CP119" s="4">
        <v>10000</v>
      </c>
      <c r="CQ119" s="4">
        <v>10000</v>
      </c>
      <c r="CR119" s="4">
        <v>-27333.320000000007</v>
      </c>
      <c r="CS119" s="4">
        <v>10000</v>
      </c>
      <c r="CT119" s="4">
        <f>IF(OR(MID(TBBP[[#This Row],[Coluna1]],1,1)="1",MID(TBBP[[#This Row],[Coluna1]],1,1)="2"),CS119,SUM(CH119:CS119))</f>
        <v>21374.779999999992</v>
      </c>
      <c r="CU119" s="255">
        <v>10000</v>
      </c>
      <c r="CV119" s="255">
        <v>10001.799999999999</v>
      </c>
      <c r="CW119" s="255">
        <v>8200</v>
      </c>
      <c r="CX119" s="255">
        <v>18592.47</v>
      </c>
      <c r="CY119" s="255">
        <v>5898.97</v>
      </c>
      <c r="CZ119" s="255">
        <v>8444.4500000000007</v>
      </c>
      <c r="DA119" s="255">
        <v>8444.4500000000007</v>
      </c>
      <c r="DB119" s="255">
        <v>8444.4500000000007</v>
      </c>
      <c r="DC119" s="255">
        <v>8976.4500000000007</v>
      </c>
      <c r="DD119" s="255">
        <v>6776.4599999999627</v>
      </c>
      <c r="DE119" s="255">
        <v>27932</v>
      </c>
      <c r="DF119" s="255">
        <v>8976.4500000000007</v>
      </c>
      <c r="DG119" s="255">
        <f>SUM(TBBP[[#This Row],[Coluna287]:[Coluna298]])</f>
        <v>130687.94999999995</v>
      </c>
      <c r="DH119" s="255">
        <v>8976.4500000000007</v>
      </c>
      <c r="DI119" s="255">
        <v>10532</v>
      </c>
      <c r="DJ119" s="255">
        <v>85532</v>
      </c>
      <c r="DK119" s="255">
        <v>9532</v>
      </c>
      <c r="DL119" s="255">
        <v>10352.9</v>
      </c>
      <c r="DM119" s="255">
        <v>53270</v>
      </c>
      <c r="DO119" t="s">
        <v>107</v>
      </c>
      <c r="DP119" s="30">
        <f>IF(OR(MID(TBBP[[#This Row],[Coluna1]],1,1)="1",MID(TBBP[[#This Row],[Coluna1]],1,1)="2"),"-",SUMIFS(119:119,listaPeriodos,$DR$1,listaPeriodos,$DR$2))</f>
        <v>178195.34999999998</v>
      </c>
      <c r="DQ119" s="30">
        <v>11776.478999999999</v>
      </c>
      <c r="DR119" s="30">
        <f t="shared" si="89"/>
        <v>70658.873999999996</v>
      </c>
      <c r="DS119" s="30"/>
      <c r="DT119" s="30"/>
      <c r="DU119"/>
    </row>
    <row r="120" spans="1:125" x14ac:dyDescent="0.3">
      <c r="A120" s="70" t="s">
        <v>80</v>
      </c>
      <c r="B120" s="65" t="s">
        <v>108</v>
      </c>
      <c r="C120" s="65">
        <f>C118+C119</f>
        <v>5588580.8100000005</v>
      </c>
      <c r="D120" s="65">
        <f t="shared" ref="D120:AJ120" si="144">D118+D119</f>
        <v>5869532.6399999941</v>
      </c>
      <c r="E120" s="65">
        <f t="shared" si="144"/>
        <v>7351479.5199999958</v>
      </c>
      <c r="F120" s="65">
        <f t="shared" si="144"/>
        <v>5285400.3900000034</v>
      </c>
      <c r="G120" s="65">
        <f t="shared" si="144"/>
        <v>4270899.3799999971</v>
      </c>
      <c r="H120" s="65">
        <f t="shared" si="144"/>
        <v>388573.2300000001</v>
      </c>
      <c r="I120" s="65">
        <f t="shared" si="144"/>
        <v>395463.62999999977</v>
      </c>
      <c r="J120" s="65">
        <f t="shared" si="144"/>
        <v>603348.01000000013</v>
      </c>
      <c r="K120" s="65">
        <f t="shared" si="144"/>
        <v>552739.49000000022</v>
      </c>
      <c r="L120" s="65">
        <f t="shared" si="144"/>
        <v>258925.21000000011</v>
      </c>
      <c r="M120" s="65">
        <f t="shared" si="144"/>
        <v>296112.45000000013</v>
      </c>
      <c r="N120" s="65">
        <f t="shared" si="144"/>
        <v>753567.95000000042</v>
      </c>
      <c r="O120" s="65">
        <f t="shared" si="144"/>
        <v>662205.82999999996</v>
      </c>
      <c r="P120" s="65">
        <f t="shared" si="144"/>
        <v>1310842.7599999998</v>
      </c>
      <c r="Q120" s="65">
        <f t="shared" si="144"/>
        <v>709934.13999999943</v>
      </c>
      <c r="R120" s="65">
        <f t="shared" si="144"/>
        <v>125067.79000000036</v>
      </c>
      <c r="S120" s="65">
        <f t="shared" si="144"/>
        <v>353944.5199999999</v>
      </c>
      <c r="T120" s="65">
        <f>IF(OR(MID(TBBP[[#This Row],[Coluna1]],1,1)="1",MID(TBBP[[#This Row],[Coluna1]],1,1)="2"),TBBP[[#This Row],[Coluna19]],SUM(H120:S120))</f>
        <v>6410725.0099999998</v>
      </c>
      <c r="U120" s="65">
        <f t="shared" si="144"/>
        <v>370463.81000000046</v>
      </c>
      <c r="V120" s="65">
        <f t="shared" si="144"/>
        <v>354717.30999999953</v>
      </c>
      <c r="W120" s="65">
        <f t="shared" si="144"/>
        <v>513851.21000000014</v>
      </c>
      <c r="X120" s="65">
        <f t="shared" si="144"/>
        <v>750769.68999999971</v>
      </c>
      <c r="Y120" s="65">
        <f t="shared" si="144"/>
        <v>717735.17999999982</v>
      </c>
      <c r="Z120" s="65">
        <f t="shared" si="144"/>
        <v>215572.80999999974</v>
      </c>
      <c r="AA120" s="65">
        <f t="shared" si="144"/>
        <v>989101.61000000045</v>
      </c>
      <c r="AB120" s="65">
        <f t="shared" si="144"/>
        <v>528324.91999999969</v>
      </c>
      <c r="AC120" s="65">
        <f t="shared" si="144"/>
        <v>1030638.8399999994</v>
      </c>
      <c r="AD120" s="65">
        <f t="shared" si="144"/>
        <v>1081991.8299999998</v>
      </c>
      <c r="AE120" s="65">
        <f t="shared" si="144"/>
        <v>538940.36000000022</v>
      </c>
      <c r="AF120" s="65">
        <f t="shared" si="144"/>
        <v>544476.76999999979</v>
      </c>
      <c r="AG120" s="65">
        <f>IF(OR(MID(TBBP[[#This Row],[Coluna1]],1,1)="1",MID(TBBP[[#This Row],[Coluna1]],1,1)="2"),TBBP[[#This Row],[Coluna32]],SUM(U120:AF120))</f>
        <v>7636584.3399999989</v>
      </c>
      <c r="AH120" s="65">
        <f t="shared" si="144"/>
        <v>665642.37999999977</v>
      </c>
      <c r="AI120" s="65">
        <f t="shared" si="144"/>
        <v>376931.19999999984</v>
      </c>
      <c r="AJ120" s="65">
        <f t="shared" si="144"/>
        <v>121214.55999999982</v>
      </c>
      <c r="AK120" s="65">
        <f t="shared" ref="AK120:AS120" si="145">AK118+AK119</f>
        <v>255379.59999999998</v>
      </c>
      <c r="AL120" s="65">
        <f t="shared" si="145"/>
        <v>707421.53000000014</v>
      </c>
      <c r="AM120" s="65">
        <f t="shared" si="145"/>
        <v>1672277.2500000002</v>
      </c>
      <c r="AN120" s="65">
        <f t="shared" si="145"/>
        <v>1400068.2699999998</v>
      </c>
      <c r="AO120" s="65">
        <f t="shared" si="145"/>
        <v>1504185.4400000006</v>
      </c>
      <c r="AP120" s="65">
        <f t="shared" si="145"/>
        <v>1672407.1100000013</v>
      </c>
      <c r="AQ120" s="65">
        <f t="shared" si="145"/>
        <v>1952731.0900000003</v>
      </c>
      <c r="AR120" s="65">
        <f t="shared" si="145"/>
        <v>1359760.1000000006</v>
      </c>
      <c r="AS120" s="65">
        <f t="shared" si="145"/>
        <v>1461351.1300000011</v>
      </c>
      <c r="AT120" s="65">
        <f>IF(OR(MID(TBBP[[#This Row],[Coluna1]],1,1)="1",MID(TBBP[[#This Row],[Coluna1]],1,1)="2"),TBBP[[#This Row],[Coluna45]],SUM(AH120:AS120))</f>
        <v>13149369.660000002</v>
      </c>
      <c r="AU120" s="65">
        <f t="shared" ref="AU120:BD120" si="146">AU118+AU119</f>
        <v>1595918.4700000016</v>
      </c>
      <c r="AV120" s="65">
        <f t="shared" si="146"/>
        <v>1171695.6800000011</v>
      </c>
      <c r="AW120" s="65">
        <f t="shared" si="146"/>
        <v>2069022.6399999994</v>
      </c>
      <c r="AX120" s="65">
        <f t="shared" si="146"/>
        <v>2821783.83</v>
      </c>
      <c r="AY120" s="65">
        <f t="shared" si="146"/>
        <v>2689794.2800000007</v>
      </c>
      <c r="AZ120" s="65">
        <f t="shared" si="146"/>
        <v>3217269.69</v>
      </c>
      <c r="BA120" s="65">
        <f t="shared" si="146"/>
        <v>3258935.5200000019</v>
      </c>
      <c r="BB120" s="65">
        <f t="shared" si="146"/>
        <v>3089737.4200000004</v>
      </c>
      <c r="BC120" s="65">
        <f t="shared" si="146"/>
        <v>3410726.63</v>
      </c>
      <c r="BD120" s="65">
        <f t="shared" si="146"/>
        <v>1696893.7299999988</v>
      </c>
      <c r="BE120" s="65">
        <f>BE118+BE119</f>
        <v>1774679.63</v>
      </c>
      <c r="BF120" s="65">
        <v>1355311.6300000008</v>
      </c>
      <c r="BG120" s="65">
        <f>BG118+BG119</f>
        <v>28151769.14999998</v>
      </c>
      <c r="BH120" s="65">
        <f t="shared" ref="BH120:BO120" si="147">BH118+BH119</f>
        <v>1104848.2400000002</v>
      </c>
      <c r="BI120" s="65">
        <f t="shared" si="147"/>
        <v>1618491.7000000002</v>
      </c>
      <c r="BJ120" s="65">
        <f t="shared" si="147"/>
        <v>2471548.6899999985</v>
      </c>
      <c r="BK120" s="65">
        <f t="shared" si="147"/>
        <v>2540919.8900000006</v>
      </c>
      <c r="BL120" s="65">
        <f t="shared" si="147"/>
        <v>2220624.9999999981</v>
      </c>
      <c r="BM120" s="65">
        <f t="shared" si="147"/>
        <v>1957101.8600000006</v>
      </c>
      <c r="BN120" s="65">
        <f t="shared" si="147"/>
        <v>2453317.9099999997</v>
      </c>
      <c r="BO120" s="65">
        <f t="shared" si="147"/>
        <v>2132431.5100000026</v>
      </c>
      <c r="BP120" s="65">
        <v>2050418.8600000013</v>
      </c>
      <c r="BQ120" s="65">
        <f t="shared" ref="BQ120:CE120" si="148">BQ118+BQ119</f>
        <v>528454.10999999952</v>
      </c>
      <c r="BR120" s="65">
        <f t="shared" si="148"/>
        <v>2210540.5999999987</v>
      </c>
      <c r="BS120" s="65">
        <f t="shared" si="148"/>
        <v>207955.68000000034</v>
      </c>
      <c r="BT120" s="65">
        <f t="shared" si="148"/>
        <v>21496654.050000008</v>
      </c>
      <c r="BU120" s="65">
        <f t="shared" si="148"/>
        <v>666470.6800000004</v>
      </c>
      <c r="BV120" s="65">
        <f t="shared" si="148"/>
        <v>239303.34999999969</v>
      </c>
      <c r="BW120" s="65">
        <f t="shared" si="148"/>
        <v>981248.13999999978</v>
      </c>
      <c r="BX120" s="65">
        <f t="shared" si="148"/>
        <v>1396711.4999999995</v>
      </c>
      <c r="BY120" s="65">
        <f t="shared" si="148"/>
        <v>2814087.09</v>
      </c>
      <c r="BZ120" s="65">
        <f t="shared" si="148"/>
        <v>2154614.4200000018</v>
      </c>
      <c r="CA120" s="65">
        <f t="shared" si="148"/>
        <v>630725.76000000013</v>
      </c>
      <c r="CB120" s="65">
        <f t="shared" si="148"/>
        <v>1634486.3399999982</v>
      </c>
      <c r="CC120" s="65">
        <f t="shared" si="148"/>
        <v>943014.04999999946</v>
      </c>
      <c r="CD120" s="65">
        <f t="shared" si="148"/>
        <v>2195703.169999999</v>
      </c>
      <c r="CE120" s="65">
        <f t="shared" si="148"/>
        <v>516994.88</v>
      </c>
      <c r="CF120" s="65">
        <v>2123119.9000000004</v>
      </c>
      <c r="CG120" s="65">
        <f t="shared" ref="CG120:CT120" si="149">CG118+CG119</f>
        <v>17289936.27999999</v>
      </c>
      <c r="CH120" s="65">
        <f t="shared" si="149"/>
        <v>1005820.8899999994</v>
      </c>
      <c r="CI120" s="65">
        <f t="shared" si="149"/>
        <v>1855196.8699999978</v>
      </c>
      <c r="CJ120" s="65">
        <f t="shared" si="149"/>
        <v>844241.15</v>
      </c>
      <c r="CK120" s="65">
        <f>CK118+CK119</f>
        <v>3028706.0199999982</v>
      </c>
      <c r="CL120" s="65">
        <f t="shared" si="149"/>
        <v>1493722.9200000002</v>
      </c>
      <c r="CM120" s="65">
        <f t="shared" si="149"/>
        <v>1915240.9199999983</v>
      </c>
      <c r="CN120" s="65">
        <f t="shared" si="149"/>
        <v>1893941.5500000012</v>
      </c>
      <c r="CO120" s="65">
        <f>CO118+CO119</f>
        <v>745253.12000000081</v>
      </c>
      <c r="CP120" s="65">
        <f t="shared" si="149"/>
        <v>1893192.5499999984</v>
      </c>
      <c r="CQ120" s="65">
        <f>CQ118+CQ119</f>
        <v>835844.64000000013</v>
      </c>
      <c r="CR120" s="65">
        <f t="shared" si="149"/>
        <v>-450807.59999999747</v>
      </c>
      <c r="CS120" s="65">
        <f t="shared" si="149"/>
        <v>2528679.0699999984</v>
      </c>
      <c r="CT120" s="65">
        <f t="shared" si="149"/>
        <v>17589032.100000013</v>
      </c>
      <c r="CU120" s="65">
        <f t="shared" ref="CU120:DM120" si="150">CU118+CU119</f>
        <v>1398951.2799999979</v>
      </c>
      <c r="CV120" s="65">
        <f t="shared" si="150"/>
        <v>1279675.0799999989</v>
      </c>
      <c r="CW120" s="65">
        <f t="shared" si="150"/>
        <v>1616891.8799999976</v>
      </c>
      <c r="CX120" s="65">
        <f t="shared" si="150"/>
        <v>2942852.38</v>
      </c>
      <c r="CY120" s="65">
        <f t="shared" si="150"/>
        <v>2933288.5099999993</v>
      </c>
      <c r="CZ120" s="65">
        <f t="shared" si="150"/>
        <v>-816240.5299999991</v>
      </c>
      <c r="DA120" s="65">
        <f t="shared" si="150"/>
        <v>302307.60999999789</v>
      </c>
      <c r="DB120" s="65">
        <f t="shared" si="150"/>
        <v>1568750.3000000019</v>
      </c>
      <c r="DC120" s="65">
        <f t="shared" si="150"/>
        <v>433740.08999999991</v>
      </c>
      <c r="DD120" s="65">
        <f t="shared" si="150"/>
        <v>784493.31000000134</v>
      </c>
      <c r="DE120" s="65">
        <f t="shared" si="150"/>
        <v>876188.84999999846</v>
      </c>
      <c r="DF120" s="65">
        <f t="shared" si="150"/>
        <v>182719.09999999995</v>
      </c>
      <c r="DG120" s="65">
        <f>SUM(TBBP[[#This Row],[Coluna287]:[Coluna298]])</f>
        <v>13503617.859999992</v>
      </c>
      <c r="DH120" s="65">
        <f t="shared" si="150"/>
        <v>1247998.9999999988</v>
      </c>
      <c r="DI120" s="65">
        <f t="shared" si="150"/>
        <v>366632.98999999807</v>
      </c>
      <c r="DJ120" s="65">
        <f t="shared" si="150"/>
        <v>508547.5699999975</v>
      </c>
      <c r="DK120" s="65">
        <f t="shared" si="150"/>
        <v>2335314.7299999977</v>
      </c>
      <c r="DL120" s="65">
        <f t="shared" si="150"/>
        <v>331202.59999999811</v>
      </c>
      <c r="DM120" s="65">
        <f t="shared" si="150"/>
        <v>739437.40999999852</v>
      </c>
      <c r="DO120" t="s">
        <v>108</v>
      </c>
      <c r="DP120" s="30">
        <f>IF(OR(MID(TBBP[[#This Row],[Coluna1]],1,1)="1",MID(TBBP[[#This Row],[Coluna1]],1,1)="2"),"-",SUMIFS(120:120,listaPeriodos,$DR$1,listaPeriodos,$DR$2))</f>
        <v>5529134.2999999877</v>
      </c>
      <c r="DQ120" s="30">
        <v>2566714.6290000002</v>
      </c>
      <c r="DR120" s="30">
        <f t="shared" si="89"/>
        <v>15400287.774</v>
      </c>
      <c r="DS120" s="30"/>
      <c r="DT120" s="30"/>
      <c r="DU120"/>
    </row>
    <row r="121" spans="1:125" x14ac:dyDescent="0.3">
      <c r="A121" s="67">
        <v>6</v>
      </c>
      <c r="B121" t="s">
        <v>143</v>
      </c>
      <c r="C121" s="4">
        <v>-229164.18</v>
      </c>
      <c r="D121" s="4">
        <v>-307710.54025199998</v>
      </c>
      <c r="E121" s="4">
        <v>-429916.53</v>
      </c>
      <c r="F121" s="4">
        <v>-377956.10263887991</v>
      </c>
      <c r="G121" s="4">
        <v>-389187.38</v>
      </c>
      <c r="H121" s="4">
        <v>-29623.352813999998</v>
      </c>
      <c r="I121" s="4">
        <v>-27922.126967999997</v>
      </c>
      <c r="J121" s="4">
        <v>-36133.749755999997</v>
      </c>
      <c r="K121" s="4">
        <v>-31793.035932000006</v>
      </c>
      <c r="L121" s="4">
        <v>-26095.261104000005</v>
      </c>
      <c r="M121" s="4">
        <v>-31195.240236000001</v>
      </c>
      <c r="N121" s="4">
        <v>-48383.56</v>
      </c>
      <c r="O121" s="4">
        <v>-36049.120000000003</v>
      </c>
      <c r="P121" s="4">
        <v>-68021.59</v>
      </c>
      <c r="Q121" s="4">
        <v>-42711.33</v>
      </c>
      <c r="R121" s="4">
        <v>-24516.26</v>
      </c>
      <c r="S121" s="4">
        <v>-34239.879999999997</v>
      </c>
      <c r="T121" s="4">
        <f>IF(OR(MID(TBBP[[#This Row],[Coluna1]],1,1)="1",MID(TBBP[[#This Row],[Coluna1]],1,1)="2"),TBBP[[#This Row],[Coluna19]],SUM(H121:S121))</f>
        <v>-436684.50680999999</v>
      </c>
      <c r="U121" s="4">
        <v>-37681.78</v>
      </c>
      <c r="V121" s="4">
        <v>-38358.61</v>
      </c>
      <c r="W121" s="4">
        <v>-37914.5</v>
      </c>
      <c r="X121" s="4">
        <v>-43156.15</v>
      </c>
      <c r="Y121" s="4">
        <v>-43449.17</v>
      </c>
      <c r="Z121" s="4">
        <v>-27911.25</v>
      </c>
      <c r="AA121" s="4">
        <v>-53381.61</v>
      </c>
      <c r="AB121" s="4">
        <v>-41435</v>
      </c>
      <c r="AC121" s="4">
        <v>-51237.2</v>
      </c>
      <c r="AD121" s="4">
        <v>-56215.29</v>
      </c>
      <c r="AE121" s="4">
        <v>-41855.230000000003</v>
      </c>
      <c r="AF121" s="4">
        <v>-35015.919999999998</v>
      </c>
      <c r="AG121" s="4">
        <f>IF(OR(MID(TBBP[[#This Row],[Coluna1]],1,1)="1",MID(TBBP[[#This Row],[Coluna1]],1,1)="2"),TBBP[[#This Row],[Coluna32]],SUM(U121:AF121))</f>
        <v>-507611.70999999996</v>
      </c>
      <c r="AH121" s="4">
        <v>-44044.54</v>
      </c>
      <c r="AI121" s="4">
        <v>-36414.379999999997</v>
      </c>
      <c r="AJ121" s="4">
        <v>-28910.34</v>
      </c>
      <c r="AK121" s="4">
        <v>-39568.9</v>
      </c>
      <c r="AL121" s="4">
        <v>-32728.3</v>
      </c>
      <c r="AM121" s="4">
        <v>-58815.11</v>
      </c>
      <c r="AN121" s="4">
        <v>-65671.399999999994</v>
      </c>
      <c r="AO121" s="4">
        <v>-62888.51</v>
      </c>
      <c r="AP121" s="4">
        <v>-68773.86</v>
      </c>
      <c r="AQ121" s="4">
        <v>-84918.52</v>
      </c>
      <c r="AR121" s="4">
        <v>-79202.2</v>
      </c>
      <c r="AS121" s="4">
        <v>-61507.56</v>
      </c>
      <c r="AT121" s="4">
        <f>IF(OR(MID(TBBP[[#This Row],[Coluna1]],1,1)="1",MID(TBBP[[#This Row],[Coluna1]],1,1)="2"),TBBP[[#This Row],[Coluna45]],SUM(AH121:AS121))</f>
        <v>-663443.61999999988</v>
      </c>
      <c r="AU121" s="4">
        <v>-71664.350000000006</v>
      </c>
      <c r="AV121" s="4">
        <v>-75566.92</v>
      </c>
      <c r="AW121" s="4">
        <v>-82169.3</v>
      </c>
      <c r="AX121" s="4">
        <v>-101770.71</v>
      </c>
      <c r="AY121" s="4">
        <v>-104696.46</v>
      </c>
      <c r="AZ121" s="4">
        <f>-119878.8-2.35</f>
        <v>-119881.15000000001</v>
      </c>
      <c r="BA121" s="4">
        <f>-123829.04</f>
        <v>-123829.04</v>
      </c>
      <c r="BB121" s="4">
        <v>-120066</v>
      </c>
      <c r="BC121" s="4">
        <v>-115241.79</v>
      </c>
      <c r="BD121" s="4">
        <v>-105396.1</v>
      </c>
      <c r="BE121" s="4">
        <v>-95117.46</v>
      </c>
      <c r="BF121" s="4">
        <v>-94579.98</v>
      </c>
      <c r="BG121" s="4">
        <f>IF(OR(MID(TBBP[[#This Row],[Coluna1]],1,1)="1",MID(TBBP[[#This Row],[Coluna1]],1,1)="2"),TBBP[[#This Row],[Coluna58]],SUM(AU121:BF121))</f>
        <v>-1209979.26</v>
      </c>
      <c r="BH121" s="93">
        <v>-104115.48</v>
      </c>
      <c r="BI121" s="93">
        <v>-139717.26999999999</v>
      </c>
      <c r="BJ121" s="93">
        <v>-213934.12</v>
      </c>
      <c r="BK121" s="4">
        <v>-217265.47</v>
      </c>
      <c r="BL121" s="4">
        <v>-192428.47</v>
      </c>
      <c r="BM121" s="4">
        <v>-160404.95000000001</v>
      </c>
      <c r="BN121" s="4">
        <v>-196041.21</v>
      </c>
      <c r="BO121" s="4">
        <v>-196431.96</v>
      </c>
      <c r="BP121" s="4">
        <v>-185137.66</v>
      </c>
      <c r="BQ121" s="4">
        <v>-31606.84</v>
      </c>
      <c r="BR121" s="4">
        <v>-190113.42</v>
      </c>
      <c r="BS121" s="4">
        <v>-19171.97</v>
      </c>
      <c r="BT121" s="4">
        <f>IF(OR(MID(TBBP[[#This Row],[Coluna1]],1,1)="1",MID(TBBP[[#This Row],[Coluna1]],1,1)="2"),TBBP[[#This Row],[Coluna127]],SUM(BH121:BS121))</f>
        <v>-1846368.8199999998</v>
      </c>
      <c r="BU121" s="4">
        <v>-41292.639900000002</v>
      </c>
      <c r="BV121" s="4">
        <v>-19682.6067</v>
      </c>
      <c r="BW121" s="4">
        <v>-73379.036699999997</v>
      </c>
      <c r="BX121" s="4">
        <v>-127476.1269</v>
      </c>
      <c r="BY121" s="4">
        <v>-261359.92439999999</v>
      </c>
      <c r="BZ121" s="4">
        <v>-186461.83619999999</v>
      </c>
      <c r="CA121" s="4">
        <v>-60327.283499999998</v>
      </c>
      <c r="CB121" s="4">
        <v>-160252.64910000001</v>
      </c>
      <c r="CC121" s="4">
        <v>-96911.829899999997</v>
      </c>
      <c r="CD121" s="4">
        <v>-214255.9602</v>
      </c>
      <c r="CE121" s="4">
        <v>-42146.553599999999</v>
      </c>
      <c r="CF121" s="4">
        <v>-192454.19459999999</v>
      </c>
      <c r="CG121" s="4">
        <f>SUM(TBBP[[#This Row],[Coluna170]:[Coluna181]])</f>
        <v>-1476000.6417</v>
      </c>
      <c r="CH121" s="4">
        <v>-93393.978300000002</v>
      </c>
      <c r="CI121" s="4">
        <v>-165287.60820000002</v>
      </c>
      <c r="CJ121" s="4">
        <v>-85377.0861</v>
      </c>
      <c r="CK121" s="4">
        <v>-269533.1349</v>
      </c>
      <c r="CL121" s="4">
        <v>-279702.69839999999</v>
      </c>
      <c r="CM121" s="4">
        <v>-199098.36</v>
      </c>
      <c r="CN121" s="4">
        <v>-179947.93</v>
      </c>
      <c r="CO121" s="4">
        <v>-57073.29</v>
      </c>
      <c r="CP121" s="4">
        <v>-154927.69</v>
      </c>
      <c r="CQ121" s="4">
        <v>-138892.88</v>
      </c>
      <c r="CR121" s="4">
        <v>-15846.62</v>
      </c>
      <c r="CS121" s="4">
        <v>-253363.19</v>
      </c>
      <c r="CT121" s="4">
        <f>IF(OR(MID(TBBP[[#This Row],[Coluna1]],1,1)="1",MID(TBBP[[#This Row],[Coluna1]],1,1)="2"),CS121,SUM(CH121:CS121))</f>
        <v>-1892444.4659000002</v>
      </c>
      <c r="CU121" s="255">
        <v>-49554.020699999819</v>
      </c>
      <c r="CV121" s="255">
        <v>-123906.17249999991</v>
      </c>
      <c r="CW121" s="255">
        <v>-129690.83879999976</v>
      </c>
      <c r="CX121" s="255">
        <v>-249462.27629999997</v>
      </c>
      <c r="CY121" s="255">
        <v>-210309.47549999991</v>
      </c>
      <c r="CZ121" s="255">
        <v>83432.947499999907</v>
      </c>
      <c r="DA121" s="255">
        <v>-64701.771299999804</v>
      </c>
      <c r="DB121" s="255">
        <v>-86057.280000000173</v>
      </c>
      <c r="DC121" s="255">
        <v>-15483.246299999992</v>
      </c>
      <c r="DD121" s="255">
        <v>-89112.290400000114</v>
      </c>
      <c r="DE121" s="255">
        <v>-70786.817099999855</v>
      </c>
      <c r="DF121" s="255">
        <v>-20031.883199999993</v>
      </c>
      <c r="DG121" s="255">
        <f>SUM(TBBP[[#This Row],[Coluna287]:[Coluna298]])+155246.88</f>
        <v>-870416.24459999951</v>
      </c>
      <c r="DH121" s="255">
        <v>-116040.83579999988</v>
      </c>
      <c r="DI121" s="255">
        <v>-14346.823499999826</v>
      </c>
      <c r="DJ121" s="255">
        <v>-66893.156099999775</v>
      </c>
      <c r="DK121" s="255">
        <v>-141887.0924999998</v>
      </c>
      <c r="DL121" s="255">
        <v>-51855.64919999984</v>
      </c>
      <c r="DM121" s="255">
        <v>-99936.295199999877</v>
      </c>
      <c r="DO121" t="s">
        <v>143</v>
      </c>
      <c r="DP121" s="30">
        <f>IF(OR(MID(TBBP[[#This Row],[Coluna1]],1,1)="1",MID(TBBP[[#This Row],[Coluna1]],1,1)="2"),"-",SUMIFS(121:121,listaPeriodos,$DR$1,listaPeriodos,$DR$2))</f>
        <v>-490959.85229999904</v>
      </c>
      <c r="DQ121" s="30">
        <v>-235529.58</v>
      </c>
      <c r="DR121" s="30">
        <f t="shared" si="89"/>
        <v>-1413177.48</v>
      </c>
      <c r="DS121" s="30"/>
      <c r="DT121" s="30"/>
      <c r="DU121"/>
    </row>
    <row r="122" spans="1:125" ht="15" thickBot="1" x14ac:dyDescent="0.35">
      <c r="A122" s="67">
        <v>7</v>
      </c>
      <c r="B122" t="s">
        <v>142</v>
      </c>
      <c r="C122" s="4">
        <v>-477392.85</v>
      </c>
      <c r="D122" s="4">
        <v>-652069.53309999988</v>
      </c>
      <c r="E122" s="4">
        <v>-930717.64</v>
      </c>
      <c r="F122" s="4">
        <v>-812978.44180800009</v>
      </c>
      <c r="G122" s="4">
        <v>-864389.01</v>
      </c>
      <c r="H122" s="4">
        <v>-66930.673349999997</v>
      </c>
      <c r="I122" s="4">
        <v>-59952.119200000001</v>
      </c>
      <c r="J122" s="4">
        <v>-74326.827399999995</v>
      </c>
      <c r="K122" s="4">
        <v>-66570.134600000005</v>
      </c>
      <c r="L122" s="4">
        <v>-59445.625700000004</v>
      </c>
      <c r="M122" s="4">
        <v>-64113.344400000002</v>
      </c>
      <c r="N122" s="4">
        <v>-96748.18</v>
      </c>
      <c r="O122" s="4">
        <v>-69665.33</v>
      </c>
      <c r="P122" s="4">
        <v>-124229.6</v>
      </c>
      <c r="Q122" s="4">
        <v>-86770.2</v>
      </c>
      <c r="R122" s="4">
        <v>-46491.12</v>
      </c>
      <c r="S122" s="4">
        <v>-82929.69</v>
      </c>
      <c r="T122" s="4">
        <f>IF(OR(MID(TBBP[[#This Row],[Coluna1]],1,1)="1",MID(TBBP[[#This Row],[Coluna1]],1,1)="2"),TBBP[[#This Row],[Coluna19]],SUM(H122:S122))</f>
        <v>-898172.84464999987</v>
      </c>
      <c r="U122" s="4">
        <v>-78589.968800000002</v>
      </c>
      <c r="V122" s="4">
        <v>-82902.320000000007</v>
      </c>
      <c r="W122" s="4">
        <v>-78813.59</v>
      </c>
      <c r="X122" s="4">
        <v>-89582.73</v>
      </c>
      <c r="Y122" s="4">
        <v>-90215.95</v>
      </c>
      <c r="Z122" s="4">
        <v>-53101.06</v>
      </c>
      <c r="AA122" s="4">
        <v>-120649.92</v>
      </c>
      <c r="AB122" s="4">
        <v>-90275.67</v>
      </c>
      <c r="AC122" s="4">
        <v>-101678.21</v>
      </c>
      <c r="AD122" s="4">
        <v>-116771.99</v>
      </c>
      <c r="AE122" s="4">
        <v>-86424.31</v>
      </c>
      <c r="AF122" s="4">
        <v>-74887.33</v>
      </c>
      <c r="AG122" s="4">
        <f>IF(OR(MID(TBBP[[#This Row],[Coluna1]],1,1)="1",MID(TBBP[[#This Row],[Coluna1]],1,1)="2"),TBBP[[#This Row],[Coluna32]],SUM(U122:AF122))</f>
        <v>-1063893.0488</v>
      </c>
      <c r="AH122" s="4">
        <v>-89934.93</v>
      </c>
      <c r="AI122" s="4">
        <v>-75617.09</v>
      </c>
      <c r="AJ122" s="4">
        <v>-60999.69</v>
      </c>
      <c r="AK122" s="4">
        <v>-90986.68</v>
      </c>
      <c r="AL122" s="4">
        <v>-62209.38</v>
      </c>
      <c r="AM122" s="4">
        <v>-120161.97</v>
      </c>
      <c r="AN122" s="4">
        <v>-136828.31</v>
      </c>
      <c r="AO122" s="4">
        <v>-126319.97</v>
      </c>
      <c r="AP122" s="4">
        <v>-139550.46</v>
      </c>
      <c r="AQ122" s="4">
        <v>-172558.16</v>
      </c>
      <c r="AR122" s="4">
        <v>-169140.96</v>
      </c>
      <c r="AS122" s="4">
        <v>-120891.62</v>
      </c>
      <c r="AT122" s="4">
        <f>IF(OR(MID(TBBP[[#This Row],[Coluna1]],1,1)="1",MID(TBBP[[#This Row],[Coluna1]],1,1)="2"),TBBP[[#This Row],[Coluna45]],SUM(AH122:AS122))</f>
        <v>-1365199.2199999997</v>
      </c>
      <c r="AU122" s="4">
        <v>-143226.51999999999</v>
      </c>
      <c r="AV122" s="4">
        <v>-151105.29</v>
      </c>
      <c r="AW122" s="4">
        <v>-160064.04999999999</v>
      </c>
      <c r="AX122" s="4">
        <v>-202953.34</v>
      </c>
      <c r="AY122" s="4">
        <v>-202227.55</v>
      </c>
      <c r="AZ122" s="4">
        <f>-230870.09-4.36</f>
        <v>-230874.44999999998</v>
      </c>
      <c r="BA122" s="4">
        <f>-239388.26</f>
        <v>-239388.26</v>
      </c>
      <c r="BB122" s="4">
        <v>-237554.31</v>
      </c>
      <c r="BC122" s="4">
        <v>-221603.12</v>
      </c>
      <c r="BD122" s="4">
        <v>-208087.51</v>
      </c>
      <c r="BE122" s="4">
        <v>-195282.79</v>
      </c>
      <c r="BF122" s="4">
        <v>-197481.47</v>
      </c>
      <c r="BG122" s="4">
        <f>IF(OR(MID(TBBP[[#This Row],[Coluna1]],1,1)="1",MID(TBBP[[#This Row],[Coluna1]],1,1)="2"),TBBP[[#This Row],[Coluna58]],SUM(AU122:BF122))</f>
        <v>-2389848.66</v>
      </c>
      <c r="BH122" s="93">
        <v>-287209.67</v>
      </c>
      <c r="BI122" s="93">
        <v>-384103.51</v>
      </c>
      <c r="BJ122" s="93">
        <v>-588261.46</v>
      </c>
      <c r="BK122" s="4">
        <v>-595515.21</v>
      </c>
      <c r="BL122" s="4">
        <v>-524523.53</v>
      </c>
      <c r="BM122" s="4">
        <v>-433569.29</v>
      </c>
      <c r="BN122" s="4">
        <v>-530558.92000000004</v>
      </c>
      <c r="BO122" s="4">
        <v>-529644.35</v>
      </c>
      <c r="BP122" s="4">
        <v>-461271.28</v>
      </c>
      <c r="BQ122" s="4">
        <v>-67796.77</v>
      </c>
      <c r="BR122" s="4">
        <v>-506092.82</v>
      </c>
      <c r="BS122" s="4">
        <f>-31953.285+3000</f>
        <v>-28953.285</v>
      </c>
      <c r="BT122" s="4">
        <f>IF(OR(MID(TBBP[[#This Row],[Coluna1]],1,1)="1",MID(TBBP[[#This Row],[Coluna1]],1,1)="2"),TBBP[[#This Row],[Coluna127]],SUM(BH122:BS122))</f>
        <v>-4937500.0949999997</v>
      </c>
      <c r="BU122" s="4">
        <v>-112701.7775</v>
      </c>
      <c r="BV122" s="4">
        <v>-52673.907500000001</v>
      </c>
      <c r="BW122" s="4">
        <v>-201830.6575</v>
      </c>
      <c r="BX122" s="4">
        <v>-352100.35249999998</v>
      </c>
      <c r="BY122" s="4">
        <v>-723999.79</v>
      </c>
      <c r="BZ122" s="4">
        <v>-515949.54499999998</v>
      </c>
      <c r="CA122" s="4">
        <v>-165575.78750000001</v>
      </c>
      <c r="CB122" s="4">
        <v>-443146.2475</v>
      </c>
      <c r="CC122" s="4">
        <v>-267199.52750000003</v>
      </c>
      <c r="CD122" s="4">
        <v>-593155.44499999995</v>
      </c>
      <c r="CE122" s="4">
        <v>-115073.76</v>
      </c>
      <c r="CF122" s="4">
        <v>-452594.98499999999</v>
      </c>
      <c r="CG122" s="4">
        <f>SUM(TBBP[[#This Row],[Coluna170]:[Coluna181]])</f>
        <v>-3996001.7824999993</v>
      </c>
      <c r="CH122" s="4">
        <v>-257427.71750000003</v>
      </c>
      <c r="CI122" s="4">
        <v>-457132.24500000005</v>
      </c>
      <c r="CJ122" s="4">
        <v>-235158.57250000001</v>
      </c>
      <c r="CK122" s="4">
        <v>-746703.15250000008</v>
      </c>
      <c r="CL122" s="4">
        <v>-774951.94</v>
      </c>
      <c r="CM122" s="4">
        <v>-551050.99249999993</v>
      </c>
      <c r="CN122" s="4">
        <v>-497855.35</v>
      </c>
      <c r="CO122" s="4">
        <v>-156536.91</v>
      </c>
      <c r="CP122" s="4">
        <v>-428354.69</v>
      </c>
      <c r="CQ122" s="4">
        <v>-383813.55</v>
      </c>
      <c r="CR122" s="4">
        <v>-42018.39</v>
      </c>
      <c r="CS122" s="4">
        <f>-701786.65+115000</f>
        <v>-586786.65</v>
      </c>
      <c r="CT122" s="4">
        <f>IF(OR(MID(TBBP[[#This Row],[Coluna1]],1,1)="1",MID(TBBP[[#This Row],[Coluna1]],1,1)="2"),CS122,SUM(CH122:CS122))</f>
        <v>-5117790.16</v>
      </c>
      <c r="CU122" s="255">
        <v>-135650.0574999995</v>
      </c>
      <c r="CV122" s="255">
        <v>-342183.81249999977</v>
      </c>
      <c r="CW122" s="255">
        <v>-358252.32999999938</v>
      </c>
      <c r="CX122" s="255">
        <v>-690950.76749999996</v>
      </c>
      <c r="CY122" s="255">
        <v>-582192.98749999981</v>
      </c>
      <c r="CZ122" s="255">
        <v>233758.19</v>
      </c>
      <c r="DA122" s="255">
        <v>-177727.14249999946</v>
      </c>
      <c r="DB122" s="255">
        <v>-237048.00000000047</v>
      </c>
      <c r="DC122" s="255">
        <v>-41009.01749999998</v>
      </c>
      <c r="DD122" s="255">
        <v>-245534.14000000033</v>
      </c>
      <c r="DE122" s="255">
        <v>-194630.04749999958</v>
      </c>
      <c r="DF122" s="255">
        <v>-53644.119999999981</v>
      </c>
      <c r="DG122" s="255">
        <f>SUM(TBBP[[#This Row],[Coluna287]:[Coluna298]])+136755.68+431241.32</f>
        <v>-2257067.2324999976</v>
      </c>
      <c r="DH122" s="255">
        <v>-320335.65499999968</v>
      </c>
      <c r="DI122" s="255">
        <v>-37852.287499999518</v>
      </c>
      <c r="DJ122" s="255">
        <v>-183814.3224999994</v>
      </c>
      <c r="DK122" s="255">
        <v>-392130.81249999942</v>
      </c>
      <c r="DL122" s="255">
        <v>-142043.46999999956</v>
      </c>
      <c r="DM122" s="255">
        <v>-275600.81999999966</v>
      </c>
      <c r="DO122" t="s">
        <v>142</v>
      </c>
      <c r="DP122" s="30">
        <f>IF(OR(MID(TBBP[[#This Row],[Coluna1]],1,1)="1",MID(TBBP[[#This Row],[Coluna1]],1,1)="2"),"-",SUMIFS(122:122,listaPeriodos,$DR$1,listaPeriodos,$DR$2))</f>
        <v>-1351777.3674999971</v>
      </c>
      <c r="DQ122" s="30">
        <v>-588823.94999999995</v>
      </c>
      <c r="DR122" s="30">
        <f t="shared" si="89"/>
        <v>-3532943.6999999997</v>
      </c>
      <c r="DS122" s="30"/>
      <c r="DT122" s="30"/>
      <c r="DU122"/>
    </row>
    <row r="123" spans="1:125" s="113" customFormat="1" ht="15" thickBot="1" x14ac:dyDescent="0.35">
      <c r="A123" s="111">
        <v>8</v>
      </c>
      <c r="B123" s="112" t="s">
        <v>144</v>
      </c>
      <c r="C123" s="112">
        <f t="shared" ref="C123:AI123" si="151">C120+C121+C122</f>
        <v>4882023.7800000012</v>
      </c>
      <c r="D123" s="112">
        <f t="shared" si="151"/>
        <v>4909752.5666479943</v>
      </c>
      <c r="E123" s="112">
        <f t="shared" si="151"/>
        <v>5990845.3499999959</v>
      </c>
      <c r="F123" s="112">
        <f t="shared" si="151"/>
        <v>4094465.8455531234</v>
      </c>
      <c r="G123" s="112">
        <f t="shared" si="151"/>
        <v>3017322.9899999974</v>
      </c>
      <c r="H123" s="112">
        <f t="shared" si="151"/>
        <v>292019.20383600012</v>
      </c>
      <c r="I123" s="112">
        <f t="shared" si="151"/>
        <v>307589.38383199979</v>
      </c>
      <c r="J123" s="112">
        <f t="shared" si="151"/>
        <v>492887.43284400011</v>
      </c>
      <c r="K123" s="112">
        <f t="shared" si="151"/>
        <v>454376.31946800021</v>
      </c>
      <c r="L123" s="112">
        <f t="shared" si="151"/>
        <v>173384.3231960001</v>
      </c>
      <c r="M123" s="112">
        <f t="shared" si="151"/>
        <v>200803.86536400014</v>
      </c>
      <c r="N123" s="112">
        <f t="shared" si="151"/>
        <v>608436.21000000043</v>
      </c>
      <c r="O123" s="112">
        <f t="shared" si="151"/>
        <v>556491.38</v>
      </c>
      <c r="P123" s="112">
        <f t="shared" si="151"/>
        <v>1118591.5699999996</v>
      </c>
      <c r="Q123" s="112">
        <f t="shared" si="151"/>
        <v>580452.60999999952</v>
      </c>
      <c r="R123" s="112">
        <f t="shared" si="151"/>
        <v>54060.41000000036</v>
      </c>
      <c r="S123" s="112">
        <f t="shared" si="151"/>
        <v>236774.9499999999</v>
      </c>
      <c r="T123" s="112">
        <f>IF(OR(MID(TBBP[[#This Row],[Coluna1]],1,1)="1",MID(TBBP[[#This Row],[Coluna1]],1,1)="2"),TBBP[[#This Row],[Coluna19]],SUM(H123:S123))</f>
        <v>5075867.6585400002</v>
      </c>
      <c r="U123" s="112">
        <f t="shared" si="151"/>
        <v>254192.06120000049</v>
      </c>
      <c r="V123" s="112">
        <f t="shared" si="151"/>
        <v>233456.37999999954</v>
      </c>
      <c r="W123" s="112">
        <f t="shared" si="151"/>
        <v>397123.12000000011</v>
      </c>
      <c r="X123" s="112">
        <f t="shared" si="151"/>
        <v>618030.80999999971</v>
      </c>
      <c r="Y123" s="112">
        <f t="shared" si="151"/>
        <v>584070.05999999982</v>
      </c>
      <c r="Z123" s="112">
        <f t="shared" si="151"/>
        <v>134560.49999999974</v>
      </c>
      <c r="AA123" s="112">
        <f t="shared" si="151"/>
        <v>815070.08000000042</v>
      </c>
      <c r="AB123" s="112">
        <f t="shared" si="151"/>
        <v>396614.24999999971</v>
      </c>
      <c r="AC123" s="112">
        <f t="shared" si="151"/>
        <v>877723.42999999947</v>
      </c>
      <c r="AD123" s="112">
        <f t="shared" si="151"/>
        <v>909004.54999999981</v>
      </c>
      <c r="AE123" s="112">
        <f t="shared" si="151"/>
        <v>410660.82000000024</v>
      </c>
      <c r="AF123" s="112">
        <f t="shared" si="151"/>
        <v>434573.51999999979</v>
      </c>
      <c r="AG123" s="112">
        <f>IF(OR(MID(TBBP[[#This Row],[Coluna1]],1,1)="1",MID(TBBP[[#This Row],[Coluna1]],1,1)="2"),TBBP[[#This Row],[Coluna32]],SUM(U123:AF123))</f>
        <v>6065079.581199999</v>
      </c>
      <c r="AH123" s="112">
        <f t="shared" si="151"/>
        <v>531662.90999999968</v>
      </c>
      <c r="AI123" s="112">
        <f t="shared" si="151"/>
        <v>264899.72999999986</v>
      </c>
      <c r="AJ123" s="112">
        <f t="shared" ref="AJ123:AS123" si="152">AJ120+AJ121+AJ122</f>
        <v>31304.529999999824</v>
      </c>
      <c r="AK123" s="112">
        <f t="shared" si="152"/>
        <v>124824.01999999999</v>
      </c>
      <c r="AL123" s="112">
        <f t="shared" si="152"/>
        <v>612483.85000000009</v>
      </c>
      <c r="AM123" s="112">
        <f t="shared" si="152"/>
        <v>1493300.1700000002</v>
      </c>
      <c r="AN123" s="112">
        <f t="shared" si="152"/>
        <v>1197568.5599999998</v>
      </c>
      <c r="AO123" s="112">
        <f t="shared" si="152"/>
        <v>1314976.9600000007</v>
      </c>
      <c r="AP123" s="112">
        <f t="shared" si="152"/>
        <v>1464082.7900000012</v>
      </c>
      <c r="AQ123" s="112">
        <f t="shared" si="152"/>
        <v>1695254.4100000004</v>
      </c>
      <c r="AR123" s="112">
        <f t="shared" si="152"/>
        <v>1111416.9400000006</v>
      </c>
      <c r="AS123" s="112">
        <f t="shared" si="152"/>
        <v>1278951.9500000011</v>
      </c>
      <c r="AT123" s="112">
        <f>IF(OR(MID(TBBP[[#This Row],[Coluna1]],1,1)="1",MID(TBBP[[#This Row],[Coluna1]],1,1)="2"),TBBP[[#This Row],[Coluna45]],SUM(AH123:AS123))</f>
        <v>11120726.820000004</v>
      </c>
      <c r="AU123" s="112">
        <f>AU120+AU121+AU122</f>
        <v>1381027.6000000015</v>
      </c>
      <c r="AV123" s="112">
        <f>AV120+AV121+AV122</f>
        <v>945023.47000000114</v>
      </c>
      <c r="AW123" s="112">
        <f>AW120+AW121+AW122</f>
        <v>1826789.2899999993</v>
      </c>
      <c r="AX123" s="112">
        <f t="shared" ref="AX123:BD123" si="153">AX120+AX121+AX122</f>
        <v>2517059.7800000003</v>
      </c>
      <c r="AY123" s="112">
        <f t="shared" si="153"/>
        <v>2382870.2700000009</v>
      </c>
      <c r="AZ123" s="112">
        <f t="shared" si="153"/>
        <v>2866514.09</v>
      </c>
      <c r="BA123" s="112">
        <f t="shared" si="153"/>
        <v>2895718.2200000016</v>
      </c>
      <c r="BB123" s="112">
        <f t="shared" si="153"/>
        <v>2732117.1100000003</v>
      </c>
      <c r="BC123" s="112">
        <f t="shared" si="153"/>
        <v>3073881.7199999997</v>
      </c>
      <c r="BD123" s="112">
        <f t="shared" si="153"/>
        <v>1383410.1199999987</v>
      </c>
      <c r="BE123" s="112">
        <f>BE120+BE121+BE122</f>
        <v>1484279.38</v>
      </c>
      <c r="BF123" s="112">
        <v>1063250.1800000009</v>
      </c>
      <c r="BG123" s="112">
        <f>BG120+BG121+BG122</f>
        <v>24551941.229999978</v>
      </c>
      <c r="BH123" s="112">
        <f t="shared" ref="BH123:BO123" si="154">BH120+BH121+BH122</f>
        <v>713523.09000000032</v>
      </c>
      <c r="BI123" s="112">
        <f t="shared" si="154"/>
        <v>1094670.9200000002</v>
      </c>
      <c r="BJ123" s="112">
        <f t="shared" si="154"/>
        <v>1669353.1099999985</v>
      </c>
      <c r="BK123" s="112">
        <f t="shared" si="154"/>
        <v>1728139.2100000004</v>
      </c>
      <c r="BL123" s="112">
        <f t="shared" si="154"/>
        <v>1503672.9999999981</v>
      </c>
      <c r="BM123" s="112">
        <f t="shared" si="154"/>
        <v>1363127.6200000006</v>
      </c>
      <c r="BN123" s="112">
        <f t="shared" si="154"/>
        <v>1726717.7799999998</v>
      </c>
      <c r="BO123" s="112">
        <f t="shared" si="154"/>
        <v>1406355.2000000025</v>
      </c>
      <c r="BP123" s="112">
        <v>1404009.9200000013</v>
      </c>
      <c r="BQ123" s="112">
        <f>BQ120+BQ121+BQ122</f>
        <v>429050.49999999948</v>
      </c>
      <c r="BR123" s="112">
        <f>BR120+BR121+BR122</f>
        <v>1514334.3599999987</v>
      </c>
      <c r="BS123" s="112">
        <f>BS120+BS121+BS122</f>
        <v>159830.42500000034</v>
      </c>
      <c r="BT123" s="112">
        <f>BT120+BT121+BT122</f>
        <v>14712785.135000009</v>
      </c>
      <c r="BU123" s="112">
        <f t="shared" ref="BU123:CE123" si="155">BU120+BU121+BU122</f>
        <v>512476.26260000048</v>
      </c>
      <c r="BV123" s="112">
        <f t="shared" si="155"/>
        <v>166946.83579999968</v>
      </c>
      <c r="BW123" s="112">
        <f t="shared" si="155"/>
        <v>706038.44579999987</v>
      </c>
      <c r="BX123" s="112">
        <f t="shared" si="155"/>
        <v>917135.02059999947</v>
      </c>
      <c r="BY123" s="112">
        <f t="shared" si="155"/>
        <v>1828727.3755999999</v>
      </c>
      <c r="BZ123" s="112">
        <f t="shared" si="155"/>
        <v>1452203.0388000018</v>
      </c>
      <c r="CA123" s="112">
        <f t="shared" si="155"/>
        <v>404822.68900000013</v>
      </c>
      <c r="CB123" s="112">
        <f t="shared" si="155"/>
        <v>1031087.4433999981</v>
      </c>
      <c r="CC123" s="112">
        <f t="shared" si="155"/>
        <v>578902.69259999949</v>
      </c>
      <c r="CD123" s="112">
        <f t="shared" si="155"/>
        <v>1388291.7647999991</v>
      </c>
      <c r="CE123" s="112">
        <f t="shared" si="155"/>
        <v>359774.56640000001</v>
      </c>
      <c r="CF123" s="112">
        <v>1478070.7204000005</v>
      </c>
      <c r="CG123" s="112">
        <f>IF(OR(MID(TBBP[[#This Row],[Coluna1]],1,1)="1",MID(TBBP[[#This Row],[Coluna1]],1,1)="2"),#REF!,SUM(BU123:CF123))</f>
        <v>10824476.855799999</v>
      </c>
      <c r="CH123" s="112">
        <f t="shared" ref="CH123:CS123" si="156">CH120+CH121+CH122</f>
        <v>654999.19419999945</v>
      </c>
      <c r="CI123" s="112">
        <f t="shared" si="156"/>
        <v>1232777.0167999975</v>
      </c>
      <c r="CJ123" s="112">
        <f t="shared" si="156"/>
        <v>523705.49140000006</v>
      </c>
      <c r="CK123" s="112">
        <f t="shared" si="156"/>
        <v>2012469.7325999981</v>
      </c>
      <c r="CL123" s="112">
        <f t="shared" si="156"/>
        <v>439068.28160000034</v>
      </c>
      <c r="CM123" s="112">
        <f t="shared" si="156"/>
        <v>1165091.5674999983</v>
      </c>
      <c r="CN123" s="112">
        <f t="shared" si="156"/>
        <v>1216138.2700000014</v>
      </c>
      <c r="CO123" s="112">
        <f t="shared" si="156"/>
        <v>531642.92000000074</v>
      </c>
      <c r="CP123" s="112">
        <f t="shared" si="156"/>
        <v>1309910.1699999985</v>
      </c>
      <c r="CQ123" s="112">
        <f t="shared" si="156"/>
        <v>313138.21000000014</v>
      </c>
      <c r="CR123" s="112">
        <f t="shared" si="156"/>
        <v>-508672.60999999748</v>
      </c>
      <c r="CS123" s="112">
        <f t="shared" si="156"/>
        <v>1688529.2299999986</v>
      </c>
      <c r="CT123" s="112">
        <f>IF(OR(MID(TBBP[[#This Row],[Coluna1]],1,1)="1",MID(TBBP[[#This Row],[Coluna1]],1,1)="2"),#REF!,SUM(CH123:CS123))</f>
        <v>10578797.474099996</v>
      </c>
      <c r="CU123" s="112">
        <f t="shared" ref="CU123:DH123" si="157">CU120+CU121+CU122</f>
        <v>1213747.2017999988</v>
      </c>
      <c r="CV123" s="112">
        <f t="shared" si="157"/>
        <v>813585.09499999927</v>
      </c>
      <c r="CW123" s="112">
        <f t="shared" si="157"/>
        <v>1128948.7111999984</v>
      </c>
      <c r="CX123" s="112">
        <f t="shared" si="157"/>
        <v>2002439.3361999998</v>
      </c>
      <c r="CY123" s="112">
        <f t="shared" si="157"/>
        <v>2140786.0469999998</v>
      </c>
      <c r="CZ123" s="112">
        <f t="shared" si="157"/>
        <v>-499049.3924999992</v>
      </c>
      <c r="DA123" s="112">
        <f t="shared" si="157"/>
        <v>59878.696199998638</v>
      </c>
      <c r="DB123" s="112">
        <f t="shared" si="157"/>
        <v>1245645.0200000012</v>
      </c>
      <c r="DC123" s="112">
        <f t="shared" si="157"/>
        <v>377247.82619999995</v>
      </c>
      <c r="DD123" s="112">
        <f t="shared" si="157"/>
        <v>449846.8796000008</v>
      </c>
      <c r="DE123" s="112">
        <f t="shared" si="157"/>
        <v>610771.98539999896</v>
      </c>
      <c r="DF123" s="112">
        <f t="shared" si="157"/>
        <v>109043.09679999998</v>
      </c>
      <c r="DG123" s="112">
        <f>DG120+DG121+DG122</f>
        <v>10376134.382899994</v>
      </c>
      <c r="DH123" s="112">
        <f t="shared" si="157"/>
        <v>811622.50919999939</v>
      </c>
      <c r="DI123" s="112">
        <f t="shared" ref="DI123:DK123" si="158">DI120+DI121+DI122</f>
        <v>314433.87899999873</v>
      </c>
      <c r="DJ123" s="112">
        <f t="shared" si="158"/>
        <v>257840.09139999832</v>
      </c>
      <c r="DK123" s="112">
        <f t="shared" si="158"/>
        <v>1801296.8249999983</v>
      </c>
      <c r="DL123" s="112">
        <f t="shared" ref="DL123:DM123" si="159">DL120+DL121+DL122</f>
        <v>137303.48079999868</v>
      </c>
      <c r="DM123" s="112">
        <f t="shared" si="159"/>
        <v>363900.29479999904</v>
      </c>
      <c r="DN123"/>
      <c r="DO123" t="s">
        <v>144</v>
      </c>
      <c r="DP123" s="114">
        <f>IF(OR(MID(TBBP[[#This Row],[Coluna1]],1,1)="1",MID(TBBP[[#This Row],[Coluna1]],1,1)="2"),"-",SUMIFS(123:123,listaPeriodos,$DR$1,listaPeriodos,$DR$2))</f>
        <v>3686397.0801999923</v>
      </c>
      <c r="DQ123" s="114">
        <v>1742361.0990000004</v>
      </c>
      <c r="DR123" s="114">
        <f t="shared" si="89"/>
        <v>10454166.594000002</v>
      </c>
      <c r="DS123" s="114"/>
      <c r="DT123" s="114"/>
    </row>
    <row r="124" spans="1:125" s="113" customFormat="1" ht="15" thickBot="1" x14ac:dyDescent="0.35">
      <c r="A124" s="111" t="s">
        <v>774</v>
      </c>
      <c r="B124" s="112" t="s">
        <v>843</v>
      </c>
      <c r="C124" s="112">
        <v>0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  <c r="AZ124" s="112">
        <v>0</v>
      </c>
      <c r="BA124" s="112">
        <v>0</v>
      </c>
      <c r="BB124" s="112">
        <v>0</v>
      </c>
      <c r="BC124" s="112">
        <v>0</v>
      </c>
      <c r="BD124" s="112">
        <v>0</v>
      </c>
      <c r="BE124" s="112">
        <v>0</v>
      </c>
      <c r="BF124" s="112">
        <v>0</v>
      </c>
      <c r="BG124" s="112">
        <v>0</v>
      </c>
      <c r="BH124" s="112">
        <v>0</v>
      </c>
      <c r="BI124" s="112">
        <v>0</v>
      </c>
      <c r="BJ124" s="112">
        <v>500000</v>
      </c>
      <c r="BK124" s="112">
        <v>0</v>
      </c>
      <c r="BL124" s="112">
        <v>0</v>
      </c>
      <c r="BM124" s="112">
        <v>500000</v>
      </c>
      <c r="BN124" s="112">
        <v>0</v>
      </c>
      <c r="BO124" s="112">
        <v>0</v>
      </c>
      <c r="BP124" s="112">
        <v>500000</v>
      </c>
      <c r="BQ124" s="112">
        <v>0</v>
      </c>
      <c r="BR124" s="112">
        <v>0</v>
      </c>
      <c r="BS124" s="112">
        <v>500000</v>
      </c>
      <c r="BT124" s="112">
        <f>IF(OR(MID(TBBP[[#This Row],[Coluna1]],1,1)="1",MID(TBBP[[#This Row],[Coluna1]],1,1)="2"),TBBP[[#This Row],[Coluna127]],SUM(BH124:BS124))</f>
        <v>2000000</v>
      </c>
      <c r="BU124" s="112">
        <v>0</v>
      </c>
      <c r="BV124" s="112">
        <v>0</v>
      </c>
      <c r="BW124" s="112">
        <v>500000</v>
      </c>
      <c r="BX124" s="112">
        <v>0</v>
      </c>
      <c r="BY124" s="112">
        <v>0</v>
      </c>
      <c r="BZ124" s="112">
        <v>500000</v>
      </c>
      <c r="CA124" s="112">
        <v>0</v>
      </c>
      <c r="CB124" s="112">
        <v>0</v>
      </c>
      <c r="CC124" s="112">
        <v>500000</v>
      </c>
      <c r="CD124" s="112">
        <v>0</v>
      </c>
      <c r="CE124" s="112">
        <v>0</v>
      </c>
      <c r="CF124" s="112">
        <v>500000</v>
      </c>
      <c r="CG124" s="112">
        <f>IF(OR(MID(TBBP[[#This Row],[Coluna1]],1,1)="1",MID(TBBP[[#This Row],[Coluna1]],1,1)="2"),#REF!,SUM(BU124:CF124))</f>
        <v>2000000</v>
      </c>
      <c r="CH124" s="112">
        <v>0</v>
      </c>
      <c r="CI124" s="112">
        <v>0</v>
      </c>
      <c r="CJ124" s="112">
        <v>500000</v>
      </c>
      <c r="CK124" s="112">
        <v>0</v>
      </c>
      <c r="CL124" s="112">
        <v>0</v>
      </c>
      <c r="CM124" s="112">
        <v>500000</v>
      </c>
      <c r="CN124" s="112">
        <v>0</v>
      </c>
      <c r="CO124" s="112">
        <v>0</v>
      </c>
      <c r="CP124" s="112">
        <v>0</v>
      </c>
      <c r="CQ124" s="112">
        <v>250000</v>
      </c>
      <c r="CR124" s="112">
        <v>250000</v>
      </c>
      <c r="CS124" s="112">
        <v>500000</v>
      </c>
      <c r="CT124" s="112">
        <f>IF(OR(MID(TBBP[[#This Row],[Coluna1]],1,1)="1",MID(TBBP[[#This Row],[Coluna1]],1,1)="2"),#REF!,SUM(CH124:CS124))</f>
        <v>2000000</v>
      </c>
      <c r="CU124" s="112">
        <v>250000</v>
      </c>
      <c r="CV124" s="112">
        <v>0</v>
      </c>
      <c r="CW124" s="112">
        <v>250000</v>
      </c>
      <c r="CX124" s="112">
        <v>250000</v>
      </c>
      <c r="CY124" s="112">
        <v>250000</v>
      </c>
      <c r="CZ124" s="112">
        <v>0</v>
      </c>
      <c r="DA124" s="112">
        <v>250000</v>
      </c>
      <c r="DB124" s="112">
        <v>200000</v>
      </c>
      <c r="DC124" s="112">
        <v>0</v>
      </c>
      <c r="DD124" s="112">
        <v>0</v>
      </c>
      <c r="DE124" s="112">
        <v>250000</v>
      </c>
      <c r="DF124" s="112">
        <v>0</v>
      </c>
      <c r="DG124" s="112">
        <f>SUM(TBBP[[#This Row],[Coluna287]:[Coluna298]])</f>
        <v>1700000</v>
      </c>
      <c r="DH124" s="112">
        <v>0</v>
      </c>
      <c r="DI124" s="112">
        <v>0</v>
      </c>
      <c r="DJ124" s="112">
        <v>0</v>
      </c>
      <c r="DK124" s="112">
        <v>0</v>
      </c>
      <c r="DL124" s="112">
        <v>0</v>
      </c>
      <c r="DM124" s="112">
        <v>0</v>
      </c>
      <c r="DN124"/>
      <c r="DO124" t="s">
        <v>843</v>
      </c>
      <c r="DP124" s="63">
        <f>IF(OR(MID(TBBP[[#This Row],[Coluna1]],1,1)="1",MID(TBBP[[#This Row],[Coluna1]],1,1)="2"),"-",SUMIFS(124:124,listaPeriodos,$DR$1,listaPeriodos,$DR$2))</f>
        <v>0</v>
      </c>
      <c r="DQ124" s="63">
        <v>166666.66666666666</v>
      </c>
      <c r="DR124" s="114">
        <f t="shared" si="89"/>
        <v>1000000</v>
      </c>
      <c r="DS124" s="114"/>
      <c r="DT124" s="114"/>
    </row>
    <row r="125" spans="1:125" s="113" customFormat="1" ht="15" thickBot="1" x14ac:dyDescent="0.35">
      <c r="A125" s="111" t="s">
        <v>836</v>
      </c>
      <c r="B125" s="112" t="s">
        <v>835</v>
      </c>
      <c r="C125" s="112">
        <f>C123+C305</f>
        <v>4882023.7800000012</v>
      </c>
      <c r="D125" s="112">
        <f>D123+D305</f>
        <v>4909752.5666479943</v>
      </c>
      <c r="E125" s="112">
        <f>E123+E305</f>
        <v>5990845.3499999959</v>
      </c>
      <c r="F125" s="112">
        <f>F123+F305</f>
        <v>4094465.8455531234</v>
      </c>
      <c r="G125" s="112">
        <f>G123+G305</f>
        <v>3017322.9899999974</v>
      </c>
      <c r="H125" s="112">
        <f t="shared" ref="H125:S125" si="160">H123-H305</f>
        <v>292019.20383600012</v>
      </c>
      <c r="I125" s="112">
        <f t="shared" si="160"/>
        <v>307589.38383199979</v>
      </c>
      <c r="J125" s="112">
        <f t="shared" si="160"/>
        <v>492887.43284400011</v>
      </c>
      <c r="K125" s="112">
        <f t="shared" si="160"/>
        <v>454376.31946800021</v>
      </c>
      <c r="L125" s="112">
        <f t="shared" si="160"/>
        <v>173384.3231960001</v>
      </c>
      <c r="M125" s="112">
        <f t="shared" si="160"/>
        <v>200803.86536400014</v>
      </c>
      <c r="N125" s="112">
        <f t="shared" si="160"/>
        <v>608436.21000000043</v>
      </c>
      <c r="O125" s="112">
        <f t="shared" si="160"/>
        <v>556491.38</v>
      </c>
      <c r="P125" s="112">
        <f t="shared" si="160"/>
        <v>1118591.5699999996</v>
      </c>
      <c r="Q125" s="112">
        <f t="shared" si="160"/>
        <v>580452.60999999952</v>
      </c>
      <c r="R125" s="112">
        <f t="shared" si="160"/>
        <v>54060.41000000036</v>
      </c>
      <c r="S125" s="112">
        <f t="shared" si="160"/>
        <v>236774.9499999999</v>
      </c>
      <c r="T125" s="112">
        <f>SUM(TBBP[[#This Row],[Coluna8]:[Coluna19]])</f>
        <v>5075867.6585400002</v>
      </c>
      <c r="U125" s="112">
        <f t="shared" ref="U125:AF125" si="161">U123-U305</f>
        <v>254192.06120000049</v>
      </c>
      <c r="V125" s="112">
        <f t="shared" si="161"/>
        <v>233456.37999999954</v>
      </c>
      <c r="W125" s="112">
        <f t="shared" si="161"/>
        <v>397123.12000000011</v>
      </c>
      <c r="X125" s="112">
        <f t="shared" si="161"/>
        <v>618030.80999999971</v>
      </c>
      <c r="Y125" s="112">
        <f t="shared" si="161"/>
        <v>584070.05999999982</v>
      </c>
      <c r="Z125" s="112">
        <f t="shared" si="161"/>
        <v>134560.49999999974</v>
      </c>
      <c r="AA125" s="112">
        <f t="shared" si="161"/>
        <v>815070.08000000042</v>
      </c>
      <c r="AB125" s="112">
        <f t="shared" si="161"/>
        <v>396614.24999999971</v>
      </c>
      <c r="AC125" s="112">
        <f t="shared" si="161"/>
        <v>877723.42999999947</v>
      </c>
      <c r="AD125" s="112">
        <f t="shared" si="161"/>
        <v>909004.54999999981</v>
      </c>
      <c r="AE125" s="112">
        <f t="shared" si="161"/>
        <v>410660.82000000024</v>
      </c>
      <c r="AF125" s="112">
        <f t="shared" si="161"/>
        <v>434573.51999999979</v>
      </c>
      <c r="AG125" s="112">
        <f>SUM(TBBP[[#This Row],[Coluna21]:[Coluna32]])</f>
        <v>6065079.581199999</v>
      </c>
      <c r="AH125" s="112">
        <f t="shared" ref="AH125:AS125" si="162">AH123-AH305</f>
        <v>531662.90999999968</v>
      </c>
      <c r="AI125" s="112">
        <f t="shared" si="162"/>
        <v>264899.72999999986</v>
      </c>
      <c r="AJ125" s="112">
        <f t="shared" si="162"/>
        <v>31304.529999999824</v>
      </c>
      <c r="AK125" s="112">
        <f t="shared" si="162"/>
        <v>124824.01999999999</v>
      </c>
      <c r="AL125" s="112">
        <f t="shared" si="162"/>
        <v>612483.85000000009</v>
      </c>
      <c r="AM125" s="112">
        <f t="shared" si="162"/>
        <v>1493300.1700000002</v>
      </c>
      <c r="AN125" s="112">
        <f t="shared" si="162"/>
        <v>1197568.5599999998</v>
      </c>
      <c r="AO125" s="112">
        <f t="shared" si="162"/>
        <v>1314976.9600000007</v>
      </c>
      <c r="AP125" s="112">
        <f t="shared" si="162"/>
        <v>1464082.7900000012</v>
      </c>
      <c r="AQ125" s="112">
        <f t="shared" si="162"/>
        <v>1695254.4100000004</v>
      </c>
      <c r="AR125" s="112">
        <f t="shared" si="162"/>
        <v>1111416.9400000006</v>
      </c>
      <c r="AS125" s="112">
        <f t="shared" si="162"/>
        <v>1278951.9500000011</v>
      </c>
      <c r="AT125" s="112">
        <f>SUM(TBBP[[#This Row],[Coluna34]:[Coluna45]])</f>
        <v>11120726.820000004</v>
      </c>
      <c r="AU125" s="112">
        <f t="shared" ref="AU125:BF125" si="163">AU123-AU305</f>
        <v>1381027.6000000015</v>
      </c>
      <c r="AV125" s="112">
        <f t="shared" si="163"/>
        <v>945023.47000000114</v>
      </c>
      <c r="AW125" s="112">
        <f t="shared" si="163"/>
        <v>1826789.2899999993</v>
      </c>
      <c r="AX125" s="112">
        <f t="shared" si="163"/>
        <v>2517059.7800000003</v>
      </c>
      <c r="AY125" s="112">
        <f t="shared" si="163"/>
        <v>2382870.2700000009</v>
      </c>
      <c r="AZ125" s="112">
        <f t="shared" si="163"/>
        <v>2866514.09</v>
      </c>
      <c r="BA125" s="112">
        <f t="shared" si="163"/>
        <v>2895718.2200000016</v>
      </c>
      <c r="BB125" s="112">
        <f t="shared" si="163"/>
        <v>2732117.1100000003</v>
      </c>
      <c r="BC125" s="112">
        <f t="shared" si="163"/>
        <v>3073881.7199999997</v>
      </c>
      <c r="BD125" s="112">
        <f t="shared" si="163"/>
        <v>1383410.1199999987</v>
      </c>
      <c r="BE125" s="112">
        <f t="shared" si="163"/>
        <v>1484279.38</v>
      </c>
      <c r="BF125" s="112">
        <f t="shared" si="163"/>
        <v>1063250.1800000009</v>
      </c>
      <c r="BG125" s="112">
        <f>SUM(TBBP[[#This Row],[Coluna47]:[Coluna58]])</f>
        <v>24551941.23</v>
      </c>
      <c r="BH125" s="112">
        <f>BH123-BH305</f>
        <v>713523.09000000032</v>
      </c>
      <c r="BI125" s="112">
        <f>BI123-BI305</f>
        <v>1094670.9200000002</v>
      </c>
      <c r="BJ125" s="112">
        <f t="shared" ref="BJ125:BO125" si="164">BJ123-BJ305</f>
        <v>2169353.1099999985</v>
      </c>
      <c r="BK125" s="112">
        <f t="shared" si="164"/>
        <v>1728139.2100000004</v>
      </c>
      <c r="BL125" s="112">
        <f t="shared" si="164"/>
        <v>1503672.9999999981</v>
      </c>
      <c r="BM125" s="112">
        <f t="shared" si="164"/>
        <v>1863127.6200000006</v>
      </c>
      <c r="BN125" s="112">
        <f t="shared" si="164"/>
        <v>1726717.7799999998</v>
      </c>
      <c r="BO125" s="112">
        <f t="shared" si="164"/>
        <v>1406355.2000000025</v>
      </c>
      <c r="BP125" s="112">
        <v>1904009.9200000013</v>
      </c>
      <c r="BQ125" s="112">
        <f>BQ123-BQ305</f>
        <v>429050.49999999948</v>
      </c>
      <c r="BR125" s="112">
        <f>BR123-BR305</f>
        <v>1514334.3599999987</v>
      </c>
      <c r="BS125" s="112">
        <f>BS123-BS305</f>
        <v>659830.42500000028</v>
      </c>
      <c r="BT125" s="112">
        <f>BT123-BT305</f>
        <v>16712785.135000009</v>
      </c>
      <c r="BU125" s="112">
        <f t="shared" ref="BU125:CE125" si="165">BU123-BU305</f>
        <v>512476.26260000048</v>
      </c>
      <c r="BV125" s="112">
        <f t="shared" si="165"/>
        <v>166946.83579999968</v>
      </c>
      <c r="BW125" s="112">
        <f t="shared" si="165"/>
        <v>1206038.4457999999</v>
      </c>
      <c r="BX125" s="112">
        <f t="shared" si="165"/>
        <v>917135.02059999947</v>
      </c>
      <c r="BY125" s="112">
        <f t="shared" si="165"/>
        <v>1828727.3755999999</v>
      </c>
      <c r="BZ125" s="112">
        <f t="shared" si="165"/>
        <v>1952203.0388000018</v>
      </c>
      <c r="CA125" s="112">
        <f t="shared" si="165"/>
        <v>404822.68900000013</v>
      </c>
      <c r="CB125" s="112">
        <f t="shared" si="165"/>
        <v>1031087.4433999981</v>
      </c>
      <c r="CC125" s="112">
        <f t="shared" si="165"/>
        <v>1078902.6925999995</v>
      </c>
      <c r="CD125" s="112">
        <f t="shared" si="165"/>
        <v>1388291.7647999991</v>
      </c>
      <c r="CE125" s="112">
        <f t="shared" si="165"/>
        <v>359774.56640000001</v>
      </c>
      <c r="CF125" s="112">
        <v>1978070.7204000005</v>
      </c>
      <c r="CG125" s="112">
        <f>IF(OR(MID(TBBP[[#This Row],[Coluna1]],1,1)="1",MID(TBBP[[#This Row],[Coluna1]],1,1)="2"),#REF!,SUM(BU125:CF125))</f>
        <v>12824476.855799999</v>
      </c>
      <c r="CH125" s="112">
        <f t="shared" ref="CH125:CS125" si="166">CH123-CH305</f>
        <v>654999.19419999945</v>
      </c>
      <c r="CI125" s="112">
        <f t="shared" si="166"/>
        <v>1232777.0167999975</v>
      </c>
      <c r="CJ125" s="112">
        <f t="shared" si="166"/>
        <v>1023705.4914000001</v>
      </c>
      <c r="CK125" s="112">
        <f t="shared" si="166"/>
        <v>2012469.7325999981</v>
      </c>
      <c r="CL125" s="112">
        <f t="shared" si="166"/>
        <v>439068.28160000034</v>
      </c>
      <c r="CM125" s="112">
        <f t="shared" si="166"/>
        <v>1665091.5674999983</v>
      </c>
      <c r="CN125" s="112">
        <f t="shared" si="166"/>
        <v>1216138.2700000014</v>
      </c>
      <c r="CO125" s="112">
        <f t="shared" si="166"/>
        <v>531642.92000000074</v>
      </c>
      <c r="CP125" s="112">
        <f t="shared" si="166"/>
        <v>1309910.1699999985</v>
      </c>
      <c r="CQ125" s="112">
        <f t="shared" si="166"/>
        <v>563138.2100000002</v>
      </c>
      <c r="CR125" s="112">
        <f t="shared" si="166"/>
        <v>-258672.60999999748</v>
      </c>
      <c r="CS125" s="112">
        <f t="shared" si="166"/>
        <v>2188529.2299999986</v>
      </c>
      <c r="CT125" s="112">
        <f>IF(OR(MID(TBBP[[#This Row],[Coluna1]],1,1)="1",MID(TBBP[[#This Row],[Coluna1]],1,1)="2"),#REF!,SUM(CH125:CS125))</f>
        <v>12578797.474099996</v>
      </c>
      <c r="CU125" s="112">
        <f t="shared" ref="CU125:DH125" si="167">CU123-CU305</f>
        <v>1463747.2017999988</v>
      </c>
      <c r="CV125" s="112">
        <f t="shared" si="167"/>
        <v>813585.09499999927</v>
      </c>
      <c r="CW125" s="112">
        <f t="shared" si="167"/>
        <v>1378948.7111999984</v>
      </c>
      <c r="CX125" s="112">
        <f t="shared" si="167"/>
        <v>2252439.3361999998</v>
      </c>
      <c r="CY125" s="112">
        <f t="shared" si="167"/>
        <v>2390786.0469999998</v>
      </c>
      <c r="CZ125" s="112">
        <f t="shared" si="167"/>
        <v>-499049.3924999992</v>
      </c>
      <c r="DA125" s="112">
        <f t="shared" si="167"/>
        <v>309878.69619999861</v>
      </c>
      <c r="DB125" s="112">
        <f t="shared" si="167"/>
        <v>1445645.0200000012</v>
      </c>
      <c r="DC125" s="112">
        <f t="shared" si="167"/>
        <v>377247.82619999995</v>
      </c>
      <c r="DD125" s="112">
        <f t="shared" si="167"/>
        <v>449846.8796000008</v>
      </c>
      <c r="DE125" s="112">
        <f t="shared" si="167"/>
        <v>860771.98539999896</v>
      </c>
      <c r="DF125" s="112">
        <f t="shared" si="167"/>
        <v>109043.09679999998</v>
      </c>
      <c r="DG125" s="112">
        <f>DG123+DG124</f>
        <v>12076134.382899994</v>
      </c>
      <c r="DH125" s="112">
        <f t="shared" si="167"/>
        <v>811622.50919999939</v>
      </c>
      <c r="DI125" s="112">
        <f t="shared" ref="DI125:DJ125" si="168">DI123-DI305</f>
        <v>314433.87899999873</v>
      </c>
      <c r="DJ125" s="112">
        <f t="shared" si="168"/>
        <v>257840.09139999832</v>
      </c>
      <c r="DK125" s="112">
        <f t="shared" ref="DK125:DL125" si="169">DK123-DK305</f>
        <v>1801296.8249999983</v>
      </c>
      <c r="DL125" s="112">
        <f t="shared" si="169"/>
        <v>137303.48079999868</v>
      </c>
      <c r="DM125" s="112">
        <f t="shared" ref="DM125" si="170">DM123-DM305</f>
        <v>363900.29479999904</v>
      </c>
      <c r="DN125"/>
      <c r="DO125" t="s">
        <v>835</v>
      </c>
      <c r="DP125" s="63">
        <f>IF(OR(MID(TBBP[[#This Row],[Coluna1]],1,1)="1",MID(TBBP[[#This Row],[Coluna1]],1,1)="2"),"-",SUMIFS(125:125,listaPeriodos,$DR$1,listaPeriodos,$DR$2))</f>
        <v>3686397.0801999923</v>
      </c>
      <c r="DQ125" s="63">
        <v>1909027.7656666671</v>
      </c>
      <c r="DR125" s="114">
        <f t="shared" si="89"/>
        <v>11454166.594000002</v>
      </c>
      <c r="DS125" s="114"/>
      <c r="DT125" s="114"/>
    </row>
    <row r="126" spans="1:125" x14ac:dyDescent="0.3">
      <c r="A126" s="66" t="s">
        <v>837</v>
      </c>
      <c r="B126" s="65" t="s">
        <v>708</v>
      </c>
      <c r="C126" s="65"/>
      <c r="D126" s="65"/>
      <c r="E126" s="65"/>
      <c r="F126" s="65"/>
      <c r="G126" s="65"/>
      <c r="H126" s="65">
        <v>912850.77</v>
      </c>
      <c r="I126" s="65">
        <v>1134543.29</v>
      </c>
      <c r="J126" s="65">
        <v>1194100.54</v>
      </c>
      <c r="K126" s="65">
        <v>1515797.05</v>
      </c>
      <c r="L126" s="65">
        <v>742327.44</v>
      </c>
      <c r="M126" s="65">
        <v>928607.48</v>
      </c>
      <c r="N126" s="65">
        <v>1794134.12</v>
      </c>
      <c r="O126" s="65">
        <v>1727281.73</v>
      </c>
      <c r="P126" s="65">
        <v>1718837.99</v>
      </c>
      <c r="Q126" s="65">
        <v>1381706.97</v>
      </c>
      <c r="R126" s="65">
        <v>889036.86</v>
      </c>
      <c r="S126" s="65">
        <v>420961.83</v>
      </c>
      <c r="T126" s="65">
        <f>SUM(TBBP[[#This Row],[Coluna8]:[Coluna19]])</f>
        <v>14360186.07</v>
      </c>
      <c r="U126" s="65">
        <v>1219767.7</v>
      </c>
      <c r="V126" s="65">
        <v>1242963.21</v>
      </c>
      <c r="W126" s="65">
        <v>1464773.02</v>
      </c>
      <c r="X126" s="65">
        <v>1866814.79</v>
      </c>
      <c r="Y126" s="65">
        <v>1346916.3</v>
      </c>
      <c r="Z126" s="65">
        <v>1304348.73</v>
      </c>
      <c r="AA126" s="65">
        <v>932724.53</v>
      </c>
      <c r="AB126" s="65">
        <v>766927.37</v>
      </c>
      <c r="AC126" s="65">
        <v>2114311.9300000002</v>
      </c>
      <c r="AD126" s="65">
        <v>2572983.33</v>
      </c>
      <c r="AE126" s="65">
        <v>1596275.44</v>
      </c>
      <c r="AF126" s="65">
        <v>1069737.8500000001</v>
      </c>
      <c r="AG126" s="65">
        <f>SUM(TBBP[[#This Row],[Coluna21]:[Coluna32]])</f>
        <v>17498544.199999999</v>
      </c>
      <c r="AH126" s="65">
        <v>2093354.41</v>
      </c>
      <c r="AI126" s="65">
        <v>1472458.34</v>
      </c>
      <c r="AJ126" s="65">
        <v>1025977.63</v>
      </c>
      <c r="AK126" s="65">
        <v>935412.21</v>
      </c>
      <c r="AL126" s="65">
        <v>1489577.25</v>
      </c>
      <c r="AM126" s="65">
        <v>3078087.87</v>
      </c>
      <c r="AN126" s="65">
        <v>2965562.11</v>
      </c>
      <c r="AO126" s="65">
        <v>3395496.45</v>
      </c>
      <c r="AP126" s="65">
        <v>3756074.21</v>
      </c>
      <c r="AQ126" s="65">
        <v>4137213.13</v>
      </c>
      <c r="AR126" s="65">
        <v>3643315.35</v>
      </c>
      <c r="AS126" s="65">
        <v>3065602.31</v>
      </c>
      <c r="AT126" s="65">
        <f>SUM(TBBP[[#This Row],[Coluna34]:[Coluna45]])</f>
        <v>31058131.27</v>
      </c>
      <c r="AU126" s="65">
        <v>3898339.05</v>
      </c>
      <c r="AV126" s="65">
        <v>4396022.7699999996</v>
      </c>
      <c r="AW126" s="65">
        <v>4520016.32</v>
      </c>
      <c r="AX126" s="65">
        <v>4546357.0899999971</v>
      </c>
      <c r="AY126" s="65">
        <v>5818242.6800000025</v>
      </c>
      <c r="AZ126" s="65">
        <v>6768182.6799999978</v>
      </c>
      <c r="BA126" s="65">
        <v>6422165.6399999969</v>
      </c>
      <c r="BB126" s="65">
        <v>7677380.9399999985</v>
      </c>
      <c r="BC126" s="65">
        <v>6465840.9900000039</v>
      </c>
      <c r="BD126" s="65">
        <v>6522696.7599999988</v>
      </c>
      <c r="BE126" s="65">
        <v>5273315.3400000017</v>
      </c>
      <c r="BF126" s="65">
        <v>5059325.29</v>
      </c>
      <c r="BG126" s="65">
        <f>SUM(TBBP[[#This Row],[Coluna47]:[Coluna58]])</f>
        <v>67367885.549999997</v>
      </c>
      <c r="BH126" s="65">
        <v>4389706.0200000014</v>
      </c>
      <c r="BI126" s="65">
        <v>5889639.8299999982</v>
      </c>
      <c r="BJ126" s="65">
        <v>8462971.2599999998</v>
      </c>
      <c r="BK126" s="65">
        <v>6996283.2700000005</v>
      </c>
      <c r="BL126" s="65">
        <v>6678469.1699999999</v>
      </c>
      <c r="BM126" s="65">
        <v>6688550.9499999974</v>
      </c>
      <c r="BN126" s="65">
        <v>4954309.2200000016</v>
      </c>
      <c r="BO126" s="65">
        <v>5940127.7200000025</v>
      </c>
      <c r="BP126" s="65">
        <v>6279589.8899999978</v>
      </c>
      <c r="BQ126" s="65">
        <v>4108754.6600000015</v>
      </c>
      <c r="BR126" s="65">
        <v>4859139.9599999981</v>
      </c>
      <c r="BS126" s="65">
        <v>3647716.8700000006</v>
      </c>
      <c r="BT126" s="65">
        <f>IF(OR(MID(TBBP[[#This Row],[Coluna1]],1,1)="1",MID(TBBP[[#This Row],[Coluna1]],1,1)="2"),TBBP[[#This Row],[Coluna127]],SUM(BH126:BS126))</f>
        <v>68895258.820000008</v>
      </c>
      <c r="BU126" s="65">
        <v>2672973.83</v>
      </c>
      <c r="BV126" s="65">
        <v>3084892.8800000008</v>
      </c>
      <c r="BW126" s="92">
        <v>3993771.1300000004</v>
      </c>
      <c r="BX126" s="92">
        <v>3299833.36</v>
      </c>
      <c r="BY126" s="92">
        <v>6441295.2299999995</v>
      </c>
      <c r="BZ126" s="92">
        <v>6409967.5199999977</v>
      </c>
      <c r="CA126" s="92">
        <v>3236066.9900000007</v>
      </c>
      <c r="CB126" s="92">
        <v>6088107.2900000038</v>
      </c>
      <c r="CC126" s="92">
        <v>0</v>
      </c>
      <c r="CD126" s="92">
        <v>0</v>
      </c>
      <c r="CE126" s="92">
        <v>0</v>
      </c>
      <c r="CF126" s="92">
        <v>0</v>
      </c>
      <c r="CG126" s="92">
        <f>IF(OR(MID(TBBP[[#This Row],[Coluna1]],1,1)="1",MID(TBBP[[#This Row],[Coluna1]],1,1)="2"),TBBP[[#This Row],[Coluna127]],SUM(BU126:CF126))</f>
        <v>35226908.230000004</v>
      </c>
      <c r="CH126" s="92">
        <v>0</v>
      </c>
      <c r="CI126" s="92">
        <v>0</v>
      </c>
      <c r="CJ126" s="92">
        <v>0</v>
      </c>
      <c r="CK126" s="92">
        <v>0</v>
      </c>
      <c r="CL126" s="92">
        <v>8901893.4300000034</v>
      </c>
      <c r="CM126" s="92">
        <v>7595893.7100000046</v>
      </c>
      <c r="CN126" s="92">
        <v>9037754.269999994</v>
      </c>
      <c r="CO126" s="92">
        <v>6030476.6100000078</v>
      </c>
      <c r="CP126" s="92">
        <v>8881280.8199999966</v>
      </c>
      <c r="CQ126" s="92">
        <v>7973684.350000008</v>
      </c>
      <c r="CR126" s="92">
        <v>6505694.2199999867</v>
      </c>
      <c r="CS126" s="92">
        <v>11213906.02</v>
      </c>
      <c r="CT126" s="92">
        <f>IF(OR(MID(TBBP[[#This Row],[Coluna1]],1,1)="1",MID(TBBP[[#This Row],[Coluna1]],1,1)="2"),TBBP[[#This Row],[Coluna127]],SUM(CH126:CS126))</f>
        <v>66140583.429999992</v>
      </c>
      <c r="CU126" s="92">
        <v>5021524.8199999984</v>
      </c>
      <c r="CV126" s="92">
        <v>6069882.7200000035</v>
      </c>
      <c r="CW126" s="92">
        <v>6626872.9500000011</v>
      </c>
      <c r="CX126" s="92">
        <v>9307759.0699999966</v>
      </c>
      <c r="CY126" s="92">
        <v>9696140.2299999986</v>
      </c>
      <c r="CZ126" s="92">
        <v>4096821.7699999972</v>
      </c>
      <c r="DA126" s="92">
        <v>5834949.1199999973</v>
      </c>
      <c r="DB126" s="92">
        <v>5834949.1199999973</v>
      </c>
      <c r="DC126" s="92">
        <v>4968205.2499999963</v>
      </c>
      <c r="DD126" s="92">
        <v>4723101.6899999995</v>
      </c>
      <c r="DE126" s="92">
        <v>5757439.7299999921</v>
      </c>
      <c r="DF126" s="92">
        <v>5757439.7299999921</v>
      </c>
      <c r="DG126" s="92">
        <f>SUM(TBBP[[#This Row],[Coluna287]:[Coluna298]])</f>
        <v>73695086.199999958</v>
      </c>
      <c r="DH126" s="260">
        <v>0</v>
      </c>
      <c r="DI126" s="260">
        <v>0</v>
      </c>
      <c r="DJ126" s="260">
        <v>0</v>
      </c>
      <c r="DK126" s="260">
        <v>0</v>
      </c>
      <c r="DL126" s="260">
        <v>0</v>
      </c>
      <c r="DM126" s="260">
        <v>0</v>
      </c>
      <c r="DO126" t="s">
        <v>837</v>
      </c>
      <c r="DP126" s="30">
        <f>IF(OR(MID(TBBP[[#This Row],[Coluna1]],1,1)="1",MID(TBBP[[#This Row],[Coluna1]],1,1)="2"),"-",SUMIFS(126:126,listaPeriodos,$DR$1,listaPeriodos,$DR$2))</f>
        <v>0</v>
      </c>
      <c r="DQ126" s="30">
        <f>9546798.976-29249.99</f>
        <v>9517548.9859999996</v>
      </c>
      <c r="DR126" s="30">
        <f t="shared" si="89"/>
        <v>57105293.915999994</v>
      </c>
      <c r="DS126" s="30"/>
      <c r="DT126" s="30"/>
      <c r="DU126"/>
    </row>
    <row r="127" spans="1:125" x14ac:dyDescent="0.3">
      <c r="A127" s="66" t="s">
        <v>838</v>
      </c>
      <c r="B127" s="65" t="s">
        <v>711</v>
      </c>
      <c r="C127" s="65"/>
      <c r="D127" s="65"/>
      <c r="E127" s="65"/>
      <c r="F127" s="65"/>
      <c r="G127" s="65"/>
      <c r="H127" s="65">
        <v>437634.50999999989</v>
      </c>
      <c r="I127" s="65">
        <v>426391.16999999993</v>
      </c>
      <c r="J127" s="65">
        <v>1210369.4300000004</v>
      </c>
      <c r="K127" s="65">
        <v>595386.68000000005</v>
      </c>
      <c r="L127" s="65">
        <v>361793.62999999995</v>
      </c>
      <c r="M127" s="65">
        <v>1125402.5899999999</v>
      </c>
      <c r="N127" s="65">
        <v>1167085.07</v>
      </c>
      <c r="O127" s="65">
        <v>691141.08</v>
      </c>
      <c r="P127" s="65">
        <v>1394190.39</v>
      </c>
      <c r="Q127" s="65">
        <v>1236741.3599999999</v>
      </c>
      <c r="R127" s="65">
        <v>849101.52</v>
      </c>
      <c r="S127" s="65">
        <v>487248.13</v>
      </c>
      <c r="T127" s="65">
        <f>SUM(TBBP[[#This Row],[Coluna8]:[Coluna19]])</f>
        <v>9982485.5600000005</v>
      </c>
      <c r="U127" s="65">
        <v>1058294.8899999999</v>
      </c>
      <c r="V127" s="65">
        <v>717333.15</v>
      </c>
      <c r="W127" s="65">
        <v>980636.14</v>
      </c>
      <c r="X127" s="65">
        <v>932929.07</v>
      </c>
      <c r="Y127" s="65">
        <v>1244216.3500000001</v>
      </c>
      <c r="Z127" s="65">
        <v>647387.31000000006</v>
      </c>
      <c r="AA127" s="65">
        <v>1289250.1800000002</v>
      </c>
      <c r="AB127" s="65">
        <v>1267155.2</v>
      </c>
      <c r="AC127" s="65">
        <v>1276554.1299999999</v>
      </c>
      <c r="AD127" s="65">
        <v>1124540.27</v>
      </c>
      <c r="AE127" s="65">
        <v>1108413.72</v>
      </c>
      <c r="AF127" s="65">
        <v>825902.46</v>
      </c>
      <c r="AG127" s="65">
        <f>SUM(TBBP[[#This Row],[Coluna21]:[Coluna32]])</f>
        <v>12472612.870000001</v>
      </c>
      <c r="AH127" s="65">
        <v>613644.85</v>
      </c>
      <c r="AI127" s="65">
        <v>642077.56999999995</v>
      </c>
      <c r="AJ127" s="65">
        <v>504979.05</v>
      </c>
      <c r="AK127" s="65">
        <v>836142.35</v>
      </c>
      <c r="AL127" s="65">
        <v>877915.58</v>
      </c>
      <c r="AM127" s="65">
        <v>653364.1</v>
      </c>
      <c r="AN127" s="65">
        <v>1172685.7</v>
      </c>
      <c r="AO127" s="65">
        <v>869987.43</v>
      </c>
      <c r="AP127" s="65">
        <v>759307.31</v>
      </c>
      <c r="AQ127" s="65">
        <v>1235180.22</v>
      </c>
      <c r="AR127" s="65">
        <v>1008902.47</v>
      </c>
      <c r="AS127" s="65">
        <v>1149701.52</v>
      </c>
      <c r="AT127" s="65">
        <f>SUM(TBBP[[#This Row],[Coluna34]:[Coluna45]])</f>
        <v>10323888.149999999</v>
      </c>
      <c r="AU127" s="65">
        <v>1135674.95</v>
      </c>
      <c r="AV127" s="65">
        <v>876695.37</v>
      </c>
      <c r="AW127" s="65">
        <v>1375312.6</v>
      </c>
      <c r="AX127" s="65">
        <v>2376665.9099999997</v>
      </c>
      <c r="AY127" s="65">
        <v>1823563.3899999994</v>
      </c>
      <c r="AZ127" s="65">
        <v>2055692.22</v>
      </c>
      <c r="BA127" s="65">
        <v>1230947.2</v>
      </c>
      <c r="BB127" s="65">
        <v>1454121.28</v>
      </c>
      <c r="BC127" s="65">
        <v>1441263.9899999974</v>
      </c>
      <c r="BD127" s="65">
        <v>1129733.1300000018</v>
      </c>
      <c r="BE127" s="65">
        <v>974999.76000000106</v>
      </c>
      <c r="BF127" s="65">
        <v>1242593.42</v>
      </c>
      <c r="BG127" s="65">
        <f>SUM(TBBP[[#This Row],[Coluna47]:[Coluna58]])</f>
        <v>17117263.219999999</v>
      </c>
      <c r="BH127" s="65">
        <v>1164839.8700000001</v>
      </c>
      <c r="BI127" s="65">
        <v>1212547.95</v>
      </c>
      <c r="BJ127" s="65">
        <v>2637700.39</v>
      </c>
      <c r="BK127" s="65">
        <v>938669.8</v>
      </c>
      <c r="BL127" s="65">
        <v>1102829.8800000006</v>
      </c>
      <c r="BM127" s="65">
        <v>1700203.2599999993</v>
      </c>
      <c r="BN127" s="65">
        <v>2436675.9999999963</v>
      </c>
      <c r="BO127" s="65">
        <v>1854072.1300000008</v>
      </c>
      <c r="BP127" s="65">
        <v>2120239.9199999976</v>
      </c>
      <c r="BQ127" s="65">
        <v>1947914.27</v>
      </c>
      <c r="BR127" s="65">
        <v>1944919.8900000015</v>
      </c>
      <c r="BS127" s="65">
        <v>2043870.29</v>
      </c>
      <c r="BT127" s="65">
        <f>IF(OR(MID(TBBP[[#This Row],[Coluna1]],1,1)="1",MID(TBBP[[#This Row],[Coluna1]],1,1)="2"),TBBP[[#This Row],[Coluna127]],SUM(BH127:BS127))</f>
        <v>21104483.649999995</v>
      </c>
      <c r="BU127" s="65">
        <v>1794894.3100000017</v>
      </c>
      <c r="BV127" s="65">
        <v>1914832.6699999988</v>
      </c>
      <c r="BW127" s="92">
        <v>1924768.620000001</v>
      </c>
      <c r="BX127" s="92">
        <v>2045419.08</v>
      </c>
      <c r="BY127" s="92">
        <v>2576067.5600000005</v>
      </c>
      <c r="BZ127" s="92">
        <v>1808121.1299999987</v>
      </c>
      <c r="CA127" s="92">
        <v>1850827.9599999997</v>
      </c>
      <c r="CB127" s="92">
        <v>1811156.2800000007</v>
      </c>
      <c r="CC127" s="92">
        <v>0</v>
      </c>
      <c r="CD127" s="92">
        <v>0</v>
      </c>
      <c r="CE127" s="92">
        <v>0</v>
      </c>
      <c r="CF127" s="92">
        <v>0</v>
      </c>
      <c r="CG127" s="92">
        <f>IF(OR(MID(TBBP[[#This Row],[Coluna1]],1,1)="1",MID(TBBP[[#This Row],[Coluna1]],1,1)="2"),TBBP[[#This Row],[Coluna127]],SUM(BU127:CF127))</f>
        <v>15726087.610000001</v>
      </c>
      <c r="CH127" s="92">
        <v>0</v>
      </c>
      <c r="CI127" s="92">
        <v>0</v>
      </c>
      <c r="CJ127" s="92">
        <v>0</v>
      </c>
      <c r="CK127" s="92">
        <v>0</v>
      </c>
      <c r="CL127" s="92">
        <v>2816983.5800000019</v>
      </c>
      <c r="CM127" s="92">
        <v>2911797.0799999982</v>
      </c>
      <c r="CN127" s="92">
        <v>2794902.7999999989</v>
      </c>
      <c r="CO127" s="92">
        <v>2704259.3000000003</v>
      </c>
      <c r="CP127" s="92">
        <v>2450258.810000001</v>
      </c>
      <c r="CQ127" s="92">
        <v>2984227.0400000019</v>
      </c>
      <c r="CR127" s="92">
        <v>1521396.8300000008</v>
      </c>
      <c r="CS127" s="92">
        <v>1545287.4700000018</v>
      </c>
      <c r="CT127" s="92">
        <f>IF(OR(MID(TBBP[[#This Row],[Coluna1]],1,1)="1",MID(TBBP[[#This Row],[Coluna1]],1,1)="2"),TBBP[[#This Row],[Coluna127]],SUM(CH127:CS127))</f>
        <v>19729112.910000008</v>
      </c>
      <c r="CU127" s="92">
        <v>2967548.9400000037</v>
      </c>
      <c r="CV127" s="92">
        <v>3172104.8300000066</v>
      </c>
      <c r="CW127" s="92">
        <v>2462012.88</v>
      </c>
      <c r="CX127" s="92">
        <v>3695857.9100000025</v>
      </c>
      <c r="CY127" s="92">
        <v>4222217.6300000045</v>
      </c>
      <c r="CZ127" s="92">
        <v>2937743.1399999992</v>
      </c>
      <c r="DA127" s="92">
        <v>2542331.2200000002</v>
      </c>
      <c r="DB127" s="92">
        <v>2542331.2200000002</v>
      </c>
      <c r="DC127" s="92">
        <v>3206834.4000000018</v>
      </c>
      <c r="DD127" s="92">
        <v>3066640.6600000029</v>
      </c>
      <c r="DE127" s="92">
        <v>3069144.6800000025</v>
      </c>
      <c r="DF127" s="92">
        <v>3069144.6800000025</v>
      </c>
      <c r="DG127" s="92">
        <f>SUM(TBBP[[#This Row],[Coluna287]:[Coluna298]])</f>
        <v>36953912.19000002</v>
      </c>
      <c r="DH127" s="260">
        <v>0</v>
      </c>
      <c r="DI127" s="260">
        <v>0</v>
      </c>
      <c r="DJ127" s="260">
        <v>0</v>
      </c>
      <c r="DK127" s="260">
        <v>0</v>
      </c>
      <c r="DL127" s="260">
        <v>0</v>
      </c>
      <c r="DM127" s="260">
        <v>0</v>
      </c>
      <c r="DO127" t="s">
        <v>838</v>
      </c>
      <c r="DP127" s="30">
        <f>IF(OR(MID(TBBP[[#This Row],[Coluna1]],1,1)="1",MID(TBBP[[#This Row],[Coluna1]],1,1)="2"),"-",SUMIFS(127:127,listaPeriodos,$DR$1,listaPeriodos,$DR$2))</f>
        <v>0</v>
      </c>
      <c r="DQ127" s="30">
        <v>3538177.69066667</v>
      </c>
      <c r="DR127" s="30">
        <f t="shared" si="89"/>
        <v>21229066.14400002</v>
      </c>
      <c r="DS127" s="30"/>
      <c r="DT127" s="30"/>
      <c r="DU127"/>
    </row>
    <row r="128" spans="1:125" x14ac:dyDescent="0.3">
      <c r="A128" s="66" t="s">
        <v>839</v>
      </c>
      <c r="B128" s="65" t="s">
        <v>709</v>
      </c>
      <c r="C128" s="65"/>
      <c r="D128" s="65"/>
      <c r="E128" s="65"/>
      <c r="F128" s="65"/>
      <c r="G128" s="65"/>
      <c r="H128" s="65">
        <v>379075.8</v>
      </c>
      <c r="I128" s="65">
        <v>329572</v>
      </c>
      <c r="J128" s="65">
        <v>295910.84999999998</v>
      </c>
      <c r="K128" s="65">
        <v>277349.82999999996</v>
      </c>
      <c r="L128" s="65">
        <v>257349.83</v>
      </c>
      <c r="M128" s="65">
        <v>258325.85</v>
      </c>
      <c r="N128" s="65">
        <v>400128.17</v>
      </c>
      <c r="O128" s="65">
        <v>180426.08000000002</v>
      </c>
      <c r="P128" s="65">
        <v>440535.86</v>
      </c>
      <c r="Q128" s="65">
        <v>188307.26</v>
      </c>
      <c r="R128" s="65">
        <v>54933.27</v>
      </c>
      <c r="S128" s="65">
        <v>707655.86</v>
      </c>
      <c r="T128" s="65">
        <f>SUM(TBBP[[#This Row],[Coluna8]:[Coluna19]])</f>
        <v>3769570.66</v>
      </c>
      <c r="U128" s="65">
        <v>324926.25</v>
      </c>
      <c r="V128" s="65">
        <v>341880.94</v>
      </c>
      <c r="W128" s="65">
        <v>298163.65000000002</v>
      </c>
      <c r="X128" s="65">
        <v>345013.89</v>
      </c>
      <c r="Y128" s="65">
        <v>330155.77</v>
      </c>
      <c r="Z128" s="65">
        <v>59119.95</v>
      </c>
      <c r="AA128" s="65">
        <v>594215.49</v>
      </c>
      <c r="AB128" s="65">
        <v>486308.81</v>
      </c>
      <c r="AC128" s="65">
        <v>217249.89</v>
      </c>
      <c r="AD128" s="65">
        <v>432600.9</v>
      </c>
      <c r="AE128" s="65">
        <v>353305.57</v>
      </c>
      <c r="AF128" s="65">
        <v>360917.89</v>
      </c>
      <c r="AG128" s="65">
        <f>SUM(TBBP[[#This Row],[Coluna21]:[Coluna32]])</f>
        <v>4143859</v>
      </c>
      <c r="AH128" s="65">
        <v>283972.63</v>
      </c>
      <c r="AI128" s="65">
        <v>306544.71999999997</v>
      </c>
      <c r="AJ128" s="65">
        <v>293327.89</v>
      </c>
      <c r="AK128" s="65">
        <v>299411.56</v>
      </c>
      <c r="AL128" s="65">
        <v>273292.44</v>
      </c>
      <c r="AM128" s="65">
        <v>264129.68</v>
      </c>
      <c r="AN128" s="65">
        <v>362025.45</v>
      </c>
      <c r="AO128" s="65">
        <v>392217.87</v>
      </c>
      <c r="AP128" s="65">
        <v>282295.8</v>
      </c>
      <c r="AQ128" s="65">
        <v>424208.09</v>
      </c>
      <c r="AR128" s="65">
        <v>377085.38</v>
      </c>
      <c r="AS128" s="65">
        <v>225298.61</v>
      </c>
      <c r="AT128" s="65">
        <f>SUM(TBBP[[#This Row],[Coluna34]:[Coluna45]])</f>
        <v>3783810.1199999992</v>
      </c>
      <c r="AU128" s="65">
        <v>256875.3</v>
      </c>
      <c r="AV128" s="65">
        <v>367724.58</v>
      </c>
      <c r="AW128" s="65">
        <v>325704.24</v>
      </c>
      <c r="AX128" s="65">
        <v>341241.21</v>
      </c>
      <c r="AY128" s="65">
        <v>278605.53000000003</v>
      </c>
      <c r="AZ128" s="65">
        <v>168202.37</v>
      </c>
      <c r="BA128" s="65">
        <v>313969.89</v>
      </c>
      <c r="BB128" s="65">
        <v>316237.99</v>
      </c>
      <c r="BC128" s="65">
        <v>255703.87</v>
      </c>
      <c r="BD128" s="65">
        <v>250028.32</v>
      </c>
      <c r="BE128" s="65">
        <v>315998</v>
      </c>
      <c r="BF128" s="65">
        <v>17517.36</v>
      </c>
      <c r="BG128" s="65">
        <f>SUM(TBBP[[#This Row],[Coluna47]:[Coluna58]])</f>
        <v>3207808.66</v>
      </c>
      <c r="BH128" s="65">
        <v>179444.49</v>
      </c>
      <c r="BI128" s="65">
        <v>32417.599999999999</v>
      </c>
      <c r="BJ128" s="65">
        <v>44813.4</v>
      </c>
      <c r="BK128" s="65">
        <v>31958.42</v>
      </c>
      <c r="BL128" s="65">
        <v>60290.67</v>
      </c>
      <c r="BM128" s="65">
        <v>70487.460000000006</v>
      </c>
      <c r="BN128" s="65">
        <v>59509.99</v>
      </c>
      <c r="BO128" s="65">
        <v>54497.23</v>
      </c>
      <c r="BP128" s="65">
        <v>33396.299999999996</v>
      </c>
      <c r="BQ128" s="65">
        <v>116831.04000000001</v>
      </c>
      <c r="BR128" s="65">
        <v>18018.310000000001</v>
      </c>
      <c r="BS128" s="65">
        <v>33586.76999999999</v>
      </c>
      <c r="BT128" s="65">
        <f>IF(OR(MID(TBBP[[#This Row],[Coluna1]],1,1)="1",MID(TBBP[[#This Row],[Coluna1]],1,1)="2"),TBBP[[#This Row],[Coluna127]],SUM(BH128:BS128))</f>
        <v>735251.68000000017</v>
      </c>
      <c r="BU128" s="65">
        <v>28704.179999999997</v>
      </c>
      <c r="BV128" s="65">
        <v>20763.79</v>
      </c>
      <c r="BW128" s="92">
        <v>96633.86</v>
      </c>
      <c r="BX128" s="92">
        <v>77838.100000000006</v>
      </c>
      <c r="BY128" s="92">
        <v>66254.720000000001</v>
      </c>
      <c r="BZ128" s="92">
        <v>32090.9</v>
      </c>
      <c r="CA128" s="92">
        <v>51712.639999999999</v>
      </c>
      <c r="CB128" s="92">
        <v>81834.7</v>
      </c>
      <c r="CC128" s="92">
        <v>0</v>
      </c>
      <c r="CD128" s="92">
        <v>0</v>
      </c>
      <c r="CE128" s="92">
        <v>0</v>
      </c>
      <c r="CF128" s="92">
        <v>0</v>
      </c>
      <c r="CG128" s="92">
        <f>IF(OR(MID(TBBP[[#This Row],[Coluna1]],1,1)="1",MID(TBBP[[#This Row],[Coluna1]],1,1)="2"),TBBP[[#This Row],[Coluna127]],SUM(BU128:CF128))</f>
        <v>455832.89000000007</v>
      </c>
      <c r="CH128" s="92">
        <v>0</v>
      </c>
      <c r="CI128" s="92">
        <v>0</v>
      </c>
      <c r="CJ128" s="92">
        <v>0</v>
      </c>
      <c r="CK128" s="92">
        <v>0</v>
      </c>
      <c r="CL128" s="92">
        <v>67139.460000000006</v>
      </c>
      <c r="CM128" s="92">
        <v>35482.17</v>
      </c>
      <c r="CN128" s="92">
        <v>39386.829999999994</v>
      </c>
      <c r="CO128" s="92">
        <v>103951.43999999999</v>
      </c>
      <c r="CP128" s="92">
        <v>49784.57</v>
      </c>
      <c r="CQ128" s="92">
        <v>91599.709999999992</v>
      </c>
      <c r="CR128" s="92">
        <v>48330.950000000004</v>
      </c>
      <c r="CS128" s="92">
        <v>71726.09</v>
      </c>
      <c r="CT128" s="92">
        <f>IF(OR(MID(TBBP[[#This Row],[Coluna1]],1,1)="1",MID(TBBP[[#This Row],[Coluna1]],1,1)="2"),TBBP[[#This Row],[Coluna127]],SUM(CH128:CS128))</f>
        <v>507401.22</v>
      </c>
      <c r="CU128" s="92">
        <v>66964.28</v>
      </c>
      <c r="CV128" s="92">
        <v>59681.969999999987</v>
      </c>
      <c r="CW128" s="92">
        <v>31106.580000000005</v>
      </c>
      <c r="CX128" s="92">
        <v>58131.560000000005</v>
      </c>
      <c r="CY128" s="92">
        <v>40594.629999999997</v>
      </c>
      <c r="CZ128" s="92">
        <v>57766.380000000005</v>
      </c>
      <c r="DA128" s="92">
        <v>45443.08</v>
      </c>
      <c r="DB128" s="92">
        <v>45443.08</v>
      </c>
      <c r="DC128" s="92">
        <v>57322.950000000004</v>
      </c>
      <c r="DD128" s="92">
        <v>94475.629999999976</v>
      </c>
      <c r="DE128" s="92">
        <v>79258.00999999998</v>
      </c>
      <c r="DF128" s="92">
        <v>79258.00999999998</v>
      </c>
      <c r="DG128" s="92">
        <f>SUM(TBBP[[#This Row],[Coluna287]:[Coluna298]])</f>
        <v>715446.16</v>
      </c>
      <c r="DH128" s="260">
        <v>0</v>
      </c>
      <c r="DI128" s="260">
        <v>0</v>
      </c>
      <c r="DJ128" s="260">
        <v>0</v>
      </c>
      <c r="DK128" s="260">
        <v>0</v>
      </c>
      <c r="DL128" s="260">
        <v>0</v>
      </c>
      <c r="DM128" s="260">
        <v>0</v>
      </c>
      <c r="DO128" t="s">
        <v>839</v>
      </c>
      <c r="DP128" s="30">
        <f>IF(OR(MID(TBBP[[#This Row],[Coluna1]],1,1)="1",MID(TBBP[[#This Row],[Coluna1]],1,1)="2"),"-",SUMIFS(128:128,listaPeriodos,$DR$1,listaPeriodos,$DR$2))</f>
        <v>0</v>
      </c>
      <c r="DQ128" s="30">
        <v>29249.99</v>
      </c>
      <c r="DR128" s="30">
        <f t="shared" si="89"/>
        <v>175499.94</v>
      </c>
      <c r="DS128" s="30"/>
      <c r="DT128" s="30"/>
      <c r="DU128"/>
    </row>
    <row r="129" spans="1:125" x14ac:dyDescent="0.3">
      <c r="A129" s="66" t="s">
        <v>840</v>
      </c>
      <c r="B129" s="65" t="s">
        <v>710</v>
      </c>
      <c r="C129" s="65"/>
      <c r="D129" s="65"/>
      <c r="E129" s="65"/>
      <c r="F129" s="65"/>
      <c r="G129" s="65"/>
      <c r="H129" s="65">
        <v>385952.36</v>
      </c>
      <c r="I129" s="65">
        <v>570674.17000000004</v>
      </c>
      <c r="J129" s="65">
        <v>471789.79</v>
      </c>
      <c r="K129" s="65">
        <v>784883.67999999993</v>
      </c>
      <c r="L129" s="65">
        <v>319549.77</v>
      </c>
      <c r="M129" s="65">
        <v>498084.24</v>
      </c>
      <c r="N129" s="65">
        <v>963651.8</v>
      </c>
      <c r="O129" s="65">
        <v>863646.78</v>
      </c>
      <c r="P129" s="65">
        <v>969764.92</v>
      </c>
      <c r="Q129" s="65">
        <v>747482.75</v>
      </c>
      <c r="R129" s="65">
        <v>443762.94</v>
      </c>
      <c r="S129" s="65">
        <v>196444.7</v>
      </c>
      <c r="T129" s="65">
        <f>SUM(TBBP[[#This Row],[Coluna8]:[Coluna19]])</f>
        <v>7215687.9000000004</v>
      </c>
      <c r="U129" s="65">
        <v>714993.34</v>
      </c>
      <c r="V129" s="65">
        <v>634573.93999999994</v>
      </c>
      <c r="W129" s="65">
        <v>860564.22</v>
      </c>
      <c r="X129" s="65">
        <v>873550.06</v>
      </c>
      <c r="Y129" s="65">
        <v>682193.1</v>
      </c>
      <c r="Z129" s="65">
        <v>676213.21</v>
      </c>
      <c r="AA129" s="65">
        <v>448880.41</v>
      </c>
      <c r="AB129" s="65">
        <v>396233.2</v>
      </c>
      <c r="AC129" s="65">
        <v>1005753.79</v>
      </c>
      <c r="AD129" s="65">
        <v>1399047.01</v>
      </c>
      <c r="AE129" s="65">
        <v>797981.49</v>
      </c>
      <c r="AF129" s="65">
        <v>553008.17000000004</v>
      </c>
      <c r="AG129" s="65">
        <f>SUM(TBBP[[#This Row],[Coluna21]:[Coluna32]])</f>
        <v>9042991.9399999995</v>
      </c>
      <c r="AH129" s="65">
        <v>967864.67</v>
      </c>
      <c r="AI129" s="65">
        <v>718503.07</v>
      </c>
      <c r="AJ129" s="65">
        <v>560556.55000000005</v>
      </c>
      <c r="AK129" s="65">
        <v>461761.48</v>
      </c>
      <c r="AL129" s="65">
        <v>760544.29</v>
      </c>
      <c r="AM129" s="65">
        <v>1401734.04</v>
      </c>
      <c r="AN129" s="65">
        <v>1615792.65</v>
      </c>
      <c r="AO129" s="65">
        <v>1691878.26</v>
      </c>
      <c r="AP129" s="65">
        <v>1726617.17</v>
      </c>
      <c r="AQ129" s="65">
        <v>1847583.47</v>
      </c>
      <c r="AR129" s="65">
        <v>1739128.86</v>
      </c>
      <c r="AS129" s="65">
        <v>1537243.2</v>
      </c>
      <c r="AT129" s="65">
        <f>SUM(TBBP[[#This Row],[Coluna34]:[Coluna45]])</f>
        <v>15029207.709999999</v>
      </c>
      <c r="AU129" s="65">
        <v>1839583.71</v>
      </c>
      <c r="AV129" s="65">
        <v>2094333.72</v>
      </c>
      <c r="AW129" s="65">
        <v>2138056.77</v>
      </c>
      <c r="AX129" s="65">
        <v>2066739.98</v>
      </c>
      <c r="AY129" s="65">
        <v>2779212.5699999984</v>
      </c>
      <c r="AZ129" s="65">
        <v>3299387.5500000007</v>
      </c>
      <c r="BA129" s="65">
        <v>3132547.3099999996</v>
      </c>
      <c r="BB129" s="65">
        <v>3731968.5800000005</v>
      </c>
      <c r="BC129" s="65">
        <v>2886828.4699999983</v>
      </c>
      <c r="BD129" s="65">
        <v>3210855.5399999972</v>
      </c>
      <c r="BE129" s="65">
        <v>2564549.7599999998</v>
      </c>
      <c r="BF129" s="65">
        <v>2528342.4500000002</v>
      </c>
      <c r="BG129" s="65">
        <f>SUM(TBBP[[#This Row],[Coluna47]:[Coluna58]])</f>
        <v>32272406.409999993</v>
      </c>
      <c r="BH129" s="65">
        <v>2129773.1800000002</v>
      </c>
      <c r="BI129" s="65">
        <v>2842905.8300000005</v>
      </c>
      <c r="BJ129" s="65">
        <v>4402870.8599999994</v>
      </c>
      <c r="BK129" s="65">
        <v>3425214.7099999986</v>
      </c>
      <c r="BL129" s="65">
        <v>3219948.45</v>
      </c>
      <c r="BM129" s="65">
        <v>3178339.6200000043</v>
      </c>
      <c r="BN129" s="65">
        <v>2287967.7100000009</v>
      </c>
      <c r="BO129" s="65">
        <v>2836293.7599999979</v>
      </c>
      <c r="BP129" s="65">
        <v>3107009.6199999992</v>
      </c>
      <c r="BQ129" s="65">
        <v>1962365.3099999998</v>
      </c>
      <c r="BR129" s="65">
        <v>2509680.5900000017</v>
      </c>
      <c r="BS129" s="65">
        <v>1774834.659999999</v>
      </c>
      <c r="BT129" s="65">
        <f>IF(OR(MID(TBBP[[#This Row],[Coluna1]],1,1)="1",MID(TBBP[[#This Row],[Coluna1]],1,1)="2"),TBBP[[#This Row],[Coluna127]],SUM(BH129:BS129))</f>
        <v>33677204.299999997</v>
      </c>
      <c r="BU129" s="65">
        <v>1407815.15</v>
      </c>
      <c r="BV129" s="65">
        <v>1486340.9499999993</v>
      </c>
      <c r="BW129" s="92">
        <v>2049031.8899999987</v>
      </c>
      <c r="BX129" s="92">
        <v>1665539.4200000002</v>
      </c>
      <c r="BY129" s="92">
        <v>3027400.7599999984</v>
      </c>
      <c r="BZ129" s="92">
        <v>3052072.7699999991</v>
      </c>
      <c r="CA129" s="92">
        <v>1620342.0899999994</v>
      </c>
      <c r="CB129" s="92">
        <v>3141393.4799999981</v>
      </c>
      <c r="CC129" s="92">
        <v>0</v>
      </c>
      <c r="CD129" s="92">
        <v>0</v>
      </c>
      <c r="CE129" s="92">
        <v>0</v>
      </c>
      <c r="CF129" s="92">
        <v>0</v>
      </c>
      <c r="CG129" s="92">
        <f>IF(OR(MID(TBBP[[#This Row],[Coluna1]],1,1)="1",MID(TBBP[[#This Row],[Coluna1]],1,1)="2"),TBBP[[#This Row],[Coluna127]],SUM(BU129:CF129))</f>
        <v>17449936.509999994</v>
      </c>
      <c r="CH129" s="92">
        <v>0</v>
      </c>
      <c r="CI129" s="92">
        <v>0</v>
      </c>
      <c r="CJ129" s="92">
        <v>0</v>
      </c>
      <c r="CK129" s="92">
        <v>0</v>
      </c>
      <c r="CL129" s="92">
        <v>4124776.39</v>
      </c>
      <c r="CM129" s="92">
        <v>3795513.6100000003</v>
      </c>
      <c r="CN129" s="92">
        <v>5317209.370000002</v>
      </c>
      <c r="CO129" s="92">
        <v>3018940.1800000011</v>
      </c>
      <c r="CP129" s="92">
        <v>4356653.6500000013</v>
      </c>
      <c r="CQ129" s="92">
        <v>3921906.7699999977</v>
      </c>
      <c r="CR129" s="92">
        <v>4653065.54</v>
      </c>
      <c r="CS129" s="92">
        <v>5473253.9600000028</v>
      </c>
      <c r="CT129" s="92">
        <f>IF(OR(MID(TBBP[[#This Row],[Coluna1]],1,1)="1",MID(TBBP[[#This Row],[Coluna1]],1,1)="2"),TBBP[[#This Row],[Coluna127]],SUM(CH129:CS129))</f>
        <v>34661319.469999999</v>
      </c>
      <c r="CU129" s="92">
        <v>2762007.5200000014</v>
      </c>
      <c r="CV129" s="92">
        <v>2826720.649999998</v>
      </c>
      <c r="CW129" s="92">
        <v>3422299.96</v>
      </c>
      <c r="CX129" s="92">
        <v>5449789.929999996</v>
      </c>
      <c r="CY129" s="92">
        <v>4813121.8799999962</v>
      </c>
      <c r="CZ129" s="92">
        <v>3973194.0200000033</v>
      </c>
      <c r="DA129" s="92">
        <v>3056450.4700000035</v>
      </c>
      <c r="DB129" s="92">
        <v>3056450.4700000035</v>
      </c>
      <c r="DC129" s="92">
        <v>3632258.5499999993</v>
      </c>
      <c r="DD129" s="92">
        <v>2547060.0999999996</v>
      </c>
      <c r="DE129" s="92">
        <v>3311199.9700000007</v>
      </c>
      <c r="DF129" s="92">
        <v>3311199.9700000007</v>
      </c>
      <c r="DG129" s="92">
        <f>SUM(TBBP[[#This Row],[Coluna287]:[Coluna298]])</f>
        <v>42161753.489999995</v>
      </c>
      <c r="DH129" s="260">
        <v>0</v>
      </c>
      <c r="DI129" s="260">
        <v>0</v>
      </c>
      <c r="DJ129" s="260">
        <v>0</v>
      </c>
      <c r="DK129" s="260">
        <v>0</v>
      </c>
      <c r="DL129" s="260">
        <v>0</v>
      </c>
      <c r="DM129" s="260">
        <v>0</v>
      </c>
      <c r="DO129" t="s">
        <v>840</v>
      </c>
      <c r="DP129" s="30">
        <f>IF(OR(MID(TBBP[[#This Row],[Coluna1]],1,1)="1",MID(TBBP[[#This Row],[Coluna1]],1,1)="2"),"-",SUMIFS(129:129,listaPeriodos,$DR$1,listaPeriodos,$DR$2))</f>
        <v>0</v>
      </c>
      <c r="DQ129" s="30">
        <f>DQ126*0.5</f>
        <v>4758774.4929999998</v>
      </c>
      <c r="DR129" s="30">
        <f t="shared" si="89"/>
        <v>28552646.957999997</v>
      </c>
      <c r="DS129" s="30"/>
      <c r="DT129" s="30"/>
      <c r="DU129"/>
    </row>
    <row r="130" spans="1:125" x14ac:dyDescent="0.3">
      <c r="A130" s="66" t="s">
        <v>841</v>
      </c>
      <c r="B130" s="65" t="s">
        <v>712</v>
      </c>
      <c r="C130" s="65"/>
      <c r="D130" s="65"/>
      <c r="E130" s="65"/>
      <c r="F130" s="65"/>
      <c r="G130" s="65"/>
      <c r="H130" s="65">
        <v>168058.97</v>
      </c>
      <c r="I130" s="65">
        <v>148331.44</v>
      </c>
      <c r="J130" s="65">
        <v>624305.03</v>
      </c>
      <c r="K130" s="65">
        <v>151947.96</v>
      </c>
      <c r="L130" s="65">
        <v>113913.67</v>
      </c>
      <c r="M130" s="65">
        <v>484879.18</v>
      </c>
      <c r="N130" s="65">
        <v>576053.85</v>
      </c>
      <c r="O130" s="65">
        <v>249397.11</v>
      </c>
      <c r="P130" s="65">
        <v>675691.09</v>
      </c>
      <c r="Q130" s="65">
        <v>465837.82</v>
      </c>
      <c r="R130" s="65">
        <v>321823.67</v>
      </c>
      <c r="S130" s="65">
        <v>191161.45</v>
      </c>
      <c r="T130" s="65">
        <f>SUM(TBBP[[#This Row],[Coluna8]:[Coluna19]])</f>
        <v>4171401.2399999998</v>
      </c>
      <c r="U130" s="65">
        <v>556660.63</v>
      </c>
      <c r="V130" s="65">
        <v>287468.24</v>
      </c>
      <c r="W130" s="65">
        <v>371993.76</v>
      </c>
      <c r="X130" s="65">
        <v>438411.72</v>
      </c>
      <c r="Y130" s="65">
        <v>525085.71</v>
      </c>
      <c r="Z130" s="65">
        <v>251524.81</v>
      </c>
      <c r="AA130" s="65">
        <v>516161.06</v>
      </c>
      <c r="AB130" s="65">
        <v>616020.87</v>
      </c>
      <c r="AC130" s="65">
        <v>674743.65</v>
      </c>
      <c r="AD130" s="65">
        <v>505206.72</v>
      </c>
      <c r="AE130" s="65">
        <v>601649.16</v>
      </c>
      <c r="AF130" s="65">
        <v>387739.49</v>
      </c>
      <c r="AG130" s="65">
        <f>SUM(TBBP[[#This Row],[Coluna21]:[Coluna32]])</f>
        <v>5732665.8200000003</v>
      </c>
      <c r="AH130" s="65">
        <v>282569.40999999997</v>
      </c>
      <c r="AI130" s="65">
        <v>196444.52</v>
      </c>
      <c r="AJ130" s="65">
        <v>184391.51</v>
      </c>
      <c r="AK130" s="65">
        <v>410657.82</v>
      </c>
      <c r="AL130" s="65">
        <v>336575.72</v>
      </c>
      <c r="AM130" s="65">
        <v>232838.94</v>
      </c>
      <c r="AN130" s="65">
        <v>590432.98</v>
      </c>
      <c r="AO130" s="65">
        <v>405366.75</v>
      </c>
      <c r="AP130" s="65">
        <v>336944.83</v>
      </c>
      <c r="AQ130" s="65">
        <v>541952.93999999994</v>
      </c>
      <c r="AR130" s="65">
        <v>479625.06</v>
      </c>
      <c r="AS130" s="65">
        <v>443677.22</v>
      </c>
      <c r="AT130" s="65">
        <f>SUM(TBBP[[#This Row],[Coluna34]:[Coluna45]])</f>
        <v>4441477.7</v>
      </c>
      <c r="AU130" s="65">
        <v>505539.21</v>
      </c>
      <c r="AV130" s="65">
        <v>289960.88</v>
      </c>
      <c r="AW130" s="65">
        <v>532784.44999999995</v>
      </c>
      <c r="AX130" s="65">
        <v>1198041.9900000002</v>
      </c>
      <c r="AY130" s="65">
        <v>692452.41000000038</v>
      </c>
      <c r="AZ130" s="65">
        <v>853112.97000000067</v>
      </c>
      <c r="BA130" s="65">
        <v>524688.06000000064</v>
      </c>
      <c r="BB130" s="65">
        <v>583927.16000000073</v>
      </c>
      <c r="BC130" s="65">
        <v>561261.12000000034</v>
      </c>
      <c r="BD130" s="65">
        <v>499229.39000000019</v>
      </c>
      <c r="BE130" s="65">
        <v>405569.99</v>
      </c>
      <c r="BF130" s="65">
        <v>543102.81000000006</v>
      </c>
      <c r="BG130" s="65">
        <f>SUM(TBBP[[#This Row],[Coluna47]:[Coluna58]])</f>
        <v>7189670.4400000032</v>
      </c>
      <c r="BH130" s="65">
        <v>467940.2999999997</v>
      </c>
      <c r="BI130" s="65">
        <v>478306.84</v>
      </c>
      <c r="BJ130" s="65">
        <v>1145419.8400000001</v>
      </c>
      <c r="BK130" s="65">
        <v>332756.57</v>
      </c>
      <c r="BL130" s="65">
        <v>404144.99</v>
      </c>
      <c r="BM130" s="65">
        <v>483422.70999999967</v>
      </c>
      <c r="BN130" s="65">
        <v>911871.89000000071</v>
      </c>
      <c r="BO130" s="65">
        <v>774891.47000000009</v>
      </c>
      <c r="BP130" s="65">
        <v>813274.04999999993</v>
      </c>
      <c r="BQ130" s="65">
        <v>816669.2699999992</v>
      </c>
      <c r="BR130" s="65">
        <v>812095.21999999974</v>
      </c>
      <c r="BS130" s="65">
        <v>827463.16000000108</v>
      </c>
      <c r="BT130" s="65">
        <f>IF(OR(MID(TBBP[[#This Row],[Coluna1]],1,1)="1",MID(TBBP[[#This Row],[Coluna1]],1,1)="2"),TBBP[[#This Row],[Coluna127]],SUM(BH130:BS130))</f>
        <v>8268256.3100000005</v>
      </c>
      <c r="BU130" s="65">
        <v>669990.81999999995</v>
      </c>
      <c r="BV130" s="65">
        <v>781588.70999999938</v>
      </c>
      <c r="BW130" s="92">
        <v>840296.73000000021</v>
      </c>
      <c r="BX130" s="92">
        <v>787398.37</v>
      </c>
      <c r="BY130" s="92">
        <v>1226274.2200000002</v>
      </c>
      <c r="BZ130" s="92">
        <v>655879.03000000061</v>
      </c>
      <c r="CA130" s="92">
        <v>916198.32</v>
      </c>
      <c r="CB130" s="92">
        <v>669175.2200000016</v>
      </c>
      <c r="CC130" s="92">
        <v>0</v>
      </c>
      <c r="CD130" s="92">
        <v>0</v>
      </c>
      <c r="CE130" s="92">
        <v>0</v>
      </c>
      <c r="CF130" s="92">
        <v>0</v>
      </c>
      <c r="CG130" s="92">
        <f>IF(OR(MID(TBBP[[#This Row],[Coluna1]],1,1)="1",MID(TBBP[[#This Row],[Coluna1]],1,1)="2"),TBBP[[#This Row],[Coluna127]],SUM(BU130:CF130))</f>
        <v>6546801.4200000018</v>
      </c>
      <c r="CH130" s="92">
        <v>0</v>
      </c>
      <c r="CI130" s="92">
        <v>0</v>
      </c>
      <c r="CJ130" s="92">
        <v>0</v>
      </c>
      <c r="CK130" s="92">
        <v>0</v>
      </c>
      <c r="CL130" s="92">
        <v>959359.52999999956</v>
      </c>
      <c r="CM130" s="92">
        <v>1182590.5</v>
      </c>
      <c r="CN130" s="92">
        <v>1038864.02</v>
      </c>
      <c r="CO130" s="92">
        <v>1083998.4399999985</v>
      </c>
      <c r="CP130" s="92">
        <v>973213.23999999976</v>
      </c>
      <c r="CQ130" s="92">
        <v>1347748.9900000002</v>
      </c>
      <c r="CR130" s="92">
        <v>663503.68000000098</v>
      </c>
      <c r="CS130" s="92">
        <v>575214.65000000095</v>
      </c>
      <c r="CT130" s="92">
        <f>IF(OR(MID(TBBP[[#This Row],[Coluna1]],1,1)="1",MID(TBBP[[#This Row],[Coluna1]],1,1)="2"),TBBP[[#This Row],[Coluna127]],SUM(CH130:CS130))</f>
        <v>7824493.0500000007</v>
      </c>
      <c r="CU130" s="92">
        <v>1136531.5000000021</v>
      </c>
      <c r="CV130" s="92">
        <v>1153636.3999999999</v>
      </c>
      <c r="CW130" s="92">
        <v>1150589.7</v>
      </c>
      <c r="CX130" s="92">
        <v>1598479.6900000002</v>
      </c>
      <c r="CY130" s="92">
        <v>3085184.7699999972</v>
      </c>
      <c r="CZ130" s="92">
        <v>1427249.7499999979</v>
      </c>
      <c r="DA130" s="92">
        <v>1140201.7300000007</v>
      </c>
      <c r="DB130" s="92">
        <v>1140201.7300000007</v>
      </c>
      <c r="DC130" s="92">
        <v>1381577.3899999978</v>
      </c>
      <c r="DD130" s="92">
        <v>1207520.4399999997</v>
      </c>
      <c r="DE130" s="92">
        <v>1509534.659999995</v>
      </c>
      <c r="DF130" s="92">
        <v>1509534.659999995</v>
      </c>
      <c r="DG130" s="92">
        <f>SUM(TBBP[[#This Row],[Coluna287]:[Coluna298]])</f>
        <v>17440242.419999987</v>
      </c>
      <c r="DH130" s="260">
        <v>0</v>
      </c>
      <c r="DI130" s="260">
        <v>0</v>
      </c>
      <c r="DJ130" s="260">
        <v>0</v>
      </c>
      <c r="DK130" s="260">
        <v>0</v>
      </c>
      <c r="DL130" s="260">
        <v>0</v>
      </c>
      <c r="DM130" s="260">
        <v>0</v>
      </c>
      <c r="DO130" t="s">
        <v>841</v>
      </c>
      <c r="DP130" s="30">
        <f>IF(OR(MID(TBBP[[#This Row],[Coluna1]],1,1)="1",MID(TBBP[[#This Row],[Coluna1]],1,1)="2"),"-",SUMIFS(130:130,listaPeriodos,$DR$1,listaPeriodos,$DR$2))</f>
        <v>0</v>
      </c>
      <c r="DQ130" s="30">
        <f>DQ127*0.4</f>
        <v>1415271.076266668</v>
      </c>
      <c r="DR130" s="30">
        <f t="shared" si="89"/>
        <v>8491626.4576000087</v>
      </c>
      <c r="DS130" s="30"/>
      <c r="DT130" s="30"/>
      <c r="DU130"/>
    </row>
    <row r="131" spans="1:125" ht="15" thickBot="1" x14ac:dyDescent="0.35">
      <c r="A131" s="68" t="s">
        <v>842</v>
      </c>
      <c r="B131" s="69" t="s">
        <v>713</v>
      </c>
      <c r="C131" s="69"/>
      <c r="D131" s="69"/>
      <c r="E131" s="69"/>
      <c r="F131" s="69"/>
      <c r="G131" s="69"/>
      <c r="H131" s="69">
        <v>154393.37</v>
      </c>
      <c r="I131" s="69">
        <v>140725.59</v>
      </c>
      <c r="J131" s="69">
        <v>140725.59</v>
      </c>
      <c r="K131" s="69">
        <v>61278.28</v>
      </c>
      <c r="L131" s="69">
        <v>89396.65</v>
      </c>
      <c r="M131" s="69">
        <v>101749.11</v>
      </c>
      <c r="N131" s="69">
        <v>148621.85999999999</v>
      </c>
      <c r="O131" s="69">
        <v>106630.74</v>
      </c>
      <c r="P131" s="69">
        <v>112051.86</v>
      </c>
      <c r="Q131" s="69">
        <v>184495.64</v>
      </c>
      <c r="R131" s="69">
        <v>147106.67000000001</v>
      </c>
      <c r="S131" s="69">
        <v>83793.679999999993</v>
      </c>
      <c r="T131" s="65">
        <f>SUM(TBBP[[#This Row],[Coluna8]:[Coluna19]])</f>
        <v>1470969.0399999998</v>
      </c>
      <c r="U131" s="69">
        <v>213192.16</v>
      </c>
      <c r="V131" s="69">
        <v>136173.07999999999</v>
      </c>
      <c r="W131" s="69">
        <v>122101.79</v>
      </c>
      <c r="X131" s="69">
        <v>143014.70000000001</v>
      </c>
      <c r="Y131" s="69">
        <v>136058.69</v>
      </c>
      <c r="Z131" s="69">
        <v>133966.63</v>
      </c>
      <c r="AA131" s="69">
        <v>148823.70000000001</v>
      </c>
      <c r="AB131" s="69">
        <v>130492.77</v>
      </c>
      <c r="AC131" s="69">
        <v>126074.18</v>
      </c>
      <c r="AD131" s="69">
        <v>169255.37</v>
      </c>
      <c r="AE131" s="69">
        <v>154555.35999999999</v>
      </c>
      <c r="AF131" s="69">
        <v>136421.19</v>
      </c>
      <c r="AG131" s="65">
        <f>SUM(TBBP[[#This Row],[Coluna21]:[Coluna32]])</f>
        <v>1750129.6199999996</v>
      </c>
      <c r="AH131" s="69">
        <v>187695.47</v>
      </c>
      <c r="AI131" s="69">
        <v>121455.02</v>
      </c>
      <c r="AJ131" s="69">
        <v>159706.20000000001</v>
      </c>
      <c r="AK131" s="69">
        <v>129144.65</v>
      </c>
      <c r="AL131" s="69">
        <v>117746.13</v>
      </c>
      <c r="AM131" s="69">
        <v>125184.4</v>
      </c>
      <c r="AN131" s="69">
        <v>131867.93</v>
      </c>
      <c r="AO131" s="69">
        <v>105756.23</v>
      </c>
      <c r="AP131" s="69">
        <v>219974.88</v>
      </c>
      <c r="AQ131" s="69">
        <v>164656.59</v>
      </c>
      <c r="AR131" s="69">
        <v>178923.95</v>
      </c>
      <c r="AS131" s="69">
        <v>163773.85999999999</v>
      </c>
      <c r="AT131" s="65">
        <f>SUM(TBBP[[#This Row],[Coluna34]:[Coluna45]])</f>
        <v>1805885.31</v>
      </c>
      <c r="AU131" s="69">
        <v>205366.03</v>
      </c>
      <c r="AV131" s="69">
        <v>174285.16</v>
      </c>
      <c r="AW131" s="69">
        <v>245143.09</v>
      </c>
      <c r="AX131" s="69">
        <v>157132.48000000001</v>
      </c>
      <c r="AY131" s="69">
        <v>126760.43</v>
      </c>
      <c r="AZ131" s="69">
        <v>250635.42</v>
      </c>
      <c r="BA131" s="69">
        <v>274057.31</v>
      </c>
      <c r="BB131" s="69">
        <v>206734.87</v>
      </c>
      <c r="BC131" s="69">
        <v>247668.11</v>
      </c>
      <c r="BD131" s="69">
        <v>289267.15000000002</v>
      </c>
      <c r="BE131" s="69">
        <v>307499.01</v>
      </c>
      <c r="BF131" s="69">
        <v>154002.94</v>
      </c>
      <c r="BG131" s="69">
        <f>SUM(TBBP[[#This Row],[Coluna47]:[Coluna58]])</f>
        <v>2638551.9999999995</v>
      </c>
      <c r="BH131" s="69">
        <f>BH186*-1</f>
        <v>156792.60999999999</v>
      </c>
      <c r="BI131" s="69">
        <f>BI186*-1</f>
        <v>120834.78</v>
      </c>
      <c r="BJ131" s="69">
        <f t="shared" ref="BJ131:BO131" si="171">BJ186*-1</f>
        <v>5968.46</v>
      </c>
      <c r="BK131" s="69">
        <f t="shared" si="171"/>
        <v>293.98</v>
      </c>
      <c r="BL131" s="69">
        <f t="shared" si="171"/>
        <v>402.69</v>
      </c>
      <c r="BM131" s="69">
        <f t="shared" si="171"/>
        <v>13896.07</v>
      </c>
      <c r="BN131" s="69">
        <f t="shared" si="171"/>
        <v>4798.1400000000003</v>
      </c>
      <c r="BO131" s="69">
        <f t="shared" si="171"/>
        <v>103.56</v>
      </c>
      <c r="BP131" s="69">
        <v>146.65</v>
      </c>
      <c r="BQ131" s="69">
        <f>BQ186*-1</f>
        <v>1591.56</v>
      </c>
      <c r="BR131" s="69">
        <f>BR186*-1</f>
        <v>728.42</v>
      </c>
      <c r="BS131" s="69">
        <f>BS186*-1</f>
        <v>28.42</v>
      </c>
      <c r="BT131" s="69">
        <f>IF(OR(MID(TBBP[[#This Row],[Coluna1]],1,1)="1",MID(TBBP[[#This Row],[Coluna1]],1,1)="2"),TBBP[[#This Row],[Coluna127]],SUM(BH131:BS131))</f>
        <v>305585.34000000003</v>
      </c>
      <c r="BU131" s="69">
        <v>2370.0300000000002</v>
      </c>
      <c r="BV131" s="69">
        <v>0</v>
      </c>
      <c r="BW131" s="69">
        <f t="shared" ref="BW131:CE131" si="172">BW186*-1</f>
        <v>293.47000000000003</v>
      </c>
      <c r="BX131" s="69">
        <f t="shared" si="172"/>
        <v>0</v>
      </c>
      <c r="BY131" s="69">
        <f t="shared" si="172"/>
        <v>483.64</v>
      </c>
      <c r="BZ131" s="69">
        <f t="shared" si="172"/>
        <v>0</v>
      </c>
      <c r="CA131" s="69">
        <f t="shared" si="172"/>
        <v>0</v>
      </c>
      <c r="CB131" s="69">
        <f t="shared" si="172"/>
        <v>0</v>
      </c>
      <c r="CC131" s="69">
        <f t="shared" si="172"/>
        <v>0</v>
      </c>
      <c r="CD131" s="69">
        <f t="shared" si="172"/>
        <v>0</v>
      </c>
      <c r="CE131" s="69">
        <f t="shared" si="172"/>
        <v>28.12</v>
      </c>
      <c r="CF131" s="69">
        <v>0</v>
      </c>
      <c r="CG131" s="69">
        <f>IF(OR(MID(TBBP[[#This Row],[Coluna1]],1,1)="1",MID(TBBP[[#This Row],[Coluna1]],1,1)="2"),TBBP[[#This Row],[Coluna127]],SUM(BU131:CF131))</f>
        <v>3175.2599999999998</v>
      </c>
      <c r="CH131" s="69">
        <f t="shared" ref="CH131:CS131" si="173">CH186*-1</f>
        <v>8691.9</v>
      </c>
      <c r="CI131" s="69">
        <f t="shared" si="173"/>
        <v>2454.5700000000002</v>
      </c>
      <c r="CJ131" s="69">
        <f t="shared" si="173"/>
        <v>2293.7800000000002</v>
      </c>
      <c r="CK131" s="69">
        <f t="shared" si="173"/>
        <v>3819.12</v>
      </c>
      <c r="CL131" s="69">
        <f t="shared" si="173"/>
        <v>26099.43</v>
      </c>
      <c r="CM131" s="69">
        <f t="shared" si="173"/>
        <v>193.92</v>
      </c>
      <c r="CN131" s="69">
        <f t="shared" si="173"/>
        <v>0</v>
      </c>
      <c r="CO131" s="69">
        <f t="shared" si="173"/>
        <v>9816.0400000000009</v>
      </c>
      <c r="CP131" s="69">
        <f t="shared" si="173"/>
        <v>11581.4</v>
      </c>
      <c r="CQ131" s="69">
        <f t="shared" si="173"/>
        <v>11582.52</v>
      </c>
      <c r="CR131" s="69">
        <f t="shared" si="173"/>
        <v>19510.650000000001</v>
      </c>
      <c r="CS131" s="69">
        <f t="shared" si="173"/>
        <v>362.27</v>
      </c>
      <c r="CT131" s="69">
        <f>IF(OR(MID(TBBP[[#This Row],[Coluna1]],1,1)="1",MID(TBBP[[#This Row],[Coluna1]],1,1)="2"),TBBP[[#This Row],[Coluna127]],SUM(CH131:CS131))</f>
        <v>96405.60000000002</v>
      </c>
      <c r="CU131" s="69">
        <f t="shared" ref="CU131:DE131" si="174">CU186*-1</f>
        <v>2787.68</v>
      </c>
      <c r="CV131" s="69">
        <f t="shared" si="174"/>
        <v>894</v>
      </c>
      <c r="CW131" s="69">
        <f t="shared" si="174"/>
        <v>0</v>
      </c>
      <c r="CX131" s="69">
        <f t="shared" si="174"/>
        <v>0</v>
      </c>
      <c r="CY131" s="69">
        <f t="shared" si="174"/>
        <v>3706.73</v>
      </c>
      <c r="CZ131" s="69">
        <f t="shared" si="174"/>
        <v>-298.02999999999997</v>
      </c>
      <c r="DA131" s="69">
        <f t="shared" si="174"/>
        <v>2543.35</v>
      </c>
      <c r="DB131" s="69">
        <f t="shared" si="174"/>
        <v>0</v>
      </c>
      <c r="DC131" s="69">
        <f t="shared" si="174"/>
        <v>-136</v>
      </c>
      <c r="DD131" s="69">
        <f t="shared" si="174"/>
        <v>0</v>
      </c>
      <c r="DE131" s="69">
        <f t="shared" si="174"/>
        <v>0</v>
      </c>
      <c r="DF131" s="69">
        <f t="shared" ref="DF131:DH131" si="175">DF186*-1</f>
        <v>-434.92000000000053</v>
      </c>
      <c r="DG131" s="69">
        <f>SUM(TBBP[[#This Row],[Coluna287]:[Coluna298]])</f>
        <v>9062.81</v>
      </c>
      <c r="DH131" s="69">
        <f t="shared" si="175"/>
        <v>-223.86</v>
      </c>
      <c r="DI131" s="69">
        <f t="shared" ref="DI131:DJ131" si="176">DI186*-1</f>
        <v>-496.55</v>
      </c>
      <c r="DJ131" s="69">
        <f t="shared" si="176"/>
        <v>0</v>
      </c>
      <c r="DK131" s="69">
        <f t="shared" ref="DK131:DL131" si="177">DK186*-1</f>
        <v>-3807.02</v>
      </c>
      <c r="DL131" s="69">
        <f t="shared" si="177"/>
        <v>18587.04</v>
      </c>
      <c r="DM131" s="69">
        <f t="shared" ref="DM131" si="178">DM186*-1</f>
        <v>3574.18</v>
      </c>
      <c r="DO131" t="s">
        <v>842</v>
      </c>
      <c r="DP131" s="30">
        <f>IF(OR(MID(TBBP[[#This Row],[Coluna1]],1,1)="1",MID(TBBP[[#This Row],[Coluna1]],1,1)="2"),"-",SUMIFS(131:131,listaPeriodos,$DR$1,listaPeriodos,$DR$2))</f>
        <v>17633.79</v>
      </c>
      <c r="DQ131" s="30">
        <f>DQ128*0.5</f>
        <v>14624.995000000001</v>
      </c>
      <c r="DR131" s="30">
        <f t="shared" si="89"/>
        <v>87749.97</v>
      </c>
      <c r="DS131" s="30"/>
      <c r="DT131" s="30"/>
      <c r="DU131"/>
    </row>
    <row r="132" spans="1:125" x14ac:dyDescent="0.3">
      <c r="A132" s="7" t="s">
        <v>320</v>
      </c>
      <c r="B132" t="s">
        <v>489</v>
      </c>
      <c r="C132" s="4">
        <v>0</v>
      </c>
      <c r="D132" s="4">
        <v>0</v>
      </c>
      <c r="E132" s="4">
        <v>0</v>
      </c>
      <c r="F132" s="4">
        <v>0</v>
      </c>
      <c r="G132" s="4">
        <v>-17179507.609999999</v>
      </c>
      <c r="H132" s="4">
        <v>-1124092.31</v>
      </c>
      <c r="I132" s="4">
        <v>-1291742.6599999999</v>
      </c>
      <c r="J132" s="4">
        <v>-1794790.56</v>
      </c>
      <c r="K132" s="4">
        <v>-1575018.6199999999</v>
      </c>
      <c r="L132" s="4">
        <v>-1124988.1299999999</v>
      </c>
      <c r="M132" s="4">
        <v>-1701767.27</v>
      </c>
      <c r="N132" s="4">
        <v>-2529724.41</v>
      </c>
      <c r="O132" s="4">
        <v>-1869284.54</v>
      </c>
      <c r="P132" s="4">
        <v>-2406181.06</v>
      </c>
      <c r="Q132" s="4">
        <v>-2115808.11</v>
      </c>
      <c r="R132" s="4">
        <v>-1630764.25</v>
      </c>
      <c r="S132" s="4">
        <v>-1259178.5900000001</v>
      </c>
      <c r="T132" s="4">
        <f>IF(OR(MID(TBBP[[#This Row],[Coluna1]],1,1)="1",MID(TBBP[[#This Row],[Coluna1]],1,1)="2"),TBBP[[#This Row],[Coluna19]],SUM(H132:S132))</f>
        <v>-20423340.510000002</v>
      </c>
      <c r="U132" s="4">
        <v>-2058097.82</v>
      </c>
      <c r="V132" s="4">
        <v>-1876376.79</v>
      </c>
      <c r="W132" s="4">
        <v>-1911879.83</v>
      </c>
      <c r="X132" s="4">
        <v>-2073964.44</v>
      </c>
      <c r="Y132" s="4">
        <v>-2078555.76</v>
      </c>
      <c r="Z132" s="4">
        <v>-1786789.15</v>
      </c>
      <c r="AA132" s="4">
        <v>-1802570.41</v>
      </c>
      <c r="AB132" s="4">
        <v>-1924588.13</v>
      </c>
      <c r="AC132" s="4">
        <v>-2578100.4900000002</v>
      </c>
      <c r="AD132" s="4">
        <v>-2611370.83</v>
      </c>
      <c r="AE132" s="4">
        <v>-2216441.8200000003</v>
      </c>
      <c r="AF132" s="4">
        <v>-1521441.7999999998</v>
      </c>
      <c r="AG132" s="4">
        <f>IF(OR(MID(TBBP[[#This Row],[Coluna1]],1,1)="1",MID(TBBP[[#This Row],[Coluna1]],1,1)="2"),TBBP[[#This Row],[Coluna32]],SUM(U132:AF132))</f>
        <v>-24440177.27</v>
      </c>
      <c r="AH132" s="4">
        <v>-2275695.4</v>
      </c>
      <c r="AI132" s="4">
        <v>-1972525.19</v>
      </c>
      <c r="AJ132" s="4">
        <v>-1654929.02</v>
      </c>
      <c r="AK132" s="4">
        <v>-1502731.25</v>
      </c>
      <c r="AL132" s="4">
        <v>-1852522.8599999999</v>
      </c>
      <c r="AM132" s="4">
        <v>-2215232.2800000003</v>
      </c>
      <c r="AN132" s="4">
        <v>-2743108.37</v>
      </c>
      <c r="AO132" s="4">
        <v>-2963608.2399999998</v>
      </c>
      <c r="AP132" s="4">
        <v>-3118455.62</v>
      </c>
      <c r="AQ132" s="4">
        <v>-3733196.94</v>
      </c>
      <c r="AR132" s="4">
        <v>-3284571.13</v>
      </c>
      <c r="AS132" s="4">
        <v>-3011869.86</v>
      </c>
      <c r="AT132" s="4">
        <f>IF(OR(MID(TBBP[[#This Row],[Coluna1]],1,1)="1",MID(TBBP[[#This Row],[Coluna1]],1,1)="2"),TBBP[[#This Row],[Coluna45]],SUM(AH132:AS132))</f>
        <v>-30328446.16</v>
      </c>
      <c r="AU132" s="4">
        <v>-3349007.1300000004</v>
      </c>
      <c r="AV132" s="4">
        <v>-4062552.9400000004</v>
      </c>
      <c r="AW132" s="4">
        <v>-3961237.09</v>
      </c>
      <c r="AX132" s="4">
        <v>-4283506.5200000005</v>
      </c>
      <c r="AY132" s="4">
        <v>-5228915.54</v>
      </c>
      <c r="AZ132" s="4">
        <v>-5651248.6399999997</v>
      </c>
      <c r="BA132" s="4">
        <v>-6144595.7400000002</v>
      </c>
      <c r="BB132" s="4">
        <v>-5610725.2400000002</v>
      </c>
      <c r="BC132" s="4">
        <v>-5197135.7300000004</v>
      </c>
      <c r="BD132" s="4">
        <v>-5766444.4800000004</v>
      </c>
      <c r="BE132" s="4">
        <v>-4390982.8099999996</v>
      </c>
      <c r="BF132" s="4">
        <v>-4161676.9199999995</v>
      </c>
      <c r="BG132" s="4">
        <f>IF(OR(MID(TBBP[[#This Row],[Coluna1]],1,1)="1",MID(TBBP[[#This Row],[Coluna1]],1,1)="2"),TBBP[[#This Row],[Coluna58]],SUM(AU132:BF132))</f>
        <v>-57808028.780000016</v>
      </c>
      <c r="BH132" s="4">
        <v>-4241982.2899999991</v>
      </c>
      <c r="BI132" s="4">
        <v>-5049447.12</v>
      </c>
      <c r="BJ132" s="4">
        <v>-7926800.1899999995</v>
      </c>
      <c r="BK132" s="4">
        <v>-4701114.8199999994</v>
      </c>
      <c r="BL132" s="4">
        <v>-5611655.79</v>
      </c>
      <c r="BM132" s="4">
        <v>-5914407.7599999998</v>
      </c>
      <c r="BN132" s="4">
        <v>-4680056.16</v>
      </c>
      <c r="BO132" s="4">
        <v>-5621025.6100000003</v>
      </c>
      <c r="BP132" s="4">
        <v>-5851402.1099999994</v>
      </c>
      <c r="BQ132" s="4">
        <v>-4684522.24</v>
      </c>
      <c r="BR132" s="4">
        <v>-4423391.74</v>
      </c>
      <c r="BS132" s="4">
        <v>-5314373.8</v>
      </c>
      <c r="BT132" s="4">
        <f>IF(OR(MID(TBBP[[#This Row],[Coluna1]],1,1)="1",MID(TBBP[[#This Row],[Coluna1]],1,1)="2"),TBBP[[#This Row],[Coluna127]],SUM(BH132:BS132))</f>
        <v>-64020179.629999995</v>
      </c>
      <c r="BU132" s="4">
        <v>-3856891.5999999996</v>
      </c>
      <c r="BV132" s="4">
        <v>-4781301.79</v>
      </c>
      <c r="BW132" s="4">
        <v>-5182150.8699999992</v>
      </c>
      <c r="BX132" s="4">
        <v>-4053576.39</v>
      </c>
      <c r="BY132" s="4">
        <v>-6273816.6600000001</v>
      </c>
      <c r="BZ132" s="4">
        <v>-6122460.6899999995</v>
      </c>
      <c r="CA132" s="4">
        <v>-4567718.3999999994</v>
      </c>
      <c r="CB132" s="4">
        <v>-6354500.5700000003</v>
      </c>
      <c r="CC132" s="4">
        <v>-6362574.3499999996</v>
      </c>
      <c r="CD132" s="4">
        <v>-6636046.46</v>
      </c>
      <c r="CE132" s="4">
        <v>-5454303.1399999997</v>
      </c>
      <c r="CF132" s="4">
        <v>-6109781.6800000006</v>
      </c>
      <c r="CG132" s="4">
        <f>IF(OR(MID(TBBP[[#This Row],[Coluna1]],1,1)="1",MID(TBBP[[#This Row],[Coluna1]],1,1)="2"),CF132,SUM(BU132:CF132))</f>
        <v>-65755122.600000001</v>
      </c>
      <c r="CH132" s="4">
        <v>-6475590</v>
      </c>
      <c r="CI132" s="4">
        <v>-6552740.4500000002</v>
      </c>
      <c r="CJ132" s="4">
        <v>-6827161.6500000004</v>
      </c>
      <c r="CK132" s="4">
        <v>-7560440.8699999992</v>
      </c>
      <c r="CL132" s="4">
        <v>-10315863.939999999</v>
      </c>
      <c r="CM132" s="4">
        <v>-8694948.25</v>
      </c>
      <c r="CN132" s="4">
        <v>-10056112.199999999</v>
      </c>
      <c r="CO132" s="4">
        <v>-8634599.0299999993</v>
      </c>
      <c r="CP132" s="4">
        <v>-8498127.8600000013</v>
      </c>
      <c r="CQ132" s="4">
        <v>-10087005.6</v>
      </c>
      <c r="CR132" s="4">
        <v>-8883118.8100000005</v>
      </c>
      <c r="CS132" s="4">
        <v>-10327497.809999999</v>
      </c>
      <c r="CT132" s="4">
        <f>IF(OR(MID(TBBP[[#This Row],[Coluna1]],1,1)="1",MID(TBBP[[#This Row],[Coluna1]],1,1)="2"),CS132,SUM(CH132:CS132))</f>
        <v>-102913206.47</v>
      </c>
      <c r="CU132" s="255">
        <v>-6677505.04</v>
      </c>
      <c r="CV132" s="255">
        <v>-8029205.2299999995</v>
      </c>
      <c r="CW132" s="255">
        <v>-7631292.540000001</v>
      </c>
      <c r="CX132" s="255">
        <v>-10216160.690000001</v>
      </c>
      <c r="CY132" s="255">
        <v>-11026684.49</v>
      </c>
      <c r="CZ132" s="255">
        <v>-8402338.2200000007</v>
      </c>
      <c r="DA132" s="255">
        <v>-8238503.8200000003</v>
      </c>
      <c r="DB132" s="255">
        <v>-7366880.3800000008</v>
      </c>
      <c r="DC132" s="255">
        <v>-7837300.0600000005</v>
      </c>
      <c r="DD132" s="255">
        <v>-7441088.3099999987</v>
      </c>
      <c r="DE132" s="255">
        <v>-8096075.120000001</v>
      </c>
      <c r="DF132" s="255">
        <v>-7009112.1499999994</v>
      </c>
      <c r="DG132" s="255">
        <f>SUM(TBBP[[#This Row],[Coluna287]:[Coluna298]])</f>
        <v>-97972146.050000012</v>
      </c>
      <c r="DH132" s="255">
        <v>-7666721.209999999</v>
      </c>
      <c r="DI132" s="255">
        <v>-6990355.1900000004</v>
      </c>
      <c r="DJ132" s="255">
        <v>-8550683.379999999</v>
      </c>
      <c r="DK132" s="255">
        <v>-8807486.7400000002</v>
      </c>
      <c r="DL132" s="255">
        <v>-9608858.9400000013</v>
      </c>
      <c r="DM132" s="255">
        <v>-10112211.33</v>
      </c>
      <c r="DP132" s="30">
        <f>IF(OR(MID(TBBP[[#This Row],[Coluna1]],1,1)="1",MID(TBBP[[#This Row],[Coluna1]],1,1)="2"),"-",SUMIFS(132:132,listaPeriodos,$DR$1,listaPeriodos,$DR$2))</f>
        <v>-51736316.789999992</v>
      </c>
      <c r="DQ132" s="30">
        <v>-10336774.880000001</v>
      </c>
      <c r="DR132" s="30">
        <f t="shared" si="89"/>
        <v>-62020649.280000001</v>
      </c>
      <c r="DS132" s="30"/>
      <c r="DT132" s="30"/>
      <c r="DU132"/>
    </row>
    <row r="133" spans="1:125" x14ac:dyDescent="0.3">
      <c r="A133" s="7" t="s">
        <v>130</v>
      </c>
      <c r="B133" t="s">
        <v>490</v>
      </c>
      <c r="C133" s="4">
        <v>0</v>
      </c>
      <c r="D133" s="4">
        <v>0</v>
      </c>
      <c r="E133" s="4">
        <v>0</v>
      </c>
      <c r="F133" s="4">
        <v>0</v>
      </c>
      <c r="G133" s="4">
        <v>-14247821.880000001</v>
      </c>
      <c r="H133" s="4">
        <v>-917433.83</v>
      </c>
      <c r="I133" s="4">
        <v>-1013540.1900000001</v>
      </c>
      <c r="J133" s="4">
        <v>-1524372.4000000001</v>
      </c>
      <c r="K133" s="4">
        <v>-1305060.3</v>
      </c>
      <c r="L133" s="4">
        <v>-874446.1</v>
      </c>
      <c r="M133" s="4">
        <v>-1358559.56</v>
      </c>
      <c r="N133" s="4">
        <v>-2034131.15</v>
      </c>
      <c r="O133" s="4">
        <v>-1659240.12</v>
      </c>
      <c r="P133" s="4">
        <v>-2038213.68</v>
      </c>
      <c r="Q133" s="4">
        <v>-1800075.36</v>
      </c>
      <c r="R133" s="4">
        <v>-1253624.43</v>
      </c>
      <c r="S133" s="4">
        <v>-722141.85</v>
      </c>
      <c r="T133" s="4">
        <f>IF(OR(MID(TBBP[[#This Row],[Coluna1]],1,1)="1",MID(TBBP[[#This Row],[Coluna1]],1,1)="2"),TBBP[[#This Row],[Coluna19]],SUM(H133:S133))</f>
        <v>-16500838.969999997</v>
      </c>
      <c r="U133" s="4">
        <v>-1749016.61</v>
      </c>
      <c r="V133" s="4">
        <v>-1431427.34</v>
      </c>
      <c r="W133" s="4">
        <v>-1605255.39</v>
      </c>
      <c r="X133" s="4">
        <v>-1773507.37</v>
      </c>
      <c r="Y133" s="4">
        <v>-1765563.92</v>
      </c>
      <c r="Z133" s="4">
        <v>-1478159.6</v>
      </c>
      <c r="AA133" s="4">
        <v>-1521053.84</v>
      </c>
      <c r="AB133" s="4">
        <v>-1560143.08</v>
      </c>
      <c r="AC133" s="4">
        <v>-2191344.1800000002</v>
      </c>
      <c r="AD133" s="4">
        <v>-2292583.39</v>
      </c>
      <c r="AE133" s="4">
        <v>-1813987.43</v>
      </c>
      <c r="AF133" s="4">
        <v>-1228291.53</v>
      </c>
      <c r="AG133" s="4">
        <f>IF(OR(MID(TBBP[[#This Row],[Coluna1]],1,1)="1",MID(TBBP[[#This Row],[Coluna1]],1,1)="2"),TBBP[[#This Row],[Coluna32]],SUM(U133:AF133))</f>
        <v>-20410333.68</v>
      </c>
      <c r="AH133" s="4">
        <v>-1889355.79</v>
      </c>
      <c r="AI133" s="4">
        <v>-1453070.63</v>
      </c>
      <c r="AJ133" s="4">
        <v>-1222706.57</v>
      </c>
      <c r="AK133" s="4">
        <v>-1213512.5900000001</v>
      </c>
      <c r="AL133" s="4">
        <v>-1526576.25</v>
      </c>
      <c r="AM133" s="4">
        <v>-1941653.0299999998</v>
      </c>
      <c r="AN133" s="4">
        <v>-2396020.77</v>
      </c>
      <c r="AO133" s="4">
        <v>-2532465.96</v>
      </c>
      <c r="AP133" s="4">
        <v>-2803458.1999999997</v>
      </c>
      <c r="AQ133" s="4">
        <v>-3338574.4499999997</v>
      </c>
      <c r="AR133" s="4">
        <v>-3006745.42</v>
      </c>
      <c r="AS133" s="4">
        <v>-2562979.8000000003</v>
      </c>
      <c r="AT133" s="4">
        <f>IF(OR(MID(TBBP[[#This Row],[Coluna1]],1,1)="1",MID(TBBP[[#This Row],[Coluna1]],1,1)="2"),TBBP[[#This Row],[Coluna45]],SUM(AH133:AS133))</f>
        <v>-25887119.459999997</v>
      </c>
      <c r="AU133" s="4">
        <v>-3053456.98</v>
      </c>
      <c r="AV133" s="4">
        <v>-3379678.69</v>
      </c>
      <c r="AW133" s="4">
        <v>-3594454.1</v>
      </c>
      <c r="AX133" s="4">
        <v>-3946802.1300000004</v>
      </c>
      <c r="AY133" s="4">
        <v>-4745916.2399999993</v>
      </c>
      <c r="AZ133" s="4">
        <v>-5219928.76</v>
      </c>
      <c r="BA133" s="4">
        <v>-5687378.5300000003</v>
      </c>
      <c r="BB133" s="4">
        <v>-5011838.4799999995</v>
      </c>
      <c r="BC133" s="4">
        <v>-4846781.0199999996</v>
      </c>
      <c r="BD133" s="4">
        <v>-5153393.17</v>
      </c>
      <c r="BE133" s="4">
        <v>-3769309.0999999996</v>
      </c>
      <c r="BF133" s="4">
        <v>-3903823.15</v>
      </c>
      <c r="BG133" s="4">
        <f>IF(OR(MID(TBBP[[#This Row],[Coluna1]],1,1)="1",MID(TBBP[[#This Row],[Coluna1]],1,1)="2"),TBBP[[#This Row],[Coluna58]],SUM(AU133:BF133))</f>
        <v>-52312760.349999994</v>
      </c>
      <c r="BH133" s="4">
        <v>-3623643.54</v>
      </c>
      <c r="BI133" s="4">
        <v>-4218428.7399999993</v>
      </c>
      <c r="BJ133" s="4">
        <v>-6713499.7800000003</v>
      </c>
      <c r="BK133" s="4">
        <v>-4087978.2199999997</v>
      </c>
      <c r="BL133" s="4">
        <v>-4918021.05</v>
      </c>
      <c r="BM133" s="4">
        <v>-4897134.66</v>
      </c>
      <c r="BN133" s="4">
        <v>-4287317.22</v>
      </c>
      <c r="BO133" s="4">
        <v>-5054587.0999999996</v>
      </c>
      <c r="BP133" s="4">
        <v>-4560338.0199999996</v>
      </c>
      <c r="BQ133" s="4">
        <v>-4044201.7</v>
      </c>
      <c r="BR133" s="4">
        <v>-3899260.6900000004</v>
      </c>
      <c r="BS133" s="4">
        <v>-4108655.87</v>
      </c>
      <c r="BT133" s="4">
        <f>IF(OR(MID(TBBP[[#This Row],[Coluna1]],1,1)="1",MID(TBBP[[#This Row],[Coluna1]],1,1)="2"),TBBP[[#This Row],[Coluna127]],SUM(BH133:BS133))</f>
        <v>-54413066.589999996</v>
      </c>
      <c r="BU133" s="4">
        <v>-3267856.09</v>
      </c>
      <c r="BV133" s="4">
        <v>-3924162.88</v>
      </c>
      <c r="BW133" s="4">
        <v>-3981212.41</v>
      </c>
      <c r="BX133" s="4">
        <v>-3468384.37</v>
      </c>
      <c r="BY133" s="4">
        <v>-5569106.54</v>
      </c>
      <c r="BZ133" s="4">
        <v>-5030424.7699999996</v>
      </c>
      <c r="CA133" s="4">
        <v>-3741393.0100000002</v>
      </c>
      <c r="CB133" s="4">
        <v>-5248055.04</v>
      </c>
      <c r="CC133" s="4">
        <v>-4790532.84</v>
      </c>
      <c r="CD133" s="4">
        <v>-5570750.25</v>
      </c>
      <c r="CE133" s="4">
        <v>-4650176.2700000005</v>
      </c>
      <c r="CF133" s="4">
        <v>-4803520.4799999995</v>
      </c>
      <c r="CG133" s="4">
        <f>IF(OR(MID(TBBP[[#This Row],[Coluna1]],1,1)="1",MID(TBBP[[#This Row],[Coluna1]],1,1)="2"),CF133,SUM(BU133:CF133))</f>
        <v>-54045574.950000003</v>
      </c>
      <c r="CH133" s="4">
        <v>-5494373.4500000002</v>
      </c>
      <c r="CI133" s="4">
        <v>-5257647.3900000006</v>
      </c>
      <c r="CJ133" s="4">
        <v>-5312430.72</v>
      </c>
      <c r="CK133" s="4">
        <v>-6615038.5300000003</v>
      </c>
      <c r="CL133" s="4">
        <v>-7284929.8099999996</v>
      </c>
      <c r="CM133" s="4">
        <v>-6820422.9199999999</v>
      </c>
      <c r="CN133" s="4">
        <v>-8567092.8000000007</v>
      </c>
      <c r="CO133" s="4">
        <v>-7041597.6799999997</v>
      </c>
      <c r="CP133" s="4">
        <v>-7043119.21</v>
      </c>
      <c r="CQ133" s="4">
        <v>-7847679.0099999998</v>
      </c>
      <c r="CR133" s="4">
        <v>-6538370.0700000003</v>
      </c>
      <c r="CS133" s="4">
        <v>-7894601.8500000006</v>
      </c>
      <c r="CT133" s="4">
        <f>IF(OR(MID(TBBP[[#This Row],[Coluna1]],1,1)="1",MID(TBBP[[#This Row],[Coluna1]],1,1)="2"),CS133,SUM(CH133:CS133))</f>
        <v>-81717303.439999998</v>
      </c>
      <c r="CU133" s="255">
        <v>-5770954.9800000004</v>
      </c>
      <c r="CV133" s="255">
        <v>-6181850.7699999996</v>
      </c>
      <c r="CW133" s="255">
        <v>-5953444.6400000006</v>
      </c>
      <c r="CX133" s="255">
        <v>-8720317.6400000006</v>
      </c>
      <c r="CY133" s="255">
        <v>-9728535.7800000012</v>
      </c>
      <c r="CZ133" s="255">
        <v>-6031886.5199999996</v>
      </c>
      <c r="DA133" s="255">
        <v>-6007438.9199999999</v>
      </c>
      <c r="DB133" s="255">
        <v>-5978639.0999999996</v>
      </c>
      <c r="DC133" s="255">
        <v>-5957849.9900000002</v>
      </c>
      <c r="DD133" s="255">
        <v>-5690453.9800000004</v>
      </c>
      <c r="DE133" s="255">
        <v>-6529015.9400000004</v>
      </c>
      <c r="DF133" s="255">
        <v>-5353541.5399999991</v>
      </c>
      <c r="DG133" s="255">
        <f>SUM(TBBP[[#This Row],[Coluna287]:[Coluna298]])</f>
        <v>-77903929.800000012</v>
      </c>
      <c r="DH133" s="255">
        <v>-6224700.54</v>
      </c>
      <c r="DI133" s="255">
        <v>-5561149.9300000006</v>
      </c>
      <c r="DJ133" s="255">
        <v>-6714958.4199999999</v>
      </c>
      <c r="DK133" s="255">
        <v>-8140660.7699999996</v>
      </c>
      <c r="DL133" s="255">
        <v>-7675375.3300000001</v>
      </c>
      <c r="DM133" s="255">
        <v>-8163268.21</v>
      </c>
      <c r="DP133" s="30">
        <f>IF(OR(MID(TBBP[[#This Row],[Coluna1]],1,1)="1",MID(TBBP[[#This Row],[Coluna1]],1,1)="2"),"-",SUMIFS(133:133,listaPeriodos,$DR$1,listaPeriodos,$DR$2))</f>
        <v>-42480113.200000003</v>
      </c>
      <c r="DQ133" s="30">
        <v>-8504878.1400000006</v>
      </c>
      <c r="DR133" s="30">
        <f t="shared" si="89"/>
        <v>-51029268.840000004</v>
      </c>
      <c r="DS133" s="30"/>
      <c r="DT133" s="30"/>
      <c r="DU133"/>
    </row>
    <row r="134" spans="1:125" x14ac:dyDescent="0.3">
      <c r="A134" s="7" t="s">
        <v>321</v>
      </c>
      <c r="B134" t="s">
        <v>491</v>
      </c>
      <c r="C134" s="4">
        <v>0</v>
      </c>
      <c r="D134" s="4">
        <v>0</v>
      </c>
      <c r="E134" s="4">
        <v>0</v>
      </c>
      <c r="F134" s="4">
        <v>0</v>
      </c>
      <c r="G134" s="4">
        <v>-14247821.880000001</v>
      </c>
      <c r="H134" s="4">
        <v>-917433.83</v>
      </c>
      <c r="I134" s="4">
        <v>-1013540.1900000001</v>
      </c>
      <c r="J134" s="4">
        <v>-1524372.4000000001</v>
      </c>
      <c r="K134" s="4">
        <v>-1305060.3</v>
      </c>
      <c r="L134" s="4">
        <v>-874446.1</v>
      </c>
      <c r="M134" s="4">
        <v>-1358559.56</v>
      </c>
      <c r="N134" s="4">
        <v>-2034131.15</v>
      </c>
      <c r="O134" s="4">
        <v>-1659240.12</v>
      </c>
      <c r="P134" s="4">
        <v>-2038213.68</v>
      </c>
      <c r="Q134" s="4">
        <v>-1800075.36</v>
      </c>
      <c r="R134" s="4">
        <v>-1253624.43</v>
      </c>
      <c r="S134" s="4">
        <v>-722141.85</v>
      </c>
      <c r="T134" s="4">
        <f>IF(OR(MID(TBBP[[#This Row],[Coluna1]],1,1)="1",MID(TBBP[[#This Row],[Coluna1]],1,1)="2"),TBBP[[#This Row],[Coluna19]],SUM(H134:S134))</f>
        <v>-16500838.969999997</v>
      </c>
      <c r="U134" s="4">
        <v>1749016.61</v>
      </c>
      <c r="V134" s="4">
        <v>-1431427.34</v>
      </c>
      <c r="W134" s="4">
        <v>-1605255.39</v>
      </c>
      <c r="X134" s="4">
        <v>-1773507.37</v>
      </c>
      <c r="Y134" s="4">
        <v>-1765563.92</v>
      </c>
      <c r="Z134" s="4">
        <v>-1478159.6</v>
      </c>
      <c r="AA134" s="4">
        <v>-1521053.84</v>
      </c>
      <c r="AB134" s="4">
        <v>-1560143.08</v>
      </c>
      <c r="AC134" s="4">
        <v>-2191344.1800000002</v>
      </c>
      <c r="AD134" s="4">
        <v>-2292583.39</v>
      </c>
      <c r="AE134" s="4">
        <v>-1813987.43</v>
      </c>
      <c r="AF134" s="4">
        <v>-1228291.53</v>
      </c>
      <c r="AG134" s="4">
        <f>IF(OR(MID(TBBP[[#This Row],[Coluna1]],1,1)="1",MID(TBBP[[#This Row],[Coluna1]],1,1)="2"),TBBP[[#This Row],[Coluna32]],SUM(U134:AF134))</f>
        <v>-16912300.460000001</v>
      </c>
      <c r="AH134" s="4">
        <v>-1889355.79</v>
      </c>
      <c r="AI134" s="4">
        <v>-1453070.63</v>
      </c>
      <c r="AJ134" s="4">
        <v>-1222706.57</v>
      </c>
      <c r="AK134" s="4">
        <v>-1213512.5900000001</v>
      </c>
      <c r="AL134" s="4">
        <v>-1526576.25</v>
      </c>
      <c r="AM134" s="4">
        <v>-1941653.0299999998</v>
      </c>
      <c r="AN134" s="4">
        <v>-2396020.77</v>
      </c>
      <c r="AO134" s="4">
        <v>-2532465.96</v>
      </c>
      <c r="AP134" s="4">
        <v>-2803458.1999999997</v>
      </c>
      <c r="AQ134" s="4">
        <v>-3338574.4499999997</v>
      </c>
      <c r="AR134" s="4">
        <v>-3006745.42</v>
      </c>
      <c r="AS134" s="4">
        <v>-2562979.8000000003</v>
      </c>
      <c r="AT134" s="4">
        <f>IF(OR(MID(TBBP[[#This Row],[Coluna1]],1,1)="1",MID(TBBP[[#This Row],[Coluna1]],1,1)="2"),TBBP[[#This Row],[Coluna45]],SUM(AH134:AS134))</f>
        <v>-25887119.459999997</v>
      </c>
      <c r="AU134" s="4">
        <v>-3053456.98</v>
      </c>
      <c r="AV134" s="4">
        <v>-3379678.69</v>
      </c>
      <c r="AW134" s="4">
        <v>-3594454.1</v>
      </c>
      <c r="AX134" s="4">
        <v>-3946802.1300000004</v>
      </c>
      <c r="AY134" s="4">
        <v>-4745916.2399999993</v>
      </c>
      <c r="AZ134" s="4">
        <v>-5219928.76</v>
      </c>
      <c r="BA134" s="4">
        <v>-5687378.5300000003</v>
      </c>
      <c r="BB134" s="4">
        <v>-5011838.4799999995</v>
      </c>
      <c r="BC134" s="4">
        <v>-4846781.0199999996</v>
      </c>
      <c r="BD134" s="4">
        <v>-5153393.17</v>
      </c>
      <c r="BE134" s="4">
        <v>-3769309.0999999996</v>
      </c>
      <c r="BF134" s="4">
        <v>-3903823.15</v>
      </c>
      <c r="BG134" s="4">
        <f>IF(OR(MID(TBBP[[#This Row],[Coluna1]],1,1)="1",MID(TBBP[[#This Row],[Coluna1]],1,1)="2"),TBBP[[#This Row],[Coluna58]],SUM(AU134:BF134))</f>
        <v>-52312760.349999994</v>
      </c>
      <c r="BH134" s="4">
        <v>-3623643.54</v>
      </c>
      <c r="BI134" s="4">
        <v>-4218428.7399999993</v>
      </c>
      <c r="BJ134" s="4">
        <v>-6713499.7800000003</v>
      </c>
      <c r="BK134" s="4">
        <v>-4087978.2199999997</v>
      </c>
      <c r="BL134" s="4">
        <v>-4918021.05</v>
      </c>
      <c r="BM134" s="4">
        <v>-4897134.66</v>
      </c>
      <c r="BN134" s="4">
        <v>-4287317.22</v>
      </c>
      <c r="BO134" s="4">
        <v>-5054587.0999999996</v>
      </c>
      <c r="BP134" s="4">
        <v>-4560338.0199999996</v>
      </c>
      <c r="BQ134" s="4">
        <v>-4044201.7</v>
      </c>
      <c r="BR134" s="4">
        <v>-3899260.6900000004</v>
      </c>
      <c r="BS134" s="4">
        <v>-4108655.87</v>
      </c>
      <c r="BT134" s="4">
        <f>IF(OR(MID(TBBP[[#This Row],[Coluna1]],1,1)="1",MID(TBBP[[#This Row],[Coluna1]],1,1)="2"),TBBP[[#This Row],[Coluna127]],SUM(BH134:BS134))</f>
        <v>-54413066.589999996</v>
      </c>
      <c r="BU134" s="4">
        <v>-3267856.09</v>
      </c>
      <c r="BV134" s="4">
        <v>-3924162.88</v>
      </c>
      <c r="BW134" s="4">
        <v>-3981212.41</v>
      </c>
      <c r="BX134" s="4">
        <v>-3468384.37</v>
      </c>
      <c r="BY134" s="4">
        <v>-5569106.54</v>
      </c>
      <c r="BZ134" s="4">
        <v>-5030424.7699999996</v>
      </c>
      <c r="CA134" s="4">
        <v>-3741393.0100000002</v>
      </c>
      <c r="CB134" s="4">
        <v>-5248055.04</v>
      </c>
      <c r="CC134" s="4">
        <v>-4790532.84</v>
      </c>
      <c r="CD134" s="4">
        <v>-5570750.25</v>
      </c>
      <c r="CE134" s="4">
        <v>-4650176.2700000005</v>
      </c>
      <c r="CF134" s="4">
        <v>-4803520.4799999995</v>
      </c>
      <c r="CG134" s="4">
        <f>IF(OR(MID(TBBP[[#This Row],[Coluna1]],1,1)="1",MID(TBBP[[#This Row],[Coluna1]],1,1)="2"),CF134,SUM(BU134:CF134))</f>
        <v>-54045574.950000003</v>
      </c>
      <c r="CH134" s="4">
        <v>-5494373.4500000002</v>
      </c>
      <c r="CI134" s="4">
        <v>-5257647.3900000006</v>
      </c>
      <c r="CJ134" s="4">
        <v>-5312430.72</v>
      </c>
      <c r="CK134" s="4">
        <v>-6615038.5300000003</v>
      </c>
      <c r="CL134" s="4">
        <v>-7284929.8099999996</v>
      </c>
      <c r="CM134" s="4">
        <v>-6820422.9199999999</v>
      </c>
      <c r="CN134" s="4">
        <v>-8567092.8000000007</v>
      </c>
      <c r="CO134" s="4">
        <v>-7041597.6799999997</v>
      </c>
      <c r="CP134" s="4">
        <v>-7043119.21</v>
      </c>
      <c r="CQ134" s="4">
        <v>-7847679.0099999998</v>
      </c>
      <c r="CR134" s="4">
        <v>-6538370.0700000003</v>
      </c>
      <c r="CS134" s="4">
        <v>-7894601.8500000006</v>
      </c>
      <c r="CT134" s="4">
        <f>IF(OR(MID(TBBP[[#This Row],[Coluna1]],1,1)="1",MID(TBBP[[#This Row],[Coluna1]],1,1)="2"),CS134,SUM(CH134:CS134))</f>
        <v>-81717303.439999998</v>
      </c>
      <c r="CU134" s="255">
        <v>-5770954.9800000004</v>
      </c>
      <c r="CV134" s="255">
        <v>-6181850.7699999996</v>
      </c>
      <c r="CW134" s="255">
        <v>-5953444.6400000006</v>
      </c>
      <c r="CX134" s="255">
        <v>-8720317.6400000006</v>
      </c>
      <c r="CY134" s="255">
        <v>-9728535.7800000012</v>
      </c>
      <c r="CZ134" s="255">
        <v>-6031886.5199999996</v>
      </c>
      <c r="DA134" s="255">
        <v>-6007438.9199999999</v>
      </c>
      <c r="DB134" s="255">
        <v>-5978639.0999999996</v>
      </c>
      <c r="DC134" s="255">
        <v>-5957849.9900000002</v>
      </c>
      <c r="DD134" s="255">
        <v>-5690453.9800000004</v>
      </c>
      <c r="DE134" s="255">
        <v>-6529015.9400000004</v>
      </c>
      <c r="DF134" s="255">
        <v>-5353541.5399999991</v>
      </c>
      <c r="DG134" s="255">
        <f>SUM(TBBP[[#This Row],[Coluna287]:[Coluna298]])</f>
        <v>-77903929.800000012</v>
      </c>
      <c r="DH134" s="255">
        <v>-6224700.54</v>
      </c>
      <c r="DI134" s="255">
        <v>-5561149.9300000006</v>
      </c>
      <c r="DJ134" s="255">
        <v>-6714958.4199999999</v>
      </c>
      <c r="DK134" s="255">
        <v>-8140660.7699999996</v>
      </c>
      <c r="DL134" s="255">
        <v>-7675375.3300000001</v>
      </c>
      <c r="DM134" s="255">
        <v>-8163268.21</v>
      </c>
      <c r="DP134" s="30">
        <f>IF(OR(MID(TBBP[[#This Row],[Coluna1]],1,1)="1",MID(TBBP[[#This Row],[Coluna1]],1,1)="2"),"-",SUMIFS(134:134,listaPeriodos,$DR$1,listaPeriodos,$DR$2))</f>
        <v>-42480113.200000003</v>
      </c>
      <c r="DQ134" s="30">
        <v>-8504878.1400000006</v>
      </c>
      <c r="DR134" s="30">
        <f t="shared" si="89"/>
        <v>-51029268.840000004</v>
      </c>
      <c r="DS134" s="30"/>
      <c r="DT134" s="30"/>
      <c r="DU134"/>
    </row>
    <row r="135" spans="1:125" x14ac:dyDescent="0.3">
      <c r="A135" s="7" t="s">
        <v>322</v>
      </c>
      <c r="B135" t="s">
        <v>492</v>
      </c>
      <c r="C135" s="4">
        <v>0</v>
      </c>
      <c r="D135" s="4">
        <v>0</v>
      </c>
      <c r="E135" s="4">
        <v>0</v>
      </c>
      <c r="F135" s="4">
        <v>0</v>
      </c>
      <c r="G135" s="4">
        <v>-12445917.77</v>
      </c>
      <c r="H135" s="4">
        <v>-763040.46</v>
      </c>
      <c r="I135" s="4">
        <v>-947959.50999999989</v>
      </c>
      <c r="J135" s="4">
        <v>-1383646.81</v>
      </c>
      <c r="K135" s="4">
        <v>-1243782.02</v>
      </c>
      <c r="L135" s="4">
        <v>-785049.45</v>
      </c>
      <c r="M135" s="4">
        <v>-1256810.45</v>
      </c>
      <c r="N135" s="4">
        <v>-1885509.29</v>
      </c>
      <c r="O135" s="4">
        <v>-1552609.28</v>
      </c>
      <c r="P135" s="4">
        <v>-1926161.82</v>
      </c>
      <c r="Q135" s="4">
        <v>1615580.02</v>
      </c>
      <c r="R135" s="4">
        <v>-1106517.76</v>
      </c>
      <c r="S135" s="4">
        <v>-638348.17000000004</v>
      </c>
      <c r="T135" s="4">
        <f>IF(OR(MID(TBBP[[#This Row],[Coluna1]],1,1)="1",MID(TBBP[[#This Row],[Coluna1]],1,1)="2"),TBBP[[#This Row],[Coluna19]],SUM(H135:S135))</f>
        <v>-11873855</v>
      </c>
      <c r="U135" s="4">
        <v>-1535824.75</v>
      </c>
      <c r="V135" s="4">
        <v>-1295254.26</v>
      </c>
      <c r="W135" s="4">
        <v>-1483153.6</v>
      </c>
      <c r="X135" s="4">
        <v>-1630962.67</v>
      </c>
      <c r="Y135" s="4">
        <v>-1629505.23</v>
      </c>
      <c r="Z135" s="4">
        <v>-1344192.67</v>
      </c>
      <c r="AA135" s="4">
        <v>-1372230.14</v>
      </c>
      <c r="AB135" s="4">
        <v>-1429650.31</v>
      </c>
      <c r="AC135" s="4">
        <v>-2065270</v>
      </c>
      <c r="AD135" s="4">
        <v>-2117328.0199999996</v>
      </c>
      <c r="AE135" s="4">
        <v>-1659432.07</v>
      </c>
      <c r="AF135" s="4">
        <v>-1091870.3399999999</v>
      </c>
      <c r="AG135" s="4">
        <f>IF(OR(MID(TBBP[[#This Row],[Coluna1]],1,1)="1",MID(TBBP[[#This Row],[Coluna1]],1,1)="2"),TBBP[[#This Row],[Coluna32]],SUM(U135:AF135))</f>
        <v>-18654674.059999999</v>
      </c>
      <c r="AH135" s="4">
        <v>-1701660.3199999998</v>
      </c>
      <c r="AI135" s="4">
        <v>-1331615.6099999999</v>
      </c>
      <c r="AJ135" s="4">
        <v>-1063000.3699999999</v>
      </c>
      <c r="AK135" s="4">
        <v>-1084367.94</v>
      </c>
      <c r="AL135" s="4">
        <v>-1408830.1199999999</v>
      </c>
      <c r="AM135" s="4">
        <v>-1816468.63</v>
      </c>
      <c r="AN135" s="4">
        <v>-2264152.84</v>
      </c>
      <c r="AO135" s="4">
        <v>-2426709.73</v>
      </c>
      <c r="AP135" s="4">
        <v>-2584183.3200000003</v>
      </c>
      <c r="AQ135" s="4">
        <v>-3173917.86</v>
      </c>
      <c r="AR135" s="4">
        <v>-2827821.47</v>
      </c>
      <c r="AS135" s="4">
        <v>-2399205.94</v>
      </c>
      <c r="AT135" s="4">
        <f>IF(OR(MID(TBBP[[#This Row],[Coluna1]],1,1)="1",MID(TBBP[[#This Row],[Coluna1]],1,1)="2"),TBBP[[#This Row],[Coluna45]],SUM(AH135:AS135))</f>
        <v>-24081934.150000002</v>
      </c>
      <c r="AU135" s="4">
        <v>-2848727.47</v>
      </c>
      <c r="AV135" s="4">
        <v>-3206030.0500000003</v>
      </c>
      <c r="AW135" s="4">
        <v>-3350766.3000000003</v>
      </c>
      <c r="AX135" s="4">
        <v>-3790528.0500000003</v>
      </c>
      <c r="AY135" s="4">
        <v>-4619792.33</v>
      </c>
      <c r="AZ135" s="4">
        <v>-4969929.8600000003</v>
      </c>
      <c r="BA135" s="4">
        <v>-5413957.7400000002</v>
      </c>
      <c r="BB135" s="4">
        <v>-4806661.33</v>
      </c>
      <c r="BC135" s="4">
        <v>-4599749.43</v>
      </c>
      <c r="BD135" s="4">
        <v>-4864762.5399999991</v>
      </c>
      <c r="BE135" s="4">
        <v>-3462451.6100000003</v>
      </c>
      <c r="BF135" s="4">
        <v>-3768593.79</v>
      </c>
      <c r="BG135" s="4">
        <f>IF(OR(MID(TBBP[[#This Row],[Coluna1]],1,1)="1",MID(TBBP[[#This Row],[Coluna1]],1,1)="2"),TBBP[[#This Row],[Coluna58]],SUM(AU135:BF135))</f>
        <v>-49701950.5</v>
      </c>
      <c r="BH135" s="4">
        <v>-3466850.93</v>
      </c>
      <c r="BI135" s="4">
        <v>-4097593.9600000004</v>
      </c>
      <c r="BJ135" s="4">
        <v>-6707531.3200000003</v>
      </c>
      <c r="BK135" s="4">
        <v>-4087684.24</v>
      </c>
      <c r="BL135" s="4">
        <v>-4917618.3599999994</v>
      </c>
      <c r="BM135" s="4">
        <v>-4883238.5900000008</v>
      </c>
      <c r="BN135" s="4">
        <v>-4282519.08</v>
      </c>
      <c r="BO135" s="4">
        <v>-5054483.54</v>
      </c>
      <c r="BP135" s="4">
        <v>-4560191.3699999992</v>
      </c>
      <c r="BQ135" s="4">
        <v>-4042610.1399999997</v>
      </c>
      <c r="BR135" s="4">
        <v>-3898532.2700000005</v>
      </c>
      <c r="BS135" s="4">
        <v>-4108627.45</v>
      </c>
      <c r="BT135" s="4">
        <f>IF(OR(MID(TBBP[[#This Row],[Coluna1]],1,1)="1",MID(TBBP[[#This Row],[Coluna1]],1,1)="2"),TBBP[[#This Row],[Coluna127]],SUM(BH135:BS135))</f>
        <v>-54107481.250000007</v>
      </c>
      <c r="BU135" s="4">
        <v>-3265486.06</v>
      </c>
      <c r="BV135" s="4">
        <v>-3924162.88</v>
      </c>
      <c r="BW135" s="4">
        <v>-3980918.94</v>
      </c>
      <c r="BX135" s="4">
        <v>-3468384.37</v>
      </c>
      <c r="BY135" s="4">
        <v>-5568622.8999999994</v>
      </c>
      <c r="BZ135" s="4">
        <v>-5030424.7699999996</v>
      </c>
      <c r="CA135" s="4">
        <v>-3741393.0100000002</v>
      </c>
      <c r="CB135" s="4">
        <v>-5248055.04</v>
      </c>
      <c r="CC135" s="4">
        <v>-4790532.84</v>
      </c>
      <c r="CD135" s="4">
        <v>-5570750.25</v>
      </c>
      <c r="CE135" s="4">
        <v>-4650148.1500000004</v>
      </c>
      <c r="CF135" s="4">
        <v>-4803520.4799999995</v>
      </c>
      <c r="CG135" s="4">
        <f>IF(OR(MID(TBBP[[#This Row],[Coluna1]],1,1)="1",MID(TBBP[[#This Row],[Coluna1]],1,1)="2"),CF135,SUM(BU135:CF135))</f>
        <v>-54042399.689999998</v>
      </c>
      <c r="CH135" s="4">
        <v>-5485681.5500000007</v>
      </c>
      <c r="CI135" s="4">
        <v>-5255192.82</v>
      </c>
      <c r="CJ135" s="4">
        <v>-5310136.9400000004</v>
      </c>
      <c r="CK135" s="4">
        <v>-6611219.4100000001</v>
      </c>
      <c r="CL135" s="4">
        <v>-7258830.3799999999</v>
      </c>
      <c r="CM135" s="4">
        <v>-6820229</v>
      </c>
      <c r="CN135" s="4">
        <v>-8567092.8000000007</v>
      </c>
      <c r="CO135" s="4">
        <v>-7031781.6399999997</v>
      </c>
      <c r="CP135" s="4">
        <v>-7031537.8100000005</v>
      </c>
      <c r="CQ135" s="4">
        <v>-7836096.4900000002</v>
      </c>
      <c r="CR135" s="4">
        <v>-6518859.4199999999</v>
      </c>
      <c r="CS135" s="4">
        <v>-7894239.580000001</v>
      </c>
      <c r="CT135" s="4">
        <f>IF(OR(MID(TBBP[[#This Row],[Coluna1]],1,1)="1",MID(TBBP[[#This Row],[Coluna1]],1,1)="2"),CS135,SUM(CH135:CS135))</f>
        <v>-81620897.840000004</v>
      </c>
      <c r="CU135" s="255">
        <v>-5768167.3000000007</v>
      </c>
      <c r="CV135" s="255">
        <v>-6180956.7699999996</v>
      </c>
      <c r="CW135" s="255">
        <v>-5953444.6400000006</v>
      </c>
      <c r="CX135" s="255">
        <v>-8720317.6400000006</v>
      </c>
      <c r="CY135" s="255">
        <v>-9724829.0500000007</v>
      </c>
      <c r="CZ135" s="255">
        <v>-6032184.5499999998</v>
      </c>
      <c r="DA135" s="255">
        <v>-6004895.5700000003</v>
      </c>
      <c r="DB135" s="255">
        <v>-5978639.0999999996</v>
      </c>
      <c r="DC135" s="255">
        <v>-5957985.9900000002</v>
      </c>
      <c r="DD135" s="255">
        <v>-5690453.9800000004</v>
      </c>
      <c r="DE135" s="255">
        <v>-6529015.9400000004</v>
      </c>
      <c r="DF135" s="255">
        <v>-5353976.46</v>
      </c>
      <c r="DG135" s="255">
        <f>SUM(TBBP[[#This Row],[Coluna287]:[Coluna298]])</f>
        <v>-77894866.989999995</v>
      </c>
      <c r="DH135" s="255">
        <v>-6224924.4000000004</v>
      </c>
      <c r="DI135" s="255">
        <v>-5561646.4800000004</v>
      </c>
      <c r="DJ135" s="255">
        <v>-6714958.4199999999</v>
      </c>
      <c r="DK135" s="255">
        <v>-8144467.79</v>
      </c>
      <c r="DL135" s="255">
        <v>-7656788.29</v>
      </c>
      <c r="DM135" s="255">
        <v>-8159694.0300000003</v>
      </c>
      <c r="DP135" s="30">
        <f>IF(OR(MID(TBBP[[#This Row],[Coluna1]],1,1)="1",MID(TBBP[[#This Row],[Coluna1]],1,1)="2"),"-",SUMIFS(135:135,listaPeriodos,$DR$1,listaPeriodos,$DR$2))</f>
        <v>-42462479.410000004</v>
      </c>
      <c r="DQ135" s="30">
        <v>-8413283.3000000007</v>
      </c>
      <c r="DR135" s="30">
        <f t="shared" si="89"/>
        <v>-50479699.800000004</v>
      </c>
      <c r="DS135" s="30"/>
      <c r="DT135" s="30"/>
      <c r="DU135"/>
    </row>
    <row r="136" spans="1:125" x14ac:dyDescent="0.3">
      <c r="A136" s="7" t="s">
        <v>323</v>
      </c>
      <c r="B136" t="s">
        <v>493</v>
      </c>
      <c r="C136" s="4">
        <v>0</v>
      </c>
      <c r="D136" s="4">
        <v>0</v>
      </c>
      <c r="E136" s="4">
        <v>0</v>
      </c>
      <c r="F136" s="4">
        <v>0</v>
      </c>
      <c r="G136" s="4">
        <v>-2343257.66</v>
      </c>
      <c r="H136" s="4">
        <v>-130122.12</v>
      </c>
      <c r="I136" s="4">
        <v>-157877.47</v>
      </c>
      <c r="J136" s="4">
        <v>-185883.26</v>
      </c>
      <c r="K136" s="4">
        <v>-197194.49</v>
      </c>
      <c r="L136" s="4">
        <v>-185475.49</v>
      </c>
      <c r="M136" s="4">
        <v>-177985.94</v>
      </c>
      <c r="N136" s="4">
        <v>-201413.65</v>
      </c>
      <c r="O136" s="4">
        <v>-218920.62</v>
      </c>
      <c r="P136" s="4">
        <v>-218047.26</v>
      </c>
      <c r="Q136" s="4">
        <v>-206252.48</v>
      </c>
      <c r="R136" s="4">
        <v>-193282.17</v>
      </c>
      <c r="S136" s="4">
        <v>-73409.31</v>
      </c>
      <c r="T136" s="4">
        <f>IF(OR(MID(TBBP[[#This Row],[Coluna1]],1,1)="1",MID(TBBP[[#This Row],[Coluna1]],1,1)="2"),TBBP[[#This Row],[Coluna19]],SUM(H136:S136))</f>
        <v>-2145864.2599999998</v>
      </c>
      <c r="U136" s="4">
        <v>-235486.34</v>
      </c>
      <c r="V136" s="4">
        <v>-219645.83</v>
      </c>
      <c r="W136" s="4">
        <v>-224737.4</v>
      </c>
      <c r="X136" s="4">
        <v>-226420.4</v>
      </c>
      <c r="Y136" s="4">
        <v>-231812.52</v>
      </c>
      <c r="Z136" s="4">
        <v>-244806.64</v>
      </c>
      <c r="AA136" s="4">
        <v>-264810.3</v>
      </c>
      <c r="AB136" s="4">
        <v>-219654.23</v>
      </c>
      <c r="AC136" s="4">
        <v>-244506.6</v>
      </c>
      <c r="AD136" s="4">
        <v>-250179.02000000002</v>
      </c>
      <c r="AE136" s="4">
        <v>-260535.80000000002</v>
      </c>
      <c r="AF136" s="4">
        <v>-97764.890000000014</v>
      </c>
      <c r="AG136" s="4">
        <f>IF(OR(MID(TBBP[[#This Row],[Coluna1]],1,1)="1",MID(TBBP[[#This Row],[Coluna1]],1,1)="2"),TBBP[[#This Row],[Coluna32]],SUM(U136:AF136))</f>
        <v>-2720359.9699999997</v>
      </c>
      <c r="AH136" s="4">
        <v>-275291.75</v>
      </c>
      <c r="AI136" s="4">
        <v>-260002.04</v>
      </c>
      <c r="AJ136" s="4">
        <v>-156513.25</v>
      </c>
      <c r="AK136" s="4">
        <v>-203797.88999999998</v>
      </c>
      <c r="AL136" s="4">
        <v>-174574.52</v>
      </c>
      <c r="AM136" s="4">
        <v>-174395</v>
      </c>
      <c r="AN136" s="4">
        <v>-246160.14</v>
      </c>
      <c r="AO136" s="4">
        <v>-285318.14</v>
      </c>
      <c r="AP136" s="4">
        <v>-286172.65000000002</v>
      </c>
      <c r="AQ136" s="4">
        <v>-313504.77999999997</v>
      </c>
      <c r="AR136" s="4">
        <v>-356069.44</v>
      </c>
      <c r="AS136" s="4">
        <v>-207497.2</v>
      </c>
      <c r="AT136" s="4">
        <f>IF(OR(MID(TBBP[[#This Row],[Coluna1]],1,1)="1",MID(TBBP[[#This Row],[Coluna1]],1,1)="2"),TBBP[[#This Row],[Coluna45]],SUM(AH136:AS136))</f>
        <v>-2939296.8</v>
      </c>
      <c r="AU136" s="4">
        <v>-390148.29000000004</v>
      </c>
      <c r="AV136" s="4">
        <v>-499539.43</v>
      </c>
      <c r="AW136" s="4">
        <v>-414436.52</v>
      </c>
      <c r="AX136" s="4">
        <v>-430992.86</v>
      </c>
      <c r="AY136" s="4">
        <v>-485976.42</v>
      </c>
      <c r="AZ136" s="4">
        <v>-467842.54000000004</v>
      </c>
      <c r="BA136" s="4">
        <v>-504570.11000000004</v>
      </c>
      <c r="BB136" s="4">
        <v>-474772.04000000004</v>
      </c>
      <c r="BC136" s="4">
        <v>-465461.69</v>
      </c>
      <c r="BD136" s="4">
        <v>-453766.37</v>
      </c>
      <c r="BE136" s="4">
        <v>-486071.43</v>
      </c>
      <c r="BF136" s="4">
        <v>-459801.72000000003</v>
      </c>
      <c r="BG136" s="4">
        <f>IF(OR(MID(TBBP[[#This Row],[Coluna1]],1,1)="1",MID(TBBP[[#This Row],[Coluna1]],1,1)="2"),TBBP[[#This Row],[Coluna58]],SUM(AU136:BF136))</f>
        <v>-5533379.419999999</v>
      </c>
      <c r="BH136" s="4">
        <v>-496368.86000000004</v>
      </c>
      <c r="BI136" s="4">
        <v>-516305.03</v>
      </c>
      <c r="BJ136" s="4">
        <v>-529272.37</v>
      </c>
      <c r="BK136" s="4">
        <v>-541704.01</v>
      </c>
      <c r="BL136" s="4">
        <v>-554575.34</v>
      </c>
      <c r="BM136" s="4">
        <v>-531041.28000000003</v>
      </c>
      <c r="BN136" s="4">
        <v>-491307.72000000003</v>
      </c>
      <c r="BO136" s="4">
        <v>-525364.98</v>
      </c>
      <c r="BP136" s="4">
        <v>-523752.49999999994</v>
      </c>
      <c r="BQ136" s="4">
        <v>-560016.22</v>
      </c>
      <c r="BR136" s="4">
        <v>-532064.46</v>
      </c>
      <c r="BS136" s="4">
        <v>-344392.41</v>
      </c>
      <c r="BT136" s="4">
        <f>IF(OR(MID(TBBP[[#This Row],[Coluna1]],1,1)="1",MID(TBBP[[#This Row],[Coluna1]],1,1)="2"),TBBP[[#This Row],[Coluna127]],SUM(BH136:BS136))</f>
        <v>-6146165.1800000006</v>
      </c>
      <c r="BU136" s="4">
        <v>-641867.77999999991</v>
      </c>
      <c r="BV136" s="4">
        <v>-571090.28</v>
      </c>
      <c r="BW136" s="4">
        <v>-560406.42999999993</v>
      </c>
      <c r="BX136" s="4">
        <v>-554095.49</v>
      </c>
      <c r="BY136" s="4">
        <v>-565307.28999999992</v>
      </c>
      <c r="BZ136" s="4">
        <v>-614703.94000000006</v>
      </c>
      <c r="CA136" s="4">
        <v>-588497.91</v>
      </c>
      <c r="CB136" s="4">
        <v>-668227.46</v>
      </c>
      <c r="CC136" s="4">
        <v>-609347.92000000004</v>
      </c>
      <c r="CD136" s="4">
        <v>-676031.80999999994</v>
      </c>
      <c r="CE136" s="4">
        <v>-838137.25</v>
      </c>
      <c r="CF136" s="4">
        <v>-637708.03999999992</v>
      </c>
      <c r="CG136" s="4">
        <f>IF(OR(MID(TBBP[[#This Row],[Coluna1]],1,1)="1",MID(TBBP[[#This Row],[Coluna1]],1,1)="2"),CF136,SUM(BU136:CF136))</f>
        <v>-7525421.5999999996</v>
      </c>
      <c r="CH136" s="4">
        <v>-954147.87999999989</v>
      </c>
      <c r="CI136" s="4">
        <v>-792303.57000000007</v>
      </c>
      <c r="CJ136" s="4">
        <v>-816902.15</v>
      </c>
      <c r="CK136" s="4">
        <v>-860209.14999999991</v>
      </c>
      <c r="CL136" s="4">
        <v>-907014.49</v>
      </c>
      <c r="CM136" s="4">
        <v>-987924.62999999989</v>
      </c>
      <c r="CN136" s="4">
        <v>-1085747.27</v>
      </c>
      <c r="CO136" s="4">
        <v>-1056606.97</v>
      </c>
      <c r="CP136" s="4">
        <v>-1070615.01</v>
      </c>
      <c r="CQ136" s="4">
        <v>-994435.48</v>
      </c>
      <c r="CR136" s="4">
        <v>-1143146.0900000001</v>
      </c>
      <c r="CS136" s="4">
        <v>-891207.77000000014</v>
      </c>
      <c r="CT136" s="4">
        <f>IF(OR(MID(TBBP[[#This Row],[Coluna1]],1,1)="1",MID(TBBP[[#This Row],[Coluna1]],1,1)="2"),CS136,SUM(CH136:CS136))</f>
        <v>-11560260.460000001</v>
      </c>
      <c r="CU136" s="255">
        <v>-986605.48999999987</v>
      </c>
      <c r="CV136" s="255">
        <v>-1005961.8</v>
      </c>
      <c r="CW136" s="255">
        <v>-934989.41999999993</v>
      </c>
      <c r="CX136" s="255">
        <v>-881701.13</v>
      </c>
      <c r="CY136" s="255">
        <v>-920711.13</v>
      </c>
      <c r="CZ136" s="255">
        <v>-1051228.6200000001</v>
      </c>
      <c r="DA136" s="255">
        <v>-952193.25</v>
      </c>
      <c r="DB136" s="255">
        <v>-883262.63</v>
      </c>
      <c r="DC136" s="255">
        <v>-891018.89999999991</v>
      </c>
      <c r="DD136" s="255">
        <v>-788347.72000000009</v>
      </c>
      <c r="DE136" s="255">
        <v>-720409.11</v>
      </c>
      <c r="DF136" s="255">
        <v>-955917.25</v>
      </c>
      <c r="DG136" s="255">
        <f>SUM(TBBP[[#This Row],[Coluna287]:[Coluna298]])</f>
        <v>-10972346.449999999</v>
      </c>
      <c r="DH136" s="255">
        <v>-862268.14</v>
      </c>
      <c r="DI136" s="255">
        <v>-945065.08</v>
      </c>
      <c r="DJ136" s="255">
        <v>-1047524.88</v>
      </c>
      <c r="DK136" s="255">
        <v>-1129369.44</v>
      </c>
      <c r="DL136" s="255">
        <v>-984344.30999999994</v>
      </c>
      <c r="DM136" s="255">
        <v>-202030.87000000002</v>
      </c>
      <c r="DO136" t="s">
        <v>323</v>
      </c>
      <c r="DP136" s="30">
        <f>IF(OR(MID(TBBP[[#This Row],[Coluna1]],1,1)="1",MID(TBBP[[#This Row],[Coluna1]],1,1)="2"),"-",SUMIFS(136:136,listaPeriodos,$DR$1,listaPeriodos,$DR$2))</f>
        <v>-5170602.72</v>
      </c>
      <c r="DQ136" s="30">
        <v>-1046798.13</v>
      </c>
      <c r="DR136" s="30">
        <f t="shared" si="89"/>
        <v>-6280788.7800000003</v>
      </c>
      <c r="DS136" s="30"/>
      <c r="DT136" s="30"/>
      <c r="DU136"/>
    </row>
    <row r="137" spans="1:125" x14ac:dyDescent="0.3">
      <c r="A137" s="7" t="s">
        <v>324</v>
      </c>
      <c r="B137" t="s">
        <v>494</v>
      </c>
      <c r="C137" s="4">
        <v>0</v>
      </c>
      <c r="D137" s="4">
        <v>0</v>
      </c>
      <c r="E137" s="4">
        <v>0</v>
      </c>
      <c r="F137" s="4">
        <v>0</v>
      </c>
      <c r="G137" s="4">
        <v>-25288</v>
      </c>
      <c r="H137" s="4">
        <v>-1000</v>
      </c>
      <c r="I137" s="4">
        <v>-1155.1099999999999</v>
      </c>
      <c r="J137" s="4">
        <v>-1000</v>
      </c>
      <c r="K137" s="4">
        <v>-1014.81</v>
      </c>
      <c r="L137" s="4">
        <v>-1000</v>
      </c>
      <c r="M137" s="4">
        <v>-1000</v>
      </c>
      <c r="N137" s="4">
        <v>-1000</v>
      </c>
      <c r="O137" s="4">
        <v>-1000</v>
      </c>
      <c r="P137" s="4">
        <v>-1000</v>
      </c>
      <c r="Q137" s="4">
        <v>-1000</v>
      </c>
      <c r="R137" s="4">
        <v>-1000</v>
      </c>
      <c r="S137" s="4">
        <v>-1000</v>
      </c>
      <c r="T137" s="4">
        <f>IF(OR(MID(TBBP[[#This Row],[Coluna1]],1,1)="1",MID(TBBP[[#This Row],[Coluna1]],1,1)="2"),TBBP[[#This Row],[Coluna19]],SUM(H137:S137))</f>
        <v>-12169.92</v>
      </c>
      <c r="U137" s="4">
        <v>-1000</v>
      </c>
      <c r="V137" s="4">
        <v>0</v>
      </c>
      <c r="W137" s="4">
        <v>0</v>
      </c>
      <c r="X137" s="4">
        <v>-30</v>
      </c>
      <c r="Y137" s="4">
        <v>0</v>
      </c>
      <c r="Z137" s="4">
        <v>167.77</v>
      </c>
      <c r="AA137" s="4">
        <v>-30.01</v>
      </c>
      <c r="AB137" s="4">
        <v>68.89</v>
      </c>
      <c r="AC137" s="4">
        <v>0</v>
      </c>
      <c r="AD137" s="4">
        <v>-30.01</v>
      </c>
      <c r="AE137" s="4">
        <v>-30.01</v>
      </c>
      <c r="AF137" s="4">
        <v>0</v>
      </c>
      <c r="AG137" s="4">
        <f>IF(OR(MID(TBBP[[#This Row],[Coluna1]],1,1)="1",MID(TBBP[[#This Row],[Coluna1]],1,1)="2"),TBBP[[#This Row],[Coluna32]],SUM(U137:AF137))</f>
        <v>-883.37</v>
      </c>
      <c r="AH137" s="4">
        <v>0</v>
      </c>
      <c r="AI137" s="4">
        <v>101.86</v>
      </c>
      <c r="AJ137" s="4">
        <v>0</v>
      </c>
      <c r="AK137" s="4">
        <v>-822.27</v>
      </c>
      <c r="AL137" s="4">
        <v>-5725.74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f>IF(OR(MID(TBBP[[#This Row],[Coluna1]],1,1)="1",MID(TBBP[[#This Row],[Coluna1]],1,1)="2"),TBBP[[#This Row],[Coluna45]],SUM(AH137:AS137))</f>
        <v>-6446.15</v>
      </c>
      <c r="AU137" s="4">
        <v>0</v>
      </c>
      <c r="AV137" s="4">
        <v>0</v>
      </c>
      <c r="AW137" s="4">
        <v>0</v>
      </c>
      <c r="AX137" s="4">
        <v>0</v>
      </c>
      <c r="AY137" s="4">
        <v>0</v>
      </c>
      <c r="AZ137" s="4">
        <v>-147.91</v>
      </c>
      <c r="BA137" s="4">
        <v>0</v>
      </c>
      <c r="BB137" s="4">
        <v>0</v>
      </c>
      <c r="BC137" s="4">
        <v>0</v>
      </c>
      <c r="BD137" s="4">
        <v>0</v>
      </c>
      <c r="BE137" s="4">
        <v>-316.29000000000002</v>
      </c>
      <c r="BF137" s="4">
        <v>-316.29000000000002</v>
      </c>
      <c r="BG137" s="4">
        <f>IF(OR(MID(TBBP[[#This Row],[Coluna1]],1,1)="1",MID(TBBP[[#This Row],[Coluna1]],1,1)="2"),TBBP[[#This Row],[Coluna58]],SUM(AU137:BF137))</f>
        <v>-780.49</v>
      </c>
      <c r="BH137" s="4">
        <v>0</v>
      </c>
      <c r="BI137" s="4">
        <v>0</v>
      </c>
      <c r="BJ137" s="4">
        <v>0</v>
      </c>
      <c r="BK137" s="4">
        <v>0</v>
      </c>
      <c r="BL137" s="4">
        <v>0</v>
      </c>
      <c r="BM137" s="4">
        <v>0</v>
      </c>
      <c r="BN137" s="4">
        <v>0</v>
      </c>
      <c r="BO137" s="4">
        <v>0</v>
      </c>
      <c r="BP137" s="4">
        <v>0</v>
      </c>
      <c r="BQ137" s="4">
        <v>0</v>
      </c>
      <c r="BR137" s="4">
        <v>0</v>
      </c>
      <c r="BS137" s="4">
        <v>0</v>
      </c>
      <c r="BT137" s="4">
        <f>IF(OR(MID(TBBP[[#This Row],[Coluna1]],1,1)="1",MID(TBBP[[#This Row],[Coluna1]],1,1)="2"),TBBP[[#This Row],[Coluna127]],SUM(BH137:BS137))</f>
        <v>0</v>
      </c>
      <c r="BU137" s="4">
        <v>0</v>
      </c>
      <c r="BV137" s="4">
        <v>0</v>
      </c>
      <c r="BW137" s="4">
        <v>0</v>
      </c>
      <c r="BX137" s="4">
        <v>0</v>
      </c>
      <c r="BY137" s="4">
        <v>0</v>
      </c>
      <c r="BZ137" s="4">
        <v>0</v>
      </c>
      <c r="CA137" s="4">
        <v>0</v>
      </c>
      <c r="CB137" s="4">
        <v>0</v>
      </c>
      <c r="CC137" s="4">
        <v>0</v>
      </c>
      <c r="CD137" s="4">
        <v>0</v>
      </c>
      <c r="CE137" s="4">
        <v>0</v>
      </c>
      <c r="CF137" s="4">
        <v>0</v>
      </c>
      <c r="CG137" s="4">
        <f>IF(OR(MID(TBBP[[#This Row],[Coluna1]],1,1)="1",MID(TBBP[[#This Row],[Coluna1]],1,1)="2"),CF137,SUM(BU137:CF137))</f>
        <v>0</v>
      </c>
      <c r="CH137" s="4">
        <v>0</v>
      </c>
      <c r="CI137" s="4">
        <v>0</v>
      </c>
      <c r="CJ137" s="4">
        <v>0</v>
      </c>
      <c r="CK137" s="4" t="s">
        <v>1134</v>
      </c>
      <c r="CL137" s="4">
        <v>0</v>
      </c>
      <c r="CM137" s="4" t="s">
        <v>1134</v>
      </c>
      <c r="CN137" s="4">
        <v>0</v>
      </c>
      <c r="CO137" s="4">
        <v>0</v>
      </c>
      <c r="CP137" s="4">
        <v>0</v>
      </c>
      <c r="CQ137" s="4" t="s">
        <v>1134</v>
      </c>
      <c r="CR137" s="4" t="s">
        <v>1134</v>
      </c>
      <c r="CS137" s="4" t="s">
        <v>1134</v>
      </c>
      <c r="CT137" s="4">
        <f>IF(OR(MID(TBBP[[#This Row],[Coluna1]],1,1)="1",MID(TBBP[[#This Row],[Coluna1]],1,1)="2"),CS137,SUM(CH137:CS137))</f>
        <v>0</v>
      </c>
      <c r="CU137" s="255">
        <v>0</v>
      </c>
      <c r="CV137" s="255">
        <v>0</v>
      </c>
      <c r="CW137" s="255">
        <v>0</v>
      </c>
      <c r="CX137" s="255">
        <v>0</v>
      </c>
      <c r="CY137" s="255">
        <v>0</v>
      </c>
      <c r="CZ137" s="255">
        <v>0</v>
      </c>
      <c r="DA137" s="255">
        <v>0</v>
      </c>
      <c r="DB137" s="255">
        <v>0</v>
      </c>
      <c r="DC137" s="255">
        <v>0</v>
      </c>
      <c r="DD137" s="255">
        <v>0</v>
      </c>
      <c r="DE137" s="255"/>
      <c r="DF137" s="255">
        <v>0</v>
      </c>
      <c r="DG137" s="255">
        <f>SUM(TBBP[[#This Row],[Coluna287]:[Coluna298]])</f>
        <v>0</v>
      </c>
      <c r="DH137" s="255">
        <v>0</v>
      </c>
      <c r="DI137" s="255">
        <v>0</v>
      </c>
      <c r="DJ137" s="255">
        <v>0</v>
      </c>
      <c r="DK137" s="255">
        <v>0</v>
      </c>
      <c r="DL137" s="255">
        <v>0</v>
      </c>
      <c r="DM137" s="255">
        <v>0</v>
      </c>
      <c r="DP137" s="30">
        <f>IF(OR(MID(TBBP[[#This Row],[Coluna1]],1,1)="1",MID(TBBP[[#This Row],[Coluna1]],1,1)="2"),"-",SUMIFS(137:137,listaPeriodos,$DR$1,listaPeriodos,$DR$2))</f>
        <v>0</v>
      </c>
      <c r="DR137" s="30">
        <f t="shared" si="89"/>
        <v>0</v>
      </c>
      <c r="DS137" s="30"/>
      <c r="DT137" s="30"/>
      <c r="DU137"/>
    </row>
    <row r="138" spans="1:125" x14ac:dyDescent="0.3">
      <c r="A138" s="7" t="s">
        <v>325</v>
      </c>
      <c r="B138" t="s">
        <v>495</v>
      </c>
      <c r="C138" s="4">
        <v>0</v>
      </c>
      <c r="D138" s="4">
        <v>0</v>
      </c>
      <c r="E138" s="4">
        <v>0</v>
      </c>
      <c r="F138" s="4">
        <v>0</v>
      </c>
      <c r="G138" s="4">
        <v>-1171728.1399999999</v>
      </c>
      <c r="H138" s="4">
        <v>-62072.100000000006</v>
      </c>
      <c r="I138" s="4">
        <v>-87108.45</v>
      </c>
      <c r="J138" s="4">
        <v>-102295.03999999999</v>
      </c>
      <c r="K138" s="4">
        <v>-101914.94</v>
      </c>
      <c r="L138" s="4">
        <v>-99045.459999999992</v>
      </c>
      <c r="M138" s="4">
        <v>-90826.73</v>
      </c>
      <c r="N138" s="4">
        <v>-110193.3</v>
      </c>
      <c r="O138" s="4">
        <v>-110287.48</v>
      </c>
      <c r="P138" s="4">
        <v>-113199.98</v>
      </c>
      <c r="Q138" s="4">
        <v>-105846.15</v>
      </c>
      <c r="R138" s="4">
        <v>-103213.54</v>
      </c>
      <c r="S138" s="4">
        <v>-53638.22</v>
      </c>
      <c r="T138" s="4">
        <f>IF(OR(MID(TBBP[[#This Row],[Coluna1]],1,1)="1",MID(TBBP[[#This Row],[Coluna1]],1,1)="2"),TBBP[[#This Row],[Coluna19]],SUM(H138:S138))</f>
        <v>-1139641.3899999999</v>
      </c>
      <c r="U138" s="4">
        <v>-88896.4</v>
      </c>
      <c r="V138" s="4">
        <v>-112695.53</v>
      </c>
      <c r="W138" s="4">
        <v>-116735.15</v>
      </c>
      <c r="X138" s="4">
        <v>-117474.33</v>
      </c>
      <c r="Y138" s="4">
        <v>-122130.32</v>
      </c>
      <c r="Z138" s="4">
        <v>-128654.35</v>
      </c>
      <c r="AA138" s="4">
        <v>-120012.84</v>
      </c>
      <c r="AB138" s="4">
        <v>-112395.48</v>
      </c>
      <c r="AC138" s="4">
        <v>-123113.76</v>
      </c>
      <c r="AD138" s="4">
        <v>-118382.29</v>
      </c>
      <c r="AE138" s="4">
        <v>-127207.94</v>
      </c>
      <c r="AF138" s="4">
        <v>-59697.590000000004</v>
      </c>
      <c r="AG138" s="4">
        <f>IF(OR(MID(TBBP[[#This Row],[Coluna1]],1,1)="1",MID(TBBP[[#This Row],[Coluna1]],1,1)="2"),TBBP[[#This Row],[Coluna32]],SUM(U138:AF138))</f>
        <v>-1347395.98</v>
      </c>
      <c r="AH138" s="4">
        <v>-109132.67</v>
      </c>
      <c r="AI138" s="4">
        <v>-129965.69</v>
      </c>
      <c r="AJ138" s="4">
        <v>-85769.279999999999</v>
      </c>
      <c r="AK138" s="4">
        <v>-39928.659999999996</v>
      </c>
      <c r="AL138" s="4">
        <v>-91785.03</v>
      </c>
      <c r="AM138" s="4">
        <v>-103437.67</v>
      </c>
      <c r="AN138" s="4">
        <v>-127265.9</v>
      </c>
      <c r="AO138" s="4">
        <v>-134667.63</v>
      </c>
      <c r="AP138" s="4">
        <v>-150370.42000000001</v>
      </c>
      <c r="AQ138" s="4">
        <v>-162234.64000000001</v>
      </c>
      <c r="AR138" s="4">
        <v>-182015.13</v>
      </c>
      <c r="AS138" s="4">
        <v>-104796.7</v>
      </c>
      <c r="AT138" s="4">
        <f>IF(OR(MID(TBBP[[#This Row],[Coluna1]],1,1)="1",MID(TBBP[[#This Row],[Coluna1]],1,1)="2"),TBBP[[#This Row],[Coluna45]],SUM(AH138:AS138))</f>
        <v>-1421369.4200000002</v>
      </c>
      <c r="AU138" s="4">
        <v>-185411.1</v>
      </c>
      <c r="AV138" s="4">
        <v>-328975.37</v>
      </c>
      <c r="AW138" s="4">
        <v>-211183.68000000002</v>
      </c>
      <c r="AX138" s="4">
        <v>-225991.07</v>
      </c>
      <c r="AY138" s="4">
        <v>-243977.33</v>
      </c>
      <c r="AZ138" s="4">
        <v>-245801.80000000002</v>
      </c>
      <c r="BA138" s="4">
        <v>-259362.17</v>
      </c>
      <c r="BB138" s="4">
        <v>-233021.78</v>
      </c>
      <c r="BC138" s="4">
        <v>-241626.76</v>
      </c>
      <c r="BD138" s="4">
        <v>-241392.86000000002</v>
      </c>
      <c r="BE138" s="4">
        <v>-251046.99</v>
      </c>
      <c r="BF138" s="4">
        <v>-139487.1</v>
      </c>
      <c r="BG138" s="4">
        <f>IF(OR(MID(TBBP[[#This Row],[Coluna1]],1,1)="1",MID(TBBP[[#This Row],[Coluna1]],1,1)="2"),TBBP[[#This Row],[Coluna58]],SUM(AU138:BF138))</f>
        <v>-2807278.0100000002</v>
      </c>
      <c r="BH138" s="4">
        <v>-280698.50999999995</v>
      </c>
      <c r="BI138" s="4">
        <v>-283332.59999999998</v>
      </c>
      <c r="BJ138" s="4">
        <v>-281484.35000000003</v>
      </c>
      <c r="BK138" s="4">
        <v>-281207.52</v>
      </c>
      <c r="BL138" s="4">
        <v>-287267.73</v>
      </c>
      <c r="BM138" s="4">
        <v>-273089.87</v>
      </c>
      <c r="BN138" s="4">
        <v>-247914.87000000002</v>
      </c>
      <c r="BO138" s="4">
        <v>-270967.81</v>
      </c>
      <c r="BP138" s="4">
        <v>-276557.46000000002</v>
      </c>
      <c r="BQ138" s="4">
        <v>-275371.75</v>
      </c>
      <c r="BR138" s="4">
        <v>-281394.07999999996</v>
      </c>
      <c r="BS138" s="4">
        <v>-148271.36000000002</v>
      </c>
      <c r="BT138" s="4">
        <f>IF(OR(MID(TBBP[[#This Row],[Coluna1]],1,1)="1",MID(TBBP[[#This Row],[Coluna1]],1,1)="2"),TBBP[[#This Row],[Coluna127]],SUM(BH138:BS138))</f>
        <v>-3187557.91</v>
      </c>
      <c r="BU138" s="4">
        <v>-354532.58999999997</v>
      </c>
      <c r="BV138" s="4">
        <v>-314695.42</v>
      </c>
      <c r="BW138" s="4">
        <v>-280093.18999999994</v>
      </c>
      <c r="BX138" s="4">
        <v>-292217.77999999997</v>
      </c>
      <c r="BY138" s="4">
        <v>-294340.64</v>
      </c>
      <c r="BZ138" s="4">
        <v>-319164.15999999997</v>
      </c>
      <c r="CA138" s="4">
        <v>-302364.2</v>
      </c>
      <c r="CB138" s="4">
        <v>-354279.11</v>
      </c>
      <c r="CC138" s="4">
        <v>-315654.52999999997</v>
      </c>
      <c r="CD138" s="4">
        <v>-337694.51999999996</v>
      </c>
      <c r="CE138" s="4">
        <v>-409493.98</v>
      </c>
      <c r="CF138" s="4">
        <v>-176218.31</v>
      </c>
      <c r="CG138" s="4">
        <f>IF(OR(MID(TBBP[[#This Row],[Coluna1]],1,1)="1",MID(TBBP[[#This Row],[Coluna1]],1,1)="2"),CF138,SUM(BU138:CF138))</f>
        <v>-3750748.4299999997</v>
      </c>
      <c r="CH138" s="4">
        <v>-527678.24</v>
      </c>
      <c r="CI138" s="4">
        <v>-438774.47000000003</v>
      </c>
      <c r="CJ138" s="4">
        <v>-429049.27</v>
      </c>
      <c r="CK138" s="4">
        <v>-453433.56999999995</v>
      </c>
      <c r="CL138" s="4">
        <v>-485098.12</v>
      </c>
      <c r="CM138" s="4">
        <v>-536337.10000000009</v>
      </c>
      <c r="CN138" s="4">
        <v>-579066.96</v>
      </c>
      <c r="CO138" s="4">
        <v>-549886.64</v>
      </c>
      <c r="CP138" s="4">
        <v>-558376.19000000006</v>
      </c>
      <c r="CQ138" s="4">
        <v>-525241.16</v>
      </c>
      <c r="CR138" s="4">
        <v>-569636.79999999993</v>
      </c>
      <c r="CS138" s="4">
        <v>-527157.94000000006</v>
      </c>
      <c r="CT138" s="4">
        <f>IF(OR(MID(TBBP[[#This Row],[Coluna1]],1,1)="1",MID(TBBP[[#This Row],[Coluna1]],1,1)="2"),CS138,SUM(CH138:CS138))</f>
        <v>-6179736.4600000009</v>
      </c>
      <c r="CU138" s="255">
        <v>-610831.53999999992</v>
      </c>
      <c r="CV138" s="255">
        <v>-565120.77</v>
      </c>
      <c r="CW138" s="255">
        <v>-527237.42999999993</v>
      </c>
      <c r="CX138" s="255">
        <v>-505080.96</v>
      </c>
      <c r="CY138" s="255">
        <v>-510161.13</v>
      </c>
      <c r="CZ138" s="255">
        <v>-530237</v>
      </c>
      <c r="DA138" s="255">
        <v>-581071.97000000009</v>
      </c>
      <c r="DB138" s="255">
        <v>-492176.35</v>
      </c>
      <c r="DC138" s="255">
        <v>-468457.88</v>
      </c>
      <c r="DD138" s="255">
        <v>-427417.10000000003</v>
      </c>
      <c r="DE138" s="255">
        <v>-501487.97</v>
      </c>
      <c r="DF138" s="255">
        <v>-349755.35</v>
      </c>
      <c r="DG138" s="255">
        <f>SUM(TBBP[[#This Row],[Coluna287]:[Coluna298]])</f>
        <v>-6069035.4499999993</v>
      </c>
      <c r="DH138" s="255">
        <v>-394408.53</v>
      </c>
      <c r="DI138" s="255">
        <v>-525382.87</v>
      </c>
      <c r="DJ138" s="255">
        <v>-522709.15</v>
      </c>
      <c r="DK138" s="255">
        <v>-610689.11</v>
      </c>
      <c r="DL138" s="255">
        <v>-541562.54999999993</v>
      </c>
      <c r="DM138" s="255">
        <v>-13208.48</v>
      </c>
      <c r="DP138" s="30">
        <f>IF(OR(MID(TBBP[[#This Row],[Coluna1]],1,1)="1",MID(TBBP[[#This Row],[Coluna1]],1,1)="2"),"-",SUMIFS(138:138,listaPeriodos,$DR$1,listaPeriodos,$DR$2))</f>
        <v>-2607960.69</v>
      </c>
      <c r="DR138" s="30">
        <f t="shared" si="89"/>
        <v>0</v>
      </c>
      <c r="DS138" s="30"/>
      <c r="DT138" s="30"/>
      <c r="DU138"/>
    </row>
    <row r="139" spans="1:125" x14ac:dyDescent="0.3">
      <c r="A139" s="7" t="s">
        <v>326</v>
      </c>
      <c r="B139" t="s">
        <v>496</v>
      </c>
      <c r="C139" s="4">
        <v>0</v>
      </c>
      <c r="D139" s="4">
        <v>0</v>
      </c>
      <c r="E139" s="4">
        <v>0</v>
      </c>
      <c r="F139" s="4">
        <v>0</v>
      </c>
      <c r="G139" s="4">
        <v>-110072.27</v>
      </c>
      <c r="H139" s="4">
        <v>-33864.47</v>
      </c>
      <c r="I139" s="4">
        <v>0</v>
      </c>
      <c r="J139" s="4">
        <v>-613.64</v>
      </c>
      <c r="K139" s="4">
        <v>-750.1</v>
      </c>
      <c r="L139" s="4">
        <v>-3672.57</v>
      </c>
      <c r="M139" s="4">
        <v>-12235</v>
      </c>
      <c r="N139" s="4">
        <v>-800.7</v>
      </c>
      <c r="O139" s="4">
        <v>-2178.7600000000002</v>
      </c>
      <c r="P139" s="4">
        <v>-1726.67</v>
      </c>
      <c r="Q139" s="4">
        <v>-326.83999999999997</v>
      </c>
      <c r="R139" s="4">
        <v>-359.04</v>
      </c>
      <c r="S139" s="4">
        <v>-62136.02</v>
      </c>
      <c r="T139" s="4">
        <f>IF(OR(MID(TBBP[[#This Row],[Coluna1]],1,1)="1",MID(TBBP[[#This Row],[Coluna1]],1,1)="2"),TBBP[[#This Row],[Coluna19]],SUM(H139:S139))</f>
        <v>-118663.81</v>
      </c>
      <c r="U139" s="4">
        <v>-34631.599999999999</v>
      </c>
      <c r="V139" s="4">
        <v>-1049.29</v>
      </c>
      <c r="W139" s="4">
        <v>-1169.46</v>
      </c>
      <c r="X139" s="4">
        <v>-235.49</v>
      </c>
      <c r="Y139" s="4">
        <v>0</v>
      </c>
      <c r="Z139" s="4">
        <v>-1274.6300000000001</v>
      </c>
      <c r="AA139" s="4">
        <v>-5677.74</v>
      </c>
      <c r="AB139" s="4">
        <v>-7701.41</v>
      </c>
      <c r="AC139" s="4">
        <v>-4149.6000000000004</v>
      </c>
      <c r="AD139" s="4">
        <v>-4012</v>
      </c>
      <c r="AE139" s="4">
        <v>-3437.82</v>
      </c>
      <c r="AF139" s="4">
        <v>0</v>
      </c>
      <c r="AG139" s="4">
        <f>IF(OR(MID(TBBP[[#This Row],[Coluna1]],1,1)="1",MID(TBBP[[#This Row],[Coluna1]],1,1)="2"),TBBP[[#This Row],[Coluna32]],SUM(U139:AF139))</f>
        <v>-63339.039999999994</v>
      </c>
      <c r="AH139" s="4">
        <v>-37272.58</v>
      </c>
      <c r="AI139" s="4">
        <v>-740.37</v>
      </c>
      <c r="AJ139" s="4">
        <v>0</v>
      </c>
      <c r="AK139" s="4">
        <v>-75452.88</v>
      </c>
      <c r="AL139" s="4">
        <v>-3243.52</v>
      </c>
      <c r="AM139" s="4">
        <v>0</v>
      </c>
      <c r="AN139" s="4">
        <v>-1330.05</v>
      </c>
      <c r="AO139" s="4">
        <v>-103.48</v>
      </c>
      <c r="AP139" s="4">
        <v>-1103.6099999999999</v>
      </c>
      <c r="AQ139" s="4">
        <v>-605.66</v>
      </c>
      <c r="AR139" s="4">
        <v>-346.47</v>
      </c>
      <c r="AS139" s="4">
        <v>-169.15</v>
      </c>
      <c r="AT139" s="4">
        <f>IF(OR(MID(TBBP[[#This Row],[Coluna1]],1,1)="1",MID(TBBP[[#This Row],[Coluna1]],1,1)="2"),TBBP[[#This Row],[Coluna45]],SUM(AH139:AS139))</f>
        <v>-120367.77000000002</v>
      </c>
      <c r="AU139" s="4">
        <v>-19232.080000000002</v>
      </c>
      <c r="AV139" s="4">
        <v>0</v>
      </c>
      <c r="AW139" s="4">
        <v>0</v>
      </c>
      <c r="AX139" s="4">
        <v>0</v>
      </c>
      <c r="AY139" s="4">
        <v>0</v>
      </c>
      <c r="AZ139" s="4">
        <v>-32.06</v>
      </c>
      <c r="BA139" s="4">
        <v>-113.28</v>
      </c>
      <c r="BB139" s="4">
        <v>-536.4</v>
      </c>
      <c r="BC139" s="4">
        <v>-1523.29</v>
      </c>
      <c r="BD139" s="4">
        <v>0</v>
      </c>
      <c r="BE139" s="4">
        <v>-369.54</v>
      </c>
      <c r="BF139" s="4">
        <v>-377.07</v>
      </c>
      <c r="BG139" s="4">
        <f>IF(OR(MID(TBBP[[#This Row],[Coluna1]],1,1)="1",MID(TBBP[[#This Row],[Coluna1]],1,1)="2"),TBBP[[#This Row],[Coluna58]],SUM(AU139:BF139))</f>
        <v>-22183.720000000005</v>
      </c>
      <c r="BH139" s="4">
        <v>0</v>
      </c>
      <c r="BI139" s="4">
        <v>-1652.76</v>
      </c>
      <c r="BJ139" s="4">
        <v>0</v>
      </c>
      <c r="BK139" s="4">
        <v>0</v>
      </c>
      <c r="BL139" s="4">
        <v>0</v>
      </c>
      <c r="BM139" s="4">
        <v>0</v>
      </c>
      <c r="BN139" s="4">
        <v>-1460.15</v>
      </c>
      <c r="BO139" s="4">
        <v>-1947.81</v>
      </c>
      <c r="BP139" s="4">
        <v>-216.43</v>
      </c>
      <c r="BQ139" s="4">
        <v>0</v>
      </c>
      <c r="BR139" s="4">
        <v>0</v>
      </c>
      <c r="BS139" s="4">
        <v>0</v>
      </c>
      <c r="BT139" s="4">
        <f>IF(OR(MID(TBBP[[#This Row],[Coluna1]],1,1)="1",MID(TBBP[[#This Row],[Coluna1]],1,1)="2"),TBBP[[#This Row],[Coluna127]],SUM(BH139:BS139))</f>
        <v>-5277.15</v>
      </c>
      <c r="BU139" s="4">
        <v>0</v>
      </c>
      <c r="BV139" s="4">
        <v>0</v>
      </c>
      <c r="BW139" s="4">
        <v>0</v>
      </c>
      <c r="BX139" s="4">
        <v>0</v>
      </c>
      <c r="BY139" s="4">
        <v>0</v>
      </c>
      <c r="BZ139" s="4">
        <v>0</v>
      </c>
      <c r="CA139" s="4">
        <v>0</v>
      </c>
      <c r="CB139" s="4">
        <v>0</v>
      </c>
      <c r="CC139" s="4">
        <v>0</v>
      </c>
      <c r="CD139" s="4">
        <v>0</v>
      </c>
      <c r="CE139" s="4">
        <v>0</v>
      </c>
      <c r="CF139" s="4">
        <v>0</v>
      </c>
      <c r="CG139" s="4">
        <f>IF(OR(MID(TBBP[[#This Row],[Coluna1]],1,1)="1",MID(TBBP[[#This Row],[Coluna1]],1,1)="2"),CF139,SUM(BU139:CF139))</f>
        <v>0</v>
      </c>
      <c r="CH139" s="4">
        <v>0</v>
      </c>
      <c r="CI139" s="4">
        <v>-2067.63</v>
      </c>
      <c r="CJ139" s="4">
        <v>0</v>
      </c>
      <c r="CK139" s="4">
        <v>-1310.56</v>
      </c>
      <c r="CL139" s="4">
        <v>0</v>
      </c>
      <c r="CM139" s="4">
        <v>0</v>
      </c>
      <c r="CN139" s="4">
        <v>0</v>
      </c>
      <c r="CO139" s="4">
        <v>0</v>
      </c>
      <c r="CP139" s="4">
        <v>0</v>
      </c>
      <c r="CQ139" s="4">
        <v>0</v>
      </c>
      <c r="CR139" s="4">
        <v>0</v>
      </c>
      <c r="CS139" s="4">
        <v>0</v>
      </c>
      <c r="CT139" s="4">
        <f>IF(OR(MID(TBBP[[#This Row],[Coluna1]],1,1)="1",MID(TBBP[[#This Row],[Coluna1]],1,1)="2"),CS139,SUM(CH139:CS139))</f>
        <v>-3378.19</v>
      </c>
      <c r="CU139" s="255">
        <v>0</v>
      </c>
      <c r="CV139" s="255">
        <v>0</v>
      </c>
      <c r="CW139" s="255">
        <v>0</v>
      </c>
      <c r="CX139" s="255">
        <v>0</v>
      </c>
      <c r="CY139" s="255">
        <v>0</v>
      </c>
      <c r="CZ139" s="255">
        <v>0</v>
      </c>
      <c r="DA139" s="255">
        <v>0</v>
      </c>
      <c r="DB139" s="255">
        <v>0</v>
      </c>
      <c r="DC139" s="255">
        <v>0</v>
      </c>
      <c r="DD139" s="255">
        <v>0</v>
      </c>
      <c r="DE139" s="255"/>
      <c r="DF139" s="255">
        <v>0</v>
      </c>
      <c r="DG139" s="255">
        <f>SUM(TBBP[[#This Row],[Coluna287]:[Coluna298]])</f>
        <v>0</v>
      </c>
      <c r="DH139" s="255">
        <v>0</v>
      </c>
      <c r="DI139" s="255">
        <v>0</v>
      </c>
      <c r="DJ139" s="255">
        <v>0</v>
      </c>
      <c r="DK139" s="255">
        <v>0</v>
      </c>
      <c r="DL139" s="255">
        <v>0</v>
      </c>
      <c r="DM139" s="255">
        <v>0</v>
      </c>
      <c r="DP139" s="30">
        <f>IF(OR(MID(TBBP[[#This Row],[Coluna1]],1,1)="1",MID(TBBP[[#This Row],[Coluna1]],1,1)="2"),"-",SUMIFS(139:139,listaPeriodos,$DR$1,listaPeriodos,$DR$2))</f>
        <v>0</v>
      </c>
      <c r="DR139" s="30">
        <f t="shared" si="89"/>
        <v>0</v>
      </c>
      <c r="DS139" s="30"/>
      <c r="DT139" s="30"/>
      <c r="DU139"/>
    </row>
    <row r="140" spans="1:125" x14ac:dyDescent="0.3">
      <c r="A140" s="7" t="s">
        <v>327</v>
      </c>
      <c r="B140" t="s">
        <v>497</v>
      </c>
      <c r="C140" s="4">
        <v>0</v>
      </c>
      <c r="D140" s="4">
        <v>0</v>
      </c>
      <c r="E140" s="4">
        <v>0</v>
      </c>
      <c r="F140" s="4">
        <v>0</v>
      </c>
      <c r="G140" s="4">
        <v>-82846.539999999994</v>
      </c>
      <c r="H140" s="4">
        <v>-313.83999999999997</v>
      </c>
      <c r="I140" s="4">
        <v>-136.35</v>
      </c>
      <c r="J140" s="4">
        <v>-245.11</v>
      </c>
      <c r="K140" s="4">
        <v>-734.84</v>
      </c>
      <c r="L140" s="4">
        <v>-1126.18</v>
      </c>
      <c r="M140" s="4">
        <v>-903.55</v>
      </c>
      <c r="N140" s="4">
        <v>-517.24</v>
      </c>
      <c r="O140" s="4">
        <v>-3148.59</v>
      </c>
      <c r="P140" s="4">
        <v>-1342.64</v>
      </c>
      <c r="Q140" s="4">
        <v>-244.98</v>
      </c>
      <c r="R140" s="4">
        <v>-269.27999999999997</v>
      </c>
      <c r="S140" s="4">
        <v>-87806.98</v>
      </c>
      <c r="T140" s="4">
        <f>IF(OR(MID(TBBP[[#This Row],[Coluna1]],1,1)="1",MID(TBBP[[#This Row],[Coluna1]],1,1)="2"),TBBP[[#This Row],[Coluna19]],SUM(H140:S140))</f>
        <v>-96789.58</v>
      </c>
      <c r="U140" s="4">
        <v>-276.58999999999997</v>
      </c>
      <c r="V140" s="4">
        <v>-931.95</v>
      </c>
      <c r="W140" s="4">
        <v>-508.58</v>
      </c>
      <c r="X140" s="4">
        <v>-414.84</v>
      </c>
      <c r="Y140" s="4">
        <v>0</v>
      </c>
      <c r="Z140" s="4">
        <v>-723.85</v>
      </c>
      <c r="AA140" s="4">
        <v>-5068.26</v>
      </c>
      <c r="AB140" s="4">
        <v>-4574.96</v>
      </c>
      <c r="AC140" s="4">
        <v>-541.53</v>
      </c>
      <c r="AD140" s="4">
        <v>-1264.74</v>
      </c>
      <c r="AE140" s="4">
        <v>-1908.88</v>
      </c>
      <c r="AF140" s="4">
        <v>0</v>
      </c>
      <c r="AG140" s="4">
        <f>IF(OR(MID(TBBP[[#This Row],[Coluna1]],1,1)="1",MID(TBBP[[#This Row],[Coluna1]],1,1)="2"),TBBP[[#This Row],[Coluna32]],SUM(U140:AF140))</f>
        <v>-16214.18</v>
      </c>
      <c r="AH140" s="4">
        <v>0</v>
      </c>
      <c r="AI140" s="4">
        <v>-431.98</v>
      </c>
      <c r="AJ140" s="4">
        <v>-1239.1199999999999</v>
      </c>
      <c r="AK140" s="4">
        <v>0</v>
      </c>
      <c r="AL140" s="4">
        <v>0</v>
      </c>
      <c r="AM140" s="4">
        <v>0</v>
      </c>
      <c r="AN140" s="4">
        <v>-1205.18</v>
      </c>
      <c r="AO140" s="4">
        <v>0</v>
      </c>
      <c r="AP140" s="4">
        <v>-568.83000000000004</v>
      </c>
      <c r="AQ140" s="4">
        <v>0</v>
      </c>
      <c r="AR140" s="4">
        <v>0</v>
      </c>
      <c r="AS140" s="4">
        <v>-400.2</v>
      </c>
      <c r="AT140" s="4">
        <f>IF(OR(MID(TBBP[[#This Row],[Coluna1]],1,1)="1",MID(TBBP[[#This Row],[Coluna1]],1,1)="2"),TBBP[[#This Row],[Coluna45]],SUM(AH140:AS140))</f>
        <v>-3845.3099999999995</v>
      </c>
      <c r="AU140" s="4">
        <v>0</v>
      </c>
      <c r="AV140" s="4">
        <v>0</v>
      </c>
      <c r="AW140" s="4">
        <v>0</v>
      </c>
      <c r="AX140" s="4">
        <v>0</v>
      </c>
      <c r="AY140" s="4">
        <v>0</v>
      </c>
      <c r="AZ140" s="4">
        <v>0</v>
      </c>
      <c r="BA140" s="4">
        <v>-2261.36</v>
      </c>
      <c r="BB140" s="4">
        <v>-603.44000000000005</v>
      </c>
      <c r="BC140" s="4">
        <v>-913.97</v>
      </c>
      <c r="BD140" s="4">
        <v>0</v>
      </c>
      <c r="BE140" s="4">
        <v>-2049.98</v>
      </c>
      <c r="BF140" s="4">
        <v>-141.4</v>
      </c>
      <c r="BG140" s="4">
        <f>IF(OR(MID(TBBP[[#This Row],[Coluna1]],1,1)="1",MID(TBBP[[#This Row],[Coluna1]],1,1)="2"),TBBP[[#This Row],[Coluna58]],SUM(AU140:BF140))</f>
        <v>-5970.15</v>
      </c>
      <c r="BH140" s="4">
        <v>0</v>
      </c>
      <c r="BI140" s="4">
        <v>0</v>
      </c>
      <c r="BJ140" s="4">
        <v>0</v>
      </c>
      <c r="BK140" s="4">
        <v>0</v>
      </c>
      <c r="BL140" s="4">
        <v>0</v>
      </c>
      <c r="BM140" s="4">
        <v>0</v>
      </c>
      <c r="BN140" s="4">
        <v>-1420.94</v>
      </c>
      <c r="BO140" s="4">
        <v>0</v>
      </c>
      <c r="BP140" s="4">
        <v>0</v>
      </c>
      <c r="BQ140" s="4">
        <v>-511.77</v>
      </c>
      <c r="BR140" s="4">
        <v>0</v>
      </c>
      <c r="BS140" s="4">
        <v>0</v>
      </c>
      <c r="BT140" s="4">
        <f>IF(OR(MID(TBBP[[#This Row],[Coluna1]],1,1)="1",MID(TBBP[[#This Row],[Coluna1]],1,1)="2"),TBBP[[#This Row],[Coluna127]],SUM(BH140:BS140))</f>
        <v>-1932.71</v>
      </c>
      <c r="BU140" s="4">
        <v>0</v>
      </c>
      <c r="BV140" s="4">
        <v>0</v>
      </c>
      <c r="BW140" s="4">
        <v>0</v>
      </c>
      <c r="BX140" s="4">
        <v>0</v>
      </c>
      <c r="BY140" s="4">
        <v>0</v>
      </c>
      <c r="BZ140" s="4">
        <v>0</v>
      </c>
      <c r="CA140" s="4">
        <v>0</v>
      </c>
      <c r="CB140" s="4">
        <v>0</v>
      </c>
      <c r="CC140" s="4">
        <v>0</v>
      </c>
      <c r="CD140" s="4">
        <v>0</v>
      </c>
      <c r="CE140" s="4">
        <v>0</v>
      </c>
      <c r="CF140" s="4">
        <v>0</v>
      </c>
      <c r="CG140" s="4">
        <f>IF(OR(MID(TBBP[[#This Row],[Coluna1]],1,1)="1",MID(TBBP[[#This Row],[Coluna1]],1,1)="2"),CF140,SUM(BU140:CF140))</f>
        <v>0</v>
      </c>
      <c r="CH140" s="4">
        <v>0</v>
      </c>
      <c r="CI140" s="4">
        <v>0</v>
      </c>
      <c r="CJ140" s="4">
        <v>0</v>
      </c>
      <c r="CK140" s="4" t="s">
        <v>1134</v>
      </c>
      <c r="CL140" s="4">
        <v>0</v>
      </c>
      <c r="CM140" s="4" t="s">
        <v>1134</v>
      </c>
      <c r="CN140" s="4">
        <v>0</v>
      </c>
      <c r="CO140" s="4">
        <v>0</v>
      </c>
      <c r="CP140" s="4">
        <v>0</v>
      </c>
      <c r="CQ140" s="4" t="s">
        <v>1134</v>
      </c>
      <c r="CR140" s="4" t="s">
        <v>1134</v>
      </c>
      <c r="CS140" s="4" t="s">
        <v>1134</v>
      </c>
      <c r="CT140" s="4">
        <f>IF(OR(MID(TBBP[[#This Row],[Coluna1]],1,1)="1",MID(TBBP[[#This Row],[Coluna1]],1,1)="2"),CS140,SUM(CH140:CS140))</f>
        <v>0</v>
      </c>
      <c r="CU140" s="255">
        <v>0</v>
      </c>
      <c r="CV140" s="255">
        <v>0</v>
      </c>
      <c r="CW140" s="255">
        <v>0</v>
      </c>
      <c r="CX140" s="255">
        <v>0</v>
      </c>
      <c r="CY140" s="255">
        <v>-104.12</v>
      </c>
      <c r="CZ140" s="255">
        <v>0</v>
      </c>
      <c r="DA140" s="255">
        <v>0</v>
      </c>
      <c r="DB140" s="255">
        <v>0</v>
      </c>
      <c r="DC140" s="255">
        <v>0</v>
      </c>
      <c r="DD140" s="255">
        <v>0</v>
      </c>
      <c r="DE140" s="255">
        <v>0</v>
      </c>
      <c r="DF140" s="255">
        <v>0</v>
      </c>
      <c r="DG140" s="255">
        <f>SUM(TBBP[[#This Row],[Coluna287]:[Coluna298]])</f>
        <v>-104.12</v>
      </c>
      <c r="DH140" s="255">
        <v>0</v>
      </c>
      <c r="DI140" s="255">
        <v>0</v>
      </c>
      <c r="DJ140" s="255">
        <v>0</v>
      </c>
      <c r="DK140" s="255">
        <v>0</v>
      </c>
      <c r="DL140" s="255">
        <v>0</v>
      </c>
      <c r="DM140" s="255">
        <v>0</v>
      </c>
      <c r="DP140" s="30">
        <f>IF(OR(MID(TBBP[[#This Row],[Coluna1]],1,1)="1",MID(TBBP[[#This Row],[Coluna1]],1,1)="2"),"-",SUMIFS(140:140,listaPeriodos,$DR$1,listaPeriodos,$DR$2))</f>
        <v>0</v>
      </c>
      <c r="DR140" s="30">
        <f t="shared" si="89"/>
        <v>0</v>
      </c>
      <c r="DS140" s="30"/>
      <c r="DT140" s="30"/>
      <c r="DU140"/>
    </row>
    <row r="141" spans="1:125" x14ac:dyDescent="0.3">
      <c r="A141" s="7" t="s">
        <v>328</v>
      </c>
      <c r="B141" t="s">
        <v>498</v>
      </c>
      <c r="C141" s="4">
        <v>0</v>
      </c>
      <c r="D141" s="4">
        <v>0</v>
      </c>
      <c r="E141" s="4">
        <v>0</v>
      </c>
      <c r="F141" s="4">
        <v>0</v>
      </c>
      <c r="G141" s="4">
        <v>-19984.54</v>
      </c>
      <c r="H141" s="4">
        <v>-985.8</v>
      </c>
      <c r="I141" s="4">
        <v>-890.4</v>
      </c>
      <c r="J141" s="4">
        <v>-985.8</v>
      </c>
      <c r="K141" s="4">
        <v>-1876.2</v>
      </c>
      <c r="L141" s="4">
        <v>-1971.6</v>
      </c>
      <c r="M141" s="4">
        <v>-1908</v>
      </c>
      <c r="N141" s="4">
        <v>-1971.6</v>
      </c>
      <c r="O141" s="4">
        <v>-2482</v>
      </c>
      <c r="P141" s="4">
        <v>-1653</v>
      </c>
      <c r="Q141" s="4">
        <v>-1708.1</v>
      </c>
      <c r="R141" s="4">
        <v>-1489.9</v>
      </c>
      <c r="S141" s="4">
        <v>-724.8</v>
      </c>
      <c r="T141" s="4">
        <f>IF(OR(MID(TBBP[[#This Row],[Coluna1]],1,1)="1",MID(TBBP[[#This Row],[Coluna1]],1,1)="2"),TBBP[[#This Row],[Coluna19]],SUM(H141:S141))</f>
        <v>-18647.2</v>
      </c>
      <c r="U141" s="4">
        <v>-715.8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-550.29</v>
      </c>
      <c r="AD141" s="4">
        <v>-1218.51</v>
      </c>
      <c r="AE141" s="4">
        <v>-1179.2</v>
      </c>
      <c r="AF141" s="4">
        <v>-1218.51</v>
      </c>
      <c r="AG141" s="4">
        <f>IF(OR(MID(TBBP[[#This Row],[Coluna1]],1,1)="1",MID(TBBP[[#This Row],[Coluna1]],1,1)="2"),TBBP[[#This Row],[Coluna32]],SUM(U141:AF141))</f>
        <v>-4882.3100000000004</v>
      </c>
      <c r="AH141" s="4">
        <v>-275.14999999999998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-429.6</v>
      </c>
      <c r="AO141" s="4">
        <v>-1109.8</v>
      </c>
      <c r="AP141" s="4">
        <v>-1074</v>
      </c>
      <c r="AQ141" s="4">
        <v>-1109.8</v>
      </c>
      <c r="AR141" s="4">
        <v>-2172.8000000000002</v>
      </c>
      <c r="AS141" s="4">
        <v>-1876.4</v>
      </c>
      <c r="AT141" s="4">
        <f>IF(OR(MID(TBBP[[#This Row],[Coluna1]],1,1)="1",MID(TBBP[[#This Row],[Coluna1]],1,1)="2"),TBBP[[#This Row],[Coluna45]],SUM(AH141:AS141))</f>
        <v>-8047.5500000000011</v>
      </c>
      <c r="AU141" s="4">
        <v>-1661.6</v>
      </c>
      <c r="AV141" s="4">
        <v>-2531.1999999999998</v>
      </c>
      <c r="AW141" s="4">
        <v>-2802.4</v>
      </c>
      <c r="AX141" s="4">
        <v>-3733.99</v>
      </c>
      <c r="AY141" s="4">
        <v>-3633.2</v>
      </c>
      <c r="AZ141" s="4">
        <v>-3516</v>
      </c>
      <c r="BA141" s="4">
        <v>-3392</v>
      </c>
      <c r="BB141" s="4">
        <v>-3231.2</v>
      </c>
      <c r="BC141" s="4">
        <v>-2412</v>
      </c>
      <c r="BD141" s="4">
        <v>-2302.5</v>
      </c>
      <c r="BE141" s="4">
        <v>-3236.85</v>
      </c>
      <c r="BF141" s="4">
        <v>-3985.05</v>
      </c>
      <c r="BG141" s="4">
        <f>IF(OR(MID(TBBP[[#This Row],[Coluna1]],1,1)="1",MID(TBBP[[#This Row],[Coluna1]],1,1)="2"),TBBP[[#This Row],[Coluna58]],SUM(AU141:BF141))</f>
        <v>-36437.99</v>
      </c>
      <c r="BH141" s="4">
        <v>-3800.85</v>
      </c>
      <c r="BI141" s="4">
        <v>-2187.1999999999998</v>
      </c>
      <c r="BJ141" s="4">
        <v>-2081.65</v>
      </c>
      <c r="BK141" s="4">
        <v>-2014.5</v>
      </c>
      <c r="BL141" s="4">
        <v>-2296.5500000000002</v>
      </c>
      <c r="BM141" s="4">
        <v>-2935.5</v>
      </c>
      <c r="BN141" s="4">
        <v>-3033.35</v>
      </c>
      <c r="BO141" s="4">
        <v>-2327.25</v>
      </c>
      <c r="BP141" s="4">
        <v>-2014.5</v>
      </c>
      <c r="BQ141" s="4">
        <v>-2081.65</v>
      </c>
      <c r="BR141" s="4">
        <v>-2014.5</v>
      </c>
      <c r="BS141" s="4">
        <v>-2170</v>
      </c>
      <c r="BT141" s="4">
        <f>IF(OR(MID(TBBP[[#This Row],[Coluna1]],1,1)="1",MID(TBBP[[#This Row],[Coluna1]],1,1)="2"),TBBP[[#This Row],[Coluna127]],SUM(BH141:BS141))</f>
        <v>-28957.5</v>
      </c>
      <c r="BU141" s="4">
        <v>-397.2</v>
      </c>
      <c r="BV141" s="4">
        <v>0</v>
      </c>
      <c r="BW141" s="4">
        <v>0</v>
      </c>
      <c r="BX141" s="4">
        <v>0</v>
      </c>
      <c r="BY141" s="4">
        <v>0</v>
      </c>
      <c r="BZ141" s="4">
        <v>0</v>
      </c>
      <c r="CA141" s="4">
        <v>-252.7</v>
      </c>
      <c r="CB141" s="4">
        <v>-1119.0999999999999</v>
      </c>
      <c r="CC141" s="4">
        <v>-1083</v>
      </c>
      <c r="CD141" s="4">
        <v>-1696.7</v>
      </c>
      <c r="CE141" s="4">
        <v>-2286</v>
      </c>
      <c r="CF141" s="4">
        <v>-2362.1999999999998</v>
      </c>
      <c r="CG141" s="4">
        <f>IF(OR(MID(TBBP[[#This Row],[Coluna1]],1,1)="1",MID(TBBP[[#This Row],[Coluna1]],1,1)="2"),CF141,SUM(BU141:CF141))</f>
        <v>-9196.9</v>
      </c>
      <c r="CH141" s="4">
        <v>-2362.1999999999998</v>
      </c>
      <c r="CI141" s="4">
        <v>-2209.8000000000002</v>
      </c>
      <c r="CJ141" s="4">
        <v>-902.5</v>
      </c>
      <c r="CK141" s="4">
        <v>-1143</v>
      </c>
      <c r="CL141" s="4">
        <v>-1181.0999999999999</v>
      </c>
      <c r="CM141" s="4">
        <v>-1143</v>
      </c>
      <c r="CN141" s="4">
        <v>-1181.0999999999999</v>
      </c>
      <c r="CO141" s="4">
        <v>-495.3</v>
      </c>
      <c r="CP141" s="4">
        <v>0</v>
      </c>
      <c r="CQ141" s="4">
        <v>0</v>
      </c>
      <c r="CR141" s="4">
        <v>0</v>
      </c>
      <c r="CS141" s="4">
        <v>0</v>
      </c>
      <c r="CT141" s="4">
        <f>IF(OR(MID(TBBP[[#This Row],[Coluna1]],1,1)="1",MID(TBBP[[#This Row],[Coluna1]],1,1)="2"),CS141,SUM(CH141:CS141))</f>
        <v>-10618</v>
      </c>
      <c r="CU141" s="255">
        <v>0</v>
      </c>
      <c r="CV141" s="255">
        <v>0</v>
      </c>
      <c r="CW141" s="255">
        <v>-1088.8599999999999</v>
      </c>
      <c r="CX141" s="255">
        <v>-3093.95</v>
      </c>
      <c r="CY141" s="255">
        <v>-3343.6</v>
      </c>
      <c r="CZ141" s="255">
        <v>-3086.4</v>
      </c>
      <c r="DA141" s="255">
        <v>-3343.6</v>
      </c>
      <c r="DB141" s="255">
        <v>-3343.6</v>
      </c>
      <c r="DC141" s="255">
        <v>-2929.95</v>
      </c>
      <c r="DD141" s="255">
        <v>-1089.45</v>
      </c>
      <c r="DE141" s="255">
        <v>-982.1</v>
      </c>
      <c r="DF141" s="255">
        <v>-1024.8</v>
      </c>
      <c r="DG141" s="255">
        <f>SUM(TBBP[[#This Row],[Coluna287]:[Coluna298]])</f>
        <v>-23326.309999999998</v>
      </c>
      <c r="DH141" s="255">
        <v>-1110.2</v>
      </c>
      <c r="DI141" s="255">
        <v>-1024.8</v>
      </c>
      <c r="DJ141" s="255">
        <v>-1110.2</v>
      </c>
      <c r="DK141" s="255">
        <v>-1024.8</v>
      </c>
      <c r="DL141" s="255">
        <v>-1067.5</v>
      </c>
      <c r="DM141" s="255">
        <v>0</v>
      </c>
      <c r="DP141" s="30">
        <f>IF(OR(MID(TBBP[[#This Row],[Coluna1]],1,1)="1",MID(TBBP[[#This Row],[Coluna1]],1,1)="2"),"-",SUMIFS(141:141,listaPeriodos,$DR$1,listaPeriodos,$DR$2))</f>
        <v>-5337.5</v>
      </c>
      <c r="DR141" s="30">
        <f t="shared" ref="DR141:DR204" si="179">DQ141*$DS$1</f>
        <v>0</v>
      </c>
      <c r="DS141" s="30"/>
      <c r="DT141" s="30"/>
      <c r="DU141"/>
    </row>
    <row r="142" spans="1:125" x14ac:dyDescent="0.3">
      <c r="A142" s="7" t="s">
        <v>329</v>
      </c>
      <c r="B142" t="s">
        <v>499</v>
      </c>
      <c r="C142" s="4">
        <v>0</v>
      </c>
      <c r="D142" s="4">
        <v>0</v>
      </c>
      <c r="E142" s="4">
        <v>0</v>
      </c>
      <c r="F142" s="4">
        <v>0</v>
      </c>
      <c r="G142" s="4">
        <v>-385142.55</v>
      </c>
      <c r="H142" s="4">
        <v>-25806.44</v>
      </c>
      <c r="I142" s="4">
        <v>-23844.73</v>
      </c>
      <c r="J142" s="4">
        <v>-25361.89</v>
      </c>
      <c r="K142" s="4">
        <v>-27971.93</v>
      </c>
      <c r="L142" s="4">
        <v>-28742.78</v>
      </c>
      <c r="M142" s="4">
        <v>-28694.78</v>
      </c>
      <c r="N142" s="4">
        <v>-32839.1</v>
      </c>
      <c r="O142" s="4">
        <v>-31388.68</v>
      </c>
      <c r="P142" s="4">
        <v>-31614.89</v>
      </c>
      <c r="Q142" s="4">
        <v>-29396.54</v>
      </c>
      <c r="R142" s="4">
        <v>-28698</v>
      </c>
      <c r="S142" s="4">
        <v>-56610.13</v>
      </c>
      <c r="T142" s="4">
        <f>IF(OR(MID(TBBP[[#This Row],[Coluna1]],1,1)="1",MID(TBBP[[#This Row],[Coluna1]],1,1)="2"),TBBP[[#This Row],[Coluna19]],SUM(H142:S142))</f>
        <v>-370969.88999999996</v>
      </c>
      <c r="U142" s="4">
        <v>-31288.54</v>
      </c>
      <c r="V142" s="4">
        <v>-31494.12</v>
      </c>
      <c r="W142" s="4">
        <v>-32325.63</v>
      </c>
      <c r="X142" s="4">
        <v>-32469.3</v>
      </c>
      <c r="Y142" s="4">
        <v>-33580.04</v>
      </c>
      <c r="Z142" s="4">
        <v>-35575</v>
      </c>
      <c r="AA142" s="4">
        <v>-35082.07</v>
      </c>
      <c r="AB142" s="4">
        <v>-32261.49</v>
      </c>
      <c r="AC142" s="4">
        <v>-34904.5</v>
      </c>
      <c r="AD142" s="4">
        <v>-34647.58</v>
      </c>
      <c r="AE142" s="4">
        <v>-35786.519999999997</v>
      </c>
      <c r="AF142" s="4">
        <v>-36395.15</v>
      </c>
      <c r="AG142" s="4">
        <f>IF(OR(MID(TBBP[[#This Row],[Coluna1]],1,1)="1",MID(TBBP[[#This Row],[Coluna1]],1,1)="2"),TBBP[[#This Row],[Coluna32]],SUM(U142:AF142))</f>
        <v>-405809.94000000006</v>
      </c>
      <c r="AH142" s="4">
        <v>-42003.64</v>
      </c>
      <c r="AI142" s="4">
        <v>-38549.58</v>
      </c>
      <c r="AJ142" s="4">
        <v>-33756.01</v>
      </c>
      <c r="AK142" s="4">
        <v>-36979.29</v>
      </c>
      <c r="AL142" s="4">
        <v>-28334.66</v>
      </c>
      <c r="AM142" s="4">
        <v>-29448.43</v>
      </c>
      <c r="AN142" s="4">
        <v>-37619.760000000002</v>
      </c>
      <c r="AO142" s="4">
        <v>-40757.160000000003</v>
      </c>
      <c r="AP142" s="4">
        <v>-44240.84</v>
      </c>
      <c r="AQ142" s="4">
        <v>-48546.1</v>
      </c>
      <c r="AR142" s="4">
        <v>-53726.12</v>
      </c>
      <c r="AS142" s="4">
        <v>-50975.1</v>
      </c>
      <c r="AT142" s="4">
        <f>IF(OR(MID(TBBP[[#This Row],[Coluna1]],1,1)="1",MID(TBBP[[#This Row],[Coluna1]],1,1)="2"),TBBP[[#This Row],[Coluna45]],SUM(AH142:AS142))</f>
        <v>-484936.68999999994</v>
      </c>
      <c r="AU142" s="4">
        <v>-67648.2</v>
      </c>
      <c r="AV142" s="4">
        <v>-60699.96</v>
      </c>
      <c r="AW142" s="4">
        <v>-62068.15</v>
      </c>
      <c r="AX142" s="4">
        <v>-65931.25</v>
      </c>
      <c r="AY142" s="4">
        <v>-73010.38</v>
      </c>
      <c r="AZ142" s="4">
        <v>-73104.2</v>
      </c>
      <c r="BA142" s="4">
        <v>-75707.16</v>
      </c>
      <c r="BB142" s="4">
        <v>-68102.080000000002</v>
      </c>
      <c r="BC142" s="4">
        <v>-71308.44</v>
      </c>
      <c r="BD142" s="4">
        <v>-69762.080000000002</v>
      </c>
      <c r="BE142" s="4">
        <v>-76340.03</v>
      </c>
      <c r="BF142" s="4">
        <v>-85838.61</v>
      </c>
      <c r="BG142" s="4">
        <f>IF(OR(MID(TBBP[[#This Row],[Coluna1]],1,1)="1",MID(TBBP[[#This Row],[Coluna1]],1,1)="2"),TBBP[[#This Row],[Coluna58]],SUM(AU142:BF142))</f>
        <v>-849520.54</v>
      </c>
      <c r="BH142" s="4">
        <v>-81920.649999999994</v>
      </c>
      <c r="BI142" s="4">
        <v>-77132.009999999995</v>
      </c>
      <c r="BJ142" s="4">
        <v>-77351.87</v>
      </c>
      <c r="BK142" s="4">
        <v>-77859.070000000007</v>
      </c>
      <c r="BL142" s="4">
        <v>-75703.3</v>
      </c>
      <c r="BM142" s="4">
        <v>-77194.91</v>
      </c>
      <c r="BN142" s="4">
        <v>-69169.14</v>
      </c>
      <c r="BO142" s="4">
        <v>-75768.08</v>
      </c>
      <c r="BP142" s="4">
        <v>-75666.44</v>
      </c>
      <c r="BQ142" s="4">
        <v>-81474.070000000007</v>
      </c>
      <c r="BR142" s="4">
        <v>-79980.36</v>
      </c>
      <c r="BS142" s="4">
        <v>-8427.8399999999965</v>
      </c>
      <c r="BT142" s="4">
        <f>IF(OR(MID(TBBP[[#This Row],[Coluna1]],1,1)="1",MID(TBBP[[#This Row],[Coluna1]],1,1)="2"),TBBP[[#This Row],[Coluna127]],SUM(BH142:BS142))</f>
        <v>-857647.74</v>
      </c>
      <c r="BU142" s="4">
        <v>-91710.37</v>
      </c>
      <c r="BV142" s="4">
        <v>-88242.6</v>
      </c>
      <c r="BW142" s="4">
        <v>-79461.61</v>
      </c>
      <c r="BX142" s="4">
        <v>-81410.66</v>
      </c>
      <c r="BY142" s="4">
        <v>-82578.929999999993</v>
      </c>
      <c r="BZ142" s="4">
        <v>-90682.85</v>
      </c>
      <c r="CA142" s="4">
        <v>-80016</v>
      </c>
      <c r="CB142" s="4">
        <v>-97462.62</v>
      </c>
      <c r="CC142" s="4">
        <v>-88374.59</v>
      </c>
      <c r="CD142" s="4">
        <v>-98660.52</v>
      </c>
      <c r="CE142" s="4">
        <v>-116592.84</v>
      </c>
      <c r="CF142" s="4">
        <v>-189752.03</v>
      </c>
      <c r="CG142" s="4">
        <f>IF(OR(MID(TBBP[[#This Row],[Coluna1]],1,1)="1",MID(TBBP[[#This Row],[Coluna1]],1,1)="2"),CF142,SUM(BU142:CF142))</f>
        <v>-1184945.6199999999</v>
      </c>
      <c r="CH142" s="4">
        <v>-129478.32</v>
      </c>
      <c r="CI142" s="4">
        <v>-121558.34</v>
      </c>
      <c r="CJ142" s="4">
        <v>-119950.31</v>
      </c>
      <c r="CK142" s="4">
        <v>-129051.76</v>
      </c>
      <c r="CL142" s="4">
        <v>-137572.62</v>
      </c>
      <c r="CM142" s="4">
        <v>-154252.78</v>
      </c>
      <c r="CN142" s="4">
        <v>-166884.41</v>
      </c>
      <c r="CO142" s="4">
        <v>-155353.70000000001</v>
      </c>
      <c r="CP142" s="4">
        <v>-162076.54</v>
      </c>
      <c r="CQ142" s="4">
        <v>-152349.82</v>
      </c>
      <c r="CR142" s="4">
        <v>-170484.18</v>
      </c>
      <c r="CS142" s="4">
        <v>-294761.03999999998</v>
      </c>
      <c r="CT142" s="4">
        <f>IF(OR(MID(TBBP[[#This Row],[Coluna1]],1,1)="1",MID(TBBP[[#This Row],[Coluna1]],1,1)="2"),CS142,SUM(CH142:CS142))</f>
        <v>-1893773.82</v>
      </c>
      <c r="CU142" s="255">
        <v>-144008.01999999999</v>
      </c>
      <c r="CV142" s="255">
        <v>-156559.29</v>
      </c>
      <c r="CW142" s="255">
        <v>-152893.54</v>
      </c>
      <c r="CX142" s="255">
        <v>-143193.20000000001</v>
      </c>
      <c r="CY142" s="255">
        <v>-143341.13</v>
      </c>
      <c r="CZ142" s="255">
        <v>-156154.16</v>
      </c>
      <c r="DA142" s="255">
        <v>-166393.69</v>
      </c>
      <c r="DB142" s="255">
        <v>-146681.85999999999</v>
      </c>
      <c r="DC142" s="255">
        <v>-143541.1</v>
      </c>
      <c r="DD142" s="255">
        <v>-124072.53</v>
      </c>
      <c r="DE142" s="255">
        <v>-140731.10999999999</v>
      </c>
      <c r="DF142" s="255">
        <v>-273641.40000000002</v>
      </c>
      <c r="DG142" s="255">
        <f>SUM(TBBP[[#This Row],[Coluna287]:[Coluna298]])</f>
        <v>-1891211.0300000003</v>
      </c>
      <c r="DH142" s="255">
        <v>-145967</v>
      </c>
      <c r="DI142" s="255">
        <v>-152747.69</v>
      </c>
      <c r="DJ142" s="255">
        <v>-156833.76</v>
      </c>
      <c r="DK142" s="255">
        <v>-182331.06</v>
      </c>
      <c r="DL142" s="255">
        <v>-158143.49</v>
      </c>
      <c r="DM142" s="255">
        <v>-4000.07</v>
      </c>
      <c r="DP142" s="30">
        <f>IF(OR(MID(TBBP[[#This Row],[Coluna1]],1,1)="1",MID(TBBP[[#This Row],[Coluna1]],1,1)="2"),"-",SUMIFS(142:142,listaPeriodos,$DR$1,listaPeriodos,$DR$2))</f>
        <v>-800023.07</v>
      </c>
      <c r="DR142" s="30">
        <f t="shared" si="179"/>
        <v>0</v>
      </c>
      <c r="DS142" s="30"/>
      <c r="DT142" s="30"/>
      <c r="DU142"/>
    </row>
    <row r="143" spans="1:125" x14ac:dyDescent="0.3">
      <c r="A143" s="7" t="s">
        <v>330</v>
      </c>
      <c r="B143" t="s">
        <v>500</v>
      </c>
      <c r="C143" s="4">
        <v>0</v>
      </c>
      <c r="D143" s="4">
        <v>0</v>
      </c>
      <c r="E143" s="4">
        <v>0</v>
      </c>
      <c r="F143" s="4">
        <v>0</v>
      </c>
      <c r="G143" s="4">
        <v>-134897.91</v>
      </c>
      <c r="H143" s="4">
        <v>-11289.92</v>
      </c>
      <c r="I143" s="4">
        <v>-6859.71</v>
      </c>
      <c r="J143" s="4">
        <v>-8398.3700000000008</v>
      </c>
      <c r="K143" s="4">
        <v>-9453.23</v>
      </c>
      <c r="L143" s="4">
        <v>-8430.86</v>
      </c>
      <c r="M143" s="4">
        <v>-9913.15</v>
      </c>
      <c r="N143" s="4">
        <v>-9988.08</v>
      </c>
      <c r="O143" s="4">
        <v>-12006.58</v>
      </c>
      <c r="P143" s="4">
        <v>-10725.29</v>
      </c>
      <c r="Q143" s="4">
        <v>-8493.65</v>
      </c>
      <c r="R143" s="4">
        <v>-13760.35</v>
      </c>
      <c r="S143" s="4">
        <v>-13322.51</v>
      </c>
      <c r="T143" s="4">
        <f>IF(OR(MID(TBBP[[#This Row],[Coluna1]],1,1)="1",MID(TBBP[[#This Row],[Coluna1]],1,1)="2"),TBBP[[#This Row],[Coluna19]],SUM(H143:S143))</f>
        <v>-122641.7</v>
      </c>
      <c r="U143" s="4">
        <v>-10834.54</v>
      </c>
      <c r="V143" s="4">
        <v>-12906.06</v>
      </c>
      <c r="W143" s="4">
        <v>-12085.73</v>
      </c>
      <c r="X143" s="4">
        <v>-10545</v>
      </c>
      <c r="Y143" s="4">
        <v>-9771.39</v>
      </c>
      <c r="Z143" s="4">
        <v>-12519.76</v>
      </c>
      <c r="AA143" s="4">
        <v>-15541.84</v>
      </c>
      <c r="AB143" s="4">
        <v>-19089.759999999998</v>
      </c>
      <c r="AC143" s="4">
        <v>-11459.52</v>
      </c>
      <c r="AD143" s="4">
        <v>-11507.86</v>
      </c>
      <c r="AE143" s="4">
        <v>-14518.28</v>
      </c>
      <c r="AF143" s="4">
        <v>-10592.14</v>
      </c>
      <c r="AG143" s="4">
        <f>IF(OR(MID(TBBP[[#This Row],[Coluna1]],1,1)="1",MID(TBBP[[#This Row],[Coluna1]],1,1)="2"),TBBP[[#This Row],[Coluna32]],SUM(U143:AF143))</f>
        <v>-151371.88</v>
      </c>
      <c r="AH143" s="4">
        <v>-11483.54</v>
      </c>
      <c r="AI143" s="4">
        <v>-15439.2</v>
      </c>
      <c r="AJ143" s="4">
        <v>-12576.8</v>
      </c>
      <c r="AK143" s="4">
        <v>-16171.22</v>
      </c>
      <c r="AL143" s="4">
        <v>-8096.2</v>
      </c>
      <c r="AM143" s="4">
        <v>-8522.98</v>
      </c>
      <c r="AN143" s="4">
        <v>-10258.84</v>
      </c>
      <c r="AO143" s="4">
        <v>-13211.94</v>
      </c>
      <c r="AP143" s="4">
        <v>-12118.66</v>
      </c>
      <c r="AQ143" s="4">
        <v>-14290.68</v>
      </c>
      <c r="AR143" s="4">
        <v>-14768.79</v>
      </c>
      <c r="AS143" s="4">
        <v>-13870.05</v>
      </c>
      <c r="AT143" s="4">
        <f>IF(OR(MID(TBBP[[#This Row],[Coluna1]],1,1)="1",MID(TBBP[[#This Row],[Coluna1]],1,1)="2"),TBBP[[#This Row],[Coluna45]],SUM(AH143:AS143))</f>
        <v>-150808.9</v>
      </c>
      <c r="AU143" s="4">
        <v>-18752.77</v>
      </c>
      <c r="AV143" s="4">
        <v>-19243.240000000002</v>
      </c>
      <c r="AW143" s="4">
        <v>-19601.21</v>
      </c>
      <c r="AX143" s="4">
        <v>-20549.79</v>
      </c>
      <c r="AY143" s="4">
        <v>-44080.75</v>
      </c>
      <c r="AZ143" s="4">
        <v>-26888.2</v>
      </c>
      <c r="BA143" s="4">
        <v>-26669.93</v>
      </c>
      <c r="BB143" s="4">
        <v>-19649.5</v>
      </c>
      <c r="BC143" s="4">
        <v>-22550.78</v>
      </c>
      <c r="BD143" s="4">
        <v>-19865.990000000002</v>
      </c>
      <c r="BE143" s="4">
        <v>-27458.37</v>
      </c>
      <c r="BF143" s="4">
        <v>-58032.25</v>
      </c>
      <c r="BG143" s="4">
        <f>IF(OR(MID(TBBP[[#This Row],[Coluna1]],1,1)="1",MID(TBBP[[#This Row],[Coluna1]],1,1)="2"),TBBP[[#This Row],[Coluna58]],SUM(AU143:BF143))</f>
        <v>-323342.78000000003</v>
      </c>
      <c r="BH143" s="4">
        <v>-23998.19</v>
      </c>
      <c r="BI143" s="4">
        <v>-23231.93</v>
      </c>
      <c r="BJ143" s="4">
        <v>-31593.98</v>
      </c>
      <c r="BK143" s="4">
        <v>-25157.15</v>
      </c>
      <c r="BL143" s="4">
        <v>-26064.47</v>
      </c>
      <c r="BM143" s="4">
        <v>-34446.86</v>
      </c>
      <c r="BN143" s="4">
        <v>-23301.16</v>
      </c>
      <c r="BO143" s="4">
        <v>-22407.96</v>
      </c>
      <c r="BP143" s="4">
        <v>-22436.93</v>
      </c>
      <c r="BQ143" s="4">
        <v>-45814.879999999997</v>
      </c>
      <c r="BR143" s="4">
        <v>-35431.1</v>
      </c>
      <c r="BS143" s="4">
        <v>5750.3000000000029</v>
      </c>
      <c r="BT143" s="4">
        <f>IF(OR(MID(TBBP[[#This Row],[Coluna1]],1,1)="1",MID(TBBP[[#This Row],[Coluna1]],1,1)="2"),TBBP[[#This Row],[Coluna127]],SUM(BH143:BS143))</f>
        <v>-308134.31</v>
      </c>
      <c r="BU143" s="4">
        <v>-26888.52</v>
      </c>
      <c r="BV143" s="4">
        <v>-31164.22</v>
      </c>
      <c r="BW143" s="4">
        <v>-31521.38</v>
      </c>
      <c r="BX143" s="4">
        <v>-28602.6</v>
      </c>
      <c r="BY143" s="4">
        <v>-29841.83</v>
      </c>
      <c r="BZ143" s="4">
        <v>-34292.620000000003</v>
      </c>
      <c r="CA143" s="4">
        <v>-30600.46</v>
      </c>
      <c r="CB143" s="4">
        <v>-28501.34</v>
      </c>
      <c r="CC143" s="4">
        <v>-25839.14</v>
      </c>
      <c r="CD143" s="4">
        <v>-30448.36</v>
      </c>
      <c r="CE143" s="4">
        <v>-49376.21</v>
      </c>
      <c r="CF143" s="4">
        <v>-43041.84</v>
      </c>
      <c r="CG143" s="4">
        <f>IF(OR(MID(TBBP[[#This Row],[Coluna1]],1,1)="1",MID(TBBP[[#This Row],[Coluna1]],1,1)="2"),CF143,SUM(BU143:CF143))</f>
        <v>-390118.52</v>
      </c>
      <c r="CH143" s="4">
        <v>-43439.35</v>
      </c>
      <c r="CI143" s="4">
        <v>-40186.94</v>
      </c>
      <c r="CJ143" s="4">
        <v>-45947.66</v>
      </c>
      <c r="CK143" s="4">
        <v>-49097.66</v>
      </c>
      <c r="CL143" s="4">
        <v>-42857.75</v>
      </c>
      <c r="CM143" s="4">
        <v>-50407.56</v>
      </c>
      <c r="CN143" s="4">
        <v>-49586.11</v>
      </c>
      <c r="CO143" s="4">
        <v>-45839.81</v>
      </c>
      <c r="CP143" s="4">
        <v>-48192.42</v>
      </c>
      <c r="CQ143" s="4">
        <v>-44615.21</v>
      </c>
      <c r="CR143" s="4">
        <v>-52387.67</v>
      </c>
      <c r="CS143" s="4">
        <v>-51519.62</v>
      </c>
      <c r="CT143" s="4">
        <f>IF(OR(MID(TBBP[[#This Row],[Coluna1]],1,1)="1",MID(TBBP[[#This Row],[Coluna1]],1,1)="2"),CS143,SUM(CH143:CS143))</f>
        <v>-564077.76</v>
      </c>
      <c r="CU143" s="255">
        <v>-42006.97</v>
      </c>
      <c r="CV143" s="255">
        <v>-46799.05</v>
      </c>
      <c r="CW143" s="255">
        <v>-45351.9</v>
      </c>
      <c r="CX143" s="255">
        <v>-42017.52</v>
      </c>
      <c r="CY143" s="255">
        <v>-42191.23</v>
      </c>
      <c r="CZ143" s="255">
        <v>-46140.81</v>
      </c>
      <c r="DA143" s="255">
        <v>-49506.44</v>
      </c>
      <c r="DB143" s="255">
        <v>-43603.96</v>
      </c>
      <c r="DC143" s="255">
        <v>-43656.52</v>
      </c>
      <c r="DD143" s="255">
        <v>-36858.58</v>
      </c>
      <c r="DE143" s="255">
        <v>-41195.06</v>
      </c>
      <c r="DF143" s="255">
        <v>-46862.94</v>
      </c>
      <c r="DG143" s="255">
        <f>SUM(TBBP[[#This Row],[Coluna287]:[Coluna298]])</f>
        <v>-526190.98</v>
      </c>
      <c r="DH143" s="255">
        <v>-41278.620000000003</v>
      </c>
      <c r="DI143" s="255">
        <v>-44220.44</v>
      </c>
      <c r="DJ143" s="255">
        <v>-45277.13</v>
      </c>
      <c r="DK143" s="255">
        <v>-51172.49</v>
      </c>
      <c r="DL143" s="255">
        <v>-44798.84</v>
      </c>
      <c r="DM143" s="255">
        <v>-1172.1600000000001</v>
      </c>
      <c r="DP143" s="30">
        <f>IF(OR(MID(TBBP[[#This Row],[Coluna1]],1,1)="1",MID(TBBP[[#This Row],[Coluna1]],1,1)="2"),"-",SUMIFS(143:143,listaPeriodos,$DR$1,listaPeriodos,$DR$2))</f>
        <v>-227919.68</v>
      </c>
      <c r="DR143" s="30">
        <f t="shared" si="179"/>
        <v>0</v>
      </c>
      <c r="DS143" s="30"/>
      <c r="DT143" s="30"/>
      <c r="DU143"/>
    </row>
    <row r="144" spans="1:125" x14ac:dyDescent="0.3">
      <c r="A144" s="7" t="s">
        <v>331</v>
      </c>
      <c r="B144" t="s">
        <v>501</v>
      </c>
      <c r="C144" s="4">
        <v>0</v>
      </c>
      <c r="D144" s="4">
        <v>0</v>
      </c>
      <c r="E144" s="4">
        <v>0</v>
      </c>
      <c r="F144" s="4">
        <v>0</v>
      </c>
      <c r="G144" s="4">
        <v>-158454.24</v>
      </c>
      <c r="H144" s="4">
        <v>-10165.6</v>
      </c>
      <c r="I144" s="4">
        <v>-9048</v>
      </c>
      <c r="J144" s="4">
        <v>-10388.5</v>
      </c>
      <c r="K144" s="4">
        <v>-453.6</v>
      </c>
      <c r="L144" s="4">
        <v>-12235.2</v>
      </c>
      <c r="M144" s="4">
        <v>-11234.9</v>
      </c>
      <c r="N144" s="4">
        <v>-16523.3</v>
      </c>
      <c r="O144" s="4">
        <v>-18904.3</v>
      </c>
      <c r="P144" s="4">
        <v>-13327.6</v>
      </c>
      <c r="Q144" s="4">
        <v>-16245.72</v>
      </c>
      <c r="R144" s="4">
        <v>-13760.35</v>
      </c>
      <c r="S144" s="4">
        <v>-7937.67</v>
      </c>
      <c r="T144" s="4">
        <f>IF(OR(MID(TBBP[[#This Row],[Coluna1]],1,1)="1",MID(TBBP[[#This Row],[Coluna1]],1,1)="2"),TBBP[[#This Row],[Coluna19]],SUM(H144:S144))</f>
        <v>-140224.74000000002</v>
      </c>
      <c r="U144" s="4">
        <v>-28059.599999999999</v>
      </c>
      <c r="V144" s="4">
        <v>-14252.5</v>
      </c>
      <c r="W144" s="4">
        <v>-14991.84</v>
      </c>
      <c r="X144" s="4">
        <v>-16312.32</v>
      </c>
      <c r="Y144" s="4">
        <v>-17484.95</v>
      </c>
      <c r="Z144" s="4">
        <v>-18132.599999999999</v>
      </c>
      <c r="AA144" s="4">
        <v>-21573.7</v>
      </c>
      <c r="AB144" s="4">
        <v>-16821.38</v>
      </c>
      <c r="AC144" s="4">
        <v>-19189.099999999999</v>
      </c>
      <c r="AD144" s="4">
        <v>-22628.55</v>
      </c>
      <c r="AE144" s="4">
        <v>-19988.54</v>
      </c>
      <c r="AF144" s="4">
        <v>-11640.65</v>
      </c>
      <c r="AG144" s="4">
        <f>IF(OR(MID(TBBP[[#This Row],[Coluna1]],1,1)="1",MID(TBBP[[#This Row],[Coluna1]],1,1)="2"),TBBP[[#This Row],[Coluna32]],SUM(U144:AF144))</f>
        <v>-221075.72999999998</v>
      </c>
      <c r="AH144" s="4">
        <v>-37302.090000000004</v>
      </c>
      <c r="AI144" s="4">
        <v>-33767.58</v>
      </c>
      <c r="AJ144" s="4">
        <v>-18667.71</v>
      </c>
      <c r="AK144" s="4">
        <v>-8041.42</v>
      </c>
      <c r="AL144" s="4">
        <v>-9376.17</v>
      </c>
      <c r="AM144" s="4">
        <v>-14610.97</v>
      </c>
      <c r="AN144" s="4">
        <v>-20672.080000000002</v>
      </c>
      <c r="AO144" s="4">
        <v>-41106.58</v>
      </c>
      <c r="AP144" s="4">
        <v>-26044.76</v>
      </c>
      <c r="AQ144" s="4">
        <v>-27482.899999999998</v>
      </c>
      <c r="AR144" s="4">
        <v>-32148.05</v>
      </c>
      <c r="AS144" s="4">
        <v>-26341.919999999998</v>
      </c>
      <c r="AT144" s="4">
        <f>IF(OR(MID(TBBP[[#This Row],[Coluna1]],1,1)="1",MID(TBBP[[#This Row],[Coluna1]],1,1)="2"),TBBP[[#This Row],[Coluna45]],SUM(AH144:AS144))</f>
        <v>-295562.23000000004</v>
      </c>
      <c r="AU144" s="4">
        <v>-50710.05</v>
      </c>
      <c r="AV144" s="4">
        <v>-35163.31</v>
      </c>
      <c r="AW144" s="4">
        <v>-41575.53</v>
      </c>
      <c r="AX144" s="4">
        <v>-39849.64</v>
      </c>
      <c r="AY144" s="4">
        <v>-41380.519999999997</v>
      </c>
      <c r="AZ144" s="4">
        <v>-39996.230000000003</v>
      </c>
      <c r="BA144" s="4">
        <v>-51248.53</v>
      </c>
      <c r="BB144" s="4">
        <v>-49476.76</v>
      </c>
      <c r="BC144" s="4">
        <v>-42486.559999999998</v>
      </c>
      <c r="BD144" s="4">
        <v>-38858.230000000003</v>
      </c>
      <c r="BE144" s="4">
        <v>-38433.08</v>
      </c>
      <c r="BF144" s="4">
        <v>-30821.74</v>
      </c>
      <c r="BG144" s="4">
        <f>IF(OR(MID(TBBP[[#This Row],[Coluna1]],1,1)="1",MID(TBBP[[#This Row],[Coluna1]],1,1)="2"),TBBP[[#This Row],[Coluna58]],SUM(AU144:BF144))</f>
        <v>-500000.18</v>
      </c>
      <c r="BH144" s="4">
        <v>-33018.31</v>
      </c>
      <c r="BI144" s="4">
        <v>-50895.62</v>
      </c>
      <c r="BJ144" s="4">
        <v>-58101.24</v>
      </c>
      <c r="BK144" s="4">
        <v>-57308.51</v>
      </c>
      <c r="BL144" s="4">
        <v>-58410.35</v>
      </c>
      <c r="BM144" s="4">
        <v>-56387.839999999997</v>
      </c>
      <c r="BN144" s="4">
        <v>-53165.49</v>
      </c>
      <c r="BO144" s="4">
        <v>-53630.79</v>
      </c>
      <c r="BP144" s="4">
        <v>-51765.42</v>
      </c>
      <c r="BQ144" s="4">
        <v>-55536.51</v>
      </c>
      <c r="BR144" s="4">
        <v>-44973.08</v>
      </c>
      <c r="BS144" s="4">
        <v>-35585.54</v>
      </c>
      <c r="BT144" s="4">
        <f>IF(OR(MID(TBBP[[#This Row],[Coluna1]],1,1)="1",MID(TBBP[[#This Row],[Coluna1]],1,1)="2"),TBBP[[#This Row],[Coluna127]],SUM(BH144:BS144))</f>
        <v>-608778.69999999995</v>
      </c>
      <c r="BU144" s="4">
        <v>-72359.73</v>
      </c>
      <c r="BV144" s="4">
        <v>-48788.639999999999</v>
      </c>
      <c r="BW144" s="4">
        <v>-62351.01</v>
      </c>
      <c r="BX144" s="4">
        <v>-46078.02</v>
      </c>
      <c r="BY144" s="4">
        <v>-52540.59</v>
      </c>
      <c r="BZ144" s="4">
        <v>-52477.01</v>
      </c>
      <c r="CA144" s="4">
        <v>-56607.44</v>
      </c>
      <c r="CB144" s="4">
        <v>-60315.42</v>
      </c>
      <c r="CC144" s="4">
        <v>-44740.37</v>
      </c>
      <c r="CD144" s="4">
        <v>-50574.22</v>
      </c>
      <c r="CE144" s="4">
        <v>-58934.97</v>
      </c>
      <c r="CF144" s="4">
        <v>-41758.97</v>
      </c>
      <c r="CG144" s="4">
        <f>IF(OR(MID(TBBP[[#This Row],[Coluna1]],1,1)="1",MID(TBBP[[#This Row],[Coluna1]],1,1)="2"),CF144,SUM(BU144:CF144))</f>
        <v>-647526.3899999999</v>
      </c>
      <c r="CH144" s="4">
        <v>-110917.39</v>
      </c>
      <c r="CI144" s="4">
        <v>-64078.13</v>
      </c>
      <c r="CJ144" s="4">
        <v>-68179.070000000007</v>
      </c>
      <c r="CK144" s="4">
        <v>-76934.34</v>
      </c>
      <c r="CL144" s="4">
        <v>-74225.81</v>
      </c>
      <c r="CM144" s="4">
        <v>-87467.99</v>
      </c>
      <c r="CN144" s="4">
        <v>-90939.54</v>
      </c>
      <c r="CO144" s="4">
        <v>-100495.93</v>
      </c>
      <c r="CP144" s="4">
        <v>-93938.87</v>
      </c>
      <c r="CQ144" s="4">
        <v>-92022.88</v>
      </c>
      <c r="CR144" s="4">
        <v>-74049.55</v>
      </c>
      <c r="CS144" s="4">
        <v>-69260.27</v>
      </c>
      <c r="CT144" s="4">
        <f>IF(OR(MID(TBBP[[#This Row],[Coluna1]],1,1)="1",MID(TBBP[[#This Row],[Coluna1]],1,1)="2"),CS144,SUM(CH144:CS144))</f>
        <v>-1002509.77</v>
      </c>
      <c r="CU144" s="255">
        <v>-98659.74</v>
      </c>
      <c r="CV144" s="255">
        <v>-98471.31</v>
      </c>
      <c r="CW144" s="255">
        <v>-85027.83</v>
      </c>
      <c r="CX144" s="255">
        <v>-96718.080000000002</v>
      </c>
      <c r="CY144" s="255">
        <v>-95543.79</v>
      </c>
      <c r="CZ144" s="255">
        <v>-202768.23</v>
      </c>
      <c r="DA144" s="255">
        <v>-30770.78</v>
      </c>
      <c r="DB144" s="255">
        <v>-99440.05</v>
      </c>
      <c r="DC144" s="255">
        <v>-132659.04</v>
      </c>
      <c r="DD144" s="255">
        <v>-124824.02</v>
      </c>
      <c r="DE144" s="255">
        <v>-96612.98</v>
      </c>
      <c r="DF144" s="255">
        <v>-95990.19</v>
      </c>
      <c r="DG144" s="255">
        <f>SUM(TBBP[[#This Row],[Coluna287]:[Coluna298]])</f>
        <v>-1257486.04</v>
      </c>
      <c r="DH144" s="255">
        <v>-131425.59</v>
      </c>
      <c r="DI144" s="255">
        <v>-93072.66</v>
      </c>
      <c r="DJ144" s="255">
        <v>-129815.87</v>
      </c>
      <c r="DK144" s="255">
        <v>-101784.13</v>
      </c>
      <c r="DL144" s="255">
        <v>-16408.55</v>
      </c>
      <c r="DM144" s="255">
        <v>-127645.67</v>
      </c>
      <c r="DP144" s="30">
        <f>IF(OR(MID(TBBP[[#This Row],[Coluna1]],1,1)="1",MID(TBBP[[#This Row],[Coluna1]],1,1)="2"),"-",SUMIFS(144:144,listaPeriodos,$DR$1,listaPeriodos,$DR$2))</f>
        <v>-600152.47</v>
      </c>
      <c r="DR144" s="30">
        <f t="shared" si="179"/>
        <v>0</v>
      </c>
      <c r="DS144" s="30"/>
      <c r="DT144" s="30"/>
      <c r="DU144"/>
    </row>
    <row r="145" spans="1:125" x14ac:dyDescent="0.3">
      <c r="A145" s="7" t="s">
        <v>332</v>
      </c>
      <c r="B145" t="s">
        <v>502</v>
      </c>
      <c r="C145" s="4">
        <v>0</v>
      </c>
      <c r="D145" s="4">
        <v>0</v>
      </c>
      <c r="E145" s="4">
        <v>0</v>
      </c>
      <c r="F145" s="4">
        <v>0</v>
      </c>
      <c r="G145" s="4">
        <v>-1626.46</v>
      </c>
      <c r="H145" s="4">
        <v>-282.24</v>
      </c>
      <c r="I145" s="4">
        <v>0</v>
      </c>
      <c r="J145" s="4">
        <v>0</v>
      </c>
      <c r="K145" s="4">
        <v>-14253.64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f>IF(OR(MID(TBBP[[#This Row],[Coluna1]],1,1)="1",MID(TBBP[[#This Row],[Coluna1]],1,1)="2"),TBBP[[#This Row],[Coluna19]],SUM(H145:S145))</f>
        <v>-14535.88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f>IF(OR(MID(TBBP[[#This Row],[Coluna1]],1,1)="1",MID(TBBP[[#This Row],[Coluna1]],1,1)="2"),TBBP[[#This Row],[Coluna32]],SUM(U145:AF145))</f>
        <v>0</v>
      </c>
      <c r="AH145" s="4">
        <v>0</v>
      </c>
      <c r="AI145" s="4">
        <v>0</v>
      </c>
      <c r="AJ145" s="4">
        <v>0</v>
      </c>
      <c r="AK145" s="4">
        <v>0</v>
      </c>
      <c r="AL145" s="4">
        <v>0</v>
      </c>
      <c r="AM145" s="4">
        <v>0</v>
      </c>
      <c r="AN145" s="4">
        <v>0</v>
      </c>
      <c r="AO145" s="4">
        <v>0</v>
      </c>
      <c r="AP145" s="4">
        <v>0</v>
      </c>
      <c r="AQ145" s="4">
        <v>-30</v>
      </c>
      <c r="AR145" s="4">
        <v>0</v>
      </c>
      <c r="AS145" s="4">
        <v>0</v>
      </c>
      <c r="AT145" s="4">
        <f>IF(OR(MID(TBBP[[#This Row],[Coluna1]],1,1)="1",MID(TBBP[[#This Row],[Coluna1]],1,1)="2"),TBBP[[#This Row],[Coluna45]],SUM(AH145:AS145))</f>
        <v>-30</v>
      </c>
      <c r="AU145" s="4">
        <v>-228</v>
      </c>
      <c r="AV145" s="4">
        <v>0</v>
      </c>
      <c r="AW145" s="4">
        <v>0</v>
      </c>
      <c r="AX145" s="4">
        <v>-703.15</v>
      </c>
      <c r="AY145" s="4">
        <v>-650</v>
      </c>
      <c r="AZ145" s="4">
        <v>0</v>
      </c>
      <c r="BA145" s="4">
        <v>0</v>
      </c>
      <c r="BB145" s="4">
        <v>0</v>
      </c>
      <c r="BC145" s="4">
        <v>0</v>
      </c>
      <c r="BD145" s="4">
        <v>0</v>
      </c>
      <c r="BE145" s="4">
        <v>0</v>
      </c>
      <c r="BF145" s="4">
        <v>0</v>
      </c>
      <c r="BG145" s="4">
        <f>IF(OR(MID(TBBP[[#This Row],[Coluna1]],1,1)="1",MID(TBBP[[#This Row],[Coluna1]],1,1)="2"),TBBP[[#This Row],[Coluna58]],SUM(AU145:BF145))</f>
        <v>-1581.15</v>
      </c>
      <c r="BH145" s="4">
        <v>0</v>
      </c>
      <c r="BI145" s="4">
        <v>-2550</v>
      </c>
      <c r="BJ145" s="4">
        <v>0</v>
      </c>
      <c r="BK145" s="4">
        <v>-1575</v>
      </c>
      <c r="BL145" s="4">
        <v>0</v>
      </c>
      <c r="BM145" s="4">
        <v>0</v>
      </c>
      <c r="BN145" s="4">
        <v>-890</v>
      </c>
      <c r="BO145" s="4">
        <v>-1653</v>
      </c>
      <c r="BP145" s="4">
        <v>0</v>
      </c>
      <c r="BQ145" s="4">
        <v>0</v>
      </c>
      <c r="BR145" s="4">
        <v>0</v>
      </c>
      <c r="BS145" s="4">
        <v>0</v>
      </c>
      <c r="BT145" s="4">
        <f>IF(OR(MID(TBBP[[#This Row],[Coluna1]],1,1)="1",MID(TBBP[[#This Row],[Coluna1]],1,1)="2"),TBBP[[#This Row],[Coluna127]],SUM(BH145:BS145))</f>
        <v>-6668</v>
      </c>
      <c r="BU145" s="4">
        <v>0</v>
      </c>
      <c r="BV145" s="4">
        <v>0</v>
      </c>
      <c r="BW145" s="4">
        <v>0</v>
      </c>
      <c r="BX145" s="4">
        <v>0</v>
      </c>
      <c r="BY145" s="4">
        <v>0</v>
      </c>
      <c r="BZ145" s="4">
        <v>0</v>
      </c>
      <c r="CA145" s="4">
        <v>0</v>
      </c>
      <c r="CB145" s="4">
        <v>0</v>
      </c>
      <c r="CC145" s="4">
        <v>0</v>
      </c>
      <c r="CD145" s="4">
        <v>0</v>
      </c>
      <c r="CE145" s="4">
        <v>0</v>
      </c>
      <c r="CF145" s="4">
        <v>0</v>
      </c>
      <c r="CG145" s="4">
        <f>IF(OR(MID(TBBP[[#This Row],[Coluna1]],1,1)="1",MID(TBBP[[#This Row],[Coluna1]],1,1)="2"),CF145,SUM(BU145:CF145))</f>
        <v>0</v>
      </c>
      <c r="CH145" s="4">
        <v>0</v>
      </c>
      <c r="CI145" s="4">
        <v>0</v>
      </c>
      <c r="CJ145" s="4">
        <v>0</v>
      </c>
      <c r="CK145" s="4" t="s">
        <v>1134</v>
      </c>
      <c r="CL145" s="4">
        <v>0</v>
      </c>
      <c r="CM145" s="4" t="s">
        <v>1134</v>
      </c>
      <c r="CN145" s="4">
        <v>0</v>
      </c>
      <c r="CO145" s="4">
        <v>0</v>
      </c>
      <c r="CP145" s="4">
        <v>-2237</v>
      </c>
      <c r="CQ145" s="4">
        <v>-2261</v>
      </c>
      <c r="CR145" s="4">
        <v>-1032.4000000000001</v>
      </c>
      <c r="CS145" s="4">
        <v>-300</v>
      </c>
      <c r="CT145" s="4">
        <f>IF(OR(MID(TBBP[[#This Row],[Coluna1]],1,1)="1",MID(TBBP[[#This Row],[Coluna1]],1,1)="2"),CS145,SUM(CH145:CS145))</f>
        <v>-5830.4</v>
      </c>
      <c r="CU145" s="255">
        <v>-323</v>
      </c>
      <c r="CV145" s="255">
        <v>-1585.9</v>
      </c>
      <c r="CW145" s="255">
        <v>-1274</v>
      </c>
      <c r="CX145" s="255">
        <v>0</v>
      </c>
      <c r="CY145" s="255">
        <v>-1635</v>
      </c>
      <c r="CZ145" s="255">
        <v>0</v>
      </c>
      <c r="DA145" s="255">
        <v>-1345</v>
      </c>
      <c r="DB145" s="255">
        <v>0</v>
      </c>
      <c r="DC145" s="255">
        <v>-1407</v>
      </c>
      <c r="DD145" s="255">
        <v>0</v>
      </c>
      <c r="DE145" s="255">
        <v>0</v>
      </c>
      <c r="DF145" s="255">
        <v>-1722.22</v>
      </c>
      <c r="DG145" s="255">
        <f>SUM(TBBP[[#This Row],[Coluna287]:[Coluna298]])</f>
        <v>-9292.119999999999</v>
      </c>
      <c r="DH145" s="255">
        <v>-1331</v>
      </c>
      <c r="DI145" s="255">
        <v>0</v>
      </c>
      <c r="DJ145" s="255">
        <v>-452</v>
      </c>
      <c r="DK145" s="255">
        <v>-2157</v>
      </c>
      <c r="DL145" s="255">
        <v>-103281.64</v>
      </c>
      <c r="DM145" s="255">
        <v>0</v>
      </c>
      <c r="DP145" s="30">
        <f>IF(OR(MID(TBBP[[#This Row],[Coluna1]],1,1)="1",MID(TBBP[[#This Row],[Coluna1]],1,1)="2"),"-",SUMIFS(145:145,listaPeriodos,$DR$1,listaPeriodos,$DR$2))</f>
        <v>-107221.64</v>
      </c>
      <c r="DQ145" s="30"/>
      <c r="DR145" s="30">
        <f t="shared" si="179"/>
        <v>0</v>
      </c>
      <c r="DS145" s="30"/>
      <c r="DT145" s="30"/>
      <c r="DU145"/>
    </row>
    <row r="146" spans="1:125" x14ac:dyDescent="0.3">
      <c r="A146" s="7" t="s">
        <v>333</v>
      </c>
      <c r="B146" t="s">
        <v>503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f>IF(OR(MID(TBBP[[#This Row],[Coluna1]],1,1)="1",MID(TBBP[[#This Row],[Coluna1]],1,1)="2"),TBBP[[#This Row],[Coluna19]],SUM(H146:S146))</f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f>IF(OR(MID(TBBP[[#This Row],[Coluna1]],1,1)="1",MID(TBBP[[#This Row],[Coluna1]],1,1)="2"),TBBP[[#This Row],[Coluna32]],SUM(U146:AF146))</f>
        <v>0</v>
      </c>
      <c r="AH146" s="4">
        <v>0</v>
      </c>
      <c r="AI146" s="4">
        <v>0</v>
      </c>
      <c r="AJ146" s="4">
        <v>0</v>
      </c>
      <c r="AK146" s="4">
        <v>0</v>
      </c>
      <c r="AL146" s="4">
        <v>0</v>
      </c>
      <c r="AM146" s="4">
        <v>0</v>
      </c>
      <c r="AN146" s="4">
        <v>0</v>
      </c>
      <c r="AO146" s="4">
        <v>0</v>
      </c>
      <c r="AP146" s="4">
        <v>0</v>
      </c>
      <c r="AQ146" s="4">
        <v>0</v>
      </c>
      <c r="AR146" s="4">
        <v>0</v>
      </c>
      <c r="AS146" s="4">
        <v>0</v>
      </c>
      <c r="AT146" s="4">
        <f>IF(OR(MID(TBBP[[#This Row],[Coluna1]],1,1)="1",MID(TBBP[[#This Row],[Coluna1]],1,1)="2"),TBBP[[#This Row],[Coluna45]],SUM(AH146:AS146))</f>
        <v>0</v>
      </c>
      <c r="AU146" s="4">
        <v>0</v>
      </c>
      <c r="AV146" s="4">
        <v>0</v>
      </c>
      <c r="AW146" s="4">
        <v>0</v>
      </c>
      <c r="AX146" s="4">
        <v>0</v>
      </c>
      <c r="AY146" s="4">
        <v>0</v>
      </c>
      <c r="AZ146" s="4">
        <v>0</v>
      </c>
      <c r="BA146" s="4">
        <v>0</v>
      </c>
      <c r="BB146" s="4">
        <v>0</v>
      </c>
      <c r="BC146" s="4">
        <v>0</v>
      </c>
      <c r="BD146" s="4">
        <v>0</v>
      </c>
      <c r="BE146" s="4">
        <v>0</v>
      </c>
      <c r="BF146" s="4">
        <v>0</v>
      </c>
      <c r="BG146" s="4">
        <v>0</v>
      </c>
      <c r="BH146" s="4">
        <v>0</v>
      </c>
      <c r="BI146" s="4">
        <v>0</v>
      </c>
      <c r="BJ146" s="4">
        <v>0</v>
      </c>
      <c r="BK146" s="4">
        <v>0</v>
      </c>
      <c r="BL146" s="4">
        <v>0</v>
      </c>
      <c r="BM146" s="4">
        <v>0</v>
      </c>
      <c r="BN146" s="4">
        <v>0</v>
      </c>
      <c r="BO146" s="4">
        <v>0</v>
      </c>
      <c r="BP146" s="4">
        <v>0</v>
      </c>
      <c r="BQ146" s="4">
        <v>0</v>
      </c>
      <c r="BR146" s="4">
        <v>0</v>
      </c>
      <c r="BS146" s="4">
        <v>0</v>
      </c>
      <c r="BT146" s="4">
        <f>IF(OR(MID(TBBP[[#This Row],[Coluna1]],1,1)="1",MID(TBBP[[#This Row],[Coluna1]],1,1)="2"),TBBP[[#This Row],[Coluna127]],SUM(BH146:BS146))</f>
        <v>0</v>
      </c>
      <c r="BU146" s="4">
        <v>0</v>
      </c>
      <c r="BV146" s="4">
        <v>0</v>
      </c>
      <c r="BW146" s="4">
        <v>0</v>
      </c>
      <c r="BX146" s="4">
        <v>0</v>
      </c>
      <c r="BY146" s="4">
        <v>0</v>
      </c>
      <c r="BZ146" s="4">
        <v>0</v>
      </c>
      <c r="CA146" s="4">
        <v>0</v>
      </c>
      <c r="CB146" s="4">
        <v>0</v>
      </c>
      <c r="CC146" s="4">
        <v>0</v>
      </c>
      <c r="CD146" s="4">
        <v>0</v>
      </c>
      <c r="CE146" s="4">
        <v>0</v>
      </c>
      <c r="CF146" s="4">
        <v>0</v>
      </c>
      <c r="CG146" s="4">
        <f>IF(OR(MID(TBBP[[#This Row],[Coluna1]],1,1)="1",MID(TBBP[[#This Row],[Coluna1]],1,1)="2"),CF146,SUM(BU146:CF146))</f>
        <v>0</v>
      </c>
      <c r="CH146" s="4">
        <v>0</v>
      </c>
      <c r="CI146" s="4">
        <v>0</v>
      </c>
      <c r="CJ146" s="4">
        <v>0</v>
      </c>
      <c r="CK146" s="4" t="s">
        <v>1134</v>
      </c>
      <c r="CL146" s="4">
        <v>0</v>
      </c>
      <c r="CM146" s="4" t="s">
        <v>1134</v>
      </c>
      <c r="CN146" s="4">
        <v>0</v>
      </c>
      <c r="CO146" s="4">
        <v>0</v>
      </c>
      <c r="CP146" s="4">
        <v>0</v>
      </c>
      <c r="CQ146" s="4" t="s">
        <v>1134</v>
      </c>
      <c r="CR146" s="4" t="s">
        <v>1134</v>
      </c>
      <c r="CS146" s="4" t="s">
        <v>1134</v>
      </c>
      <c r="CT146" s="4">
        <f>IF(OR(MID(TBBP[[#This Row],[Coluna1]],1,1)="1",MID(TBBP[[#This Row],[Coluna1]],1,1)="2"),CS146,SUM(CH146:CS146))</f>
        <v>0</v>
      </c>
      <c r="CU146" s="255">
        <v>0</v>
      </c>
      <c r="CV146" s="255">
        <v>0</v>
      </c>
      <c r="CW146" s="255">
        <v>0</v>
      </c>
      <c r="CX146" s="255">
        <v>0</v>
      </c>
      <c r="CY146" s="255">
        <v>0</v>
      </c>
      <c r="CZ146" s="255">
        <v>0</v>
      </c>
      <c r="DA146" s="255">
        <v>0</v>
      </c>
      <c r="DB146" s="255">
        <v>0</v>
      </c>
      <c r="DC146" s="255">
        <v>0</v>
      </c>
      <c r="DD146" s="255">
        <v>0</v>
      </c>
      <c r="DE146" s="255"/>
      <c r="DF146" s="255">
        <v>0</v>
      </c>
      <c r="DG146" s="255">
        <f>SUM(TBBP[[#This Row],[Coluna287]:[Coluna298]])</f>
        <v>0</v>
      </c>
      <c r="DH146" s="255">
        <v>0</v>
      </c>
      <c r="DI146" s="255">
        <v>0</v>
      </c>
      <c r="DJ146" s="255">
        <v>0</v>
      </c>
      <c r="DK146" s="255">
        <v>0</v>
      </c>
      <c r="DL146" s="255">
        <v>0</v>
      </c>
      <c r="DM146" s="255">
        <v>0</v>
      </c>
      <c r="DP146" s="30">
        <f>IF(OR(MID(TBBP[[#This Row],[Coluna1]],1,1)="1",MID(TBBP[[#This Row],[Coluna1]],1,1)="2"),"-",SUMIFS(146:146,listaPeriodos,$DR$1,listaPeriodos,$DR$2))</f>
        <v>0</v>
      </c>
      <c r="DQ146" s="30"/>
      <c r="DR146" s="30">
        <f t="shared" si="179"/>
        <v>0</v>
      </c>
      <c r="DS146" s="30"/>
      <c r="DT146" s="30"/>
      <c r="DU146"/>
    </row>
    <row r="147" spans="1:125" x14ac:dyDescent="0.3">
      <c r="A147" s="7" t="s">
        <v>334</v>
      </c>
      <c r="B147" t="s">
        <v>504</v>
      </c>
      <c r="C147" s="4">
        <v>0</v>
      </c>
      <c r="D147" s="4">
        <v>0</v>
      </c>
      <c r="E147" s="4">
        <v>0</v>
      </c>
      <c r="F147" s="4">
        <v>0</v>
      </c>
      <c r="G147" s="4">
        <v>-88830.28</v>
      </c>
      <c r="H147" s="4">
        <v>-10230.48</v>
      </c>
      <c r="I147" s="4">
        <v>-10552.82</v>
      </c>
      <c r="J147" s="4">
        <v>-9811.9599999999991</v>
      </c>
      <c r="K147" s="4">
        <v>-9499.3000000000011</v>
      </c>
      <c r="L147" s="4">
        <v>-9400.2999999999993</v>
      </c>
      <c r="M147" s="4">
        <v>-9777.23</v>
      </c>
      <c r="N147" s="4">
        <v>4955</v>
      </c>
      <c r="O147" s="4">
        <v>-9347.76</v>
      </c>
      <c r="P147" s="4">
        <v>-10006.89</v>
      </c>
      <c r="Q147" s="4">
        <v>-10231.52</v>
      </c>
      <c r="R147" s="4">
        <v>-10225.09</v>
      </c>
      <c r="S147" s="4">
        <v>-10247.65</v>
      </c>
      <c r="T147" s="4">
        <f>IF(OR(MID(TBBP[[#This Row],[Coluna1]],1,1)="1",MID(TBBP[[#This Row],[Coluna1]],1,1)="2"),TBBP[[#This Row],[Coluna19]],SUM(H147:S147))</f>
        <v>-104375.99999999999</v>
      </c>
      <c r="U147" s="4">
        <v>-10701.71</v>
      </c>
      <c r="V147" s="4">
        <v>-10085.25</v>
      </c>
      <c r="W147" s="4">
        <v>-10892.74</v>
      </c>
      <c r="X147" s="4">
        <v>-11517.53</v>
      </c>
      <c r="Y147" s="4">
        <v>-9748.89</v>
      </c>
      <c r="Z147" s="4">
        <v>-10191.6</v>
      </c>
      <c r="AA147" s="4">
        <v>-10551.76</v>
      </c>
      <c r="AB147" s="4">
        <v>-12210.1</v>
      </c>
      <c r="AC147" s="4">
        <v>-11172.79</v>
      </c>
      <c r="AD147" s="4">
        <v>-12350.310000000001</v>
      </c>
      <c r="AE147" s="4">
        <v>-11580.390000000001</v>
      </c>
      <c r="AF147" s="4">
        <v>-11768.210000000001</v>
      </c>
      <c r="AG147" s="4">
        <f>IF(OR(MID(TBBP[[#This Row],[Coluna1]],1,1)="1",MID(TBBP[[#This Row],[Coluna1]],1,1)="2"),TBBP[[#This Row],[Coluna32]],SUM(U147:AF147))</f>
        <v>-132771.28</v>
      </c>
      <c r="AH147" s="4">
        <v>-11330.78</v>
      </c>
      <c r="AI147" s="4">
        <v>-10700.170000000002</v>
      </c>
      <c r="AJ147" s="4">
        <v>-10863.420000000002</v>
      </c>
      <c r="AK147" s="4">
        <v>-11147.630000000001</v>
      </c>
      <c r="AL147" s="4">
        <v>-11595.67</v>
      </c>
      <c r="AM147" s="4">
        <v>6288.57</v>
      </c>
      <c r="AN147" s="4">
        <v>-10233.689999999999</v>
      </c>
      <c r="AO147" s="4">
        <v>-10073.48</v>
      </c>
      <c r="AP147" s="4">
        <v>-10847.440000000002</v>
      </c>
      <c r="AQ147" s="4">
        <v>-10626.220000000001</v>
      </c>
      <c r="AR147" s="4">
        <v>-11110.42</v>
      </c>
      <c r="AS147" s="4">
        <v>9114.74</v>
      </c>
      <c r="AT147" s="4">
        <f>IF(OR(MID(TBBP[[#This Row],[Coluna1]],1,1)="1",MID(TBBP[[#This Row],[Coluna1]],1,1)="2"),TBBP[[#This Row],[Coluna45]],SUM(AH147:AS147))</f>
        <v>-93125.61</v>
      </c>
      <c r="AU147" s="4">
        <v>-13561.14</v>
      </c>
      <c r="AV147" s="4">
        <v>-13007.4</v>
      </c>
      <c r="AW147" s="4">
        <v>-12705.92</v>
      </c>
      <c r="AX147" s="4">
        <v>-13127.919999999998</v>
      </c>
      <c r="AY147" s="4">
        <v>-13652.880000000001</v>
      </c>
      <c r="AZ147" s="4">
        <v>14298.6</v>
      </c>
      <c r="BA147" s="4">
        <v>-13766.51</v>
      </c>
      <c r="BB147" s="4">
        <v>-16800.78</v>
      </c>
      <c r="BC147" s="4">
        <v>-14490.060000000001</v>
      </c>
      <c r="BD147" s="4">
        <v>-13800.23</v>
      </c>
      <c r="BE147" s="4">
        <v>-12977.73</v>
      </c>
      <c r="BF147" s="4">
        <v>-14819.179999999998</v>
      </c>
      <c r="BG147" s="4">
        <f>IF(OR(MID(TBBP[[#This Row],[Coluna1]],1,1)="1",MID(TBBP[[#This Row],[Coluna1]],1,1)="2"),TBBP[[#This Row],[Coluna58]],SUM(AU147:BF147))</f>
        <v>-138411.15</v>
      </c>
      <c r="BH147" s="4">
        <v>-12418.19</v>
      </c>
      <c r="BI147" s="4">
        <v>-11500.68</v>
      </c>
      <c r="BJ147" s="4">
        <v>-11322.3</v>
      </c>
      <c r="BK147" s="4">
        <v>-13828.94</v>
      </c>
      <c r="BL147" s="4">
        <v>-11319.02</v>
      </c>
      <c r="BM147" s="4">
        <v>-11098.090000000002</v>
      </c>
      <c r="BN147" s="4">
        <v>-12232.939999999999</v>
      </c>
      <c r="BO147" s="4">
        <v>-12423.359999999999</v>
      </c>
      <c r="BP147" s="4">
        <v>-16999.03</v>
      </c>
      <c r="BQ147" s="4">
        <v>-11014.170000000002</v>
      </c>
      <c r="BR147" s="4">
        <v>-12602.39</v>
      </c>
      <c r="BS147" s="4">
        <v>-23003.52</v>
      </c>
      <c r="BT147" s="4">
        <f>IF(OR(MID(TBBP[[#This Row],[Coluna1]],1,1)="1",MID(TBBP[[#This Row],[Coluna1]],1,1)="2"),TBBP[[#This Row],[Coluna127]],SUM(BH147:BS147))</f>
        <v>-159762.62999999998</v>
      </c>
      <c r="BU147" s="4">
        <v>-16842.84</v>
      </c>
      <c r="BV147" s="4">
        <v>-13512.669999999998</v>
      </c>
      <c r="BW147" s="4">
        <v>-10490.150000000001</v>
      </c>
      <c r="BX147" s="4">
        <v>-9304.0900000000038</v>
      </c>
      <c r="BY147" s="4">
        <v>-9883.02</v>
      </c>
      <c r="BZ147" s="4">
        <v>-10775.32</v>
      </c>
      <c r="CA147" s="4">
        <v>-15791.039999999997</v>
      </c>
      <c r="CB147" s="4">
        <v>-18250.63</v>
      </c>
      <c r="CC147" s="4">
        <v>-17868.019999999997</v>
      </c>
      <c r="CD147" s="4">
        <v>-16345.439999999999</v>
      </c>
      <c r="CE147" s="4">
        <v>-24804.94</v>
      </c>
      <c r="CF147" s="4">
        <v>-11703.670000000002</v>
      </c>
      <c r="CG147" s="4">
        <f>IF(OR(MID(TBBP[[#This Row],[Coluna1]],1,1)="1",MID(TBBP[[#This Row],[Coluna1]],1,1)="2"),CF147,SUM(BU147:CF147))</f>
        <v>-175571.83000000002</v>
      </c>
      <c r="CH147" s="4">
        <v>-24709.280000000002</v>
      </c>
      <c r="CI147" s="4">
        <v>-11626.86</v>
      </c>
      <c r="CJ147" s="4">
        <v>-17724.419999999998</v>
      </c>
      <c r="CK147" s="4">
        <v>-19987.62</v>
      </c>
      <c r="CL147" s="4">
        <v>-20346.999999999996</v>
      </c>
      <c r="CM147" s="4">
        <v>-11516.250000000004</v>
      </c>
      <c r="CN147" s="4">
        <v>-29856.73</v>
      </c>
      <c r="CO147" s="4">
        <v>-24445.13</v>
      </c>
      <c r="CP147" s="4">
        <v>-21647.719999999998</v>
      </c>
      <c r="CQ147" s="4">
        <v>-12705.429999999997</v>
      </c>
      <c r="CR147" s="4">
        <v>-33212.600000000006</v>
      </c>
      <c r="CS147" s="4">
        <v>-24004.98</v>
      </c>
      <c r="CT147" s="4">
        <f>IF(OR(MID(TBBP[[#This Row],[Coluna1]],1,1)="1",MID(TBBP[[#This Row],[Coluna1]],1,1)="2"),CS147,SUM(CH147:CS147))</f>
        <v>-251784.02000000002</v>
      </c>
      <c r="CU147" s="255">
        <v>28082.26</v>
      </c>
      <c r="CV147" s="255">
        <v>13265.289999999999</v>
      </c>
      <c r="CW147" s="255">
        <v>24409.17</v>
      </c>
      <c r="CX147" s="255">
        <v>15157.02</v>
      </c>
      <c r="CY147" s="255">
        <v>-14714.920000000002</v>
      </c>
      <c r="CZ147" s="255">
        <v>26416.3</v>
      </c>
      <c r="DA147" s="255">
        <v>17811.649999999998</v>
      </c>
      <c r="DB147" s="255">
        <v>28968.09</v>
      </c>
      <c r="DC147" s="255">
        <v>25190.44</v>
      </c>
      <c r="DD147" s="255">
        <v>22676.28</v>
      </c>
      <c r="DE147" s="255">
        <v>21652.400000000001</v>
      </c>
      <c r="DF147" s="255">
        <v>20393.080000000002</v>
      </c>
      <c r="DG147" s="255">
        <f>SUM(TBBP[[#This Row],[Coluna287]:[Coluna298]])</f>
        <v>229307.06</v>
      </c>
      <c r="DH147" s="255">
        <v>14246.330000000002</v>
      </c>
      <c r="DI147" s="255">
        <v>18441.38</v>
      </c>
      <c r="DJ147" s="255">
        <v>17985.89</v>
      </c>
      <c r="DK147" s="255">
        <v>16759.29</v>
      </c>
      <c r="DL147" s="255">
        <v>15416.69</v>
      </c>
      <c r="DM147" s="255">
        <v>-19143.649999999998</v>
      </c>
      <c r="DP147" s="30">
        <f>IF(OR(MID(TBBP[[#This Row],[Coluna1]],1,1)="1",MID(TBBP[[#This Row],[Coluna1]],1,1)="2"),"-",SUMIFS(147:147,listaPeriodos,$DR$1,listaPeriodos,$DR$2))</f>
        <v>63705.930000000022</v>
      </c>
      <c r="DQ147" s="30"/>
      <c r="DR147" s="30">
        <f t="shared" si="179"/>
        <v>0</v>
      </c>
      <c r="DS147" s="30"/>
      <c r="DT147" s="30"/>
      <c r="DU147"/>
    </row>
    <row r="148" spans="1:125" x14ac:dyDescent="0.3">
      <c r="A148" s="7" t="s">
        <v>335</v>
      </c>
      <c r="B148" t="s">
        <v>505</v>
      </c>
      <c r="C148" s="4">
        <v>0</v>
      </c>
      <c r="D148" s="4">
        <v>0</v>
      </c>
      <c r="E148" s="4">
        <v>0</v>
      </c>
      <c r="F148" s="4">
        <v>0</v>
      </c>
      <c r="G148" s="4">
        <v>-13346.27</v>
      </c>
      <c r="H148" s="4">
        <v>-700</v>
      </c>
      <c r="I148" s="4">
        <v>-1245</v>
      </c>
      <c r="J148" s="4">
        <v>-1790</v>
      </c>
      <c r="K148" s="4">
        <v>-1345</v>
      </c>
      <c r="L148" s="4">
        <v>-800</v>
      </c>
      <c r="M148" s="4">
        <v>0</v>
      </c>
      <c r="N148" s="4">
        <v>800</v>
      </c>
      <c r="O148" s="4">
        <v>-800</v>
      </c>
      <c r="P148" s="4">
        <v>-800</v>
      </c>
      <c r="Q148" s="4">
        <v>-800</v>
      </c>
      <c r="R148" s="4">
        <v>-900</v>
      </c>
      <c r="S148" s="4">
        <v>-1536</v>
      </c>
      <c r="T148" s="4">
        <f>IF(OR(MID(TBBP[[#This Row],[Coluna1]],1,1)="1",MID(TBBP[[#This Row],[Coluna1]],1,1)="2"),TBBP[[#This Row],[Coluna19]],SUM(H148:S148))</f>
        <v>-9916</v>
      </c>
      <c r="U148" s="4">
        <v>-900</v>
      </c>
      <c r="V148" s="4">
        <v>-900</v>
      </c>
      <c r="W148" s="4">
        <v>-1051.2</v>
      </c>
      <c r="X148" s="4">
        <v>-900</v>
      </c>
      <c r="Y148" s="4">
        <v>-900</v>
      </c>
      <c r="Z148" s="4">
        <v>-1051.2</v>
      </c>
      <c r="AA148" s="4">
        <v>-900</v>
      </c>
      <c r="AB148" s="4">
        <v>-1200</v>
      </c>
      <c r="AC148" s="4">
        <v>-1050</v>
      </c>
      <c r="AD148" s="4">
        <v>-1050</v>
      </c>
      <c r="AE148" s="4">
        <v>-1050</v>
      </c>
      <c r="AF148" s="4">
        <v>-1050</v>
      </c>
      <c r="AG148" s="4">
        <f>IF(OR(MID(TBBP[[#This Row],[Coluna1]],1,1)="1",MID(TBBP[[#This Row],[Coluna1]],1,1)="2"),TBBP[[#This Row],[Coluna32]],SUM(U148:AF148))</f>
        <v>-12002.4</v>
      </c>
      <c r="AH148" s="4">
        <v>-1050</v>
      </c>
      <c r="AI148" s="4">
        <v>-1090.9000000000001</v>
      </c>
      <c r="AJ148" s="4">
        <v>-536.74</v>
      </c>
      <c r="AK148" s="4">
        <v>0</v>
      </c>
      <c r="AL148" s="4">
        <v>633</v>
      </c>
      <c r="AM148" s="4">
        <v>0</v>
      </c>
      <c r="AN148" s="4">
        <v>-1050</v>
      </c>
      <c r="AO148" s="4">
        <v>-774.61</v>
      </c>
      <c r="AP148" s="4">
        <v>-774.61</v>
      </c>
      <c r="AQ148" s="4">
        <v>-1050</v>
      </c>
      <c r="AR148" s="4">
        <v>-1050</v>
      </c>
      <c r="AS148" s="4">
        <v>-1050</v>
      </c>
      <c r="AT148" s="4">
        <f>IF(OR(MID(TBBP[[#This Row],[Coluna1]],1,1)="1",MID(TBBP[[#This Row],[Coluna1]],1,1)="2"),TBBP[[#This Row],[Coluna45]],SUM(AH148:AS148))</f>
        <v>-7793.8600000000006</v>
      </c>
      <c r="AU148" s="4">
        <v>-150</v>
      </c>
      <c r="AV148" s="4">
        <v>-150</v>
      </c>
      <c r="AW148" s="4">
        <v>-150</v>
      </c>
      <c r="AX148" s="4">
        <v>-150</v>
      </c>
      <c r="AY148" s="4">
        <v>-150</v>
      </c>
      <c r="AZ148" s="4">
        <v>-150</v>
      </c>
      <c r="BA148" s="4">
        <v>-150</v>
      </c>
      <c r="BB148" s="4">
        <v>-150</v>
      </c>
      <c r="BC148" s="4">
        <v>-150</v>
      </c>
      <c r="BD148" s="4">
        <v>-150</v>
      </c>
      <c r="BE148" s="4">
        <v>-150</v>
      </c>
      <c r="BF148" s="4">
        <v>-150</v>
      </c>
      <c r="BG148" s="4">
        <f>IF(OR(MID(TBBP[[#This Row],[Coluna1]],1,1)="1",MID(TBBP[[#This Row],[Coluna1]],1,1)="2"),TBBP[[#This Row],[Coluna58]],SUM(AU148:BF148))</f>
        <v>-1800</v>
      </c>
      <c r="BH148" s="4">
        <v>0</v>
      </c>
      <c r="BI148" s="4">
        <v>-300</v>
      </c>
      <c r="BJ148" s="4">
        <v>0</v>
      </c>
      <c r="BK148" s="4">
        <v>0</v>
      </c>
      <c r="BL148" s="4">
        <v>0</v>
      </c>
      <c r="BM148" s="4">
        <v>0</v>
      </c>
      <c r="BN148" s="4">
        <v>0</v>
      </c>
      <c r="BO148" s="4">
        <v>0</v>
      </c>
      <c r="BP148" s="4">
        <v>0</v>
      </c>
      <c r="BQ148" s="4">
        <v>0</v>
      </c>
      <c r="BR148" s="4">
        <v>0</v>
      </c>
      <c r="BS148" s="4">
        <v>0</v>
      </c>
      <c r="BT148" s="4">
        <f>IF(OR(MID(TBBP[[#This Row],[Coluna1]],1,1)="1",MID(TBBP[[#This Row],[Coluna1]],1,1)="2"),TBBP[[#This Row],[Coluna127]],SUM(BH148:BS148))</f>
        <v>-300</v>
      </c>
      <c r="BU148" s="4">
        <v>0</v>
      </c>
      <c r="BV148" s="4">
        <v>-695.32</v>
      </c>
      <c r="BW148" s="4">
        <v>-695.32</v>
      </c>
      <c r="BX148" s="4">
        <v>-695.32</v>
      </c>
      <c r="BY148" s="4">
        <v>-681.23</v>
      </c>
      <c r="BZ148" s="4">
        <v>-674.35</v>
      </c>
      <c r="CA148" s="4">
        <v>-674.35</v>
      </c>
      <c r="CB148" s="4">
        <v>-674.35</v>
      </c>
      <c r="CC148" s="4">
        <v>-681.45</v>
      </c>
      <c r="CD148" s="4">
        <v>-1013.09</v>
      </c>
      <c r="CE148" s="4">
        <v>-1013.09</v>
      </c>
      <c r="CF148" s="4">
        <v>-1026.8599999999999</v>
      </c>
      <c r="CG148" s="4">
        <f>IF(OR(MID(TBBP[[#This Row],[Coluna1]],1,1)="1",MID(TBBP[[#This Row],[Coluna1]],1,1)="2"),CF148,SUM(BU148:CF148))</f>
        <v>-8524.7300000000014</v>
      </c>
      <c r="CH148" s="4">
        <v>-1063.75</v>
      </c>
      <c r="CI148" s="4">
        <v>-1460.42</v>
      </c>
      <c r="CJ148" s="4">
        <v>-1456.44</v>
      </c>
      <c r="CK148" s="4">
        <v>-1456.44</v>
      </c>
      <c r="CL148" s="4">
        <v>-1456.44</v>
      </c>
      <c r="CM148" s="4">
        <v>-745.07</v>
      </c>
      <c r="CN148" s="4">
        <v>-709.07</v>
      </c>
      <c r="CO148" s="4">
        <v>-1775.07</v>
      </c>
      <c r="CP148" s="4">
        <v>-3398.73</v>
      </c>
      <c r="CQ148" s="4">
        <v>-1803.58</v>
      </c>
      <c r="CR148" s="4">
        <v>-1861.91</v>
      </c>
      <c r="CS148" s="4">
        <v>-801.67</v>
      </c>
      <c r="CT148" s="4">
        <f>IF(OR(MID(TBBP[[#This Row],[Coluna1]],1,1)="1",MID(TBBP[[#This Row],[Coluna1]],1,1)="2"),CS148,SUM(CH148:CS148))</f>
        <v>-17988.589999999997</v>
      </c>
      <c r="CU148" s="255">
        <v>-1271.76</v>
      </c>
      <c r="CV148" s="255">
        <v>-1200.8</v>
      </c>
      <c r="CW148" s="255">
        <v>-1227.78</v>
      </c>
      <c r="CX148" s="255">
        <v>-1227.78</v>
      </c>
      <c r="CY148" s="255">
        <v>-2516.9</v>
      </c>
      <c r="CZ148" s="255">
        <v>-936.11</v>
      </c>
      <c r="DA148" s="255">
        <v>-3007.84</v>
      </c>
      <c r="DB148" s="255">
        <v>-1809.71</v>
      </c>
      <c r="DC148" s="255">
        <v>-1340.61</v>
      </c>
      <c r="DD148" s="255">
        <v>-1857.41</v>
      </c>
      <c r="DE148" s="255">
        <v>-1340.61</v>
      </c>
      <c r="DF148" s="255">
        <v>-1857.41</v>
      </c>
      <c r="DG148" s="255">
        <f>SUM(TBBP[[#This Row],[Coluna287]:[Coluna298]])</f>
        <v>-19594.72</v>
      </c>
      <c r="DH148" s="255">
        <v>-1178.28</v>
      </c>
      <c r="DI148" s="255">
        <v>-1761.62</v>
      </c>
      <c r="DJ148" s="255">
        <v>-1761.62</v>
      </c>
      <c r="DK148" s="255">
        <v>-1178.28</v>
      </c>
      <c r="DL148" s="255">
        <v>-1761.62</v>
      </c>
      <c r="DM148" s="255">
        <v>-1178.28</v>
      </c>
      <c r="DP148" s="30">
        <f>IF(OR(MID(TBBP[[#This Row],[Coluna1]],1,1)="1",MID(TBBP[[#This Row],[Coluna1]],1,1)="2"),"-",SUMIFS(148:148,listaPeriodos,$DR$1,listaPeriodos,$DR$2))</f>
        <v>-8819.6999999999989</v>
      </c>
      <c r="DQ148" s="30"/>
      <c r="DR148" s="30">
        <f t="shared" si="179"/>
        <v>0</v>
      </c>
      <c r="DS148" s="30"/>
      <c r="DT148" s="30"/>
      <c r="DU148"/>
    </row>
    <row r="149" spans="1:125" x14ac:dyDescent="0.3">
      <c r="A149" s="7" t="s">
        <v>336</v>
      </c>
      <c r="B149" t="s">
        <v>506</v>
      </c>
      <c r="C149" s="4">
        <v>0</v>
      </c>
      <c r="D149" s="4">
        <v>0</v>
      </c>
      <c r="E149" s="4">
        <v>0</v>
      </c>
      <c r="F149" s="4">
        <v>0</v>
      </c>
      <c r="G149" s="4">
        <v>-4653.6000000000004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-160</v>
      </c>
      <c r="P149" s="4">
        <v>0</v>
      </c>
      <c r="Q149" s="4">
        <v>0</v>
      </c>
      <c r="R149" s="4">
        <v>0</v>
      </c>
      <c r="S149" s="4">
        <v>0</v>
      </c>
      <c r="T149" s="4">
        <f>IF(OR(MID(TBBP[[#This Row],[Coluna1]],1,1)="1",MID(TBBP[[#This Row],[Coluna1]],1,1)="2"),TBBP[[#This Row],[Coluna19]],SUM(H149:S149))</f>
        <v>-160</v>
      </c>
      <c r="U149" s="4">
        <v>0</v>
      </c>
      <c r="V149" s="4">
        <v>0</v>
      </c>
      <c r="W149" s="4">
        <v>0</v>
      </c>
      <c r="X149" s="4">
        <v>0</v>
      </c>
      <c r="Y149" s="4">
        <v>-160</v>
      </c>
      <c r="Z149" s="4">
        <v>0</v>
      </c>
      <c r="AA149" s="4">
        <v>-320</v>
      </c>
      <c r="AB149" s="4">
        <v>0</v>
      </c>
      <c r="AC149" s="4">
        <v>0</v>
      </c>
      <c r="AD149" s="4">
        <v>-320</v>
      </c>
      <c r="AE149" s="4">
        <v>0</v>
      </c>
      <c r="AF149" s="4">
        <v>0</v>
      </c>
      <c r="AG149" s="4">
        <f>IF(OR(MID(TBBP[[#This Row],[Coluna1]],1,1)="1",MID(TBBP[[#This Row],[Coluna1]],1,1)="2"),TBBP[[#This Row],[Coluna32]],SUM(U149:AF149))</f>
        <v>-800</v>
      </c>
      <c r="AH149" s="4">
        <v>0</v>
      </c>
      <c r="AI149" s="4">
        <v>0</v>
      </c>
      <c r="AJ149" s="4">
        <v>0</v>
      </c>
      <c r="AK149" s="4">
        <v>-1380</v>
      </c>
      <c r="AL149" s="4">
        <v>0</v>
      </c>
      <c r="AM149" s="4">
        <v>-115.2</v>
      </c>
      <c r="AN149" s="4">
        <v>0</v>
      </c>
      <c r="AO149" s="4">
        <v>-320</v>
      </c>
      <c r="AP149" s="4">
        <v>0</v>
      </c>
      <c r="AQ149" s="4">
        <v>-160</v>
      </c>
      <c r="AR149" s="4">
        <v>-320</v>
      </c>
      <c r="AS149" s="4">
        <v>-68.75</v>
      </c>
      <c r="AT149" s="4">
        <f>IF(OR(MID(TBBP[[#This Row],[Coluna1]],1,1)="1",MID(TBBP[[#This Row],[Coluna1]],1,1)="2"),TBBP[[#This Row],[Coluna45]],SUM(AH149:AS149))</f>
        <v>-2363.9499999999998</v>
      </c>
      <c r="AU149" s="4">
        <v>-320</v>
      </c>
      <c r="AV149" s="4">
        <v>-320</v>
      </c>
      <c r="AW149" s="4">
        <v>0</v>
      </c>
      <c r="AX149" s="4">
        <v>-724.37</v>
      </c>
      <c r="AY149" s="4">
        <v>-3053.31</v>
      </c>
      <c r="AZ149" s="4">
        <v>-271.58999999999997</v>
      </c>
      <c r="BA149" s="4">
        <v>0</v>
      </c>
      <c r="BB149" s="4">
        <v>-12468.54</v>
      </c>
      <c r="BC149" s="4">
        <v>-1443</v>
      </c>
      <c r="BD149" s="4">
        <v>-190.59</v>
      </c>
      <c r="BE149" s="4">
        <v>-2048.8000000000002</v>
      </c>
      <c r="BF149" s="4">
        <v>0</v>
      </c>
      <c r="BG149" s="4">
        <f>IF(OR(MID(TBBP[[#This Row],[Coluna1]],1,1)="1",MID(TBBP[[#This Row],[Coluna1]],1,1)="2"),TBBP[[#This Row],[Coluna58]],SUM(AU149:BF149))</f>
        <v>-20840.2</v>
      </c>
      <c r="BH149" s="4">
        <v>-850</v>
      </c>
      <c r="BI149" s="4">
        <v>-82.19</v>
      </c>
      <c r="BJ149" s="4">
        <v>-479</v>
      </c>
      <c r="BK149" s="4">
        <v>-205.85</v>
      </c>
      <c r="BL149" s="4">
        <v>-523.95000000000005</v>
      </c>
      <c r="BM149" s="4">
        <v>-72.599999999999994</v>
      </c>
      <c r="BN149" s="4">
        <v>-216.79</v>
      </c>
      <c r="BO149" s="4">
        <v>0</v>
      </c>
      <c r="BP149" s="4">
        <v>-104.73</v>
      </c>
      <c r="BQ149" s="4">
        <v>-761.55</v>
      </c>
      <c r="BR149" s="4">
        <v>-219.85</v>
      </c>
      <c r="BS149" s="4">
        <v>-971.5</v>
      </c>
      <c r="BT149" s="4">
        <f>IF(OR(MID(TBBP[[#This Row],[Coluna1]],1,1)="1",MID(TBBP[[#This Row],[Coluna1]],1,1)="2"),TBBP[[#This Row],[Coluna127]],SUM(BH149:BS149))</f>
        <v>-4488.01</v>
      </c>
      <c r="BU149" s="4">
        <v>0</v>
      </c>
      <c r="BV149" s="4">
        <v>-80.91</v>
      </c>
      <c r="BW149" s="4">
        <v>0</v>
      </c>
      <c r="BX149" s="4">
        <v>0</v>
      </c>
      <c r="BY149" s="4">
        <v>-3616.91</v>
      </c>
      <c r="BZ149" s="4">
        <v>-1713.35</v>
      </c>
      <c r="CA149" s="4">
        <v>-853.18</v>
      </c>
      <c r="CB149" s="4">
        <v>-5141.99</v>
      </c>
      <c r="CC149" s="4">
        <v>-16316.65</v>
      </c>
      <c r="CD149" s="4">
        <v>-2433.75</v>
      </c>
      <c r="CE149" s="4">
        <v>-3493.62</v>
      </c>
      <c r="CF149" s="4">
        <v>-2816.06</v>
      </c>
      <c r="CG149" s="4">
        <f>IF(OR(MID(TBBP[[#This Row],[Coluna1]],1,1)="1",MID(TBBP[[#This Row],[Coluna1]],1,1)="2"),CF149,SUM(BU149:CF149))</f>
        <v>-36466.42</v>
      </c>
      <c r="CH149" s="4">
        <v>-7984.96</v>
      </c>
      <c r="CI149" s="4">
        <v>-4093.92</v>
      </c>
      <c r="CJ149" s="4">
        <v>-12984.52</v>
      </c>
      <c r="CK149" s="4">
        <v>-9301.93</v>
      </c>
      <c r="CL149" s="4">
        <v>-3466.56</v>
      </c>
      <c r="CM149" s="4">
        <v>-6187.22</v>
      </c>
      <c r="CN149" s="4">
        <v>-23311.71</v>
      </c>
      <c r="CO149" s="4">
        <v>-5912.2</v>
      </c>
      <c r="CP149" s="4">
        <v>-5503.4</v>
      </c>
      <c r="CQ149" s="4">
        <v>-4819.87</v>
      </c>
      <c r="CR149" s="4">
        <v>-4086.21</v>
      </c>
      <c r="CS149" s="4">
        <v>-2698.83</v>
      </c>
      <c r="CT149" s="4">
        <f>IF(OR(MID(TBBP[[#This Row],[Coluna1]],1,1)="1",MID(TBBP[[#This Row],[Coluna1]],1,1)="2"),CS149,SUM(CH149:CS149))</f>
        <v>-90351.33</v>
      </c>
      <c r="CU149" s="255">
        <v>-135</v>
      </c>
      <c r="CV149" s="255">
        <v>-10063.48</v>
      </c>
      <c r="CW149" s="255">
        <v>-13875.57</v>
      </c>
      <c r="CX149" s="255">
        <v>-2652.03</v>
      </c>
      <c r="CY149" s="255">
        <v>-5936.25</v>
      </c>
      <c r="CZ149" s="255">
        <v>-18698.669999999998</v>
      </c>
      <c r="DA149" s="255">
        <v>-8868.7000000000007</v>
      </c>
      <c r="DB149" s="255">
        <v>-9315.07</v>
      </c>
      <c r="DC149" s="255">
        <v>-7233.36</v>
      </c>
      <c r="DD149" s="255">
        <v>-7355.3</v>
      </c>
      <c r="DE149" s="255">
        <v>-5035.05</v>
      </c>
      <c r="DF149" s="255">
        <v>-1093.54</v>
      </c>
      <c r="DG149" s="255">
        <f>SUM(TBBP[[#This Row],[Coluna287]:[Coluna298]])</f>
        <v>-90262.01999999999</v>
      </c>
      <c r="DH149" s="255">
        <v>-19810.439999999999</v>
      </c>
      <c r="DI149" s="255">
        <v>-777.85</v>
      </c>
      <c r="DJ149" s="255">
        <v>-15113.22</v>
      </c>
      <c r="DK149" s="255">
        <v>-8975.82</v>
      </c>
      <c r="DL149" s="255">
        <v>-847.59</v>
      </c>
      <c r="DM149" s="255">
        <v>-13204.83</v>
      </c>
      <c r="DP149" s="30">
        <f>IF(OR(MID(TBBP[[#This Row],[Coluna1]],1,1)="1",MID(TBBP[[#This Row],[Coluna1]],1,1)="2"),"-",SUMIFS(149:149,listaPeriodos,$DR$1,listaPeriodos,$DR$2))</f>
        <v>-58729.749999999993</v>
      </c>
      <c r="DQ149" s="30"/>
      <c r="DR149" s="30">
        <f t="shared" si="179"/>
        <v>0</v>
      </c>
      <c r="DS149" s="30"/>
      <c r="DT149" s="30"/>
      <c r="DU149"/>
    </row>
    <row r="150" spans="1:125" x14ac:dyDescent="0.3">
      <c r="A150" s="7" t="s">
        <v>337</v>
      </c>
      <c r="B150" t="s">
        <v>507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f>IF(OR(MID(TBBP[[#This Row],[Coluna1]],1,1)="1",MID(TBBP[[#This Row],[Coluna1]],1,1)="2"),TBBP[[#This Row],[Coluna19]],SUM(H150:S150))</f>
        <v>0</v>
      </c>
      <c r="U150" s="4">
        <v>-183.24</v>
      </c>
      <c r="V150" s="4">
        <v>0</v>
      </c>
      <c r="W150" s="4">
        <v>-91.62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-91.62</v>
      </c>
      <c r="AD150" s="4">
        <v>0</v>
      </c>
      <c r="AE150" s="4">
        <v>0</v>
      </c>
      <c r="AF150" s="4">
        <v>0</v>
      </c>
      <c r="AG150" s="4">
        <f>IF(OR(MID(TBBP[[#This Row],[Coluna1]],1,1)="1",MID(TBBP[[#This Row],[Coluna1]],1,1)="2"),TBBP[[#This Row],[Coluna32]],SUM(U150:AF150))</f>
        <v>-366.48</v>
      </c>
      <c r="AH150" s="4">
        <v>0</v>
      </c>
      <c r="AI150" s="4">
        <v>0</v>
      </c>
      <c r="AJ150" s="4">
        <v>0</v>
      </c>
      <c r="AK150" s="4">
        <v>0</v>
      </c>
      <c r="AL150" s="4">
        <v>0</v>
      </c>
      <c r="AM150" s="4">
        <v>0</v>
      </c>
      <c r="AN150" s="4">
        <v>0</v>
      </c>
      <c r="AO150" s="4">
        <v>0</v>
      </c>
      <c r="AP150" s="4">
        <v>0</v>
      </c>
      <c r="AQ150" s="4">
        <v>0</v>
      </c>
      <c r="AR150" s="4">
        <v>0</v>
      </c>
      <c r="AS150" s="4">
        <v>0</v>
      </c>
      <c r="AT150" s="4">
        <f>IF(OR(MID(TBBP[[#This Row],[Coluna1]],1,1)="1",MID(TBBP[[#This Row],[Coluna1]],1,1)="2"),TBBP[[#This Row],[Coluna45]],SUM(AH150:AS150))</f>
        <v>0</v>
      </c>
      <c r="AU150" s="4">
        <v>0</v>
      </c>
      <c r="AV150" s="4">
        <v>0</v>
      </c>
      <c r="AW150" s="4">
        <v>0</v>
      </c>
      <c r="AX150" s="4">
        <v>0</v>
      </c>
      <c r="AY150" s="4">
        <v>0</v>
      </c>
      <c r="AZ150" s="4">
        <v>0</v>
      </c>
      <c r="BA150" s="4">
        <v>-1063.6600000000001</v>
      </c>
      <c r="BB150" s="4">
        <v>-77.06</v>
      </c>
      <c r="BC150" s="4">
        <v>-1129.01</v>
      </c>
      <c r="BD150" s="4">
        <v>-1299.5999999999999</v>
      </c>
      <c r="BE150" s="4">
        <v>-189.12</v>
      </c>
      <c r="BF150" s="4">
        <v>-2434.16</v>
      </c>
      <c r="BG150" s="4">
        <f>IF(OR(MID(TBBP[[#This Row],[Coluna1]],1,1)="1",MID(TBBP[[#This Row],[Coluna1]],1,1)="2"),TBBP[[#This Row],[Coluna58]],SUM(AU150:BF150))</f>
        <v>-6192.61</v>
      </c>
      <c r="BH150" s="4">
        <v>0</v>
      </c>
      <c r="BI150" s="4">
        <v>-7163.44</v>
      </c>
      <c r="BJ150" s="4">
        <v>0</v>
      </c>
      <c r="BK150" s="4">
        <v>0</v>
      </c>
      <c r="BL150" s="4">
        <v>-77.06</v>
      </c>
      <c r="BM150" s="4">
        <v>0</v>
      </c>
      <c r="BN150" s="4">
        <v>0</v>
      </c>
      <c r="BO150" s="4">
        <v>0</v>
      </c>
      <c r="BP150" s="4">
        <v>0</v>
      </c>
      <c r="BQ150" s="4">
        <v>-1254.47</v>
      </c>
      <c r="BR150" s="4">
        <v>0</v>
      </c>
      <c r="BS150" s="4">
        <v>0</v>
      </c>
      <c r="BT150" s="4">
        <f>IF(OR(MID(TBBP[[#This Row],[Coluna1]],1,1)="1",MID(TBBP[[#This Row],[Coluna1]],1,1)="2"),TBBP[[#This Row],[Coluna127]],SUM(BH150:BS150))</f>
        <v>-8494.9699999999993</v>
      </c>
      <c r="BU150" s="4">
        <v>0</v>
      </c>
      <c r="BV150" s="4">
        <v>0</v>
      </c>
      <c r="BW150" s="4">
        <v>0</v>
      </c>
      <c r="BX150" s="4">
        <v>0</v>
      </c>
      <c r="BY150" s="4">
        <v>0</v>
      </c>
      <c r="BZ150" s="4">
        <v>0</v>
      </c>
      <c r="CA150" s="4">
        <v>0</v>
      </c>
      <c r="CB150" s="4">
        <v>0</v>
      </c>
      <c r="CC150" s="4">
        <v>0</v>
      </c>
      <c r="CD150" s="4">
        <v>-1978.31</v>
      </c>
      <c r="CE150" s="4">
        <v>-1004.54</v>
      </c>
      <c r="CF150" s="4">
        <v>0</v>
      </c>
      <c r="CG150" s="4">
        <f>IF(OR(MID(TBBP[[#This Row],[Coluna1]],1,1)="1",MID(TBBP[[#This Row],[Coluna1]],1,1)="2"),CF150,SUM(BU150:CF150))</f>
        <v>-2982.85</v>
      </c>
      <c r="CH150" s="4">
        <v>0</v>
      </c>
      <c r="CI150" s="4">
        <v>0</v>
      </c>
      <c r="CJ150" s="4">
        <v>-94.62</v>
      </c>
      <c r="CK150" s="4">
        <v>0</v>
      </c>
      <c r="CL150" s="4">
        <v>0</v>
      </c>
      <c r="CM150" s="4">
        <v>0</v>
      </c>
      <c r="CN150" s="4">
        <v>0</v>
      </c>
      <c r="CO150" s="4">
        <v>0</v>
      </c>
      <c r="CP150" s="4">
        <v>0</v>
      </c>
      <c r="CQ150" s="4">
        <v>0</v>
      </c>
      <c r="CR150" s="4">
        <v>0</v>
      </c>
      <c r="CS150" s="4">
        <v>0</v>
      </c>
      <c r="CT150" s="4">
        <f>IF(OR(MID(TBBP[[#This Row],[Coluna1]],1,1)="1",MID(TBBP[[#This Row],[Coluna1]],1,1)="2"),CS150,SUM(CH150:CS150))</f>
        <v>-94.62</v>
      </c>
      <c r="CU150" s="255">
        <v>0</v>
      </c>
      <c r="CV150" s="255">
        <v>0</v>
      </c>
      <c r="CW150" s="255">
        <v>-83.68</v>
      </c>
      <c r="CX150" s="255">
        <v>0</v>
      </c>
      <c r="CY150" s="255">
        <v>-1658.25</v>
      </c>
      <c r="CZ150" s="255">
        <v>-94.62</v>
      </c>
      <c r="DA150" s="255">
        <v>0</v>
      </c>
      <c r="DB150" s="255">
        <v>-1542.75</v>
      </c>
      <c r="DC150" s="255">
        <v>-1542.75</v>
      </c>
      <c r="DD150" s="255">
        <v>0</v>
      </c>
      <c r="DE150" s="255">
        <v>0</v>
      </c>
      <c r="DF150" s="255">
        <v>0</v>
      </c>
      <c r="DG150" s="255">
        <f>SUM(TBBP[[#This Row],[Coluna287]:[Coluna298]])</f>
        <v>-4922.05</v>
      </c>
      <c r="DH150" s="255">
        <v>-16181.77</v>
      </c>
      <c r="DI150" s="255">
        <v>-1757.25</v>
      </c>
      <c r="DJ150" s="255">
        <v>-8847.49</v>
      </c>
      <c r="DK150" s="255">
        <v>-1782</v>
      </c>
      <c r="DL150" s="255">
        <v>-1782</v>
      </c>
      <c r="DM150" s="255">
        <v>-1946.16</v>
      </c>
      <c r="DP150" s="30">
        <f>IF(OR(MID(TBBP[[#This Row],[Coluna1]],1,1)="1",MID(TBBP[[#This Row],[Coluna1]],1,1)="2"),"-",SUMIFS(150:150,listaPeriodos,$DR$1,listaPeriodos,$DR$2))</f>
        <v>-32296.670000000002</v>
      </c>
      <c r="DQ150" s="30"/>
      <c r="DR150" s="30">
        <f t="shared" si="179"/>
        <v>0</v>
      </c>
      <c r="DS150" s="30"/>
      <c r="DT150" s="30"/>
      <c r="DU150"/>
    </row>
    <row r="151" spans="1:125" x14ac:dyDescent="0.3">
      <c r="A151" s="7" t="s">
        <v>338</v>
      </c>
      <c r="B151" t="s">
        <v>508</v>
      </c>
      <c r="C151" s="4">
        <v>0</v>
      </c>
      <c r="D151" s="4">
        <v>0</v>
      </c>
      <c r="E151" s="4">
        <v>0</v>
      </c>
      <c r="F151" s="4">
        <v>0</v>
      </c>
      <c r="G151" s="4">
        <v>-21500</v>
      </c>
      <c r="H151" s="4">
        <v>-1000</v>
      </c>
      <c r="I151" s="4">
        <v>-1000</v>
      </c>
      <c r="J151" s="4">
        <v>-1000</v>
      </c>
      <c r="K151" s="4">
        <v>-1473.33</v>
      </c>
      <c r="L151" s="4">
        <v>-1610</v>
      </c>
      <c r="M151" s="4">
        <v>-1600</v>
      </c>
      <c r="N151" s="4">
        <v>-1600</v>
      </c>
      <c r="O151" s="4">
        <v>-3850</v>
      </c>
      <c r="P151" s="4">
        <v>-3100</v>
      </c>
      <c r="Q151" s="4">
        <v>-3100</v>
      </c>
      <c r="R151" s="4">
        <v>-3200</v>
      </c>
      <c r="S151" s="4">
        <v>-3950</v>
      </c>
      <c r="T151" s="4">
        <f>IF(OR(MID(TBBP[[#This Row],[Coluna1]],1,1)="1",MID(TBBP[[#This Row],[Coluna1]],1,1)="2"),TBBP[[#This Row],[Coluna19]],SUM(H151:S151))</f>
        <v>-26483.33</v>
      </c>
      <c r="U151" s="4">
        <v>-3200</v>
      </c>
      <c r="V151" s="4">
        <v>-3700</v>
      </c>
      <c r="W151" s="4">
        <v>-5478.4</v>
      </c>
      <c r="X151" s="4">
        <v>-5346</v>
      </c>
      <c r="Y151" s="4">
        <v>-4950</v>
      </c>
      <c r="Z151" s="4">
        <v>-5450</v>
      </c>
      <c r="AA151" s="4">
        <v>-4700</v>
      </c>
      <c r="AB151" s="4">
        <v>-5450</v>
      </c>
      <c r="AC151" s="4">
        <v>-5250</v>
      </c>
      <c r="AD151" s="4">
        <v>-5250</v>
      </c>
      <c r="AE151" s="4">
        <v>-5250</v>
      </c>
      <c r="AF151" s="4">
        <v>-5350</v>
      </c>
      <c r="AG151" s="4">
        <f>IF(OR(MID(TBBP[[#This Row],[Coluna1]],1,1)="1",MID(TBBP[[#This Row],[Coluna1]],1,1)="2"),TBBP[[#This Row],[Coluna32]],SUM(U151:AF151))</f>
        <v>-59374.400000000001</v>
      </c>
      <c r="AH151" s="4">
        <v>-5350</v>
      </c>
      <c r="AI151" s="4">
        <v>-5350</v>
      </c>
      <c r="AJ151" s="4">
        <v>0</v>
      </c>
      <c r="AK151" s="4">
        <v>-3375</v>
      </c>
      <c r="AL151" s="4">
        <v>-2675</v>
      </c>
      <c r="AM151" s="4">
        <v>-2537.5</v>
      </c>
      <c r="AN151" s="4">
        <v>-5855</v>
      </c>
      <c r="AO151" s="4">
        <v>-6350</v>
      </c>
      <c r="AP151" s="4">
        <v>-6350</v>
      </c>
      <c r="AQ151" s="4">
        <v>-6350</v>
      </c>
      <c r="AR151" s="4">
        <v>-7450</v>
      </c>
      <c r="AS151" s="4">
        <v>-7950</v>
      </c>
      <c r="AT151" s="4">
        <f>IF(OR(MID(TBBP[[#This Row],[Coluna1]],1,1)="1",MID(TBBP[[#This Row],[Coluna1]],1,1)="2"),TBBP[[#This Row],[Coluna45]],SUM(AH151:AS151))</f>
        <v>-59592.5</v>
      </c>
      <c r="AU151" s="4">
        <v>-6950</v>
      </c>
      <c r="AV151" s="4">
        <v>-6950</v>
      </c>
      <c r="AW151" s="4">
        <v>-9130</v>
      </c>
      <c r="AX151" s="4">
        <v>-9630</v>
      </c>
      <c r="AY151" s="4">
        <v>-10611.62</v>
      </c>
      <c r="AZ151" s="4">
        <v>-6881.69</v>
      </c>
      <c r="BA151" s="4">
        <v>-6445.27</v>
      </c>
      <c r="BB151" s="4">
        <v>-9130</v>
      </c>
      <c r="BC151" s="4">
        <v>-6742.66</v>
      </c>
      <c r="BD151" s="4">
        <v>-6492</v>
      </c>
      <c r="BE151" s="4">
        <v>-7200</v>
      </c>
      <c r="BF151" s="4">
        <v>-6550</v>
      </c>
      <c r="BG151" s="4">
        <f>IF(OR(MID(TBBP[[#This Row],[Coluna1]],1,1)="1",MID(TBBP[[#This Row],[Coluna1]],1,1)="2"),TBBP[[#This Row],[Coluna58]],SUM(AU151:BF151))</f>
        <v>-92713.24</v>
      </c>
      <c r="BH151" s="4">
        <v>-6900</v>
      </c>
      <c r="BI151" s="4">
        <v>-5850</v>
      </c>
      <c r="BJ151" s="4">
        <v>-1200</v>
      </c>
      <c r="BK151" s="4">
        <v>-1900</v>
      </c>
      <c r="BL151" s="4">
        <v>-7850</v>
      </c>
      <c r="BM151" s="4">
        <v>-10350</v>
      </c>
      <c r="BN151" s="4">
        <v>-10250</v>
      </c>
      <c r="BO151" s="4">
        <v>-7850</v>
      </c>
      <c r="BP151" s="4">
        <v>-7850</v>
      </c>
      <c r="BQ151" s="4">
        <v>-9150</v>
      </c>
      <c r="BR151" s="4">
        <v>-6850</v>
      </c>
      <c r="BS151" s="4">
        <v>-12600</v>
      </c>
      <c r="BT151" s="4">
        <f>IF(OR(MID(TBBP[[#This Row],[Coluna1]],1,1)="1",MID(TBBP[[#This Row],[Coluna1]],1,1)="2"),TBBP[[#This Row],[Coluna127]],SUM(BH151:BS151))</f>
        <v>-88600</v>
      </c>
      <c r="BU151" s="4">
        <v>-6900</v>
      </c>
      <c r="BV151" s="4">
        <v>-3150</v>
      </c>
      <c r="BW151" s="4">
        <v>-10450</v>
      </c>
      <c r="BX151" s="4">
        <v>-11490</v>
      </c>
      <c r="BY151" s="4">
        <v>-10040</v>
      </c>
      <c r="BZ151" s="4">
        <v>-12940</v>
      </c>
      <c r="CA151" s="4">
        <v>-9550</v>
      </c>
      <c r="CB151" s="4">
        <v>-9000</v>
      </c>
      <c r="CC151" s="4">
        <v>-14500</v>
      </c>
      <c r="CD151" s="4">
        <v>-11700</v>
      </c>
      <c r="CE151" s="4">
        <v>-9500</v>
      </c>
      <c r="CF151" s="4">
        <v>-9100</v>
      </c>
      <c r="CG151" s="4">
        <f>IF(OR(MID(TBBP[[#This Row],[Coluna1]],1,1)="1",MID(TBBP[[#This Row],[Coluna1]],1,1)="2"),CF151,SUM(BU151:CF151))</f>
        <v>-118320</v>
      </c>
      <c r="CH151" s="4">
        <v>-11750</v>
      </c>
      <c r="CI151" s="4">
        <v>-9650</v>
      </c>
      <c r="CJ151" s="4">
        <v>-8750</v>
      </c>
      <c r="CK151" s="4">
        <v>-10250</v>
      </c>
      <c r="CL151" s="4">
        <v>-10050</v>
      </c>
      <c r="CM151" s="4">
        <v>-10050</v>
      </c>
      <c r="CN151" s="4">
        <v>-10050</v>
      </c>
      <c r="CO151" s="4">
        <v>-12050</v>
      </c>
      <c r="CP151" s="4">
        <v>-14560</v>
      </c>
      <c r="CQ151" s="4">
        <v>-10500</v>
      </c>
      <c r="CR151" s="4">
        <v>-10000</v>
      </c>
      <c r="CS151" s="4">
        <v>-12500</v>
      </c>
      <c r="CT151" s="4">
        <f>IF(OR(MID(TBBP[[#This Row],[Coluna1]],1,1)="1",MID(TBBP[[#This Row],[Coluna1]],1,1)="2"),CS151,SUM(CH151:CS151))</f>
        <v>-130160</v>
      </c>
      <c r="CU151" s="255">
        <v>-12914.3</v>
      </c>
      <c r="CV151" s="255">
        <v>-11342.86</v>
      </c>
      <c r="CW151" s="255">
        <v>-14677.6</v>
      </c>
      <c r="CX151" s="255">
        <v>-12566</v>
      </c>
      <c r="CY151" s="255">
        <v>-8500</v>
      </c>
      <c r="CZ151" s="255">
        <v>-10900</v>
      </c>
      <c r="DA151" s="255">
        <v>-10900</v>
      </c>
      <c r="DB151" s="255">
        <v>-14400</v>
      </c>
      <c r="DC151" s="255">
        <v>-12300</v>
      </c>
      <c r="DD151" s="255">
        <v>-8073</v>
      </c>
      <c r="DE151" s="255">
        <v>-7400</v>
      </c>
      <c r="DF151" s="255">
        <v>-13400</v>
      </c>
      <c r="DG151" s="255">
        <f>SUM(TBBP[[#This Row],[Coluna287]:[Coluna298]])</f>
        <v>-137373.76000000001</v>
      </c>
      <c r="DH151" s="255">
        <v>-3500</v>
      </c>
      <c r="DI151" s="255">
        <v>-7400</v>
      </c>
      <c r="DJ151" s="255">
        <v>-8800</v>
      </c>
      <c r="DK151" s="255">
        <v>-6000</v>
      </c>
      <c r="DL151" s="255">
        <v>-6000</v>
      </c>
      <c r="DM151" s="255">
        <v>-17500</v>
      </c>
      <c r="DP151" s="30">
        <f>IF(OR(MID(TBBP[[#This Row],[Coluna1]],1,1)="1",MID(TBBP[[#This Row],[Coluna1]],1,1)="2"),"-",SUMIFS(151:151,listaPeriodos,$DR$1,listaPeriodos,$DR$2))</f>
        <v>-49200</v>
      </c>
      <c r="DQ151" s="30"/>
      <c r="DR151" s="30">
        <f t="shared" si="179"/>
        <v>0</v>
      </c>
      <c r="DS151" s="30"/>
      <c r="DT151" s="30"/>
      <c r="DU151"/>
    </row>
    <row r="152" spans="1:125" x14ac:dyDescent="0.3">
      <c r="A152" s="7" t="s">
        <v>339</v>
      </c>
      <c r="B152" t="s">
        <v>509</v>
      </c>
      <c r="C152" s="4">
        <v>0</v>
      </c>
      <c r="D152" s="4">
        <v>0</v>
      </c>
      <c r="E152" s="4">
        <v>0</v>
      </c>
      <c r="F152" s="4">
        <v>0</v>
      </c>
      <c r="G152" s="4">
        <v>-78873.75</v>
      </c>
      <c r="H152" s="4">
        <v>42127.979999999996</v>
      </c>
      <c r="I152" s="4">
        <v>-8296.27</v>
      </c>
      <c r="J152" s="4">
        <v>-10451.19</v>
      </c>
      <c r="K152" s="4">
        <v>-12638.53</v>
      </c>
      <c r="L152" s="4">
        <v>-7870.66</v>
      </c>
      <c r="M152" s="4">
        <v>2747.0800000000008</v>
      </c>
      <c r="N152" s="4">
        <v>-16157.31</v>
      </c>
      <c r="O152" s="4">
        <v>-12091.92</v>
      </c>
      <c r="P152" s="4">
        <v>-14316.71</v>
      </c>
      <c r="Q152" s="4">
        <v>-16236.14</v>
      </c>
      <c r="R152" s="4">
        <v>-11182.05</v>
      </c>
      <c r="S152" s="4">
        <v>112416.72</v>
      </c>
      <c r="T152" s="4">
        <f>IF(OR(MID(TBBP[[#This Row],[Coluna1]],1,1)="1",MID(TBBP[[#This Row],[Coluna1]],1,1)="2"),TBBP[[#This Row],[Coluna19]],SUM(H152:S152))</f>
        <v>48051</v>
      </c>
      <c r="U152" s="4">
        <v>-9315.36</v>
      </c>
      <c r="V152" s="4">
        <v>-13317.35</v>
      </c>
      <c r="W152" s="4">
        <v>-13954.96</v>
      </c>
      <c r="X152" s="4">
        <v>-15616.74</v>
      </c>
      <c r="Y152" s="4">
        <v>-18287.39</v>
      </c>
      <c r="Z152" s="4">
        <v>-17151.310000000001</v>
      </c>
      <c r="AA152" s="4">
        <v>-19240.62</v>
      </c>
      <c r="AB152" s="4">
        <v>-302.01</v>
      </c>
      <c r="AC152" s="4">
        <v>-14107.37</v>
      </c>
      <c r="AD152" s="4">
        <v>-20293.39</v>
      </c>
      <c r="AE152" s="4">
        <v>-21968.62</v>
      </c>
      <c r="AF152" s="4">
        <v>52695.11</v>
      </c>
      <c r="AG152" s="4">
        <f>IF(OR(MID(TBBP[[#This Row],[Coluna1]],1,1)="1",MID(TBBP[[#This Row],[Coluna1]],1,1)="2"),TBBP[[#This Row],[Coluna32]],SUM(U152:AF152))</f>
        <v>-110860.00999999997</v>
      </c>
      <c r="AH152" s="4">
        <v>-8360.16</v>
      </c>
      <c r="AI152" s="4">
        <v>-5489.15</v>
      </c>
      <c r="AJ152" s="4">
        <v>23635.14</v>
      </c>
      <c r="AK152" s="4">
        <v>27488.050000000003</v>
      </c>
      <c r="AL152" s="4">
        <v>-6574.38</v>
      </c>
      <c r="AM152" s="4">
        <v>-11482.179999999998</v>
      </c>
      <c r="AN152" s="4">
        <v>-16455.330000000002</v>
      </c>
      <c r="AO152" s="4">
        <v>-14761.75</v>
      </c>
      <c r="AP152" s="4">
        <v>-20663.71</v>
      </c>
      <c r="AQ152" s="4">
        <v>-21914.09</v>
      </c>
      <c r="AR152" s="4">
        <v>-26597.39</v>
      </c>
      <c r="AS152" s="4">
        <v>7812.329999999999</v>
      </c>
      <c r="AT152" s="4">
        <f>IF(OR(MID(TBBP[[#This Row],[Coluna1]],1,1)="1",MID(TBBP[[#This Row],[Coluna1]],1,1)="2"),TBBP[[#This Row],[Coluna45]],SUM(AH152:AS152))</f>
        <v>-73362.62</v>
      </c>
      <c r="AU152" s="4">
        <v>-445.92000000000007</v>
      </c>
      <c r="AV152" s="4">
        <v>-7111.0399999999991</v>
      </c>
      <c r="AW152" s="4">
        <v>-20578.560000000001</v>
      </c>
      <c r="AX152" s="4">
        <v>-21461.350000000002</v>
      </c>
      <c r="AY152" s="4">
        <v>-21918.269999999997</v>
      </c>
      <c r="AZ152" s="4">
        <v>-41371.880000000005</v>
      </c>
      <c r="BA152" s="4">
        <v>-31553.690000000002</v>
      </c>
      <c r="BB152" s="4">
        <v>-29775.8</v>
      </c>
      <c r="BC152" s="4">
        <v>-24070.969999999994</v>
      </c>
      <c r="BD152" s="4">
        <v>-32227.930000000004</v>
      </c>
      <c r="BE152" s="4">
        <v>-24449.17</v>
      </c>
      <c r="BF152" s="4">
        <v>-54807.85</v>
      </c>
      <c r="BG152" s="4">
        <f>IF(OR(MID(TBBP[[#This Row],[Coluna1]],1,1)="1",MID(TBBP[[#This Row],[Coluna1]],1,1)="2"),TBBP[[#This Row],[Coluna58]],SUM(AU152:BF152))</f>
        <v>-309772.43</v>
      </c>
      <c r="BH152" s="4">
        <v>-22902.71</v>
      </c>
      <c r="BI152" s="4">
        <v>-20095.650000000001</v>
      </c>
      <c r="BJ152" s="4">
        <v>-30465</v>
      </c>
      <c r="BK152" s="4">
        <v>-36161.519999999997</v>
      </c>
      <c r="BL152" s="4">
        <v>-38073.269999999997</v>
      </c>
      <c r="BM152" s="4">
        <v>-29289.8</v>
      </c>
      <c r="BN152" s="4">
        <v>-35468.42</v>
      </c>
      <c r="BO152" s="4">
        <v>-44829.760000000002</v>
      </c>
      <c r="BP152" s="4">
        <v>-37641.449999999997</v>
      </c>
      <c r="BQ152" s="4">
        <v>-32711.05</v>
      </c>
      <c r="BR152" s="4">
        <v>-37181.39</v>
      </c>
      <c r="BS152" s="4">
        <v>-70627.86</v>
      </c>
      <c r="BT152" s="4">
        <f>IF(OR(MID(TBBP[[#This Row],[Coluna1]],1,1)="1",MID(TBBP[[#This Row],[Coluna1]],1,1)="2"),TBBP[[#This Row],[Coluna127]],SUM(BH152:BS152))</f>
        <v>-435447.88</v>
      </c>
      <c r="BU152" s="4">
        <v>-37170.94</v>
      </c>
      <c r="BV152" s="4">
        <v>-34888.949999999997</v>
      </c>
      <c r="BW152" s="4">
        <v>-42170.720000000001</v>
      </c>
      <c r="BX152" s="4">
        <v>-47404.06</v>
      </c>
      <c r="BY152" s="4">
        <v>-39626.949999999997</v>
      </c>
      <c r="BZ152" s="4">
        <v>-46361.020000000004</v>
      </c>
      <c r="CA152" s="4">
        <v>-47620.38</v>
      </c>
      <c r="CB152" s="4">
        <v>-54292.37</v>
      </c>
      <c r="CC152" s="4">
        <v>-45812.36</v>
      </c>
      <c r="CD152" s="4">
        <v>-71370.06</v>
      </c>
      <c r="CE152" s="4">
        <v>-90743.4</v>
      </c>
      <c r="CF152" s="4">
        <v>-130641.68</v>
      </c>
      <c r="CG152" s="4">
        <f>IF(OR(MID(TBBP[[#This Row],[Coluna1]],1,1)="1",MID(TBBP[[#This Row],[Coluna1]],1,1)="2"),CF152,SUM(BU152:CF152))</f>
        <v>-688102.8899999999</v>
      </c>
      <c r="CH152" s="4">
        <v>-42349.99</v>
      </c>
      <c r="CI152" s="4">
        <v>-44264.57</v>
      </c>
      <c r="CJ152" s="4">
        <v>-57001.259999999995</v>
      </c>
      <c r="CK152" s="4">
        <v>-57459.03</v>
      </c>
      <c r="CL152" s="4">
        <v>-75536.61</v>
      </c>
      <c r="CM152" s="4">
        <v>-71434.59</v>
      </c>
      <c r="CN152" s="4">
        <v>-81169.89</v>
      </c>
      <c r="CO152" s="4">
        <v>-89859.42</v>
      </c>
      <c r="CP152" s="4">
        <v>-91709.25</v>
      </c>
      <c r="CQ152" s="4">
        <v>-89886.53</v>
      </c>
      <c r="CR152" s="4">
        <v>-108614.3</v>
      </c>
      <c r="CS152" s="4">
        <v>-47800.65</v>
      </c>
      <c r="CT152" s="4">
        <f>IF(OR(MID(TBBP[[#This Row],[Coluna1]],1,1)="1",MID(TBBP[[#This Row],[Coluna1]],1,1)="2"),CS152,SUM(CH152:CS152))</f>
        <v>-857086.0900000002</v>
      </c>
      <c r="CU152" s="255">
        <v>-41041.749999999993</v>
      </c>
      <c r="CV152" s="255">
        <v>-41942.400000000001</v>
      </c>
      <c r="CW152" s="255">
        <v>-37137.689999999995</v>
      </c>
      <c r="CX152" s="255">
        <v>-25214.54</v>
      </c>
      <c r="CY152" s="255">
        <v>-30187.700000000004</v>
      </c>
      <c r="CZ152" s="255">
        <v>-33898.279999999992</v>
      </c>
      <c r="DA152" s="255">
        <v>-33933.299999999996</v>
      </c>
      <c r="DB152" s="255">
        <v>-26010.9</v>
      </c>
      <c r="DC152" s="255">
        <v>-23115.409999999996</v>
      </c>
      <c r="DD152" s="255">
        <v>-17969.900000000001</v>
      </c>
      <c r="DE152" s="255">
        <v>52723.37</v>
      </c>
      <c r="DF152" s="255">
        <v>-103777.43</v>
      </c>
      <c r="DG152" s="255">
        <f>SUM(TBBP[[#This Row],[Coluna287]:[Coluna298]])</f>
        <v>-361505.93</v>
      </c>
      <c r="DH152" s="255">
        <v>-78813.7</v>
      </c>
      <c r="DI152" s="255">
        <v>-65006.22</v>
      </c>
      <c r="DJ152" s="255">
        <v>-103289.96</v>
      </c>
      <c r="DK152" s="255">
        <v>-108905.52</v>
      </c>
      <c r="DL152" s="255">
        <v>-80005.02</v>
      </c>
      <c r="DM152" s="255">
        <v>-1724</v>
      </c>
      <c r="DP152" s="30">
        <f>IF(OR(MID(TBBP[[#This Row],[Coluna1]],1,1)="1",MID(TBBP[[#This Row],[Coluna1]],1,1)="2"),"-",SUMIFS(152:152,listaPeriodos,$DR$1,listaPeriodos,$DR$2))</f>
        <v>-437744.42000000004</v>
      </c>
      <c r="DQ152" s="30"/>
      <c r="DR152" s="30">
        <f t="shared" si="179"/>
        <v>0</v>
      </c>
      <c r="DS152" s="30"/>
      <c r="DT152" s="30"/>
      <c r="DU152"/>
    </row>
    <row r="153" spans="1:125" x14ac:dyDescent="0.3">
      <c r="A153" s="7" t="s">
        <v>340</v>
      </c>
      <c r="B153" t="s">
        <v>510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-9028.69</v>
      </c>
      <c r="I153" s="4">
        <v>-9340.6299999999992</v>
      </c>
      <c r="J153" s="4">
        <v>-10299.459999999999</v>
      </c>
      <c r="K153" s="4">
        <v>-10375.73</v>
      </c>
      <c r="L153" s="4">
        <v>-9407.43</v>
      </c>
      <c r="M153" s="4">
        <v>-10364.15</v>
      </c>
      <c r="N153" s="4">
        <v>-12192.78</v>
      </c>
      <c r="O153" s="4">
        <v>-8121.74</v>
      </c>
      <c r="P153" s="4">
        <v>-11261.95</v>
      </c>
      <c r="Q153" s="4">
        <v>-12346.74</v>
      </c>
      <c r="R153" s="4">
        <v>-10710.09</v>
      </c>
      <c r="S153" s="4">
        <v>113215.48</v>
      </c>
      <c r="T153" s="4">
        <f>IF(OR(MID(TBBP[[#This Row],[Coluna1]],1,1)="1",MID(TBBP[[#This Row],[Coluna1]],1,1)="2"),TBBP[[#This Row],[Coluna19]],SUM(H153:S153))</f>
        <v>-233.91000000000349</v>
      </c>
      <c r="U153" s="4">
        <v>-11738.5</v>
      </c>
      <c r="V153" s="4">
        <v>-12122.23</v>
      </c>
      <c r="W153" s="4">
        <v>-12629.81</v>
      </c>
      <c r="X153" s="4">
        <v>-13395.93</v>
      </c>
      <c r="Y153" s="4">
        <v>-14372.62</v>
      </c>
      <c r="Z153" s="4">
        <v>-13785.6</v>
      </c>
      <c r="AA153" s="4">
        <v>-14245.52</v>
      </c>
      <c r="AB153" s="4">
        <v>2061.63</v>
      </c>
      <c r="AC153" s="4">
        <v>-15160.89</v>
      </c>
      <c r="AD153" s="4">
        <v>-14924.97</v>
      </c>
      <c r="AE153" s="4">
        <v>-14626.52</v>
      </c>
      <c r="AF153" s="4">
        <v>-12282.43</v>
      </c>
      <c r="AG153" s="4">
        <f>IF(OR(MID(TBBP[[#This Row],[Coluna1]],1,1)="1",MID(TBBP[[#This Row],[Coluna1]],1,1)="2"),TBBP[[#This Row],[Coluna32]],SUM(U153:AF153))</f>
        <v>-147223.38999999998</v>
      </c>
      <c r="AH153" s="4">
        <v>-14786.92</v>
      </c>
      <c r="AI153" s="4">
        <v>-11190.95</v>
      </c>
      <c r="AJ153" s="4">
        <v>-11801.26</v>
      </c>
      <c r="AK153" s="4">
        <v>-14856.380000000001</v>
      </c>
      <c r="AL153" s="4">
        <v>-7801.15</v>
      </c>
      <c r="AM153" s="4">
        <v>-10528.64</v>
      </c>
      <c r="AN153" s="4">
        <v>-13784.71</v>
      </c>
      <c r="AO153" s="4">
        <v>-17483.099999999999</v>
      </c>
      <c r="AP153" s="4">
        <v>-13648.400000000001</v>
      </c>
      <c r="AQ153" s="4">
        <v>-16296.740000000002</v>
      </c>
      <c r="AR153" s="4">
        <v>-27774.84</v>
      </c>
      <c r="AS153" s="4">
        <v>-18526.77</v>
      </c>
      <c r="AT153" s="4">
        <f>IF(OR(MID(TBBP[[#This Row],[Coluna1]],1,1)="1",MID(TBBP[[#This Row],[Coluna1]],1,1)="2"),TBBP[[#This Row],[Coluna45]],SUM(AH153:AS153))</f>
        <v>-178479.86</v>
      </c>
      <c r="AU153" s="4">
        <v>-25077.43</v>
      </c>
      <c r="AV153" s="4">
        <v>-24043.64</v>
      </c>
      <c r="AW153" s="4">
        <v>-26713.74</v>
      </c>
      <c r="AX153" s="4">
        <v>-26206.059999999998</v>
      </c>
      <c r="AY153" s="4">
        <v>-25147.14</v>
      </c>
      <c r="AZ153" s="4">
        <v>-33395.86</v>
      </c>
      <c r="BA153" s="4">
        <v>-29433.56</v>
      </c>
      <c r="BB153" s="4">
        <v>-27281.09</v>
      </c>
      <c r="BC153" s="4">
        <v>-24654.65</v>
      </c>
      <c r="BD153" s="4">
        <v>-27797.7</v>
      </c>
      <c r="BE153" s="4">
        <v>-23409.919999999998</v>
      </c>
      <c r="BF153" s="4">
        <v>-42340.18</v>
      </c>
      <c r="BG153" s="4">
        <f>IF(OR(MID(TBBP[[#This Row],[Coluna1]],1,1)="1",MID(TBBP[[#This Row],[Coluna1]],1,1)="2"),TBBP[[#This Row],[Coluna58]],SUM(AU153:BF153))</f>
        <v>-335500.96999999997</v>
      </c>
      <c r="BH153" s="4">
        <v>-29861.45</v>
      </c>
      <c r="BI153" s="4">
        <v>-32095.8</v>
      </c>
      <c r="BJ153" s="4">
        <v>-30615.78</v>
      </c>
      <c r="BK153" s="4">
        <v>-40224.03</v>
      </c>
      <c r="BL153" s="4">
        <v>-41100.75</v>
      </c>
      <c r="BM153" s="4">
        <v>-27144.36</v>
      </c>
      <c r="BN153" s="4">
        <v>-27365.67</v>
      </c>
      <c r="BO153" s="4">
        <v>-31559.16</v>
      </c>
      <c r="BP153" s="4">
        <v>-32500.11</v>
      </c>
      <c r="BQ153" s="4">
        <v>-29819.89</v>
      </c>
      <c r="BR153" s="4">
        <v>-29053.32</v>
      </c>
      <c r="BS153" s="4">
        <v>-43077.29</v>
      </c>
      <c r="BT153" s="4">
        <f>IF(OR(MID(TBBP[[#This Row],[Coluna1]],1,1)="1",MID(TBBP[[#This Row],[Coluna1]],1,1)="2"),TBBP[[#This Row],[Coluna127]],SUM(BH153:BS153))</f>
        <v>-394417.61</v>
      </c>
      <c r="BU153" s="4">
        <v>-37567.4</v>
      </c>
      <c r="BV153" s="4">
        <v>-26720.99</v>
      </c>
      <c r="BW153" s="4">
        <v>-33370.17</v>
      </c>
      <c r="BX153" s="4">
        <v>-34305.71</v>
      </c>
      <c r="BY153" s="4">
        <v>-34605.06</v>
      </c>
      <c r="BZ153" s="4">
        <v>-34848.28</v>
      </c>
      <c r="CA153" s="4">
        <v>-34952.379999999997</v>
      </c>
      <c r="CB153" s="4">
        <v>-39157.799999999996</v>
      </c>
      <c r="CC153" s="4">
        <v>-40604.94</v>
      </c>
      <c r="CD153" s="4">
        <v>-50743.839999999997</v>
      </c>
      <c r="CE153" s="4">
        <v>-66317.289999999994</v>
      </c>
      <c r="CF153" s="4">
        <v>-31357.909999999996</v>
      </c>
      <c r="CG153" s="4">
        <f>IF(OR(MID(TBBP[[#This Row],[Coluna1]],1,1)="1",MID(TBBP[[#This Row],[Coluna1]],1,1)="2"),CF153,SUM(BU153:CF153))</f>
        <v>-464551.7699999999</v>
      </c>
      <c r="CH153" s="4">
        <v>-50425.45</v>
      </c>
      <c r="CI153" s="4">
        <v>-47612.44</v>
      </c>
      <c r="CJ153" s="4">
        <v>-45127.829999999994</v>
      </c>
      <c r="CK153" s="4">
        <v>-48050.22</v>
      </c>
      <c r="CL153" s="4">
        <v>-56640.369999999995</v>
      </c>
      <c r="CM153" s="4">
        <v>-57102.13</v>
      </c>
      <c r="CN153" s="4">
        <v>-59701.78</v>
      </c>
      <c r="CO153" s="4">
        <v>-67717.31</v>
      </c>
      <c r="CP153" s="4">
        <v>-69018.320000000007</v>
      </c>
      <c r="CQ153" s="4">
        <v>-67686.67</v>
      </c>
      <c r="CR153" s="4">
        <v>-81774.850000000006</v>
      </c>
      <c r="CS153" s="4">
        <v>128789.54999999999</v>
      </c>
      <c r="CT153" s="4">
        <f>IF(OR(MID(TBBP[[#This Row],[Coluna1]],1,1)="1",MID(TBBP[[#This Row],[Coluna1]],1,1)="2"),CS153,SUM(CH153:CS153))</f>
        <v>-522067.82</v>
      </c>
      <c r="CU153" s="255">
        <v>-70470.67</v>
      </c>
      <c r="CV153" s="255">
        <v>-71261.53</v>
      </c>
      <c r="CW153" s="255">
        <v>-67592.97</v>
      </c>
      <c r="CX153" s="255">
        <v>-58617.13</v>
      </c>
      <c r="CY153" s="255">
        <v>-62408.43</v>
      </c>
      <c r="CZ153" s="255">
        <v>-65255.93</v>
      </c>
      <c r="DA153" s="255">
        <v>-65272.76</v>
      </c>
      <c r="DB153" s="255">
        <v>-59286.63</v>
      </c>
      <c r="DC153" s="255">
        <v>-57141.34</v>
      </c>
      <c r="DD153" s="255">
        <v>-53283.14</v>
      </c>
      <c r="DE153" s="255">
        <v>0</v>
      </c>
      <c r="DF153" s="255">
        <v>-78398.75</v>
      </c>
      <c r="DG153" s="255">
        <f>SUM(TBBP[[#This Row],[Coluna287]:[Coluna298]])</f>
        <v>-708989.28</v>
      </c>
      <c r="DH153" s="255">
        <v>-48717.24</v>
      </c>
      <c r="DI153" s="255">
        <v>-52714.400000000001</v>
      </c>
      <c r="DJ153" s="255">
        <v>-58093.59</v>
      </c>
      <c r="DK153" s="255">
        <v>-69489.179999999993</v>
      </c>
      <c r="DL153" s="255">
        <v>-56149.52</v>
      </c>
      <c r="DM153" s="255">
        <v>-1307.57</v>
      </c>
      <c r="DP153" s="30">
        <f>IF(OR(MID(TBBP[[#This Row],[Coluna1]],1,1)="1",MID(TBBP[[#This Row],[Coluna1]],1,1)="2"),"-",SUMIFS(153:153,listaPeriodos,$DR$1,listaPeriodos,$DR$2))</f>
        <v>-286471.5</v>
      </c>
      <c r="DQ153" s="30"/>
      <c r="DR153" s="30">
        <f t="shared" si="179"/>
        <v>0</v>
      </c>
      <c r="DS153" s="30"/>
      <c r="DT153" s="30"/>
      <c r="DU153"/>
    </row>
    <row r="154" spans="1:125" x14ac:dyDescent="0.3">
      <c r="A154" s="7" t="s">
        <v>341</v>
      </c>
      <c r="B154" t="s">
        <v>511</v>
      </c>
      <c r="C154" s="4">
        <v>0</v>
      </c>
      <c r="D154" s="4">
        <v>0</v>
      </c>
      <c r="E154" s="4">
        <v>0</v>
      </c>
      <c r="F154" s="4">
        <v>0</v>
      </c>
      <c r="G154" s="4">
        <v>-332238.62</v>
      </c>
      <c r="H154" s="4">
        <v>-17571.55</v>
      </c>
      <c r="I154" s="4">
        <v>-22356.21</v>
      </c>
      <c r="J154" s="4">
        <v>-29411.8</v>
      </c>
      <c r="K154" s="4">
        <v>-22491.59</v>
      </c>
      <c r="L154" s="4">
        <v>-47109.52</v>
      </c>
      <c r="M154" s="4">
        <v>-21946.799999999999</v>
      </c>
      <c r="N154" s="4">
        <v>-21437.99</v>
      </c>
      <c r="O154" s="4">
        <v>-42778.59</v>
      </c>
      <c r="P154" s="4">
        <v>-35087.839999999997</v>
      </c>
      <c r="Q154" s="4">
        <v>-32194.41</v>
      </c>
      <c r="R154" s="4">
        <v>-19408.11</v>
      </c>
      <c r="S154" s="4">
        <v>-31336.39</v>
      </c>
      <c r="T154" s="4">
        <f>IF(OR(MID(TBBP[[#This Row],[Coluna1]],1,1)="1",MID(TBBP[[#This Row],[Coluna1]],1,1)="2"),TBBP[[#This Row],[Coluna19]],SUM(H154:S154))</f>
        <v>-343130.79999999993</v>
      </c>
      <c r="U154" s="4">
        <v>-37923.599999999999</v>
      </c>
      <c r="V154" s="4">
        <v>-35349.370000000003</v>
      </c>
      <c r="W154" s="4">
        <v>-37045.53</v>
      </c>
      <c r="X154" s="4">
        <v>-33783.83</v>
      </c>
      <c r="Y154" s="4">
        <v>-41344.370000000003</v>
      </c>
      <c r="Z154" s="4">
        <v>-37586.050000000003</v>
      </c>
      <c r="AA154" s="4">
        <v>-33562.9</v>
      </c>
      <c r="AB154" s="4">
        <v>-34924.699999999997</v>
      </c>
      <c r="AC154" s="4">
        <v>-17196.05</v>
      </c>
      <c r="AD154" s="4">
        <v>-22868.560000000001</v>
      </c>
      <c r="AE154" s="4">
        <v>-34025.370000000003</v>
      </c>
      <c r="AF154" s="4">
        <v>-56703.09</v>
      </c>
      <c r="AG154" s="4">
        <f>IF(OR(MID(TBBP[[#This Row],[Coluna1]],1,1)="1",MID(TBBP[[#This Row],[Coluna1]],1,1)="2"),TBBP[[#This Row],[Coluna32]],SUM(U154:AF154))</f>
        <v>-422313.41999999993</v>
      </c>
      <c r="AH154" s="4">
        <v>-39119.57</v>
      </c>
      <c r="AI154" s="4">
        <v>-45054.400000000001</v>
      </c>
      <c r="AJ154" s="4">
        <v>-30059.96</v>
      </c>
      <c r="AK154" s="4">
        <v>-39269.93</v>
      </c>
      <c r="AL154" s="4">
        <v>-30341.98</v>
      </c>
      <c r="AM154" s="4">
        <v>-24584.67</v>
      </c>
      <c r="AN154" s="4">
        <v>-37133.120000000003</v>
      </c>
      <c r="AO154" s="4">
        <v>-32161.64</v>
      </c>
      <c r="AP154" s="4">
        <v>-65361.55</v>
      </c>
      <c r="AQ154" s="4">
        <v>-59306.6</v>
      </c>
      <c r="AR154" s="4">
        <v>-83635.66</v>
      </c>
      <c r="AS154" s="4">
        <v>-73161.86</v>
      </c>
      <c r="AT154" s="4">
        <f>IF(OR(MID(TBBP[[#This Row],[Coluna1]],1,1)="1",MID(TBBP[[#This Row],[Coluna1]],1,1)="2"),TBBP[[#This Row],[Coluna45]],SUM(AH154:AS154))</f>
        <v>-559190.93999999994</v>
      </c>
      <c r="AU154" s="4">
        <v>-33344.97</v>
      </c>
      <c r="AV154" s="4">
        <v>-66927.41</v>
      </c>
      <c r="AW154" s="4">
        <v>-99719.01</v>
      </c>
      <c r="AX154" s="4">
        <v>-77521.52</v>
      </c>
      <c r="AY154" s="4">
        <v>-80595.56</v>
      </c>
      <c r="AZ154" s="4">
        <v>-84961.91</v>
      </c>
      <c r="BA154" s="4">
        <v>-76637.070000000007</v>
      </c>
      <c r="BB154" s="4">
        <v>-89397.05</v>
      </c>
      <c r="BC154" s="4">
        <v>-81206.509999999995</v>
      </c>
      <c r="BD154" s="4">
        <v>-92358.5</v>
      </c>
      <c r="BE154" s="4">
        <v>-107656.24</v>
      </c>
      <c r="BF154" s="4">
        <v>-65709.009999999995</v>
      </c>
      <c r="BG154" s="4">
        <f>IF(OR(MID(TBBP[[#This Row],[Coluna1]],1,1)="1",MID(TBBP[[#This Row],[Coluna1]],1,1)="2"),TBBP[[#This Row],[Coluna58]],SUM(AU154:BF154))</f>
        <v>-956034.76</v>
      </c>
      <c r="BH154" s="4">
        <v>-80545.039999999994</v>
      </c>
      <c r="BI154" s="4">
        <v>-103768.47</v>
      </c>
      <c r="BJ154" s="4">
        <v>-118707.49</v>
      </c>
      <c r="BK154" s="4">
        <v>-145140.82999999999</v>
      </c>
      <c r="BL154" s="4">
        <v>-98490.2</v>
      </c>
      <c r="BM154" s="4">
        <v>-169195.92</v>
      </c>
      <c r="BN154" s="4">
        <v>-169051.41</v>
      </c>
      <c r="BO154" s="4">
        <v>-134970.01</v>
      </c>
      <c r="BP154" s="4">
        <v>-97037.74</v>
      </c>
      <c r="BQ154" s="4">
        <v>-230168.11</v>
      </c>
      <c r="BR154" s="4">
        <v>-59029.97</v>
      </c>
      <c r="BS154" s="4">
        <v>-142899.24</v>
      </c>
      <c r="BT154" s="4">
        <f>IF(OR(MID(TBBP[[#This Row],[Coluna1]],1,1)="1",MID(TBBP[[#This Row],[Coluna1]],1,1)="2"),TBBP[[#This Row],[Coluna127]],SUM(BH154:BS154))</f>
        <v>-1549004.4300000002</v>
      </c>
      <c r="BU154" s="4">
        <v>-113499.1</v>
      </c>
      <c r="BV154" s="4">
        <v>-161057.73000000001</v>
      </c>
      <c r="BW154" s="4">
        <v>-108956.85</v>
      </c>
      <c r="BX154" s="4">
        <v>-142099.79</v>
      </c>
      <c r="BY154" s="4">
        <v>-127319.14</v>
      </c>
      <c r="BZ154" s="4">
        <v>-77915.94</v>
      </c>
      <c r="CA154" s="4">
        <v>-206404</v>
      </c>
      <c r="CB154" s="4">
        <v>-124300.91</v>
      </c>
      <c r="CC154" s="4">
        <v>-116227.88</v>
      </c>
      <c r="CD154" s="4">
        <v>-173537.5</v>
      </c>
      <c r="CE154" s="4">
        <v>-250341.92</v>
      </c>
      <c r="CF154" s="4">
        <v>-99360.33</v>
      </c>
      <c r="CG154" s="4">
        <f>IF(OR(MID(TBBP[[#This Row],[Coluna1]],1,1)="1",MID(TBBP[[#This Row],[Coluna1]],1,1)="2"),CF154,SUM(BU154:CF154))</f>
        <v>-1701021.0899999999</v>
      </c>
      <c r="CH154" s="4">
        <v>-400503.07</v>
      </c>
      <c r="CI154" s="4">
        <v>-240929.62</v>
      </c>
      <c r="CJ154" s="4">
        <v>-181345.61</v>
      </c>
      <c r="CK154" s="4">
        <v>-215677.19</v>
      </c>
      <c r="CL154" s="4">
        <v>-225743.11</v>
      </c>
      <c r="CM154" s="4">
        <v>-272317.09000000003</v>
      </c>
      <c r="CN154" s="4">
        <v>-274892.48</v>
      </c>
      <c r="CO154" s="4">
        <v>-266901.01</v>
      </c>
      <c r="CP154" s="4">
        <v>-244230.39</v>
      </c>
      <c r="CQ154" s="4">
        <v>-209081.73</v>
      </c>
      <c r="CR154" s="4">
        <v>-237083.43</v>
      </c>
      <c r="CS154" s="4">
        <v>-246908.06</v>
      </c>
      <c r="CT154" s="4">
        <f>IF(OR(MID(TBBP[[#This Row],[Coluna1]],1,1)="1",MID(TBBP[[#This Row],[Coluna1]],1,1)="2"),CS154,SUM(CH154:CS154))</f>
        <v>-3015612.7900000005</v>
      </c>
      <c r="CU154" s="255">
        <v>-189919.3</v>
      </c>
      <c r="CV154" s="255">
        <v>-340061.52</v>
      </c>
      <c r="CW154" s="255">
        <v>-146253.9</v>
      </c>
      <c r="CX154" s="255">
        <v>-380395.78</v>
      </c>
      <c r="CY154" s="255">
        <v>-203919.75</v>
      </c>
      <c r="CZ154" s="255">
        <v>-250094.62</v>
      </c>
      <c r="DA154" s="255">
        <v>-241690.08</v>
      </c>
      <c r="DB154" s="255">
        <v>-300986.53000000003</v>
      </c>
      <c r="DC154" s="255">
        <v>-281211.32</v>
      </c>
      <c r="DD154" s="255">
        <v>-286384.71000000002</v>
      </c>
      <c r="DE154" s="255">
        <v>-260089.34</v>
      </c>
      <c r="DF154" s="255">
        <v>-285757.81</v>
      </c>
      <c r="DG154" s="255">
        <f>SUM(TBBP[[#This Row],[Coluna287]:[Coluna298]])</f>
        <v>-3166764.66</v>
      </c>
      <c r="DH154" s="255">
        <v>-167134.76999999999</v>
      </c>
      <c r="DI154" s="255">
        <v>-321355.57</v>
      </c>
      <c r="DJ154" s="255">
        <v>-211761.25</v>
      </c>
      <c r="DK154" s="255">
        <v>-360029.77</v>
      </c>
      <c r="DL154" s="255">
        <v>-297233.02</v>
      </c>
      <c r="DM154" s="255">
        <v>-330560.06</v>
      </c>
      <c r="DO154" t="s">
        <v>341</v>
      </c>
      <c r="DP154" s="30">
        <f>IF(OR(MID(TBBP[[#This Row],[Coluna1]],1,1)="1",MID(TBBP[[#This Row],[Coluna1]],1,1)="2"),"-",SUMIFS(154:154,listaPeriodos,$DR$1,listaPeriodos,$DR$2))</f>
        <v>-1688074.44</v>
      </c>
      <c r="DQ154" s="30">
        <v>-251231.55</v>
      </c>
      <c r="DR154" s="30">
        <f t="shared" si="179"/>
        <v>-1507389.2999999998</v>
      </c>
      <c r="DS154" s="30"/>
      <c r="DT154" s="30"/>
      <c r="DU154"/>
    </row>
    <row r="155" spans="1:125" x14ac:dyDescent="0.3">
      <c r="A155" s="7" t="s">
        <v>342</v>
      </c>
      <c r="B155" t="s">
        <v>512</v>
      </c>
      <c r="C155" s="4">
        <v>0</v>
      </c>
      <c r="D155" s="4">
        <v>0</v>
      </c>
      <c r="E155" s="4">
        <v>0</v>
      </c>
      <c r="F155" s="4">
        <v>0</v>
      </c>
      <c r="G155" s="4">
        <v>-19425.849999999999</v>
      </c>
      <c r="H155" s="4">
        <v>-1243.9000000000001</v>
      </c>
      <c r="I155" s="4">
        <v>0</v>
      </c>
      <c r="J155" s="4">
        <v>-896.82</v>
      </c>
      <c r="K155" s="4">
        <v>-2280.64</v>
      </c>
      <c r="L155" s="4">
        <v>-220.31</v>
      </c>
      <c r="M155" s="4">
        <v>-3606.36</v>
      </c>
      <c r="N155" s="4">
        <v>0</v>
      </c>
      <c r="O155" s="4">
        <v>0</v>
      </c>
      <c r="P155" s="4">
        <v>-4825.8500000000004</v>
      </c>
      <c r="Q155" s="4">
        <v>-1876.03</v>
      </c>
      <c r="R155" s="4">
        <v>-386.74</v>
      </c>
      <c r="S155" s="4">
        <v>-1174.76</v>
      </c>
      <c r="T155" s="4">
        <f>IF(OR(MID(TBBP[[#This Row],[Coluna1]],1,1)="1",MID(TBBP[[#This Row],[Coluna1]],1,1)="2"),TBBP[[#This Row],[Coluna19]],SUM(H155:S155))</f>
        <v>-16511.41</v>
      </c>
      <c r="U155" s="4">
        <v>-2237.5100000000002</v>
      </c>
      <c r="V155" s="4">
        <v>-1857.17</v>
      </c>
      <c r="W155" s="4">
        <v>-1090.5999999999999</v>
      </c>
      <c r="X155" s="4">
        <v>-2064.73</v>
      </c>
      <c r="Y155" s="4">
        <v>-1146.6400000000001</v>
      </c>
      <c r="Z155" s="4">
        <v>-1088.22</v>
      </c>
      <c r="AA155" s="4">
        <v>-1615.39</v>
      </c>
      <c r="AB155" s="4">
        <v>-2893.8</v>
      </c>
      <c r="AC155" s="4">
        <v>0</v>
      </c>
      <c r="AD155" s="4">
        <v>-1305.07</v>
      </c>
      <c r="AE155" s="4">
        <v>-908.85</v>
      </c>
      <c r="AF155" s="4">
        <v>-888.6</v>
      </c>
      <c r="AG155" s="4">
        <f>IF(OR(MID(TBBP[[#This Row],[Coluna1]],1,1)="1",MID(TBBP[[#This Row],[Coluna1]],1,1)="2"),TBBP[[#This Row],[Coluna32]],SUM(U155:AF155))</f>
        <v>-17096.579999999998</v>
      </c>
      <c r="AH155" s="4">
        <v>-2688.7</v>
      </c>
      <c r="AI155" s="4">
        <v>-1989.27</v>
      </c>
      <c r="AJ155" s="4">
        <v>-1341.48</v>
      </c>
      <c r="AK155" s="4">
        <v>-2083.84</v>
      </c>
      <c r="AL155" s="4">
        <v>-1258.4000000000001</v>
      </c>
      <c r="AM155" s="4">
        <v>-1538.29</v>
      </c>
      <c r="AN155" s="4">
        <v>-3025.08</v>
      </c>
      <c r="AO155" s="4">
        <v>-4089.62</v>
      </c>
      <c r="AP155" s="4">
        <v>-4228.1899999999996</v>
      </c>
      <c r="AQ155" s="4">
        <v>-4138.3599999999997</v>
      </c>
      <c r="AR155" s="4">
        <v>-3152.25</v>
      </c>
      <c r="AS155" s="4">
        <v>-7269.03</v>
      </c>
      <c r="AT155" s="4">
        <f>IF(OR(MID(TBBP[[#This Row],[Coluna1]],1,1)="1",MID(TBBP[[#This Row],[Coluna1]],1,1)="2"),TBBP[[#This Row],[Coluna45]],SUM(AH155:AS155))</f>
        <v>-36802.51</v>
      </c>
      <c r="AU155" s="4">
        <v>-2305.7199999999998</v>
      </c>
      <c r="AV155" s="4">
        <v>-705.84</v>
      </c>
      <c r="AW155" s="4">
        <v>-16526.47</v>
      </c>
      <c r="AX155" s="4">
        <v>-7623.43</v>
      </c>
      <c r="AY155" s="4">
        <v>-4157.2299999999996</v>
      </c>
      <c r="AZ155" s="4">
        <v>-10468.76</v>
      </c>
      <c r="BA155" s="4">
        <v>-5205.71</v>
      </c>
      <c r="BB155" s="4">
        <v>-5075.16</v>
      </c>
      <c r="BC155" s="4">
        <v>-3539.45</v>
      </c>
      <c r="BD155" s="4">
        <v>-2886.48</v>
      </c>
      <c r="BE155" s="4">
        <v>-6319.53</v>
      </c>
      <c r="BF155" s="4">
        <v>-4131</v>
      </c>
      <c r="BG155" s="4">
        <f>IF(OR(MID(TBBP[[#This Row],[Coluna1]],1,1)="1",MID(TBBP[[#This Row],[Coluna1]],1,1)="2"),TBBP[[#This Row],[Coluna58]],SUM(AU155:BF155))</f>
        <v>-68944.78</v>
      </c>
      <c r="BH155" s="4">
        <v>-8968.69</v>
      </c>
      <c r="BI155" s="4">
        <v>-2296.54</v>
      </c>
      <c r="BJ155" s="4">
        <v>-13629.34</v>
      </c>
      <c r="BK155" s="4">
        <v>-3158.25</v>
      </c>
      <c r="BL155" s="4">
        <v>-2338.11</v>
      </c>
      <c r="BM155" s="4">
        <v>-1671.8</v>
      </c>
      <c r="BN155" s="4">
        <v>-5407.78</v>
      </c>
      <c r="BO155" s="4">
        <v>-9931</v>
      </c>
      <c r="BP155" s="4">
        <v>-13698.65</v>
      </c>
      <c r="BQ155" s="4">
        <v>-9672.56</v>
      </c>
      <c r="BR155" s="4">
        <v>-10992.51</v>
      </c>
      <c r="BS155" s="4">
        <v>-7871.63</v>
      </c>
      <c r="BT155" s="4">
        <f>IF(OR(MID(TBBP[[#This Row],[Coluna1]],1,1)="1",MID(TBBP[[#This Row],[Coluna1]],1,1)="2"),TBBP[[#This Row],[Coluna127]],SUM(BH155:BS155))</f>
        <v>-89636.86</v>
      </c>
      <c r="BU155" s="4">
        <v>-18632.72</v>
      </c>
      <c r="BV155" s="4">
        <v>-9112.15</v>
      </c>
      <c r="BW155" s="4">
        <v>-8796.9</v>
      </c>
      <c r="BX155" s="4">
        <v>-14931.81</v>
      </c>
      <c r="BY155" s="4">
        <v>-13442.38</v>
      </c>
      <c r="BZ155" s="4">
        <v>-16812.88</v>
      </c>
      <c r="CA155" s="4">
        <v>-16094.66</v>
      </c>
      <c r="CB155" s="4">
        <v>-15165.97</v>
      </c>
      <c r="CC155" s="4">
        <v>-8824.76</v>
      </c>
      <c r="CD155" s="4">
        <v>-10104.51</v>
      </c>
      <c r="CE155" s="4">
        <v>-19684.63</v>
      </c>
      <c r="CF155" s="4">
        <v>-10538.79</v>
      </c>
      <c r="CG155" s="4">
        <f>IF(OR(MID(TBBP[[#This Row],[Coluna1]],1,1)="1",MID(TBBP[[#This Row],[Coluna1]],1,1)="2"),CF155,SUM(BU155:CF155))</f>
        <v>-162142.16</v>
      </c>
      <c r="CH155" s="4">
        <v>-16798.3</v>
      </c>
      <c r="CI155" s="4">
        <v>-10593.84</v>
      </c>
      <c r="CJ155" s="4">
        <v>-6261.36</v>
      </c>
      <c r="CK155" s="4">
        <v>-17852.21</v>
      </c>
      <c r="CL155" s="4">
        <v>-8787.61</v>
      </c>
      <c r="CM155" s="4">
        <v>-25772.42</v>
      </c>
      <c r="CN155" s="4">
        <v>-34424.519999999997</v>
      </c>
      <c r="CO155" s="4">
        <v>-17496.46</v>
      </c>
      <c r="CP155" s="4">
        <v>-15807.88</v>
      </c>
      <c r="CQ155" s="4">
        <v>-22555.95</v>
      </c>
      <c r="CR155" s="4">
        <v>-18972.11</v>
      </c>
      <c r="CS155" s="4">
        <v>-13982.43</v>
      </c>
      <c r="CT155" s="4">
        <f>IF(OR(MID(TBBP[[#This Row],[Coluna1]],1,1)="1",MID(TBBP[[#This Row],[Coluna1]],1,1)="2"),CS155,SUM(CH155:CS155))</f>
        <v>-209305.08999999997</v>
      </c>
      <c r="CU155" s="255">
        <v>-10509.38</v>
      </c>
      <c r="CV155" s="255">
        <v>-6559.41</v>
      </c>
      <c r="CW155" s="255">
        <v>-7876.26</v>
      </c>
      <c r="CX155" s="255">
        <v>-22160.36</v>
      </c>
      <c r="CY155" s="255">
        <v>-12364.04</v>
      </c>
      <c r="CZ155" s="255">
        <v>-9390.3700000000008</v>
      </c>
      <c r="DA155" s="255">
        <v>-12450.58</v>
      </c>
      <c r="DB155" s="255">
        <v>-11959.13</v>
      </c>
      <c r="DC155" s="255">
        <v>-10329.700000000001</v>
      </c>
      <c r="DD155" s="255">
        <v>-11777.5</v>
      </c>
      <c r="DE155" s="255">
        <v>-8960.32</v>
      </c>
      <c r="DF155" s="255">
        <v>-6839.55</v>
      </c>
      <c r="DG155" s="255">
        <f>SUM(TBBP[[#This Row],[Coluna287]:[Coluna298]])</f>
        <v>-131176.6</v>
      </c>
      <c r="DH155" s="255">
        <v>-6184.54</v>
      </c>
      <c r="DI155" s="255">
        <v>-6108.76</v>
      </c>
      <c r="DJ155" s="255">
        <v>-5331.74</v>
      </c>
      <c r="DK155" s="255">
        <v>-1066.32</v>
      </c>
      <c r="DL155" s="255">
        <v>-4588.88</v>
      </c>
      <c r="DM155" s="255">
        <v>-12655.31</v>
      </c>
      <c r="DP155" s="30">
        <f>IF(OR(MID(TBBP[[#This Row],[Coluna1]],1,1)="1",MID(TBBP[[#This Row],[Coluna1]],1,1)="2"),"-",SUMIFS(155:155,listaPeriodos,$DR$1,listaPeriodos,$DR$2))</f>
        <v>-35935.550000000003</v>
      </c>
      <c r="DQ155" s="30"/>
      <c r="DR155" s="30">
        <f t="shared" si="179"/>
        <v>0</v>
      </c>
      <c r="DS155" s="30"/>
      <c r="DT155" s="30"/>
      <c r="DU155"/>
    </row>
    <row r="156" spans="1:125" x14ac:dyDescent="0.3">
      <c r="A156" s="7" t="s">
        <v>343</v>
      </c>
      <c r="B156" t="s">
        <v>513</v>
      </c>
      <c r="C156" s="4">
        <v>0</v>
      </c>
      <c r="D156" s="4">
        <v>0</v>
      </c>
      <c r="E156" s="4">
        <v>0</v>
      </c>
      <c r="F156" s="4">
        <v>0</v>
      </c>
      <c r="G156" s="4">
        <v>-66115.820000000007</v>
      </c>
      <c r="H156" s="4">
        <v>-2400.5500000000002</v>
      </c>
      <c r="I156" s="4">
        <v>-2077.12</v>
      </c>
      <c r="J156" s="4">
        <v>-5857.23</v>
      </c>
      <c r="K156" s="4">
        <v>-7396.74</v>
      </c>
      <c r="L156" s="4">
        <v>-6420.27</v>
      </c>
      <c r="M156" s="4">
        <v>-4947.25</v>
      </c>
      <c r="N156" s="4">
        <v>-8803.99</v>
      </c>
      <c r="O156" s="4">
        <v>-11701.01</v>
      </c>
      <c r="P156" s="4">
        <v>-12342.11</v>
      </c>
      <c r="Q156" s="4">
        <v>-3960.2</v>
      </c>
      <c r="R156" s="4">
        <v>-5539.47</v>
      </c>
      <c r="S156" s="4">
        <v>-5310.68</v>
      </c>
      <c r="T156" s="4">
        <f>IF(OR(MID(TBBP[[#This Row],[Coluna1]],1,1)="1",MID(TBBP[[#This Row],[Coluna1]],1,1)="2"),TBBP[[#This Row],[Coluna19]],SUM(H156:S156))</f>
        <v>-76756.62</v>
      </c>
      <c r="U156" s="4">
        <v>-13230.45</v>
      </c>
      <c r="V156" s="4">
        <v>-17276.439999999999</v>
      </c>
      <c r="W156" s="4">
        <v>-11170.88</v>
      </c>
      <c r="X156" s="4">
        <v>-13434.43</v>
      </c>
      <c r="Y156" s="4">
        <v>-13355.48</v>
      </c>
      <c r="Z156" s="4">
        <v>-14591.41</v>
      </c>
      <c r="AA156" s="4">
        <v>-13848.54</v>
      </c>
      <c r="AB156" s="4">
        <v>-12278.67</v>
      </c>
      <c r="AC156" s="4">
        <v>-10752.53</v>
      </c>
      <c r="AD156" s="4">
        <v>-14733.99</v>
      </c>
      <c r="AE156" s="4">
        <v>-11709.03</v>
      </c>
      <c r="AF156" s="4">
        <v>-11633.79</v>
      </c>
      <c r="AG156" s="4">
        <f>IF(OR(MID(TBBP[[#This Row],[Coluna1]],1,1)="1",MID(TBBP[[#This Row],[Coluna1]],1,1)="2"),TBBP[[#This Row],[Coluna32]],SUM(U156:AF156))</f>
        <v>-158015.64000000001</v>
      </c>
      <c r="AH156" s="4">
        <v>-4919.34</v>
      </c>
      <c r="AI156" s="4">
        <v>-12006.61</v>
      </c>
      <c r="AJ156" s="4">
        <v>-10306.19</v>
      </c>
      <c r="AK156" s="4">
        <v>-6140.14</v>
      </c>
      <c r="AL156" s="4">
        <v>-6613.74</v>
      </c>
      <c r="AM156" s="4">
        <v>-7551.5</v>
      </c>
      <c r="AN156" s="4">
        <v>-10181.73</v>
      </c>
      <c r="AO156" s="4">
        <v>-10210.370000000001</v>
      </c>
      <c r="AP156" s="4">
        <v>-15590.03</v>
      </c>
      <c r="AQ156" s="4">
        <v>-16442.32</v>
      </c>
      <c r="AR156" s="4">
        <v>-16422.2</v>
      </c>
      <c r="AS156" s="4">
        <v>-21727.25</v>
      </c>
      <c r="AT156" s="4">
        <f>IF(OR(MID(TBBP[[#This Row],[Coluna1]],1,1)="1",MID(TBBP[[#This Row],[Coluna1]],1,1)="2"),TBBP[[#This Row],[Coluna45]],SUM(AH156:AS156))</f>
        <v>-138111.41999999998</v>
      </c>
      <c r="AU156" s="4">
        <v>-13815.5</v>
      </c>
      <c r="AV156" s="4">
        <v>-16746.650000000001</v>
      </c>
      <c r="AW156" s="4">
        <v>-15271.06</v>
      </c>
      <c r="AX156" s="4">
        <v>-18748.64</v>
      </c>
      <c r="AY156" s="4">
        <v>-23768.17</v>
      </c>
      <c r="AZ156" s="4">
        <v>-18400.79</v>
      </c>
      <c r="BA156" s="4">
        <v>-31024.79</v>
      </c>
      <c r="BB156" s="4">
        <v>-30934.82</v>
      </c>
      <c r="BC156" s="4">
        <v>-26126.799999999999</v>
      </c>
      <c r="BD156" s="4">
        <v>-23848.97</v>
      </c>
      <c r="BE156" s="4">
        <v>-27656.61</v>
      </c>
      <c r="BF156" s="4">
        <v>-35088.67</v>
      </c>
      <c r="BG156" s="4">
        <f>IF(OR(MID(TBBP[[#This Row],[Coluna1]],1,1)="1",MID(TBBP[[#This Row],[Coluna1]],1,1)="2"),TBBP[[#This Row],[Coluna58]],SUM(AU156:BF156))</f>
        <v>-281431.46999999997</v>
      </c>
      <c r="BH156" s="4">
        <v>-4644.78</v>
      </c>
      <c r="BI156" s="4">
        <v>-34389.32</v>
      </c>
      <c r="BJ156" s="4">
        <v>-25114.699999999997</v>
      </c>
      <c r="BK156" s="4">
        <v>-51517.77</v>
      </c>
      <c r="BL156" s="4">
        <v>-52403.49</v>
      </c>
      <c r="BM156" s="4">
        <v>-63125.46</v>
      </c>
      <c r="BN156" s="4">
        <v>-38810.379999999997</v>
      </c>
      <c r="BO156" s="4">
        <v>-43873.22</v>
      </c>
      <c r="BP156" s="4">
        <v>-42474.97</v>
      </c>
      <c r="BQ156" s="4">
        <v>-34175.75</v>
      </c>
      <c r="BR156" s="4">
        <v>-31233.599999999999</v>
      </c>
      <c r="BS156" s="4">
        <v>-36940.75</v>
      </c>
      <c r="BT156" s="4">
        <f>IF(OR(MID(TBBP[[#This Row],[Coluna1]],1,1)="1",MID(TBBP[[#This Row],[Coluna1]],1,1)="2"),TBBP[[#This Row],[Coluna127]],SUM(BH156:BS156))</f>
        <v>-458704.18999999994</v>
      </c>
      <c r="BU156" s="4">
        <v>-19486.47</v>
      </c>
      <c r="BV156" s="4">
        <v>-43247.39</v>
      </c>
      <c r="BW156" s="4">
        <v>-26733.75</v>
      </c>
      <c r="BX156" s="4">
        <v>-43391.4</v>
      </c>
      <c r="BY156" s="4">
        <v>-46943.79</v>
      </c>
      <c r="BZ156" s="4">
        <v>-48046.18</v>
      </c>
      <c r="CA156" s="4">
        <v>-48333.04</v>
      </c>
      <c r="CB156" s="4">
        <v>-56292.79</v>
      </c>
      <c r="CC156" s="4">
        <v>-47660.41</v>
      </c>
      <c r="CD156" s="4">
        <v>-42376.94</v>
      </c>
      <c r="CE156" s="4">
        <v>-54441.08</v>
      </c>
      <c r="CF156" s="4">
        <v>-53330.94</v>
      </c>
      <c r="CG156" s="4">
        <f>IF(OR(MID(TBBP[[#This Row],[Coluna1]],1,1)="1",MID(TBBP[[#This Row],[Coluna1]],1,1)="2"),CF156,SUM(BU156:CF156))</f>
        <v>-530284.17999999993</v>
      </c>
      <c r="CH156" s="4">
        <v>-30063.09</v>
      </c>
      <c r="CI156" s="4">
        <v>-58921.05</v>
      </c>
      <c r="CJ156" s="4">
        <v>-43661.47</v>
      </c>
      <c r="CK156" s="4">
        <v>-40351.199999999997</v>
      </c>
      <c r="CL156" s="4">
        <v>-30621.93</v>
      </c>
      <c r="CM156" s="4">
        <v>-66656.100000000006</v>
      </c>
      <c r="CN156" s="4">
        <v>-86434.57</v>
      </c>
      <c r="CO156" s="4">
        <v>-67067.53</v>
      </c>
      <c r="CP156" s="4">
        <v>-62439.16</v>
      </c>
      <c r="CQ156" s="4">
        <v>-68157.820000000007</v>
      </c>
      <c r="CR156" s="4">
        <v>-62878.18</v>
      </c>
      <c r="CS156" s="4">
        <v>-80753.37</v>
      </c>
      <c r="CT156" s="4">
        <f>IF(OR(MID(TBBP[[#This Row],[Coluna1]],1,1)="1",MID(TBBP[[#This Row],[Coluna1]],1,1)="2"),CS156,SUM(CH156:CS156))</f>
        <v>-698005.47</v>
      </c>
      <c r="CU156" s="255">
        <v>-49242.7</v>
      </c>
      <c r="CV156" s="255">
        <v>-91414.17</v>
      </c>
      <c r="CW156" s="255">
        <v>-48651.839999999997</v>
      </c>
      <c r="CX156" s="255">
        <v>-137596.84</v>
      </c>
      <c r="CY156" s="255">
        <v>-78792.539999999994</v>
      </c>
      <c r="CZ156" s="255">
        <v>-94824.47</v>
      </c>
      <c r="DA156" s="255">
        <v>-72607.48</v>
      </c>
      <c r="DB156" s="255">
        <v>-103280.23</v>
      </c>
      <c r="DC156" s="255">
        <v>-97109.96</v>
      </c>
      <c r="DD156" s="255">
        <v>-92381.69</v>
      </c>
      <c r="DE156" s="255">
        <v>-82130.55</v>
      </c>
      <c r="DF156" s="255">
        <v>-101149.06</v>
      </c>
      <c r="DG156" s="255">
        <f>SUM(TBBP[[#This Row],[Coluna287]:[Coluna298]])</f>
        <v>-1049181.53</v>
      </c>
      <c r="DH156" s="255">
        <v>-60294.6</v>
      </c>
      <c r="DI156" s="255">
        <v>-95632.49</v>
      </c>
      <c r="DJ156" s="255">
        <v>-82432.19</v>
      </c>
      <c r="DK156" s="255">
        <v>-109299.09</v>
      </c>
      <c r="DL156" s="255">
        <v>-78730.38</v>
      </c>
      <c r="DM156" s="255">
        <v>-98046.02</v>
      </c>
      <c r="DP156" s="30">
        <f>IF(OR(MID(TBBP[[#This Row],[Coluna1]],1,1)="1",MID(TBBP[[#This Row],[Coluna1]],1,1)="2"),"-",SUMIFS(156:156,listaPeriodos,$DR$1,listaPeriodos,$DR$2))</f>
        <v>-524434.77</v>
      </c>
      <c r="DQ156" s="30"/>
      <c r="DR156" s="30">
        <f t="shared" si="179"/>
        <v>0</v>
      </c>
      <c r="DS156" s="30"/>
      <c r="DT156" s="30"/>
      <c r="DU156"/>
    </row>
    <row r="157" spans="1:125" x14ac:dyDescent="0.3">
      <c r="A157" s="7" t="s">
        <v>344</v>
      </c>
      <c r="B157" t="s">
        <v>514</v>
      </c>
      <c r="C157" s="4">
        <v>0</v>
      </c>
      <c r="D157" s="4">
        <v>0</v>
      </c>
      <c r="E157" s="4">
        <v>0</v>
      </c>
      <c r="F157" s="4">
        <v>0</v>
      </c>
      <c r="G157" s="4">
        <v>-165258.04</v>
      </c>
      <c r="H157" s="4">
        <v>-10974.85</v>
      </c>
      <c r="I157" s="4">
        <v>-11515.3</v>
      </c>
      <c r="J157" s="4">
        <v>-17221.96</v>
      </c>
      <c r="K157" s="4">
        <v>-6576.69</v>
      </c>
      <c r="L157" s="4">
        <v>-23478.41</v>
      </c>
      <c r="M157" s="4">
        <v>-9541.66</v>
      </c>
      <c r="N157" s="4">
        <v>-8032.75</v>
      </c>
      <c r="O157" s="4">
        <v>-23754.39</v>
      </c>
      <c r="P157" s="4">
        <v>-15932.73</v>
      </c>
      <c r="Q157" s="4">
        <v>-12829.49</v>
      </c>
      <c r="R157" s="4">
        <v>-11210.9</v>
      </c>
      <c r="S157" s="4">
        <v>-17951.740000000002</v>
      </c>
      <c r="T157" s="4">
        <f>IF(OR(MID(TBBP[[#This Row],[Coluna1]],1,1)="1",MID(TBBP[[#This Row],[Coluna1]],1,1)="2"),TBBP[[#This Row],[Coluna19]],SUM(H157:S157))</f>
        <v>-169020.87</v>
      </c>
      <c r="U157" s="4">
        <v>-16295.4</v>
      </c>
      <c r="V157" s="4">
        <v>-9119.2800000000007</v>
      </c>
      <c r="W157" s="4">
        <v>-16852.8</v>
      </c>
      <c r="X157" s="4">
        <v>-11297.21</v>
      </c>
      <c r="Y157" s="4">
        <v>-21513.759999999998</v>
      </c>
      <c r="Z157" s="4">
        <v>-11551.7</v>
      </c>
      <c r="AA157" s="4">
        <v>-12309.05</v>
      </c>
      <c r="AB157" s="4">
        <v>-12092.14</v>
      </c>
      <c r="AC157" s="4">
        <v>-1069.5999999999999</v>
      </c>
      <c r="AD157" s="4">
        <v>-2475.38</v>
      </c>
      <c r="AE157" s="4">
        <v>-14757.25</v>
      </c>
      <c r="AF157" s="4">
        <v>-35572.870000000003</v>
      </c>
      <c r="AG157" s="4">
        <f>IF(OR(MID(TBBP[[#This Row],[Coluna1]],1,1)="1",MID(TBBP[[#This Row],[Coluna1]],1,1)="2"),TBBP[[#This Row],[Coluna32]],SUM(U157:AF157))</f>
        <v>-164906.44</v>
      </c>
      <c r="AH157" s="4">
        <v>-25114.79</v>
      </c>
      <c r="AI157" s="4">
        <v>-16305.06</v>
      </c>
      <c r="AJ157" s="4">
        <v>-9288.14</v>
      </c>
      <c r="AK157" s="4">
        <v>-26131.94</v>
      </c>
      <c r="AL157" s="4">
        <v>-18355.11</v>
      </c>
      <c r="AM157" s="4">
        <v>-8647.23</v>
      </c>
      <c r="AN157" s="4">
        <v>-15846.66</v>
      </c>
      <c r="AO157" s="4">
        <v>-12909.07</v>
      </c>
      <c r="AP157" s="4">
        <v>-28129.32</v>
      </c>
      <c r="AQ157" s="4">
        <v>-18428.2</v>
      </c>
      <c r="AR157" s="4">
        <v>-42936.1</v>
      </c>
      <c r="AS157" s="4">
        <v>-17914.189999999999</v>
      </c>
      <c r="AT157" s="4">
        <f>IF(OR(MID(TBBP[[#This Row],[Coluna1]],1,1)="1",MID(TBBP[[#This Row],[Coluna1]],1,1)="2"),TBBP[[#This Row],[Coluna45]],SUM(AH157:AS157))</f>
        <v>-240005.81000000003</v>
      </c>
      <c r="AU157" s="4">
        <v>-1419.22</v>
      </c>
      <c r="AV157" s="4">
        <v>-34678.69</v>
      </c>
      <c r="AW157" s="4">
        <v>-52164.94</v>
      </c>
      <c r="AX157" s="4">
        <v>-34634.559999999998</v>
      </c>
      <c r="AY157" s="4">
        <v>-43010.46</v>
      </c>
      <c r="AZ157" s="4">
        <v>-25894.46</v>
      </c>
      <c r="BA157" s="4">
        <v>-27047.86</v>
      </c>
      <c r="BB157" s="4">
        <v>-34750.5</v>
      </c>
      <c r="BC157" s="4">
        <v>-33049.67</v>
      </c>
      <c r="BD157" s="4">
        <v>-34674.870000000003</v>
      </c>
      <c r="BE157" s="4">
        <v>-29650.82</v>
      </c>
      <c r="BF157" s="4">
        <v>-20812.22</v>
      </c>
      <c r="BG157" s="4">
        <f>IF(OR(MID(TBBP[[#This Row],[Coluna1]],1,1)="1",MID(TBBP[[#This Row],[Coluna1]],1,1)="2"),TBBP[[#This Row],[Coluna58]],SUM(AU157:BF157))</f>
        <v>-371788.27</v>
      </c>
      <c r="BH157" s="4">
        <v>-42772.89</v>
      </c>
      <c r="BI157" s="4">
        <v>-55041.55</v>
      </c>
      <c r="BJ157" s="4">
        <v>-54934.1</v>
      </c>
      <c r="BK157" s="4">
        <v>-66186.25</v>
      </c>
      <c r="BL157" s="4">
        <v>-17868.650000000001</v>
      </c>
      <c r="BM157" s="4">
        <v>-48276.28</v>
      </c>
      <c r="BN157" s="4">
        <v>-100228.28</v>
      </c>
      <c r="BO157" s="4">
        <v>-52782.23</v>
      </c>
      <c r="BP157" s="4">
        <v>-17291.21</v>
      </c>
      <c r="BQ157" s="4">
        <v>-169013.32</v>
      </c>
      <c r="BR157" s="4">
        <v>-4374.09</v>
      </c>
      <c r="BS157" s="4">
        <v>-85202.69</v>
      </c>
      <c r="BT157" s="4">
        <f>IF(OR(MID(TBBP[[#This Row],[Coluna1]],1,1)="1",MID(TBBP[[#This Row],[Coluna1]],1,1)="2"),TBBP[[#This Row],[Coluna127]],SUM(BH157:BS157))</f>
        <v>-713971.54</v>
      </c>
      <c r="BU157" s="4">
        <v>-49284.92</v>
      </c>
      <c r="BV157" s="4">
        <v>-91570.93</v>
      </c>
      <c r="BW157" s="4">
        <v>-64505.52</v>
      </c>
      <c r="BX157" s="4">
        <v>-66369.94</v>
      </c>
      <c r="BY157" s="4">
        <v>-42538.33</v>
      </c>
      <c r="BZ157" s="4">
        <v>-6433.81</v>
      </c>
      <c r="CA157" s="4">
        <v>-125620.97</v>
      </c>
      <c r="CB157" s="4">
        <v>-32042.2</v>
      </c>
      <c r="CC157" s="4">
        <v>-36831.870000000003</v>
      </c>
      <c r="CD157" s="4">
        <v>-91548.2</v>
      </c>
      <c r="CE157" s="4">
        <v>-139107.45000000001</v>
      </c>
      <c r="CF157" s="4">
        <v>-12808.3</v>
      </c>
      <c r="CG157" s="4">
        <f>IF(OR(MID(TBBP[[#This Row],[Coluna1]],1,1)="1",MID(TBBP[[#This Row],[Coluna1]],1,1)="2"),CF157,SUM(BU157:CF157))</f>
        <v>-758662.44</v>
      </c>
      <c r="CH157" s="4">
        <v>-328123.42</v>
      </c>
      <c r="CI157" s="4">
        <v>-148170.78</v>
      </c>
      <c r="CJ157" s="4">
        <v>-89782.399999999994</v>
      </c>
      <c r="CK157" s="4">
        <v>-130321.31</v>
      </c>
      <c r="CL157" s="4">
        <v>-142523.4</v>
      </c>
      <c r="CM157" s="4">
        <v>-142941.93</v>
      </c>
      <c r="CN157" s="4">
        <v>-106312.74</v>
      </c>
      <c r="CO157" s="4">
        <v>-99072.47</v>
      </c>
      <c r="CP157" s="4">
        <v>-120862.51</v>
      </c>
      <c r="CQ157" s="4">
        <v>-82191.12</v>
      </c>
      <c r="CR157" s="4">
        <v>-125671</v>
      </c>
      <c r="CS157" s="4">
        <v>-103357</v>
      </c>
      <c r="CT157" s="4">
        <f>IF(OR(MID(TBBP[[#This Row],[Coluna1]],1,1)="1",MID(TBBP[[#This Row],[Coluna1]],1,1)="2"),CS157,SUM(CH157:CS157))</f>
        <v>-1619330.08</v>
      </c>
      <c r="CU157" s="255">
        <v>-100383.8</v>
      </c>
      <c r="CV157" s="255">
        <v>-170544.16</v>
      </c>
      <c r="CW157" s="255">
        <v>-70154.95</v>
      </c>
      <c r="CX157" s="255">
        <v>-157308.59</v>
      </c>
      <c r="CY157" s="255">
        <v>-90232.07</v>
      </c>
      <c r="CZ157" s="255">
        <v>-110845.86</v>
      </c>
      <c r="DA157" s="255">
        <v>-112591.15</v>
      </c>
      <c r="DB157" s="255">
        <v>-128158.14</v>
      </c>
      <c r="DC157" s="255">
        <v>-140229.94</v>
      </c>
      <c r="DD157" s="255">
        <v>-139381.09</v>
      </c>
      <c r="DE157" s="255">
        <v>-114815</v>
      </c>
      <c r="DF157" s="255">
        <v>-125302.56</v>
      </c>
      <c r="DG157" s="255">
        <f>SUM(TBBP[[#This Row],[Coluna287]:[Coluna298]])</f>
        <v>-1459947.3100000003</v>
      </c>
      <c r="DH157" s="255">
        <v>-85415.99</v>
      </c>
      <c r="DI157" s="255">
        <v>-153631.51999999999</v>
      </c>
      <c r="DJ157" s="255">
        <v>-104162.23</v>
      </c>
      <c r="DK157" s="255">
        <v>-163276.04</v>
      </c>
      <c r="DL157" s="255">
        <v>-150296.96000000002</v>
      </c>
      <c r="DM157" s="255">
        <v>-157848.53</v>
      </c>
      <c r="DP157" s="30">
        <f>IF(OR(MID(TBBP[[#This Row],[Coluna1]],1,1)="1",MID(TBBP[[#This Row],[Coluna1]],1,1)="2"),"-",SUMIFS(157:157,listaPeriodos,$DR$1,listaPeriodos,$DR$2))</f>
        <v>-814631.27</v>
      </c>
      <c r="DQ157" s="30"/>
      <c r="DR157" s="30">
        <f t="shared" si="179"/>
        <v>0</v>
      </c>
      <c r="DS157" s="30"/>
      <c r="DT157" s="30"/>
      <c r="DU157"/>
    </row>
    <row r="158" spans="1:125" x14ac:dyDescent="0.3">
      <c r="A158" s="7" t="s">
        <v>345</v>
      </c>
      <c r="B158" t="s">
        <v>515</v>
      </c>
      <c r="C158" s="4">
        <v>0</v>
      </c>
      <c r="D158" s="4">
        <v>0</v>
      </c>
      <c r="E158" s="4">
        <v>0</v>
      </c>
      <c r="F158" s="4">
        <v>0</v>
      </c>
      <c r="G158" s="4">
        <v>-64573.64</v>
      </c>
      <c r="H158" s="4">
        <v>-1770.51</v>
      </c>
      <c r="I158" s="4">
        <v>-6806.38</v>
      </c>
      <c r="J158" s="4">
        <v>-5435.79</v>
      </c>
      <c r="K158" s="4">
        <v>-4808.34</v>
      </c>
      <c r="L158" s="4">
        <v>-13278.6</v>
      </c>
      <c r="M158" s="4">
        <v>-3851.53</v>
      </c>
      <c r="N158" s="4">
        <v>-3167.21</v>
      </c>
      <c r="O158" s="4">
        <v>-5120.57</v>
      </c>
      <c r="P158" s="4">
        <v>0</v>
      </c>
      <c r="Q158" s="4">
        <v>-11927.35</v>
      </c>
      <c r="R158" s="4">
        <v>-2271</v>
      </c>
      <c r="S158" s="4">
        <v>-4281.57</v>
      </c>
      <c r="T158" s="4">
        <f>IF(OR(MID(TBBP[[#This Row],[Coluna1]],1,1)="1",MID(TBBP[[#This Row],[Coluna1]],1,1)="2"),TBBP[[#This Row],[Coluna19]],SUM(H158:S158))</f>
        <v>-62718.85</v>
      </c>
      <c r="U158" s="4">
        <v>-4005.41</v>
      </c>
      <c r="V158" s="4">
        <v>-5138.87</v>
      </c>
      <c r="W158" s="4">
        <v>-5080.4799999999996</v>
      </c>
      <c r="X158" s="4">
        <v>-5047.63</v>
      </c>
      <c r="Y158" s="4">
        <v>-3567.66</v>
      </c>
      <c r="Z158" s="4">
        <v>-8019.66</v>
      </c>
      <c r="AA158" s="4">
        <v>-3656.29</v>
      </c>
      <c r="AB158" s="4">
        <v>-3732.72</v>
      </c>
      <c r="AC158" s="4">
        <v>-3526.22</v>
      </c>
      <c r="AD158" s="4">
        <v>-1981.22</v>
      </c>
      <c r="AE158" s="4">
        <v>-4175.08</v>
      </c>
      <c r="AF158" s="4">
        <v>-5593.15</v>
      </c>
      <c r="AG158" s="4">
        <f>IF(OR(MID(TBBP[[#This Row],[Coluna1]],1,1)="1",MID(TBBP[[#This Row],[Coluna1]],1,1)="2"),TBBP[[#This Row],[Coluna32]],SUM(U158:AF158))</f>
        <v>-53524.390000000007</v>
      </c>
      <c r="AH158" s="4">
        <v>-5253.48</v>
      </c>
      <c r="AI158" s="4">
        <v>-13380.25</v>
      </c>
      <c r="AJ158" s="4">
        <v>-4928.66</v>
      </c>
      <c r="AK158" s="4">
        <v>-4914.01</v>
      </c>
      <c r="AL158" s="4">
        <v>-2843.24</v>
      </c>
      <c r="AM158" s="4">
        <v>-5325.14</v>
      </c>
      <c r="AN158" s="4">
        <v>-6273.84</v>
      </c>
      <c r="AO158" s="4">
        <v>-3140.08</v>
      </c>
      <c r="AP158" s="4">
        <v>-14807.64</v>
      </c>
      <c r="AQ158" s="4">
        <v>-19867.12</v>
      </c>
      <c r="AR158" s="4">
        <v>-17446.61</v>
      </c>
      <c r="AS158" s="4">
        <v>-22778.09</v>
      </c>
      <c r="AT158" s="4">
        <f>IF(OR(MID(TBBP[[#This Row],[Coluna1]],1,1)="1",MID(TBBP[[#This Row],[Coluna1]],1,1)="2"),TBBP[[#This Row],[Coluna45]],SUM(AH158:AS158))</f>
        <v>-120958.15999999999</v>
      </c>
      <c r="AU158" s="4">
        <v>-13045.97</v>
      </c>
      <c r="AV158" s="4">
        <v>-12428.39</v>
      </c>
      <c r="AW158" s="4">
        <v>-13622.81</v>
      </c>
      <c r="AX158" s="4">
        <v>-10114.709999999999</v>
      </c>
      <c r="AY158" s="4">
        <v>-6271.67</v>
      </c>
      <c r="AZ158" s="4">
        <v>-26573.52</v>
      </c>
      <c r="BA158" s="4">
        <v>-13358.71</v>
      </c>
      <c r="BB158" s="4">
        <v>-10097.290000000001</v>
      </c>
      <c r="BC158" s="4">
        <v>-14829.5</v>
      </c>
      <c r="BD158" s="4">
        <v>-30948.18</v>
      </c>
      <c r="BE158" s="4">
        <v>-34959.14</v>
      </c>
      <c r="BF158" s="4">
        <v>-5677.12</v>
      </c>
      <c r="BG158" s="4">
        <f>IF(OR(MID(TBBP[[#This Row],[Coluna1]],1,1)="1",MID(TBBP[[#This Row],[Coluna1]],1,1)="2"),TBBP[[#This Row],[Coluna58]],SUM(AU158:BF158))</f>
        <v>-191927.01</v>
      </c>
      <c r="BH158" s="4">
        <v>-19206.439999999999</v>
      </c>
      <c r="BI158" s="4">
        <v>-8304.7800000000007</v>
      </c>
      <c r="BJ158" s="4">
        <v>-19685.88</v>
      </c>
      <c r="BK158" s="4">
        <v>-15123.03</v>
      </c>
      <c r="BL158" s="4">
        <v>-19678.439999999999</v>
      </c>
      <c r="BM158" s="4">
        <v>-49747.12</v>
      </c>
      <c r="BN158" s="4">
        <v>-18966.650000000001</v>
      </c>
      <c r="BO158" s="4">
        <v>-20634.66</v>
      </c>
      <c r="BP158" s="4">
        <v>-15546.48</v>
      </c>
      <c r="BQ158" s="4">
        <v>-17306.48</v>
      </c>
      <c r="BR158" s="4">
        <v>-6144.18</v>
      </c>
      <c r="BS158" s="4">
        <v>-7967.85</v>
      </c>
      <c r="BT158" s="4">
        <f>IF(OR(MID(TBBP[[#This Row],[Coluna1]],1,1)="1",MID(TBBP[[#This Row],[Coluna1]],1,1)="2"),TBBP[[#This Row],[Coluna127]],SUM(BH158:BS158))</f>
        <v>-218311.99000000002</v>
      </c>
      <c r="BU158" s="4">
        <v>-13075.29</v>
      </c>
      <c r="BV158" s="4">
        <v>-10525.54</v>
      </c>
      <c r="BW158" s="4">
        <v>-8920.68</v>
      </c>
      <c r="BX158" s="4">
        <v>-9124.8700000000008</v>
      </c>
      <c r="BY158" s="4">
        <v>-7628.84</v>
      </c>
      <c r="BZ158" s="4">
        <v>-6511.07</v>
      </c>
      <c r="CA158" s="4">
        <v>-7794.25</v>
      </c>
      <c r="CB158" s="4">
        <v>-10488.28</v>
      </c>
      <c r="CC158" s="4">
        <v>-11967.1</v>
      </c>
      <c r="CD158" s="4">
        <v>-20630.22</v>
      </c>
      <c r="CE158" s="4">
        <v>-27312.37</v>
      </c>
      <c r="CF158" s="4">
        <v>-13441.28</v>
      </c>
      <c r="CG158" s="4">
        <f>IF(OR(MID(TBBP[[#This Row],[Coluna1]],1,1)="1",MID(TBBP[[#This Row],[Coluna1]],1,1)="2"),CF158,SUM(BU158:CF158))</f>
        <v>-147419.79</v>
      </c>
      <c r="CH158" s="4">
        <v>-17502.54</v>
      </c>
      <c r="CI158" s="4">
        <v>-15921.27</v>
      </c>
      <c r="CJ158" s="4">
        <v>-31595.5</v>
      </c>
      <c r="CK158" s="4">
        <v>-17694.87</v>
      </c>
      <c r="CL158" s="4">
        <v>-31554.98</v>
      </c>
      <c r="CM158" s="4">
        <v>-24739.56</v>
      </c>
      <c r="CN158" s="4">
        <v>-35807.31</v>
      </c>
      <c r="CO158" s="4">
        <v>-67051.399999999994</v>
      </c>
      <c r="CP158" s="4">
        <v>-29565.32</v>
      </c>
      <c r="CQ158" s="4">
        <v>-12241.68</v>
      </c>
      <c r="CR158" s="4">
        <v>-29562.14</v>
      </c>
      <c r="CS158" s="4">
        <v>-37368.050000000003</v>
      </c>
      <c r="CT158" s="4">
        <f>IF(OR(MID(TBBP[[#This Row],[Coluna1]],1,1)="1",MID(TBBP[[#This Row],[Coluna1]],1,1)="2"),CS158,SUM(CH158:CS158))</f>
        <v>-350604.62</v>
      </c>
      <c r="CU158" s="255">
        <v>-16233.09</v>
      </c>
      <c r="CV158" s="255">
        <v>-61467.77</v>
      </c>
      <c r="CW158" s="255">
        <v>-7178.88</v>
      </c>
      <c r="CX158" s="255">
        <v>-52096.76</v>
      </c>
      <c r="CY158" s="255">
        <v>-10665.62</v>
      </c>
      <c r="CZ158" s="255">
        <v>-20385.98</v>
      </c>
      <c r="DA158" s="255">
        <v>-28994.21</v>
      </c>
      <c r="DB158" s="255">
        <v>-40521.620000000003</v>
      </c>
      <c r="DC158" s="255">
        <v>-19122.79</v>
      </c>
      <c r="DD158" s="255">
        <v>-29756.23</v>
      </c>
      <c r="DE158" s="255">
        <v>-38250.129999999997</v>
      </c>
      <c r="DF158" s="255">
        <v>-38581.370000000003</v>
      </c>
      <c r="DG158" s="255">
        <f>SUM(TBBP[[#This Row],[Coluna287]:[Coluna298]])</f>
        <v>-363254.45</v>
      </c>
      <c r="DH158" s="255">
        <v>-15239.64</v>
      </c>
      <c r="DI158" s="255">
        <v>-38535.26</v>
      </c>
      <c r="DJ158" s="255">
        <v>-3614.89</v>
      </c>
      <c r="DK158" s="255">
        <v>-68698.460000000006</v>
      </c>
      <c r="DL158" s="255">
        <v>-49806.11</v>
      </c>
      <c r="DM158" s="255">
        <v>-44467.76</v>
      </c>
      <c r="DP158" s="30">
        <f>IF(OR(MID(TBBP[[#This Row],[Coluna1]],1,1)="1",MID(TBBP[[#This Row],[Coluna1]],1,1)="2"),"-",SUMIFS(158:158,listaPeriodos,$DR$1,listaPeriodos,$DR$2))</f>
        <v>-220362.12</v>
      </c>
      <c r="DQ158" s="30"/>
      <c r="DR158" s="30">
        <f t="shared" si="179"/>
        <v>0</v>
      </c>
      <c r="DS158" s="30"/>
      <c r="DT158" s="30"/>
      <c r="DU158"/>
    </row>
    <row r="159" spans="1:125" x14ac:dyDescent="0.3">
      <c r="A159" s="7" t="s">
        <v>346</v>
      </c>
      <c r="B159" t="s">
        <v>516</v>
      </c>
      <c r="C159" s="4">
        <v>0</v>
      </c>
      <c r="D159" s="4">
        <v>0</v>
      </c>
      <c r="E159" s="4">
        <v>0</v>
      </c>
      <c r="F159" s="4">
        <v>0</v>
      </c>
      <c r="G159" s="4">
        <v>-16865.27</v>
      </c>
      <c r="H159" s="4">
        <v>-1181.74</v>
      </c>
      <c r="I159" s="4">
        <v>-1957.41</v>
      </c>
      <c r="J159" s="4">
        <v>0</v>
      </c>
      <c r="K159" s="4">
        <v>-1429.18</v>
      </c>
      <c r="L159" s="4">
        <v>-3711.93</v>
      </c>
      <c r="M159" s="4">
        <v>0</v>
      </c>
      <c r="N159" s="4">
        <v>-1434.04</v>
      </c>
      <c r="O159" s="4">
        <v>-2202.62</v>
      </c>
      <c r="P159" s="4">
        <v>-1987.15</v>
      </c>
      <c r="Q159" s="4">
        <v>-1601.34</v>
      </c>
      <c r="R159" s="4">
        <v>0</v>
      </c>
      <c r="S159" s="4">
        <v>-2617.64</v>
      </c>
      <c r="T159" s="4">
        <f>IF(OR(MID(TBBP[[#This Row],[Coluna1]],1,1)="1",MID(TBBP[[#This Row],[Coluna1]],1,1)="2"),TBBP[[#This Row],[Coluna19]],SUM(H159:S159))</f>
        <v>-18123.05</v>
      </c>
      <c r="U159" s="4">
        <v>-2154.83</v>
      </c>
      <c r="V159" s="4">
        <v>-1957.61</v>
      </c>
      <c r="W159" s="4">
        <v>-2850.77</v>
      </c>
      <c r="X159" s="4">
        <v>-1939.83</v>
      </c>
      <c r="Y159" s="4">
        <v>-1760.83</v>
      </c>
      <c r="Z159" s="4">
        <v>-2335.06</v>
      </c>
      <c r="AA159" s="4">
        <v>-2133.63</v>
      </c>
      <c r="AB159" s="4">
        <v>-3927.37</v>
      </c>
      <c r="AC159" s="4">
        <v>-1847.7</v>
      </c>
      <c r="AD159" s="4">
        <v>-2372.9</v>
      </c>
      <c r="AE159" s="4">
        <v>-2475.16</v>
      </c>
      <c r="AF159" s="4">
        <v>-3014.68</v>
      </c>
      <c r="AG159" s="4">
        <f>IF(OR(MID(TBBP[[#This Row],[Coluna1]],1,1)="1",MID(TBBP[[#This Row],[Coluna1]],1,1)="2"),TBBP[[#This Row],[Coluna32]],SUM(U159:AF159))</f>
        <v>-28770.37</v>
      </c>
      <c r="AH159" s="4">
        <v>-1143.26</v>
      </c>
      <c r="AI159" s="4">
        <v>-1373.21</v>
      </c>
      <c r="AJ159" s="4">
        <v>-4195.49</v>
      </c>
      <c r="AK159" s="4">
        <v>0</v>
      </c>
      <c r="AL159" s="4">
        <v>-1271.49</v>
      </c>
      <c r="AM159" s="4">
        <v>-1522.51</v>
      </c>
      <c r="AN159" s="4">
        <v>-1805.81</v>
      </c>
      <c r="AO159" s="4">
        <v>-1812.5</v>
      </c>
      <c r="AP159" s="4">
        <v>-2606.37</v>
      </c>
      <c r="AQ159" s="4">
        <v>-430.6</v>
      </c>
      <c r="AR159" s="4">
        <v>-3678.5</v>
      </c>
      <c r="AS159" s="4">
        <v>-3473.3</v>
      </c>
      <c r="AT159" s="4">
        <f>IF(OR(MID(TBBP[[#This Row],[Coluna1]],1,1)="1",MID(TBBP[[#This Row],[Coluna1]],1,1)="2"),TBBP[[#This Row],[Coluna45]],SUM(AH159:AS159))</f>
        <v>-23313.039999999997</v>
      </c>
      <c r="AU159" s="4">
        <v>-2758.56</v>
      </c>
      <c r="AV159" s="4">
        <v>-2367.84</v>
      </c>
      <c r="AW159" s="4">
        <v>-2133.73</v>
      </c>
      <c r="AX159" s="4">
        <v>-6400.18</v>
      </c>
      <c r="AY159" s="4">
        <v>-3388.03</v>
      </c>
      <c r="AZ159" s="4">
        <v>-3624.38</v>
      </c>
      <c r="BA159" s="4">
        <v>0</v>
      </c>
      <c r="BB159" s="4">
        <v>-8539.2800000000007</v>
      </c>
      <c r="BC159" s="4">
        <v>-3661.09</v>
      </c>
      <c r="BD159" s="4">
        <v>0</v>
      </c>
      <c r="BE159" s="4">
        <v>-9070.14</v>
      </c>
      <c r="BF159" s="4">
        <v>0</v>
      </c>
      <c r="BG159" s="4">
        <f>IF(OR(MID(TBBP[[#This Row],[Coluna1]],1,1)="1",MID(TBBP[[#This Row],[Coluna1]],1,1)="2"),TBBP[[#This Row],[Coluna58]],SUM(AU159:BF159))</f>
        <v>-41943.229999999996</v>
      </c>
      <c r="BH159" s="4">
        <v>-4952.24</v>
      </c>
      <c r="BI159" s="4">
        <v>-3736.28</v>
      </c>
      <c r="BJ159" s="4">
        <v>-5343.47</v>
      </c>
      <c r="BK159" s="4">
        <v>-9155.5300000000007</v>
      </c>
      <c r="BL159" s="4">
        <v>-6201.51</v>
      </c>
      <c r="BM159" s="4">
        <v>-6375.26</v>
      </c>
      <c r="BN159" s="4">
        <v>-5638.32</v>
      </c>
      <c r="BO159" s="4">
        <v>-7748.9</v>
      </c>
      <c r="BP159" s="4">
        <v>-8026.43</v>
      </c>
      <c r="BQ159" s="4">
        <v>0</v>
      </c>
      <c r="BR159" s="4">
        <v>-6285.59</v>
      </c>
      <c r="BS159" s="4">
        <v>-4916.32</v>
      </c>
      <c r="BT159" s="4">
        <f>IF(OR(MID(TBBP[[#This Row],[Coluna1]],1,1)="1",MID(TBBP[[#This Row],[Coluna1]],1,1)="2"),TBBP[[#This Row],[Coluna127]],SUM(BH159:BS159))</f>
        <v>-68379.850000000006</v>
      </c>
      <c r="BU159" s="4">
        <v>-13019.7</v>
      </c>
      <c r="BV159" s="4">
        <v>-6601.72</v>
      </c>
      <c r="BW159" s="4">
        <v>0</v>
      </c>
      <c r="BX159" s="4">
        <v>-8281.77</v>
      </c>
      <c r="BY159" s="4">
        <v>-16765.8</v>
      </c>
      <c r="BZ159" s="4">
        <v>-112</v>
      </c>
      <c r="CA159" s="4">
        <v>-8561.08</v>
      </c>
      <c r="CB159" s="4">
        <v>-10311.67</v>
      </c>
      <c r="CC159" s="4">
        <v>-10943.74</v>
      </c>
      <c r="CD159" s="4">
        <v>-8877.6299999999992</v>
      </c>
      <c r="CE159" s="4">
        <v>-9796.39</v>
      </c>
      <c r="CF159" s="4">
        <v>-9241.02</v>
      </c>
      <c r="CG159" s="4">
        <f>IF(OR(MID(TBBP[[#This Row],[Coluna1]],1,1)="1",MID(TBBP[[#This Row],[Coluna1]],1,1)="2"),CF159,SUM(BU159:CF159))</f>
        <v>-102512.52000000002</v>
      </c>
      <c r="CH159" s="4">
        <v>-8015.72</v>
      </c>
      <c r="CI159" s="4">
        <v>-7322.68</v>
      </c>
      <c r="CJ159" s="4">
        <v>-10044.879999999999</v>
      </c>
      <c r="CK159" s="4">
        <v>-9457.6</v>
      </c>
      <c r="CL159" s="4">
        <v>-12255.19</v>
      </c>
      <c r="CM159" s="4">
        <v>-12207.08</v>
      </c>
      <c r="CN159" s="4">
        <v>-11913.34</v>
      </c>
      <c r="CO159" s="4">
        <v>-16213.15</v>
      </c>
      <c r="CP159" s="4">
        <v>-15555.52</v>
      </c>
      <c r="CQ159" s="4">
        <v>-23935.16</v>
      </c>
      <c r="CR159" s="4">
        <v>0</v>
      </c>
      <c r="CS159" s="4">
        <v>-11447.21</v>
      </c>
      <c r="CT159" s="4">
        <f>IF(OR(MID(TBBP[[#This Row],[Coluna1]],1,1)="1",MID(TBBP[[#This Row],[Coluna1]],1,1)="2"),CS159,SUM(CH159:CS159))</f>
        <v>-138367.53</v>
      </c>
      <c r="CU159" s="255">
        <v>-13550.33</v>
      </c>
      <c r="CV159" s="255">
        <v>-10076.01</v>
      </c>
      <c r="CW159" s="255">
        <v>-12391.97</v>
      </c>
      <c r="CX159" s="255">
        <v>-11233.23</v>
      </c>
      <c r="CY159" s="255">
        <v>-11865.48</v>
      </c>
      <c r="CZ159" s="255">
        <v>-14647.94</v>
      </c>
      <c r="DA159" s="255">
        <v>-15046.66</v>
      </c>
      <c r="DB159" s="255">
        <v>-17067.41</v>
      </c>
      <c r="DC159" s="255">
        <v>-14418.93</v>
      </c>
      <c r="DD159" s="255">
        <v>-13088.2</v>
      </c>
      <c r="DE159" s="255">
        <v>-15933.34</v>
      </c>
      <c r="DF159" s="255">
        <v>-13885.27</v>
      </c>
      <c r="DG159" s="255">
        <f>SUM(TBBP[[#This Row],[Coluna287]:[Coluna298]])</f>
        <v>-163204.76999999999</v>
      </c>
      <c r="DH159" s="255">
        <v>0</v>
      </c>
      <c r="DI159" s="255">
        <v>-27447.54</v>
      </c>
      <c r="DJ159" s="255">
        <v>-16220.2</v>
      </c>
      <c r="DK159" s="255">
        <v>-17689.86</v>
      </c>
      <c r="DL159" s="255">
        <v>-13810.69</v>
      </c>
      <c r="DM159" s="255">
        <v>-17542.439999999999</v>
      </c>
      <c r="DP159" s="30">
        <f>IF(OR(MID(TBBP[[#This Row],[Coluna1]],1,1)="1",MID(TBBP[[#This Row],[Coluna1]],1,1)="2"),"-",SUMIFS(159:159,listaPeriodos,$DR$1,listaPeriodos,$DR$2))</f>
        <v>-92710.73000000001</v>
      </c>
      <c r="DQ159" s="30"/>
      <c r="DR159" s="30">
        <f t="shared" si="179"/>
        <v>0</v>
      </c>
      <c r="DS159" s="30"/>
      <c r="DT159" s="30"/>
      <c r="DU159"/>
    </row>
    <row r="160" spans="1:125" x14ac:dyDescent="0.3">
      <c r="A160" s="7" t="s">
        <v>347</v>
      </c>
      <c r="B160" t="s">
        <v>517</v>
      </c>
      <c r="C160" s="4">
        <v>0</v>
      </c>
      <c r="D160" s="4">
        <v>0</v>
      </c>
      <c r="E160" s="4">
        <v>0</v>
      </c>
      <c r="F160" s="4">
        <v>0</v>
      </c>
      <c r="G160" s="4">
        <v>-75998.3</v>
      </c>
      <c r="H160" s="4">
        <v>-819.17</v>
      </c>
      <c r="I160" s="4">
        <v>-2472.29</v>
      </c>
      <c r="J160" s="4">
        <v>-5149.7299999999996</v>
      </c>
      <c r="K160" s="4">
        <v>-1657.3</v>
      </c>
      <c r="L160" s="4">
        <v>-4714.5499999999993</v>
      </c>
      <c r="M160" s="4">
        <v>-6510.67</v>
      </c>
      <c r="N160" s="4">
        <v>-6242.42</v>
      </c>
      <c r="O160" s="4">
        <v>-6486.01</v>
      </c>
      <c r="P160" s="4">
        <v>-3096.41</v>
      </c>
      <c r="Q160" s="4">
        <v>-5251.2</v>
      </c>
      <c r="R160" s="4">
        <v>-2915.7</v>
      </c>
      <c r="S160" s="4">
        <v>-1911.23</v>
      </c>
      <c r="T160" s="4">
        <f>IF(OR(MID(TBBP[[#This Row],[Coluna1]],1,1)="1",MID(TBBP[[#This Row],[Coluna1]],1,1)="2"),TBBP[[#This Row],[Coluna19]],SUM(H160:S160))</f>
        <v>-47226.68</v>
      </c>
      <c r="U160" s="4">
        <v>-11162.01</v>
      </c>
      <c r="V160" s="4">
        <v>-9644.69</v>
      </c>
      <c r="W160" s="4">
        <v>-5806.7</v>
      </c>
      <c r="X160" s="4">
        <v>-2451.35</v>
      </c>
      <c r="Y160" s="4">
        <v>-9022.15</v>
      </c>
      <c r="Z160" s="4">
        <v>-7042.58</v>
      </c>
      <c r="AA160" s="4">
        <v>-9994.33</v>
      </c>
      <c r="AB160" s="4">
        <v>-4864.09</v>
      </c>
      <c r="AC160" s="4">
        <v>-3983.87</v>
      </c>
      <c r="AD160" s="4">
        <v>-6676.35</v>
      </c>
      <c r="AE160" s="4">
        <v>-4186.4399999999996</v>
      </c>
      <c r="AF160" s="4">
        <v>-3131.57</v>
      </c>
      <c r="AG160" s="4">
        <f>IF(OR(MID(TBBP[[#This Row],[Coluna1]],1,1)="1",MID(TBBP[[#This Row],[Coluna1]],1,1)="2"),TBBP[[#This Row],[Coluna32]],SUM(U160:AF160))</f>
        <v>-77966.130000000019</v>
      </c>
      <c r="AH160" s="4">
        <v>-3507.89</v>
      </c>
      <c r="AI160" s="4">
        <v>-3716.7099999999996</v>
      </c>
      <c r="AJ160" s="4">
        <v>-2759.07</v>
      </c>
      <c r="AK160" s="4">
        <v>-453.4699999999998</v>
      </c>
      <c r="AL160" s="4">
        <v>-4242.47</v>
      </c>
      <c r="AM160" s="4">
        <v>-4221.83</v>
      </c>
      <c r="AN160" s="4">
        <v>-12778.8</v>
      </c>
      <c r="AO160" s="4">
        <v>-8693.83</v>
      </c>
      <c r="AP160" s="4">
        <v>-15752.36</v>
      </c>
      <c r="AQ160" s="4">
        <v>-11915.49</v>
      </c>
      <c r="AR160" s="4">
        <v>-12109.12</v>
      </c>
      <c r="AS160" s="4">
        <v>-11073.05</v>
      </c>
      <c r="AT160" s="4">
        <f>IF(OR(MID(TBBP[[#This Row],[Coluna1]],1,1)="1",MID(TBBP[[#This Row],[Coluna1]],1,1)="2"),TBBP[[#This Row],[Coluna45]],SUM(AH160:AS160))</f>
        <v>-91224.09</v>
      </c>
      <c r="AU160" s="4">
        <v>-5355.66</v>
      </c>
      <c r="AV160" s="4">
        <v>-14908.16</v>
      </c>
      <c r="AW160" s="4">
        <v>-12468.48</v>
      </c>
      <c r="AX160" s="4">
        <v>-11665.189999999999</v>
      </c>
      <c r="AY160" s="4">
        <v>-10146.700000000001</v>
      </c>
      <c r="AZ160" s="4">
        <v>-18895.34</v>
      </c>
      <c r="BA160" s="4">
        <v>-20124.670000000002</v>
      </c>
      <c r="BB160" s="4">
        <v>-13432.42</v>
      </c>
      <c r="BC160" s="4">
        <v>-15182.710000000001</v>
      </c>
      <c r="BD160" s="4">
        <v>-19417.830000000002</v>
      </c>
      <c r="BE160" s="4">
        <v>-9774.7800000000007</v>
      </c>
      <c r="BF160" s="4">
        <v>-7980.4499999999989</v>
      </c>
      <c r="BG160" s="4">
        <f>IF(OR(MID(TBBP[[#This Row],[Coluna1]],1,1)="1",MID(TBBP[[#This Row],[Coluna1]],1,1)="2"),TBBP[[#This Row],[Coluna58]],SUM(AU160:BF160))</f>
        <v>-159352.39000000001</v>
      </c>
      <c r="BH160" s="4">
        <v>-41653.22</v>
      </c>
      <c r="BI160" s="4">
        <v>-16647.489999999998</v>
      </c>
      <c r="BJ160" s="4">
        <v>-14724.27</v>
      </c>
      <c r="BK160" s="4">
        <v>-6606.51</v>
      </c>
      <c r="BL160" s="4">
        <v>-14063.12</v>
      </c>
      <c r="BM160" s="4">
        <v>-13244.38</v>
      </c>
      <c r="BN160" s="4">
        <v>-16498.25</v>
      </c>
      <c r="BO160" s="4">
        <v>-9812.7900000000009</v>
      </c>
      <c r="BP160" s="4">
        <v>-17143.900000000001</v>
      </c>
      <c r="BQ160" s="4">
        <v>-21237.91</v>
      </c>
      <c r="BR160" s="4">
        <v>-20933.830000000002</v>
      </c>
      <c r="BS160" s="4">
        <v>-9169.0499999999993</v>
      </c>
      <c r="BT160" s="4">
        <f>IF(OR(MID(TBBP[[#This Row],[Coluna1]],1,1)="1",MID(TBBP[[#This Row],[Coluna1]],1,1)="2"),TBBP[[#This Row],[Coluna127]],SUM(BH160:BS160))</f>
        <v>-201734.71999999997</v>
      </c>
      <c r="BU160" s="4">
        <v>-18029.939999999999</v>
      </c>
      <c r="BV160" s="4">
        <v>-19484.060000000001</v>
      </c>
      <c r="BW160" s="4">
        <v>-20182.5</v>
      </c>
      <c r="BX160" s="4">
        <v>-19857.68</v>
      </c>
      <c r="BY160" s="4">
        <v>-36969.43</v>
      </c>
      <c r="BZ160" s="4">
        <v>-12093.98</v>
      </c>
      <c r="CA160" s="4">
        <v>-34522.969999999994</v>
      </c>
      <c r="CB160" s="4">
        <v>-31980.25</v>
      </c>
      <c r="CC160" s="4">
        <v>-22752.3</v>
      </c>
      <c r="CD160" s="4">
        <v>-33673.950000000004</v>
      </c>
      <c r="CE160" s="4">
        <v>-22099.040000000001</v>
      </c>
      <c r="CF160" s="4">
        <v>-13251.1</v>
      </c>
      <c r="CG160" s="4">
        <f>IF(OR(MID(TBBP[[#This Row],[Coluna1]],1,1)="1",MID(TBBP[[#This Row],[Coluna1]],1,1)="2"),CF160,SUM(BU160:CF160))</f>
        <v>-284897.19999999995</v>
      </c>
      <c r="CH160" s="4">
        <v>-32069.760000000002</v>
      </c>
      <c r="CI160" s="4">
        <v>-17758.11</v>
      </c>
      <c r="CJ160" s="4">
        <v>-28374.050000000003</v>
      </c>
      <c r="CK160" s="4">
        <v>-34213.75</v>
      </c>
      <c r="CL160" s="4">
        <v>-51913.120000000003</v>
      </c>
      <c r="CM160" s="4">
        <v>-17740.39</v>
      </c>
      <c r="CN160" s="4">
        <v>-27371.73</v>
      </c>
      <c r="CO160" s="4">
        <v>-25366.560000000001</v>
      </c>
      <c r="CP160" s="4">
        <v>585.02000000000044</v>
      </c>
      <c r="CQ160" s="4">
        <v>-29978.059999999998</v>
      </c>
      <c r="CR160" s="4">
        <v>-28115.759999999998</v>
      </c>
      <c r="CS160" s="4">
        <v>-21414.02</v>
      </c>
      <c r="CT160" s="4">
        <f>IF(OR(MID(TBBP[[#This Row],[Coluna1]],1,1)="1",MID(TBBP[[#This Row],[Coluna1]],1,1)="2"),CS160,SUM(CH160:CS160))</f>
        <v>-313730.29000000004</v>
      </c>
      <c r="CU160" s="255">
        <v>-41994.41</v>
      </c>
      <c r="CV160" s="255">
        <v>-54282.13</v>
      </c>
      <c r="CW160" s="255">
        <v>-36081.399999999994</v>
      </c>
      <c r="CX160" s="255">
        <v>-37442.25</v>
      </c>
      <c r="CY160" s="255">
        <v>-55546.289999999994</v>
      </c>
      <c r="CZ160" s="255">
        <v>-44203.5</v>
      </c>
      <c r="DA160" s="255">
        <v>-55536.43</v>
      </c>
      <c r="DB160" s="255">
        <v>-52383.76</v>
      </c>
      <c r="DC160" s="255">
        <v>-46207.770000000004</v>
      </c>
      <c r="DD160" s="255">
        <v>-38007.939999999995</v>
      </c>
      <c r="DE160" s="255">
        <v>-21558.98</v>
      </c>
      <c r="DF160" s="255">
        <v>-29704.94</v>
      </c>
      <c r="DG160" s="255">
        <f>SUM(TBBP[[#This Row],[Coluna287]:[Coluna298]])</f>
        <v>-512949.8</v>
      </c>
      <c r="DH160" s="255">
        <v>-40168.300000000003</v>
      </c>
      <c r="DI160" s="255">
        <v>-39502.920000000006</v>
      </c>
      <c r="DJ160" s="255">
        <v>-32925.82</v>
      </c>
      <c r="DK160" s="255">
        <v>-51814.71</v>
      </c>
      <c r="DL160" s="255">
        <v>-52294.41</v>
      </c>
      <c r="DM160" s="255">
        <v>-61404.84</v>
      </c>
      <c r="DO160" t="s">
        <v>347</v>
      </c>
      <c r="DP160" s="30">
        <f>IF(OR(MID(TBBP[[#This Row],[Coluna1]],1,1)="1",MID(TBBP[[#This Row],[Coluna1]],1,1)="2"),"-",SUMIFS(160:160,listaPeriodos,$DR$1,listaPeriodos,$DR$2))</f>
        <v>-278111</v>
      </c>
      <c r="DQ160" s="30">
        <v>-57519.54</v>
      </c>
      <c r="DR160" s="30">
        <f t="shared" si="179"/>
        <v>-345117.24</v>
      </c>
      <c r="DS160" s="30"/>
      <c r="DT160" s="30"/>
      <c r="DU160"/>
    </row>
    <row r="161" spans="1:125" x14ac:dyDescent="0.3">
      <c r="A161" s="7" t="s">
        <v>348</v>
      </c>
      <c r="B161" t="s">
        <v>518</v>
      </c>
      <c r="C161" s="4">
        <v>0</v>
      </c>
      <c r="D161" s="4">
        <v>0</v>
      </c>
      <c r="E161" s="4">
        <v>0</v>
      </c>
      <c r="F161" s="4">
        <v>0</v>
      </c>
      <c r="G161" s="4">
        <v>-20380</v>
      </c>
      <c r="H161" s="4">
        <v>-734</v>
      </c>
      <c r="I161" s="4">
        <v>-380</v>
      </c>
      <c r="J161" s="4">
        <v>-865</v>
      </c>
      <c r="K161" s="4">
        <v>-981</v>
      </c>
      <c r="L161" s="4">
        <v>-610</v>
      </c>
      <c r="M161" s="4">
        <v>-3960</v>
      </c>
      <c r="N161" s="4">
        <v>-1750</v>
      </c>
      <c r="O161" s="4">
        <v>-2168</v>
      </c>
      <c r="P161" s="4">
        <v>-400</v>
      </c>
      <c r="Q161" s="4">
        <v>-1880</v>
      </c>
      <c r="R161" s="4">
        <v>-680</v>
      </c>
      <c r="S161" s="4">
        <v>-1031</v>
      </c>
      <c r="T161" s="4">
        <f>IF(OR(MID(TBBP[[#This Row],[Coluna1]],1,1)="1",MID(TBBP[[#This Row],[Coluna1]],1,1)="2"),TBBP[[#This Row],[Coluna19]],SUM(H161:S161))</f>
        <v>-15439</v>
      </c>
      <c r="U161" s="4">
        <v>-4160.47</v>
      </c>
      <c r="V161" s="4">
        <v>-5261.77</v>
      </c>
      <c r="W161" s="4">
        <v>-3765.21</v>
      </c>
      <c r="X161" s="4">
        <v>-1505.18</v>
      </c>
      <c r="Y161" s="4">
        <v>-4162.3</v>
      </c>
      <c r="Z161" s="4">
        <v>-2461.11</v>
      </c>
      <c r="AA161" s="4">
        <v>-4849.0600000000004</v>
      </c>
      <c r="AB161" s="4">
        <v>-2295.25</v>
      </c>
      <c r="AC161" s="4">
        <v>-2041.41</v>
      </c>
      <c r="AD161" s="4">
        <v>-1870.83</v>
      </c>
      <c r="AE161" s="4">
        <v>-1257.96</v>
      </c>
      <c r="AF161" s="4">
        <v>-2002.74</v>
      </c>
      <c r="AG161" s="4">
        <f>IF(OR(MID(TBBP[[#This Row],[Coluna1]],1,1)="1",MID(TBBP[[#This Row],[Coluna1]],1,1)="2"),TBBP[[#This Row],[Coluna32]],SUM(U161:AF161))</f>
        <v>-35633.29</v>
      </c>
      <c r="AH161" s="4">
        <v>-861</v>
      </c>
      <c r="AI161" s="4">
        <v>-1169.8699999999999</v>
      </c>
      <c r="AJ161" s="4">
        <v>-2002.93</v>
      </c>
      <c r="AK161" s="4">
        <v>-900.61</v>
      </c>
      <c r="AL161" s="4">
        <v>-3092.9</v>
      </c>
      <c r="AM161" s="4">
        <v>-888</v>
      </c>
      <c r="AN161" s="4">
        <v>-5999.29</v>
      </c>
      <c r="AO161" s="4">
        <v>-2198.91</v>
      </c>
      <c r="AP161" s="4">
        <v>-9166.49</v>
      </c>
      <c r="AQ161" s="4">
        <v>-5501.59</v>
      </c>
      <c r="AR161" s="4">
        <v>-3164</v>
      </c>
      <c r="AS161" s="4">
        <v>-4680.99</v>
      </c>
      <c r="AT161" s="4">
        <f>IF(OR(MID(TBBP[[#This Row],[Coluna1]],1,1)="1",MID(TBBP[[#This Row],[Coluna1]],1,1)="2"),TBBP[[#This Row],[Coluna45]],SUM(AH161:AS161))</f>
        <v>-39626.579999999994</v>
      </c>
      <c r="AU161" s="4">
        <v>-2622</v>
      </c>
      <c r="AV161" s="4">
        <v>-7990.2000000000007</v>
      </c>
      <c r="AW161" s="4">
        <v>-3121.05</v>
      </c>
      <c r="AX161" s="4">
        <v>-1674.62</v>
      </c>
      <c r="AY161" s="4">
        <v>-5620.66</v>
      </c>
      <c r="AZ161" s="4">
        <v>-9528.01</v>
      </c>
      <c r="BA161" s="4">
        <v>-9617.02</v>
      </c>
      <c r="BB161" s="4">
        <v>-5105.21</v>
      </c>
      <c r="BC161" s="4">
        <v>-8137.54</v>
      </c>
      <c r="BD161" s="4">
        <v>-13417.29</v>
      </c>
      <c r="BE161" s="4">
        <v>-3991.16</v>
      </c>
      <c r="BF161" s="4">
        <v>-6480.5</v>
      </c>
      <c r="BG161" s="4">
        <f>IF(OR(MID(TBBP[[#This Row],[Coluna1]],1,1)="1",MID(TBBP[[#This Row],[Coluna1]],1,1)="2"),TBBP[[#This Row],[Coluna58]],SUM(AU161:BF161))</f>
        <v>-77305.260000000009</v>
      </c>
      <c r="BH161" s="4">
        <v>-31377.579999999998</v>
      </c>
      <c r="BI161" s="4">
        <v>-12901.18</v>
      </c>
      <c r="BJ161" s="4">
        <v>-9535.6600000000017</v>
      </c>
      <c r="BK161" s="4">
        <v>-349</v>
      </c>
      <c r="BL161" s="4">
        <v>-3620.2</v>
      </c>
      <c r="BM161" s="4">
        <v>-6607.76</v>
      </c>
      <c r="BN161" s="4">
        <v>-11577.82</v>
      </c>
      <c r="BO161" s="4">
        <v>-5361.49</v>
      </c>
      <c r="BP161" s="4">
        <v>-13805.63</v>
      </c>
      <c r="BQ161" s="4">
        <v>-13778.64</v>
      </c>
      <c r="BR161" s="4">
        <v>-12566.32</v>
      </c>
      <c r="BS161" s="4">
        <v>-6477.8</v>
      </c>
      <c r="BT161" s="4">
        <f>IF(OR(MID(TBBP[[#This Row],[Coluna1]],1,1)="1",MID(TBBP[[#This Row],[Coluna1]],1,1)="2"),TBBP[[#This Row],[Coluna127]],SUM(BH161:BS161))</f>
        <v>-127959.08</v>
      </c>
      <c r="BU161" s="4">
        <v>-10781.11</v>
      </c>
      <c r="BV161" s="4">
        <v>-11978.03</v>
      </c>
      <c r="BW161" s="4">
        <v>-8101.63</v>
      </c>
      <c r="BX161" s="4">
        <v>-4870.96</v>
      </c>
      <c r="BY161" s="4">
        <v>-28032.95</v>
      </c>
      <c r="BZ161" s="4">
        <v>-8431.24</v>
      </c>
      <c r="CA161" s="4">
        <v>-12454.34</v>
      </c>
      <c r="CB161" s="4">
        <v>-14538.83</v>
      </c>
      <c r="CC161" s="4">
        <v>-6730</v>
      </c>
      <c r="CD161" s="4">
        <v>-8104.03</v>
      </c>
      <c r="CE161" s="4">
        <v>-5969.45</v>
      </c>
      <c r="CF161" s="4">
        <v>-5288.55</v>
      </c>
      <c r="CG161" s="4">
        <f>IF(OR(MID(TBBP[[#This Row],[Coluna1]],1,1)="1",MID(TBBP[[#This Row],[Coluna1]],1,1)="2"),CF161,SUM(BU161:CF161))</f>
        <v>-125281.12000000001</v>
      </c>
      <c r="CH161" s="4">
        <v>-17279.599999999999</v>
      </c>
      <c r="CI161" s="4">
        <v>-9233.6200000000008</v>
      </c>
      <c r="CJ161" s="4">
        <v>-12499.3</v>
      </c>
      <c r="CK161" s="4">
        <v>-17067.34</v>
      </c>
      <c r="CL161" s="4">
        <v>-17646.259999999998</v>
      </c>
      <c r="CM161" s="4">
        <v>-6759.49</v>
      </c>
      <c r="CN161" s="4">
        <v>-11011.38</v>
      </c>
      <c r="CO161" s="4">
        <v>-16276.86</v>
      </c>
      <c r="CP161" s="4">
        <v>-12534.83</v>
      </c>
      <c r="CQ161" s="4">
        <v>-15966.06</v>
      </c>
      <c r="CR161" s="4">
        <v>-14088.72</v>
      </c>
      <c r="CS161" s="4">
        <v>-13021.35</v>
      </c>
      <c r="CT161" s="4">
        <f>IF(OR(MID(TBBP[[#This Row],[Coluna1]],1,1)="1",MID(TBBP[[#This Row],[Coluna1]],1,1)="2"),CS161,SUM(CH161:CS161))</f>
        <v>-163384.81000000003</v>
      </c>
      <c r="CU161" s="255">
        <v>-13419.07</v>
      </c>
      <c r="CV161" s="255">
        <v>-28882.959999999999</v>
      </c>
      <c r="CW161" s="255">
        <v>-14314.7</v>
      </c>
      <c r="CX161" s="255">
        <v>-8599.16</v>
      </c>
      <c r="CY161" s="255">
        <v>-24570.52</v>
      </c>
      <c r="CZ161" s="255">
        <v>-18259.18</v>
      </c>
      <c r="DA161" s="255">
        <v>-19265.689999999999</v>
      </c>
      <c r="DB161" s="255">
        <v>-15057.36</v>
      </c>
      <c r="DC161" s="255">
        <v>-28686.53</v>
      </c>
      <c r="DD161" s="255">
        <v>-14624.58</v>
      </c>
      <c r="DE161" s="255">
        <v>-8076.71</v>
      </c>
      <c r="DF161" s="255">
        <v>-14505.34</v>
      </c>
      <c r="DG161" s="255">
        <f>SUM(TBBP[[#This Row],[Coluna287]:[Coluna298]])</f>
        <v>-208261.8</v>
      </c>
      <c r="DH161" s="255">
        <v>-14913.03</v>
      </c>
      <c r="DI161" s="255">
        <v>-11763.95</v>
      </c>
      <c r="DJ161" s="255">
        <v>-13213.5</v>
      </c>
      <c r="DK161" s="255">
        <v>-8618.68</v>
      </c>
      <c r="DL161" s="255">
        <v>-30663.360000000001</v>
      </c>
      <c r="DM161" s="255">
        <v>-27379.05</v>
      </c>
      <c r="DP161" s="30">
        <f>IF(OR(MID(TBBP[[#This Row],[Coluna1]],1,1)="1",MID(TBBP[[#This Row],[Coluna1]],1,1)="2"),"-",SUMIFS(161:161,listaPeriodos,$DR$1,listaPeriodos,$DR$2))</f>
        <v>-106551.57</v>
      </c>
      <c r="DQ161" s="30"/>
      <c r="DR161" s="30">
        <f t="shared" si="179"/>
        <v>0</v>
      </c>
      <c r="DS161" s="30"/>
      <c r="DT161" s="30"/>
      <c r="DU161"/>
    </row>
    <row r="162" spans="1:125" x14ac:dyDescent="0.3">
      <c r="A162" s="7" t="s">
        <v>349</v>
      </c>
      <c r="B162" t="s">
        <v>519</v>
      </c>
      <c r="C162" s="4">
        <v>0</v>
      </c>
      <c r="D162" s="4">
        <v>0</v>
      </c>
      <c r="E162" s="4">
        <v>0</v>
      </c>
      <c r="F162" s="4">
        <v>0</v>
      </c>
      <c r="G162" s="4">
        <v>-34394.36</v>
      </c>
      <c r="H162" s="4">
        <v>-83</v>
      </c>
      <c r="I162" s="4">
        <v>-1674.43</v>
      </c>
      <c r="J162" s="4">
        <v>-1016</v>
      </c>
      <c r="K162" s="4">
        <v>-388.6</v>
      </c>
      <c r="L162" s="4">
        <v>-2423.41</v>
      </c>
      <c r="M162" s="4">
        <v>-2152.9699999999998</v>
      </c>
      <c r="N162" s="4">
        <v>-4100.59</v>
      </c>
      <c r="O162" s="4">
        <v>-3770</v>
      </c>
      <c r="P162" s="4">
        <v>-2408.71</v>
      </c>
      <c r="Q162" s="4">
        <v>-2797.15</v>
      </c>
      <c r="R162" s="4">
        <v>-1948</v>
      </c>
      <c r="S162" s="4">
        <v>-696.65</v>
      </c>
      <c r="T162" s="4">
        <f>IF(OR(MID(TBBP[[#This Row],[Coluna1]],1,1)="1",MID(TBBP[[#This Row],[Coluna1]],1,1)="2"),TBBP[[#This Row],[Coluna19]],SUM(H162:S162))</f>
        <v>-23459.510000000002</v>
      </c>
      <c r="U162" s="4">
        <v>-5908.21</v>
      </c>
      <c r="V162" s="4">
        <v>-2161.88</v>
      </c>
      <c r="W162" s="4">
        <v>-763.07</v>
      </c>
      <c r="X162" s="4">
        <v>-967</v>
      </c>
      <c r="Y162" s="4">
        <v>-3686.52</v>
      </c>
      <c r="Z162" s="4">
        <v>-4286.8999999999996</v>
      </c>
      <c r="AA162" s="4">
        <v>-4694.5</v>
      </c>
      <c r="AB162" s="4">
        <v>-2014</v>
      </c>
      <c r="AC162" s="4">
        <v>-1121.6500000000001</v>
      </c>
      <c r="AD162" s="4">
        <v>-2200</v>
      </c>
      <c r="AE162" s="4">
        <v>-1731.1</v>
      </c>
      <c r="AF162" s="4">
        <v>-634.32000000000005</v>
      </c>
      <c r="AG162" s="4">
        <f>IF(OR(MID(TBBP[[#This Row],[Coluna1]],1,1)="1",MID(TBBP[[#This Row],[Coluna1]],1,1)="2"),TBBP[[#This Row],[Coluna32]],SUM(U162:AF162))</f>
        <v>-30169.15</v>
      </c>
      <c r="AH162" s="4">
        <v>-1344.1</v>
      </c>
      <c r="AI162" s="4">
        <v>-2290.0100000000002</v>
      </c>
      <c r="AJ162" s="4">
        <v>-219.15</v>
      </c>
      <c r="AK162" s="4">
        <v>-1818</v>
      </c>
      <c r="AL162" s="4">
        <v>-614.70000000000005</v>
      </c>
      <c r="AM162" s="4">
        <v>-2798.96</v>
      </c>
      <c r="AN162" s="4">
        <v>-6344.64</v>
      </c>
      <c r="AO162" s="4">
        <v>-6060.05</v>
      </c>
      <c r="AP162" s="4">
        <v>-6151</v>
      </c>
      <c r="AQ162" s="4">
        <v>-5274.7</v>
      </c>
      <c r="AR162" s="4">
        <v>-8410.25</v>
      </c>
      <c r="AS162" s="4">
        <v>-5258.5</v>
      </c>
      <c r="AT162" s="4">
        <f>IF(OR(MID(TBBP[[#This Row],[Coluna1]],1,1)="1",MID(TBBP[[#This Row],[Coluna1]],1,1)="2"),TBBP[[#This Row],[Coluna45]],SUM(AH162:AS162))</f>
        <v>-46584.06</v>
      </c>
      <c r="AU162" s="4">
        <v>-1793</v>
      </c>
      <c r="AV162" s="4">
        <v>-4718.58</v>
      </c>
      <c r="AW162" s="4">
        <v>-7732.62</v>
      </c>
      <c r="AX162" s="4">
        <v>-8391.3799999999992</v>
      </c>
      <c r="AY162" s="4">
        <v>-2344</v>
      </c>
      <c r="AZ162" s="4">
        <v>-7994.75</v>
      </c>
      <c r="BA162" s="4">
        <v>-9780.6299999999992</v>
      </c>
      <c r="BB162" s="4">
        <v>-7030.91</v>
      </c>
      <c r="BC162" s="4">
        <v>-5120</v>
      </c>
      <c r="BD162" s="4">
        <v>-4626.95</v>
      </c>
      <c r="BE162" s="4">
        <v>-2788.85</v>
      </c>
      <c r="BF162" s="4">
        <v>-2434.42</v>
      </c>
      <c r="BG162" s="4">
        <f>IF(OR(MID(TBBP[[#This Row],[Coluna1]],1,1)="1",MID(TBBP[[#This Row],[Coluna1]],1,1)="2"),TBBP[[#This Row],[Coluna58]],SUM(AU162:BF162))</f>
        <v>-64756.089999999989</v>
      </c>
      <c r="BH162" s="4">
        <v>-7846.66</v>
      </c>
      <c r="BI162" s="4">
        <v>-2523.25</v>
      </c>
      <c r="BJ162" s="4">
        <v>-3782.4</v>
      </c>
      <c r="BK162" s="4">
        <v>-3966.54</v>
      </c>
      <c r="BL162" s="4">
        <v>-9012.4699999999993</v>
      </c>
      <c r="BM162" s="4">
        <v>-4247.63</v>
      </c>
      <c r="BN162" s="4">
        <v>-3463.95</v>
      </c>
      <c r="BO162" s="4">
        <v>-3129.5</v>
      </c>
      <c r="BP162" s="4">
        <v>-2308.7199999999998</v>
      </c>
      <c r="BQ162" s="4">
        <v>-4490.49</v>
      </c>
      <c r="BR162" s="4">
        <v>-6872</v>
      </c>
      <c r="BS162" s="4">
        <v>-830</v>
      </c>
      <c r="BT162" s="4">
        <f>IF(OR(MID(TBBP[[#This Row],[Coluna1]],1,1)="1",MID(TBBP[[#This Row],[Coluna1]],1,1)="2"),TBBP[[#This Row],[Coluna127]],SUM(BH162:BS162))</f>
        <v>-52473.61</v>
      </c>
      <c r="BU162" s="4">
        <v>-5126.97</v>
      </c>
      <c r="BV162" s="4">
        <v>-4312.8</v>
      </c>
      <c r="BW162" s="4">
        <v>-7034.19</v>
      </c>
      <c r="BX162" s="4">
        <v>-12838.3</v>
      </c>
      <c r="BY162" s="4">
        <v>-7149.92</v>
      </c>
      <c r="BZ162" s="4">
        <v>-3964.88</v>
      </c>
      <c r="CA162" s="4">
        <v>-19670.3</v>
      </c>
      <c r="CB162" s="4">
        <v>-12994.78</v>
      </c>
      <c r="CC162" s="4">
        <v>-13410.48</v>
      </c>
      <c r="CD162" s="4">
        <v>-24619.91</v>
      </c>
      <c r="CE162" s="4">
        <v>-13469.78</v>
      </c>
      <c r="CF162" s="4">
        <v>-5331.53</v>
      </c>
      <c r="CG162" s="4">
        <f>IF(OR(MID(TBBP[[#This Row],[Coluna1]],1,1)="1",MID(TBBP[[#This Row],[Coluna1]],1,1)="2"),CF162,SUM(BU162:CF162))</f>
        <v>-129923.84</v>
      </c>
      <c r="CH162" s="4">
        <v>-9910.17</v>
      </c>
      <c r="CI162" s="4">
        <v>-5515.26</v>
      </c>
      <c r="CJ162" s="4">
        <v>-7588.13</v>
      </c>
      <c r="CK162" s="4">
        <v>-14912.49</v>
      </c>
      <c r="CL162" s="4">
        <v>-31481.93</v>
      </c>
      <c r="CM162" s="4">
        <v>-9019.01</v>
      </c>
      <c r="CN162" s="4">
        <v>-14210.11</v>
      </c>
      <c r="CO162" s="4">
        <v>-6070.01</v>
      </c>
      <c r="CP162" s="4">
        <v>15884.66</v>
      </c>
      <c r="CQ162" s="4">
        <v>-11584.83</v>
      </c>
      <c r="CR162" s="4">
        <v>-10299.209999999999</v>
      </c>
      <c r="CS162" s="4">
        <v>-4840.72</v>
      </c>
      <c r="CT162" s="4">
        <f>IF(OR(MID(TBBP[[#This Row],[Coluna1]],1,1)="1",MID(TBBP[[#This Row],[Coluna1]],1,1)="2"),CS162,SUM(CH162:CS162))</f>
        <v>-109547.20999999999</v>
      </c>
      <c r="CU162" s="255">
        <v>-25373.71</v>
      </c>
      <c r="CV162" s="255">
        <v>-19420.29</v>
      </c>
      <c r="CW162" s="255">
        <v>-18865.330000000002</v>
      </c>
      <c r="CX162" s="255">
        <v>-20633.62</v>
      </c>
      <c r="CY162" s="255">
        <v>-21845.83</v>
      </c>
      <c r="CZ162" s="255">
        <v>-21142.04</v>
      </c>
      <c r="DA162" s="255">
        <v>-31635.550000000003</v>
      </c>
      <c r="DB162" s="255">
        <v>-29943.360000000001</v>
      </c>
      <c r="DC162" s="255">
        <v>-11038.02</v>
      </c>
      <c r="DD162" s="255">
        <v>-18771.59</v>
      </c>
      <c r="DE162" s="255">
        <v>-9397.7999999999993</v>
      </c>
      <c r="DF162" s="255">
        <v>-10802.75</v>
      </c>
      <c r="DG162" s="255">
        <f>SUM(TBBP[[#This Row],[Coluna287]:[Coluna298]])</f>
        <v>-238869.88999999996</v>
      </c>
      <c r="DH162" s="255">
        <v>-20353.13</v>
      </c>
      <c r="DI162" s="255">
        <v>-23577.5</v>
      </c>
      <c r="DJ162" s="255">
        <v>-12999.94</v>
      </c>
      <c r="DK162" s="255">
        <v>-37641.22</v>
      </c>
      <c r="DL162" s="255">
        <v>-16022.23</v>
      </c>
      <c r="DM162" s="255">
        <v>-27777.1</v>
      </c>
      <c r="DP162" s="30">
        <f>IF(OR(MID(TBBP[[#This Row],[Coluna1]],1,1)="1",MID(TBBP[[#This Row],[Coluna1]],1,1)="2"),"-",SUMIFS(162:162,listaPeriodos,$DR$1,listaPeriodos,$DR$2))</f>
        <v>-138371.12</v>
      </c>
      <c r="DQ162" s="30"/>
      <c r="DR162" s="30">
        <f t="shared" si="179"/>
        <v>0</v>
      </c>
      <c r="DS162" s="30"/>
      <c r="DT162" s="30"/>
      <c r="DU162"/>
    </row>
    <row r="163" spans="1:125" x14ac:dyDescent="0.3">
      <c r="A163" s="7" t="s">
        <v>350</v>
      </c>
      <c r="B163" t="s">
        <v>520</v>
      </c>
      <c r="C163" s="4">
        <v>0</v>
      </c>
      <c r="D163" s="4">
        <v>0</v>
      </c>
      <c r="E163" s="4">
        <v>0</v>
      </c>
      <c r="F163" s="4">
        <v>0</v>
      </c>
      <c r="G163" s="4">
        <v>-494.58</v>
      </c>
      <c r="H163" s="4">
        <v>-143.57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f>IF(OR(MID(TBBP[[#This Row],[Coluna1]],1,1)="1",MID(TBBP[[#This Row],[Coluna1]],1,1)="2"),TBBP[[#This Row],[Coluna19]],SUM(H163:S163))</f>
        <v>-143.57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f>IF(OR(MID(TBBP[[#This Row],[Coluna1]],1,1)="1",MID(TBBP[[#This Row],[Coluna1]],1,1)="2"),TBBP[[#This Row],[Coluna32]],SUM(U163:AF163))</f>
        <v>0</v>
      </c>
      <c r="AH163" s="4">
        <v>0</v>
      </c>
      <c r="AI163" s="4">
        <v>0</v>
      </c>
      <c r="AJ163" s="4">
        <v>0</v>
      </c>
      <c r="AK163" s="4">
        <v>0</v>
      </c>
      <c r="AL163" s="4">
        <v>0</v>
      </c>
      <c r="AM163" s="4">
        <v>0</v>
      </c>
      <c r="AN163" s="4">
        <v>0</v>
      </c>
      <c r="AO163" s="4">
        <v>0</v>
      </c>
      <c r="AP163" s="4">
        <v>0</v>
      </c>
      <c r="AQ163" s="4">
        <v>0</v>
      </c>
      <c r="AR163" s="4">
        <v>0</v>
      </c>
      <c r="AS163" s="4">
        <v>0</v>
      </c>
      <c r="AT163" s="4">
        <f>IF(OR(MID(TBBP[[#This Row],[Coluna1]],1,1)="1",MID(TBBP[[#This Row],[Coluna1]],1,1)="2"),TBBP[[#This Row],[Coluna45]],SUM(AH163:AS163))</f>
        <v>0</v>
      </c>
      <c r="AU163" s="4">
        <v>0</v>
      </c>
      <c r="AV163" s="4">
        <v>0</v>
      </c>
      <c r="AW163" s="4">
        <v>0</v>
      </c>
      <c r="AX163" s="4">
        <v>0</v>
      </c>
      <c r="AY163" s="4">
        <v>0</v>
      </c>
      <c r="AZ163" s="4">
        <v>0</v>
      </c>
      <c r="BA163" s="4">
        <v>0</v>
      </c>
      <c r="BB163" s="4">
        <v>0</v>
      </c>
      <c r="BC163" s="4">
        <v>0</v>
      </c>
      <c r="BD163" s="4">
        <v>0</v>
      </c>
      <c r="BE163" s="4">
        <v>0</v>
      </c>
      <c r="BF163" s="4">
        <v>0</v>
      </c>
      <c r="BG163" s="4">
        <f>IF(OR(MID(TBBP[[#This Row],[Coluna1]],1,1)="1",MID(TBBP[[#This Row],[Coluna1]],1,1)="2"),TBBP[[#This Row],[Coluna58]],SUM(AU163:BF163))</f>
        <v>0</v>
      </c>
      <c r="BH163" s="4">
        <v>0</v>
      </c>
      <c r="BI163" s="4">
        <v>0</v>
      </c>
      <c r="BJ163" s="4">
        <v>0</v>
      </c>
      <c r="BK163" s="4">
        <v>0</v>
      </c>
      <c r="BL163" s="4">
        <v>0</v>
      </c>
      <c r="BM163" s="4">
        <v>0</v>
      </c>
      <c r="BN163" s="4">
        <v>0</v>
      </c>
      <c r="BO163" s="4">
        <v>0</v>
      </c>
      <c r="BP163" s="4">
        <v>0</v>
      </c>
      <c r="BQ163" s="4">
        <v>0</v>
      </c>
      <c r="BR163" s="4">
        <v>0</v>
      </c>
      <c r="BS163" s="4">
        <v>0</v>
      </c>
      <c r="BT163" s="4">
        <f>IF(OR(MID(TBBP[[#This Row],[Coluna1]],1,1)="1",MID(TBBP[[#This Row],[Coluna1]],1,1)="2"),TBBP[[#This Row],[Coluna127]],SUM(BH163:BS163))</f>
        <v>0</v>
      </c>
      <c r="BU163" s="4">
        <v>0</v>
      </c>
      <c r="BV163" s="4">
        <v>0</v>
      </c>
      <c r="BW163" s="4">
        <v>0</v>
      </c>
      <c r="BX163" s="4">
        <v>0</v>
      </c>
      <c r="BY163" s="4">
        <v>0</v>
      </c>
      <c r="BZ163" s="4">
        <v>0</v>
      </c>
      <c r="CA163" s="4">
        <v>0</v>
      </c>
      <c r="CB163" s="4">
        <v>0</v>
      </c>
      <c r="CC163" s="4">
        <v>0</v>
      </c>
      <c r="CD163" s="4">
        <v>0</v>
      </c>
      <c r="CE163" s="4">
        <v>0</v>
      </c>
      <c r="CF163" s="4">
        <v>0</v>
      </c>
      <c r="CG163" s="4">
        <f>IF(OR(MID(TBBP[[#This Row],[Coluna1]],1,1)="1",MID(TBBP[[#This Row],[Coluna1]],1,1)="2"),CF163,SUM(BU163:CF163))</f>
        <v>0</v>
      </c>
      <c r="CH163" s="4">
        <v>0</v>
      </c>
      <c r="CI163" s="4">
        <v>0</v>
      </c>
      <c r="CJ163" s="4">
        <v>0</v>
      </c>
      <c r="CK163" s="4" t="s">
        <v>1134</v>
      </c>
      <c r="CL163" s="4">
        <v>0</v>
      </c>
      <c r="CM163" s="4" t="s">
        <v>1134</v>
      </c>
      <c r="CN163" s="4">
        <v>0</v>
      </c>
      <c r="CO163" s="4">
        <v>0</v>
      </c>
      <c r="CP163" s="4">
        <v>0</v>
      </c>
      <c r="CQ163" s="4" t="s">
        <v>1134</v>
      </c>
      <c r="CR163" s="4" t="s">
        <v>1134</v>
      </c>
      <c r="CS163" s="4" t="s">
        <v>1134</v>
      </c>
      <c r="CT163" s="4">
        <f>IF(OR(MID(TBBP[[#This Row],[Coluna1]],1,1)="1",MID(TBBP[[#This Row],[Coluna1]],1,1)="2"),CS163,SUM(CH163:CS163))</f>
        <v>0</v>
      </c>
      <c r="CU163" s="255">
        <v>0</v>
      </c>
      <c r="CV163" s="255">
        <v>-1391.81</v>
      </c>
      <c r="CW163" s="255">
        <v>-1391.81</v>
      </c>
      <c r="CX163" s="255">
        <v>-3010.47</v>
      </c>
      <c r="CY163" s="255">
        <v>-6248.06</v>
      </c>
      <c r="CZ163" s="255">
        <v>-1391.81</v>
      </c>
      <c r="DA163" s="255">
        <v>-1391.81</v>
      </c>
      <c r="DB163" s="255">
        <v>-3010.56</v>
      </c>
      <c r="DC163" s="255">
        <v>-1391.81</v>
      </c>
      <c r="DD163" s="255">
        <v>-1391.81</v>
      </c>
      <c r="DE163" s="255">
        <v>-1391.81</v>
      </c>
      <c r="DF163" s="255">
        <v>-1391.81</v>
      </c>
      <c r="DG163" s="255">
        <f>SUM(TBBP[[#This Row],[Coluna287]:[Coluna298]])</f>
        <v>-23403.570000000007</v>
      </c>
      <c r="DH163" s="255">
        <v>-1391.81</v>
      </c>
      <c r="DI163" s="255">
        <v>-1391.81</v>
      </c>
      <c r="DJ163" s="255">
        <v>-1391.81</v>
      </c>
      <c r="DK163" s="255">
        <v>-1391.81</v>
      </c>
      <c r="DL163" s="255">
        <v>-1391.81</v>
      </c>
      <c r="DM163" s="255">
        <v>-1391.81</v>
      </c>
      <c r="DP163" s="30">
        <f>IF(OR(MID(TBBP[[#This Row],[Coluna1]],1,1)="1",MID(TBBP[[#This Row],[Coluna1]],1,1)="2"),"-",SUMIFS(163:163,listaPeriodos,$DR$1,listaPeriodos,$DR$2))</f>
        <v>-8350.8599999999988</v>
      </c>
      <c r="DQ163" s="30"/>
      <c r="DR163" s="30">
        <f t="shared" si="179"/>
        <v>0</v>
      </c>
      <c r="DS163" s="30"/>
      <c r="DT163" s="30"/>
      <c r="DU163"/>
    </row>
    <row r="164" spans="1:125" x14ac:dyDescent="0.3">
      <c r="A164" s="7" t="s">
        <v>351</v>
      </c>
      <c r="B164" t="s">
        <v>521</v>
      </c>
      <c r="C164" s="4">
        <v>0</v>
      </c>
      <c r="D164" s="4">
        <v>0</v>
      </c>
      <c r="E164" s="4">
        <v>0</v>
      </c>
      <c r="F164" s="4">
        <v>0</v>
      </c>
      <c r="G164" s="4">
        <v>-18842.71</v>
      </c>
      <c r="H164" s="4">
        <v>-287.7</v>
      </c>
      <c r="I164" s="4">
        <v>-287.7</v>
      </c>
      <c r="J164" s="4">
        <v>-2738.76</v>
      </c>
      <c r="K164" s="4">
        <v>-287.7</v>
      </c>
      <c r="L164" s="4">
        <v>-2150.6999999999998</v>
      </c>
      <c r="M164" s="4">
        <v>-397.7</v>
      </c>
      <c r="N164" s="4">
        <v>-287.7</v>
      </c>
      <c r="O164" s="4">
        <v>-287.7</v>
      </c>
      <c r="P164" s="4">
        <v>-287.7</v>
      </c>
      <c r="Q164" s="4">
        <v>-287.7</v>
      </c>
      <c r="R164" s="4">
        <v>-287.7</v>
      </c>
      <c r="S164" s="4">
        <v>-287.7</v>
      </c>
      <c r="T164" s="4">
        <f>IF(OR(MID(TBBP[[#This Row],[Coluna1]],1,1)="1",MID(TBBP[[#This Row],[Coluna1]],1,1)="2"),TBBP[[#This Row],[Coluna19]],SUM(H164:S164))</f>
        <v>-7876.4599999999982</v>
      </c>
      <c r="U164" s="4">
        <v>-754.91</v>
      </c>
      <c r="V164" s="4">
        <v>-1908.65</v>
      </c>
      <c r="W164" s="4">
        <v>-1262.81</v>
      </c>
      <c r="X164" s="4">
        <v>-494.51</v>
      </c>
      <c r="Y164" s="4">
        <v>-1011.83</v>
      </c>
      <c r="Z164" s="4">
        <v>-494.51</v>
      </c>
      <c r="AA164" s="4">
        <v>-494.51</v>
      </c>
      <c r="AB164" s="4">
        <v>-494.51</v>
      </c>
      <c r="AC164" s="4">
        <v>-494.51</v>
      </c>
      <c r="AD164" s="4">
        <v>-494.51</v>
      </c>
      <c r="AE164" s="4">
        <v>-494.51</v>
      </c>
      <c r="AF164" s="4">
        <v>-494.51</v>
      </c>
      <c r="AG164" s="4">
        <f>IF(OR(MID(TBBP[[#This Row],[Coluna1]],1,1)="1",MID(TBBP[[#This Row],[Coluna1]],1,1)="2"),TBBP[[#This Row],[Coluna32]],SUM(U164:AF164))</f>
        <v>-8894.2800000000007</v>
      </c>
      <c r="AH164" s="4">
        <v>-534.87</v>
      </c>
      <c r="AI164" s="4">
        <v>-534.87</v>
      </c>
      <c r="AJ164" s="4">
        <v>-534.87</v>
      </c>
      <c r="AK164" s="4">
        <v>-534.87</v>
      </c>
      <c r="AL164" s="4">
        <v>-534.87</v>
      </c>
      <c r="AM164" s="4">
        <v>-534.87</v>
      </c>
      <c r="AN164" s="4">
        <v>-534.87</v>
      </c>
      <c r="AO164" s="4">
        <v>-534.87</v>
      </c>
      <c r="AP164" s="4">
        <v>-534.87</v>
      </c>
      <c r="AQ164" s="4">
        <v>-534.87</v>
      </c>
      <c r="AR164" s="4">
        <v>-534.87</v>
      </c>
      <c r="AS164" s="4">
        <v>-1133.56</v>
      </c>
      <c r="AT164" s="4">
        <f>IF(OR(MID(TBBP[[#This Row],[Coluna1]],1,1)="1",MID(TBBP[[#This Row],[Coluna1]],1,1)="2"),TBBP[[#This Row],[Coluna45]],SUM(AH164:AS164))</f>
        <v>-7017.1299999999992</v>
      </c>
      <c r="AU164" s="4">
        <v>-817.24</v>
      </c>
      <c r="AV164" s="4">
        <v>-817.24</v>
      </c>
      <c r="AW164" s="4">
        <v>-1146.23</v>
      </c>
      <c r="AX164" s="4">
        <v>-817.24</v>
      </c>
      <c r="AY164" s="4">
        <v>-817.24</v>
      </c>
      <c r="AZ164" s="4">
        <v>-817.24</v>
      </c>
      <c r="BA164" s="4">
        <v>-817.24</v>
      </c>
      <c r="BB164" s="4">
        <v>-817.24</v>
      </c>
      <c r="BC164" s="4">
        <v>-817.24</v>
      </c>
      <c r="BD164" s="4">
        <v>-817.24</v>
      </c>
      <c r="BE164" s="4">
        <v>-2395.54</v>
      </c>
      <c r="BF164" s="4">
        <v>-817.24</v>
      </c>
      <c r="BG164" s="4">
        <f>IF(OR(MID(TBBP[[#This Row],[Coluna1]],1,1)="1",MID(TBBP[[#This Row],[Coluna1]],1,1)="2"),TBBP[[#This Row],[Coluna58]],SUM(AU164:BF164))</f>
        <v>-11714.17</v>
      </c>
      <c r="BH164" s="4">
        <v>-1641.76</v>
      </c>
      <c r="BI164" s="4">
        <v>-857.75</v>
      </c>
      <c r="BJ164" s="4">
        <v>-857.75</v>
      </c>
      <c r="BK164" s="4">
        <v>-857.75</v>
      </c>
      <c r="BL164" s="4">
        <v>-857.75</v>
      </c>
      <c r="BM164" s="4">
        <v>-857.75</v>
      </c>
      <c r="BN164" s="4">
        <v>-857.75</v>
      </c>
      <c r="BO164" s="4">
        <v>-857.75</v>
      </c>
      <c r="BP164" s="4">
        <v>-857.75</v>
      </c>
      <c r="BQ164" s="4">
        <v>-857.75</v>
      </c>
      <c r="BR164" s="4">
        <v>-857.75</v>
      </c>
      <c r="BS164" s="4">
        <v>-1423.92</v>
      </c>
      <c r="BT164" s="4">
        <f>IF(OR(MID(TBBP[[#This Row],[Coluna1]],1,1)="1",MID(TBBP[[#This Row],[Coluna1]],1,1)="2"),TBBP[[#This Row],[Coluna127]],SUM(BH164:BS164))</f>
        <v>-11643.18</v>
      </c>
      <c r="BU164" s="4">
        <v>-1678.21</v>
      </c>
      <c r="BV164" s="4">
        <v>-1988.67</v>
      </c>
      <c r="BW164" s="4">
        <v>-1695.46</v>
      </c>
      <c r="BX164" s="4">
        <v>-1695.46</v>
      </c>
      <c r="BY164" s="4">
        <v>-1695.46</v>
      </c>
      <c r="BZ164" s="4">
        <v>-1695.46</v>
      </c>
      <c r="CA164" s="4">
        <v>-1695.46</v>
      </c>
      <c r="CB164" s="4">
        <v>-3134.63</v>
      </c>
      <c r="CC164" s="4">
        <v>-1848.55</v>
      </c>
      <c r="CD164" s="4">
        <v>-1848.55</v>
      </c>
      <c r="CE164" s="4">
        <v>-1848.55</v>
      </c>
      <c r="CF164" s="4">
        <v>-2587.58</v>
      </c>
      <c r="CG164" s="4">
        <f>IF(OR(MID(TBBP[[#This Row],[Coluna1]],1,1)="1",MID(TBBP[[#This Row],[Coluna1]],1,1)="2"),CF164,SUM(BU164:CF164))</f>
        <v>-23412.04</v>
      </c>
      <c r="CH164" s="4">
        <v>-1798.54</v>
      </c>
      <c r="CI164" s="4">
        <v>-2571.0300000000002</v>
      </c>
      <c r="CJ164" s="4">
        <v>-8049.12</v>
      </c>
      <c r="CK164" s="4">
        <v>-1952.11</v>
      </c>
      <c r="CL164" s="4">
        <v>-1952.11</v>
      </c>
      <c r="CM164" s="4">
        <v>-1952.11</v>
      </c>
      <c r="CN164" s="4">
        <v>-1952.11</v>
      </c>
      <c r="CO164" s="4">
        <v>-1952.11</v>
      </c>
      <c r="CP164" s="4">
        <v>-1952.11</v>
      </c>
      <c r="CQ164" s="4">
        <v>-1952.11</v>
      </c>
      <c r="CR164" s="4">
        <v>-2946.87</v>
      </c>
      <c r="CS164" s="4">
        <v>-1952.11</v>
      </c>
      <c r="CT164" s="4">
        <f>IF(OR(MID(TBBP[[#This Row],[Coluna1]],1,1)="1",MID(TBBP[[#This Row],[Coluna1]],1,1)="2"),CS164,SUM(CH164:CS164))</f>
        <v>-30982.440000000002</v>
      </c>
      <c r="CU164" s="255">
        <v>-1952.11</v>
      </c>
      <c r="CV164" s="255">
        <v>-2754.9</v>
      </c>
      <c r="CW164" s="255">
        <v>-1952.11</v>
      </c>
      <c r="CX164" s="255">
        <v>-2536.4699999999998</v>
      </c>
      <c r="CY164" s="255">
        <v>-2686.47</v>
      </c>
      <c r="CZ164" s="255">
        <v>-3586.51</v>
      </c>
      <c r="DA164" s="255">
        <v>-2536.4699999999998</v>
      </c>
      <c r="DB164" s="255">
        <v>-2777.97</v>
      </c>
      <c r="DC164" s="255">
        <v>-2972.26</v>
      </c>
      <c r="DD164" s="255">
        <v>-3189.26</v>
      </c>
      <c r="DE164" s="255">
        <v>-2536.4699999999998</v>
      </c>
      <c r="DF164" s="255">
        <v>-2536.4699999999998</v>
      </c>
      <c r="DG164" s="255">
        <f>SUM(TBBP[[#This Row],[Coluna287]:[Coluna298]])</f>
        <v>-32017.470000000008</v>
      </c>
      <c r="DH164" s="255">
        <v>-2536.4699999999998</v>
      </c>
      <c r="DI164" s="255">
        <v>-2536.4699999999998</v>
      </c>
      <c r="DJ164" s="255">
        <v>-2636.47</v>
      </c>
      <c r="DK164" s="255">
        <v>-2536.4699999999998</v>
      </c>
      <c r="DL164" s="255">
        <v>-2536.4699999999998</v>
      </c>
      <c r="DM164" s="255">
        <v>-3241.16</v>
      </c>
      <c r="DP164" s="30">
        <f>IF(OR(MID(TBBP[[#This Row],[Coluna1]],1,1)="1",MID(TBBP[[#This Row],[Coluna1]],1,1)="2"),"-",SUMIFS(164:164,listaPeriodos,$DR$1,listaPeriodos,$DR$2))</f>
        <v>-16023.509999999998</v>
      </c>
      <c r="DQ164" s="30"/>
      <c r="DR164" s="30">
        <f t="shared" si="179"/>
        <v>0</v>
      </c>
      <c r="DS164" s="30"/>
      <c r="DT164" s="30"/>
      <c r="DU164"/>
    </row>
    <row r="165" spans="1:125" x14ac:dyDescent="0.3">
      <c r="A165" s="7" t="s">
        <v>352</v>
      </c>
      <c r="B165" t="s">
        <v>522</v>
      </c>
      <c r="C165" s="4">
        <v>0</v>
      </c>
      <c r="D165" s="4">
        <v>0</v>
      </c>
      <c r="E165" s="4">
        <v>0</v>
      </c>
      <c r="F165" s="4">
        <v>0</v>
      </c>
      <c r="G165" s="4">
        <v>-1886.65</v>
      </c>
      <c r="H165" s="4">
        <v>429.1</v>
      </c>
      <c r="I165" s="4">
        <v>-130.16</v>
      </c>
      <c r="J165" s="4">
        <v>-529.97</v>
      </c>
      <c r="K165" s="4">
        <v>0</v>
      </c>
      <c r="L165" s="4">
        <v>469.56</v>
      </c>
      <c r="M165" s="4">
        <v>0</v>
      </c>
      <c r="N165" s="4">
        <v>-104.13</v>
      </c>
      <c r="O165" s="4">
        <v>-260.31</v>
      </c>
      <c r="P165" s="4">
        <v>0</v>
      </c>
      <c r="Q165" s="4">
        <v>-286.35000000000002</v>
      </c>
      <c r="R165" s="4">
        <v>0</v>
      </c>
      <c r="S165" s="4">
        <v>104.12</v>
      </c>
      <c r="T165" s="4">
        <f>IF(OR(MID(TBBP[[#This Row],[Coluna1]],1,1)="1",MID(TBBP[[#This Row],[Coluna1]],1,1)="2"),TBBP[[#This Row],[Coluna19]],SUM(H165:S165))</f>
        <v>-308.14</v>
      </c>
      <c r="U165" s="4">
        <v>-338.42</v>
      </c>
      <c r="V165" s="4">
        <v>-312.39</v>
      </c>
      <c r="W165" s="4">
        <v>-15.61</v>
      </c>
      <c r="X165" s="4">
        <v>515.34</v>
      </c>
      <c r="Y165" s="4">
        <v>-161.5</v>
      </c>
      <c r="Z165" s="4">
        <v>199.94</v>
      </c>
      <c r="AA165" s="4">
        <v>43.74</v>
      </c>
      <c r="AB165" s="4">
        <v>-60.33</v>
      </c>
      <c r="AC165" s="4">
        <v>-326.3</v>
      </c>
      <c r="AD165" s="4">
        <v>-2111.0100000000002</v>
      </c>
      <c r="AE165" s="4">
        <v>-702.87</v>
      </c>
      <c r="AF165" s="4">
        <v>0</v>
      </c>
      <c r="AG165" s="4">
        <f>IF(OR(MID(TBBP[[#This Row],[Coluna1]],1,1)="1",MID(TBBP[[#This Row],[Coluna1]],1,1)="2"),TBBP[[#This Row],[Coluna32]],SUM(U165:AF165))</f>
        <v>-3269.41</v>
      </c>
      <c r="AH165" s="4">
        <v>-767.92</v>
      </c>
      <c r="AI165" s="4">
        <v>278.03999999999996</v>
      </c>
      <c r="AJ165" s="4">
        <v>-2.1200000000000045</v>
      </c>
      <c r="AK165" s="4">
        <v>2800.01</v>
      </c>
      <c r="AL165" s="4">
        <v>0</v>
      </c>
      <c r="AM165" s="4">
        <v>0</v>
      </c>
      <c r="AN165" s="4">
        <v>100</v>
      </c>
      <c r="AO165" s="4">
        <v>100</v>
      </c>
      <c r="AP165" s="4">
        <v>100</v>
      </c>
      <c r="AQ165" s="4">
        <v>-604.33000000000004</v>
      </c>
      <c r="AR165" s="4">
        <v>0</v>
      </c>
      <c r="AS165" s="4">
        <v>0</v>
      </c>
      <c r="AT165" s="4">
        <f>IF(OR(MID(TBBP[[#This Row],[Coluna1]],1,1)="1",MID(TBBP[[#This Row],[Coluna1]],1,1)="2"),TBBP[[#This Row],[Coluna45]],SUM(AH165:AS165))</f>
        <v>2003.6800000000003</v>
      </c>
      <c r="AU165" s="4">
        <v>-123.41999999999999</v>
      </c>
      <c r="AV165" s="4">
        <v>-1382.14</v>
      </c>
      <c r="AW165" s="4">
        <v>-468.58</v>
      </c>
      <c r="AX165" s="4">
        <v>-781.94999999999993</v>
      </c>
      <c r="AY165" s="4">
        <v>-1364.8000000000002</v>
      </c>
      <c r="AZ165" s="4">
        <v>-555.34</v>
      </c>
      <c r="BA165" s="4">
        <v>90.220000000000027</v>
      </c>
      <c r="BB165" s="4">
        <v>-479.05999999999995</v>
      </c>
      <c r="BC165" s="4">
        <v>-1107.93</v>
      </c>
      <c r="BD165" s="4">
        <v>-556.35</v>
      </c>
      <c r="BE165" s="4">
        <v>-599.23</v>
      </c>
      <c r="BF165" s="4">
        <v>1751.71</v>
      </c>
      <c r="BG165" s="4">
        <f>IF(OR(MID(TBBP[[#This Row],[Coluna1]],1,1)="1",MID(TBBP[[#This Row],[Coluna1]],1,1)="2"),TBBP[[#This Row],[Coluna58]],SUM(AU165:BF165))</f>
        <v>-5576.87</v>
      </c>
      <c r="BH165" s="4">
        <v>-787.22</v>
      </c>
      <c r="BI165" s="4">
        <v>-365.31</v>
      </c>
      <c r="BJ165" s="4">
        <v>-548.46</v>
      </c>
      <c r="BK165" s="4">
        <v>-1433.22</v>
      </c>
      <c r="BL165" s="4">
        <v>-572.70000000000005</v>
      </c>
      <c r="BM165" s="4">
        <v>-1531.24</v>
      </c>
      <c r="BN165" s="4">
        <v>-598.73</v>
      </c>
      <c r="BO165" s="4">
        <v>-464.05</v>
      </c>
      <c r="BP165" s="4">
        <v>-171.8</v>
      </c>
      <c r="BQ165" s="4">
        <v>-2111.0300000000002</v>
      </c>
      <c r="BR165" s="4">
        <v>-637.76</v>
      </c>
      <c r="BS165" s="4">
        <v>-437.33</v>
      </c>
      <c r="BT165" s="4">
        <f>IF(OR(MID(TBBP[[#This Row],[Coluna1]],1,1)="1",MID(TBBP[[#This Row],[Coluna1]],1,1)="2"),TBBP[[#This Row],[Coluna127]],SUM(BH165:BS165))</f>
        <v>-9658.85</v>
      </c>
      <c r="BU165" s="4">
        <v>-443.65000000000003</v>
      </c>
      <c r="BV165" s="4">
        <v>-1204.56</v>
      </c>
      <c r="BW165" s="4">
        <v>-3351.22</v>
      </c>
      <c r="BX165" s="4">
        <v>-452.96000000000004</v>
      </c>
      <c r="BY165" s="4">
        <v>-91.1</v>
      </c>
      <c r="BZ165" s="4">
        <v>1997.6</v>
      </c>
      <c r="CA165" s="4">
        <v>-702.86999999999989</v>
      </c>
      <c r="CB165" s="4">
        <v>-1312.01</v>
      </c>
      <c r="CC165" s="4">
        <v>-763.27</v>
      </c>
      <c r="CD165" s="4">
        <v>898.54</v>
      </c>
      <c r="CE165" s="4">
        <v>-811.2600000000001</v>
      </c>
      <c r="CF165" s="4">
        <v>-43.439999999999941</v>
      </c>
      <c r="CG165" s="4">
        <f>IF(OR(MID(TBBP[[#This Row],[Coluna1]],1,1)="1",MID(TBBP[[#This Row],[Coluna1]],1,1)="2"),CF165,SUM(BU165:CF165))</f>
        <v>-6280.2000000000007</v>
      </c>
      <c r="CH165" s="4">
        <v>-3081.45</v>
      </c>
      <c r="CI165" s="4">
        <v>-438.20000000000005</v>
      </c>
      <c r="CJ165" s="4">
        <v>-237.5</v>
      </c>
      <c r="CK165" s="4">
        <v>-281.81000000000006</v>
      </c>
      <c r="CL165" s="4">
        <v>-832.82</v>
      </c>
      <c r="CM165" s="4">
        <v>-9.7800000000000296</v>
      </c>
      <c r="CN165" s="4">
        <v>-198.13</v>
      </c>
      <c r="CO165" s="4">
        <v>-1067.58</v>
      </c>
      <c r="CP165" s="4">
        <v>-812.69999999999993</v>
      </c>
      <c r="CQ165" s="4">
        <v>-475.06000000000006</v>
      </c>
      <c r="CR165" s="4">
        <v>-780.96</v>
      </c>
      <c r="CS165" s="4">
        <v>-1599.84</v>
      </c>
      <c r="CT165" s="4">
        <f>IF(OR(MID(TBBP[[#This Row],[Coluna1]],1,1)="1",MID(TBBP[[#This Row],[Coluna1]],1,1)="2"),CS165,SUM(CH165:CS165))</f>
        <v>-9815.83</v>
      </c>
      <c r="CU165" s="255">
        <v>-1249.52</v>
      </c>
      <c r="CV165" s="255">
        <v>-1832.17</v>
      </c>
      <c r="CW165" s="255">
        <v>442.55</v>
      </c>
      <c r="CX165" s="255">
        <v>-2662.53</v>
      </c>
      <c r="CY165" s="255">
        <v>-195.41000000000008</v>
      </c>
      <c r="CZ165" s="255">
        <v>176.04000000000002</v>
      </c>
      <c r="DA165" s="255">
        <v>-706.91000000000008</v>
      </c>
      <c r="DB165" s="255">
        <v>-1594.51</v>
      </c>
      <c r="DC165" s="255">
        <v>-2119.1499999999996</v>
      </c>
      <c r="DD165" s="255">
        <v>-30.700000000000045</v>
      </c>
      <c r="DE165" s="255">
        <v>-156.19</v>
      </c>
      <c r="DF165" s="255">
        <v>-468.57</v>
      </c>
      <c r="DG165" s="255">
        <f>SUM(TBBP[[#This Row],[Coluna287]:[Coluna298]])</f>
        <v>-10397.070000000002</v>
      </c>
      <c r="DH165" s="255">
        <v>-973.86</v>
      </c>
      <c r="DI165" s="255">
        <v>-233.19000000000005</v>
      </c>
      <c r="DJ165" s="255">
        <v>-2684.1</v>
      </c>
      <c r="DK165" s="255">
        <v>-1626.5300000000002</v>
      </c>
      <c r="DL165" s="255">
        <v>-1680.54</v>
      </c>
      <c r="DM165" s="255">
        <v>-1615.72</v>
      </c>
      <c r="DP165" s="30">
        <f>IF(OR(MID(TBBP[[#This Row],[Coluna1]],1,1)="1",MID(TBBP[[#This Row],[Coluna1]],1,1)="2"),"-",SUMIFS(165:165,listaPeriodos,$DR$1,listaPeriodos,$DR$2))</f>
        <v>-8813.94</v>
      </c>
      <c r="DQ165" s="30"/>
      <c r="DR165" s="30">
        <f t="shared" si="179"/>
        <v>0</v>
      </c>
      <c r="DS165" s="30"/>
      <c r="DT165" s="30"/>
      <c r="DU165"/>
    </row>
    <row r="166" spans="1:125" x14ac:dyDescent="0.3">
      <c r="A166" s="7" t="s">
        <v>353</v>
      </c>
      <c r="B166" t="s">
        <v>523</v>
      </c>
      <c r="C166" s="4">
        <v>0</v>
      </c>
      <c r="D166" s="4">
        <v>0</v>
      </c>
      <c r="E166" s="4">
        <v>0</v>
      </c>
      <c r="F166" s="4">
        <v>0</v>
      </c>
      <c r="G166" s="4">
        <v>-942855.41</v>
      </c>
      <c r="H166" s="4">
        <v>-60516.289999999994</v>
      </c>
      <c r="I166" s="4">
        <v>-46247.93</v>
      </c>
      <c r="J166" s="4">
        <v>-67107.199999999997</v>
      </c>
      <c r="K166" s="4">
        <v>-85607</v>
      </c>
      <c r="L166" s="4">
        <v>-114286.45</v>
      </c>
      <c r="M166" s="4">
        <v>-67403.62</v>
      </c>
      <c r="N166" s="4">
        <v>-116709.58</v>
      </c>
      <c r="O166" s="4">
        <v>-101471.83</v>
      </c>
      <c r="P166" s="4">
        <v>-75988.83</v>
      </c>
      <c r="Q166" s="4">
        <v>-125797.37</v>
      </c>
      <c r="R166" s="4">
        <v>-87257.279999999999</v>
      </c>
      <c r="S166" s="4">
        <v>-64217.34</v>
      </c>
      <c r="T166" s="4">
        <f>IF(OR(MID(TBBP[[#This Row],[Coluna1]],1,1)="1",MID(TBBP[[#This Row],[Coluna1]],1,1)="2"),TBBP[[#This Row],[Coluna19]],SUM(H166:S166))</f>
        <v>-1012610.7199999999</v>
      </c>
      <c r="U166" s="4">
        <v>-63589.69</v>
      </c>
      <c r="V166" s="4">
        <v>-81410.62</v>
      </c>
      <c r="W166" s="4">
        <v>-80558.02</v>
      </c>
      <c r="X166" s="4">
        <v>-93209.97</v>
      </c>
      <c r="Y166" s="4">
        <v>-113702.05</v>
      </c>
      <c r="Z166" s="4">
        <v>-70585.86</v>
      </c>
      <c r="AA166" s="4">
        <v>-78303.27</v>
      </c>
      <c r="AB166" s="4">
        <v>-67768.22</v>
      </c>
      <c r="AC166" s="4">
        <v>-60686.46</v>
      </c>
      <c r="AD166" s="4">
        <v>-78827.5</v>
      </c>
      <c r="AE166" s="4">
        <v>-124103.5</v>
      </c>
      <c r="AF166" s="4">
        <v>-61573.24</v>
      </c>
      <c r="AG166" s="4">
        <f>IF(OR(MID(TBBP[[#This Row],[Coluna1]],1,1)="1",MID(TBBP[[#This Row],[Coluna1]],1,1)="2"),TBBP[[#This Row],[Coluna32]],SUM(U166:AF166))</f>
        <v>-974318.39999999991</v>
      </c>
      <c r="AH166" s="4">
        <v>-67206.720000000001</v>
      </c>
      <c r="AI166" s="4">
        <v>-83351.740000000005</v>
      </c>
      <c r="AJ166" s="4">
        <v>-74068.7</v>
      </c>
      <c r="AK166" s="4">
        <v>-31881.88</v>
      </c>
      <c r="AL166" s="4">
        <v>-34719.159999999996</v>
      </c>
      <c r="AM166" s="4">
        <v>-66020.55</v>
      </c>
      <c r="AN166" s="4">
        <v>-67949.210000000006</v>
      </c>
      <c r="AO166" s="4">
        <v>-113627.54000000001</v>
      </c>
      <c r="AP166" s="4">
        <v>-147418.74</v>
      </c>
      <c r="AQ166" s="4">
        <v>-120653.72</v>
      </c>
      <c r="AR166" s="4">
        <v>-136835.58000000002</v>
      </c>
      <c r="AS166" s="4">
        <v>-134195.35</v>
      </c>
      <c r="AT166" s="4">
        <f>IF(OR(MID(TBBP[[#This Row],[Coluna1]],1,1)="1",MID(TBBP[[#This Row],[Coluna1]],1,1)="2"),TBBP[[#This Row],[Coluna45]],SUM(AH166:AS166))</f>
        <v>-1077928.8900000001</v>
      </c>
      <c r="AU166" s="4">
        <v>-96856.6</v>
      </c>
      <c r="AV166" s="4">
        <v>-254926.47</v>
      </c>
      <c r="AW166" s="4">
        <v>-180657.51</v>
      </c>
      <c r="AX166" s="4">
        <v>-208452.29</v>
      </c>
      <c r="AY166" s="4">
        <v>-247588.34999999998</v>
      </c>
      <c r="AZ166" s="4">
        <v>-250781.16</v>
      </c>
      <c r="BA166" s="4">
        <v>-258108.31000000003</v>
      </c>
      <c r="BB166" s="4">
        <v>-274350.78999999998</v>
      </c>
      <c r="BC166" s="4">
        <v>-216214.24000000002</v>
      </c>
      <c r="BD166" s="4">
        <v>-304823.13</v>
      </c>
      <c r="BE166" s="4">
        <v>-275890.12</v>
      </c>
      <c r="BF166" s="4">
        <v>-244754.03999999998</v>
      </c>
      <c r="BG166" s="4">
        <f>IF(OR(MID(TBBP[[#This Row],[Coluna1]],1,1)="1",MID(TBBP[[#This Row],[Coluna1]],1,1)="2"),TBBP[[#This Row],[Coluna58]],SUM(AU166:BF166))</f>
        <v>-2813403.0100000002</v>
      </c>
      <c r="BH166" s="4">
        <v>-281976</v>
      </c>
      <c r="BI166" s="4">
        <v>-616263.06999999995</v>
      </c>
      <c r="BJ166" s="4">
        <v>-306314.42</v>
      </c>
      <c r="BK166" s="4">
        <v>-292790.63</v>
      </c>
      <c r="BL166" s="4">
        <v>-567440.75</v>
      </c>
      <c r="BM166" s="4">
        <v>-463915.3</v>
      </c>
      <c r="BN166" s="4">
        <v>-417296.58999999997</v>
      </c>
      <c r="BO166" s="4">
        <v>-464997.80000000005</v>
      </c>
      <c r="BP166" s="4">
        <v>-416325.31</v>
      </c>
      <c r="BQ166" s="4">
        <v>-385697.54000000004</v>
      </c>
      <c r="BR166" s="4">
        <v>-372724.62</v>
      </c>
      <c r="BS166" s="4">
        <v>-400488.74</v>
      </c>
      <c r="BT166" s="4">
        <f>IF(OR(MID(TBBP[[#This Row],[Coluna1]],1,1)="1",MID(TBBP[[#This Row],[Coluna1]],1,1)="2"),TBBP[[#This Row],[Coluna127]],SUM(BH166:BS166))</f>
        <v>-4986230.7700000005</v>
      </c>
      <c r="BU166" s="4">
        <v>-473184.47000000003</v>
      </c>
      <c r="BV166" s="4">
        <v>-510495.71</v>
      </c>
      <c r="BW166" s="4">
        <v>-415321.91</v>
      </c>
      <c r="BX166" s="4">
        <v>-338088</v>
      </c>
      <c r="BY166" s="4">
        <v>-376089.39</v>
      </c>
      <c r="BZ166" s="4">
        <v>-366142.19</v>
      </c>
      <c r="CA166" s="4">
        <v>-459170.93</v>
      </c>
      <c r="CB166" s="4">
        <v>-485596.5</v>
      </c>
      <c r="CC166" s="4">
        <v>-468480.33999999997</v>
      </c>
      <c r="CD166" s="4">
        <v>-404044.88</v>
      </c>
      <c r="CE166" s="4">
        <v>-516614.36999999994</v>
      </c>
      <c r="CF166" s="4">
        <v>-475514.44</v>
      </c>
      <c r="CG166" s="4">
        <f>IF(OR(MID(TBBP[[#This Row],[Coluna1]],1,1)="1",MID(TBBP[[#This Row],[Coluna1]],1,1)="2"),CF166,SUM(BU166:CF166))</f>
        <v>-5288743.1300000008</v>
      </c>
      <c r="CH166" s="4">
        <v>-592356.09000000008</v>
      </c>
      <c r="CI166" s="4">
        <v>-563882.91999999993</v>
      </c>
      <c r="CJ166" s="4">
        <v>-472347.47000000003</v>
      </c>
      <c r="CK166" s="4">
        <v>-615194.17000000004</v>
      </c>
      <c r="CL166" s="4">
        <v>-762811.4</v>
      </c>
      <c r="CM166" s="4">
        <v>-582224.42000000004</v>
      </c>
      <c r="CN166" s="4">
        <v>-621296.74</v>
      </c>
      <c r="CO166" s="4">
        <v>-728932.53</v>
      </c>
      <c r="CP166" s="4">
        <v>-701380.7</v>
      </c>
      <c r="CQ166" s="4">
        <v>-755155.78999999992</v>
      </c>
      <c r="CR166" s="4">
        <v>-703611.42999999993</v>
      </c>
      <c r="CS166" s="4">
        <v>-793373.08</v>
      </c>
      <c r="CT166" s="4">
        <f>IF(OR(MID(TBBP[[#This Row],[Coluna1]],1,1)="1",MID(TBBP[[#This Row],[Coluna1]],1,1)="2"),CS166,SUM(CH166:CS166))</f>
        <v>-7892566.7400000002</v>
      </c>
      <c r="CU166" s="255">
        <v>-780106.77999999991</v>
      </c>
      <c r="CV166" s="255">
        <v>-708099.90999999992</v>
      </c>
      <c r="CW166" s="255">
        <v>-520261.08000000007</v>
      </c>
      <c r="CX166" s="255">
        <v>-540479.28999999992</v>
      </c>
      <c r="CY166" s="255">
        <v>-619180.93999999994</v>
      </c>
      <c r="CZ166" s="255">
        <v>-578128.16999999993</v>
      </c>
      <c r="DA166" s="255">
        <v>-592911.74</v>
      </c>
      <c r="DB166" s="255">
        <v>-566575.86</v>
      </c>
      <c r="DC166" s="255">
        <v>-497149.19</v>
      </c>
      <c r="DD166" s="255">
        <v>-542396.79</v>
      </c>
      <c r="DE166" s="255">
        <v>-521405.48</v>
      </c>
      <c r="DF166" s="255">
        <v>-637113.41</v>
      </c>
      <c r="DG166" s="255">
        <f>SUM(TBBP[[#This Row],[Coluna287]:[Coluna298]])</f>
        <v>-7103808.6400000006</v>
      </c>
      <c r="DH166" s="255">
        <v>-617570.70000000007</v>
      </c>
      <c r="DI166" s="255">
        <v>-473619.07</v>
      </c>
      <c r="DJ166" s="255">
        <v>-628652.43000000005</v>
      </c>
      <c r="DK166" s="255">
        <v>-744681.73</v>
      </c>
      <c r="DL166" s="255">
        <v>-812293.1</v>
      </c>
      <c r="DM166" s="255">
        <v>-720593.48</v>
      </c>
      <c r="DP166" s="30">
        <f>IF(OR(MID(TBBP[[#This Row],[Coluna1]],1,1)="1",MID(TBBP[[#This Row],[Coluna1]],1,1)="2"),"-",SUMIFS(166:166,listaPeriodos,$DR$1,listaPeriodos,$DR$2))</f>
        <v>-3997410.5100000002</v>
      </c>
      <c r="DQ166" s="30"/>
      <c r="DR166" s="30">
        <f t="shared" si="179"/>
        <v>0</v>
      </c>
      <c r="DS166" s="30"/>
      <c r="DT166" s="30"/>
      <c r="DU166"/>
    </row>
    <row r="167" spans="1:125" x14ac:dyDescent="0.3">
      <c r="A167" s="7" t="s">
        <v>354</v>
      </c>
      <c r="B167" t="s">
        <v>524</v>
      </c>
      <c r="C167" s="4">
        <v>0</v>
      </c>
      <c r="D167" s="4">
        <v>0</v>
      </c>
      <c r="E167" s="4">
        <v>0</v>
      </c>
      <c r="F167" s="4">
        <v>0</v>
      </c>
      <c r="G167" s="4">
        <v>-190468</v>
      </c>
      <c r="H167" s="4">
        <v>-10059.35</v>
      </c>
      <c r="I167" s="4">
        <v>-5059.3500000000004</v>
      </c>
      <c r="J167" s="4">
        <v>-5059.3500000000004</v>
      </c>
      <c r="K167" s="4">
        <v>-6559.35</v>
      </c>
      <c r="L167" s="4">
        <v>-5059.3500000000004</v>
      </c>
      <c r="M167" s="4">
        <v>-5059.3500000000004</v>
      </c>
      <c r="N167" s="4">
        <v>-5059.3500000000004</v>
      </c>
      <c r="O167" s="4">
        <v>-8059.35</v>
      </c>
      <c r="P167" s="4">
        <v>-5059.3500000000004</v>
      </c>
      <c r="Q167" s="4">
        <v>-5059.3500000000004</v>
      </c>
      <c r="R167" s="4">
        <v>-5000</v>
      </c>
      <c r="S167" s="4">
        <v>-5000</v>
      </c>
      <c r="T167" s="4">
        <f>IF(OR(MID(TBBP[[#This Row],[Coluna1]],1,1)="1",MID(TBBP[[#This Row],[Coluna1]],1,1)="2"),TBBP[[#This Row],[Coluna19]],SUM(H167:S167))</f>
        <v>-70093.5</v>
      </c>
      <c r="U167" s="4">
        <v>-2571.6799999999998</v>
      </c>
      <c r="V167" s="4">
        <v>-2571.6799999999998</v>
      </c>
      <c r="W167" s="4">
        <v>-2571.6799999999998</v>
      </c>
      <c r="X167" s="4">
        <v>-2571.6799999999998</v>
      </c>
      <c r="Y167" s="4">
        <v>-5500</v>
      </c>
      <c r="Z167" s="4">
        <v>-2631.68</v>
      </c>
      <c r="AA167" s="4">
        <v>-2643.36</v>
      </c>
      <c r="AB167" s="4">
        <v>-2571.6799999999998</v>
      </c>
      <c r="AC167" s="4">
        <v>-3175.68</v>
      </c>
      <c r="AD167" s="4">
        <v>-5471.68</v>
      </c>
      <c r="AE167" s="4">
        <v>-707.68</v>
      </c>
      <c r="AF167" s="4">
        <v>-714.84</v>
      </c>
      <c r="AG167" s="4">
        <f>IF(OR(MID(TBBP[[#This Row],[Coluna1]],1,1)="1",MID(TBBP[[#This Row],[Coluna1]],1,1)="2"),TBBP[[#This Row],[Coluna32]],SUM(U167:AF167))</f>
        <v>-33703.319999999992</v>
      </c>
      <c r="AH167" s="4">
        <v>-894.84</v>
      </c>
      <c r="AI167" s="4">
        <v>-1413.14</v>
      </c>
      <c r="AJ167" s="4">
        <v>-726.84</v>
      </c>
      <c r="AK167" s="4">
        <v>-1166.8399999999999</v>
      </c>
      <c r="AL167" s="4">
        <v>-190.84</v>
      </c>
      <c r="AM167" s="4">
        <v>-78.84</v>
      </c>
      <c r="AN167" s="4">
        <v>-78.84</v>
      </c>
      <c r="AO167" s="4">
        <v>-870.04</v>
      </c>
      <c r="AP167" s="4">
        <v>-752.84</v>
      </c>
      <c r="AQ167" s="4">
        <v>-2177.87</v>
      </c>
      <c r="AR167" s="4">
        <v>-2578.84</v>
      </c>
      <c r="AS167" s="4">
        <v>-78.84</v>
      </c>
      <c r="AT167" s="4">
        <f>IF(OR(MID(TBBP[[#This Row],[Coluna1]],1,1)="1",MID(TBBP[[#This Row],[Coluna1]],1,1)="2"),TBBP[[#This Row],[Coluna45]],SUM(AH167:AS167))</f>
        <v>-11008.61</v>
      </c>
      <c r="AU167" s="4">
        <v>-98.18</v>
      </c>
      <c r="AV167" s="4">
        <v>-98.18</v>
      </c>
      <c r="AW167" s="4">
        <v>-98.18</v>
      </c>
      <c r="AX167" s="4">
        <v>-98.18</v>
      </c>
      <c r="AY167" s="4">
        <v>-1118.18</v>
      </c>
      <c r="AZ167" s="4">
        <v>-1208.18</v>
      </c>
      <c r="BA167" s="4">
        <v>-12608.18</v>
      </c>
      <c r="BB167" s="4">
        <v>-9418.18</v>
      </c>
      <c r="BC167" s="4">
        <v>-8208.18</v>
      </c>
      <c r="BD167" s="4">
        <v>-3194.85</v>
      </c>
      <c r="BE167" s="4">
        <v>-2448.1799999999998</v>
      </c>
      <c r="BF167" s="4">
        <v>-1715.13</v>
      </c>
      <c r="BG167" s="4">
        <f>IF(OR(MID(TBBP[[#This Row],[Coluna1]],1,1)="1",MID(TBBP[[#This Row],[Coluna1]],1,1)="2"),TBBP[[#This Row],[Coluna58]],SUM(AU167:BF167))</f>
        <v>-40311.78</v>
      </c>
      <c r="BH167" s="4">
        <v>-140.56</v>
      </c>
      <c r="BI167" s="4">
        <v>-8981.69</v>
      </c>
      <c r="BJ167" s="4">
        <v>-3656</v>
      </c>
      <c r="BK167" s="4">
        <v>-6571</v>
      </c>
      <c r="BL167" s="4">
        <v>-14336.44</v>
      </c>
      <c r="BM167" s="4">
        <v>-8968.86</v>
      </c>
      <c r="BN167" s="4">
        <v>-5005.2</v>
      </c>
      <c r="BO167" s="4">
        <v>-1125</v>
      </c>
      <c r="BP167" s="4">
        <v>-3504.16</v>
      </c>
      <c r="BQ167" s="4">
        <v>-1001.12</v>
      </c>
      <c r="BR167" s="4">
        <v>-942</v>
      </c>
      <c r="BS167" s="4">
        <v>-762</v>
      </c>
      <c r="BT167" s="4">
        <f>IF(OR(MID(TBBP[[#This Row],[Coluna1]],1,1)="1",MID(TBBP[[#This Row],[Coluna1]],1,1)="2"),TBBP[[#This Row],[Coluna127]],SUM(BH167:BS167))</f>
        <v>-54994.030000000006</v>
      </c>
      <c r="BU167" s="4">
        <v>-930.82</v>
      </c>
      <c r="BV167" s="4">
        <v>-972.82</v>
      </c>
      <c r="BW167" s="4">
        <v>-2122.33</v>
      </c>
      <c r="BX167" s="4">
        <v>-960.82</v>
      </c>
      <c r="BY167" s="4">
        <v>-1005.82</v>
      </c>
      <c r="BZ167" s="4">
        <v>-2405</v>
      </c>
      <c r="CA167" s="4">
        <v>-13018.25</v>
      </c>
      <c r="CB167" s="4">
        <v>-908.25</v>
      </c>
      <c r="CC167" s="4">
        <v>-1448.25</v>
      </c>
      <c r="CD167" s="4">
        <v>-1297.5</v>
      </c>
      <c r="CE167" s="4">
        <v>-1383.75</v>
      </c>
      <c r="CF167" s="4">
        <v>-1023.75</v>
      </c>
      <c r="CG167" s="4">
        <f>IF(OR(MID(TBBP[[#This Row],[Coluna1]],1,1)="1",MID(TBBP[[#This Row],[Coluna1]],1,1)="2"),CF167,SUM(BU167:CF167))</f>
        <v>-27477.360000000001</v>
      </c>
      <c r="CH167" s="4">
        <v>-1141</v>
      </c>
      <c r="CI167" s="4">
        <v>-1399</v>
      </c>
      <c r="CJ167" s="4">
        <v>-1452.75</v>
      </c>
      <c r="CK167" s="4">
        <v>-1362</v>
      </c>
      <c r="CL167" s="4">
        <v>-2082.5300000000002</v>
      </c>
      <c r="CM167" s="4">
        <v>-2338.6</v>
      </c>
      <c r="CN167" s="4">
        <v>-1300.5</v>
      </c>
      <c r="CO167" s="4">
        <v>-1892.25</v>
      </c>
      <c r="CP167" s="4">
        <v>-4094.37</v>
      </c>
      <c r="CQ167" s="4">
        <v>-1245.9100000000001</v>
      </c>
      <c r="CR167" s="4">
        <v>-2289.11</v>
      </c>
      <c r="CS167" s="4">
        <v>-1689.11</v>
      </c>
      <c r="CT167" s="4">
        <f>IF(OR(MID(TBBP[[#This Row],[Coluna1]],1,1)="1",MID(TBBP[[#This Row],[Coluna1]],1,1)="2"),CS167,SUM(CH167:CS167))</f>
        <v>-22287.13</v>
      </c>
      <c r="CU167" s="255">
        <v>-1609.11</v>
      </c>
      <c r="CV167" s="255">
        <v>-5662.25</v>
      </c>
      <c r="CW167" s="255">
        <v>-1337.25</v>
      </c>
      <c r="CX167" s="255">
        <v>-22072.62</v>
      </c>
      <c r="CY167" s="255">
        <v>-1572.62</v>
      </c>
      <c r="CZ167" s="255">
        <v>-2010.9</v>
      </c>
      <c r="DA167" s="255">
        <v>-2068.37</v>
      </c>
      <c r="DB167" s="255">
        <v>-2775.16</v>
      </c>
      <c r="DC167" s="255">
        <v>-2601.2399999999998</v>
      </c>
      <c r="DD167" s="255">
        <v>-5127.2</v>
      </c>
      <c r="DE167" s="255">
        <v>-1249.31</v>
      </c>
      <c r="DF167" s="255">
        <v>-2983.98</v>
      </c>
      <c r="DG167" s="255">
        <f>SUM(TBBP[[#This Row],[Coluna287]:[Coluna298]])</f>
        <v>-51070.009999999995</v>
      </c>
      <c r="DH167" s="255">
        <v>-6700.91</v>
      </c>
      <c r="DI167" s="255">
        <v>-5484.91</v>
      </c>
      <c r="DJ167" s="255">
        <v>-6934.94</v>
      </c>
      <c r="DK167" s="255">
        <v>-6549.28</v>
      </c>
      <c r="DL167" s="255">
        <v>-8202.4699999999993</v>
      </c>
      <c r="DM167" s="255">
        <v>-2480.89</v>
      </c>
      <c r="DO167" t="s">
        <v>354</v>
      </c>
      <c r="DP167" s="30">
        <f>IF(OR(MID(TBBP[[#This Row],[Coluna1]],1,1)="1",MID(TBBP[[#This Row],[Coluna1]],1,1)="2"),"-",SUMIFS(167:167,listaPeriodos,$DR$1,listaPeriodos,$DR$2))</f>
        <v>-36353.399999999994</v>
      </c>
      <c r="DQ167" s="30">
        <v>-3446.89</v>
      </c>
      <c r="DR167" s="30">
        <f t="shared" si="179"/>
        <v>-20681.34</v>
      </c>
      <c r="DS167" s="30"/>
      <c r="DT167" s="30"/>
      <c r="DU167"/>
    </row>
    <row r="168" spans="1:125" x14ac:dyDescent="0.3">
      <c r="A168" s="7" t="s">
        <v>355</v>
      </c>
      <c r="B168" t="s">
        <v>525</v>
      </c>
      <c r="C168" s="4">
        <v>0</v>
      </c>
      <c r="D168" s="4">
        <v>0</v>
      </c>
      <c r="E168" s="4">
        <v>0</v>
      </c>
      <c r="F168" s="4">
        <v>0</v>
      </c>
      <c r="G168" s="4">
        <v>-178526.49</v>
      </c>
      <c r="H168" s="4">
        <v>-7422.09</v>
      </c>
      <c r="I168" s="4">
        <v>-8732.99</v>
      </c>
      <c r="J168" s="4">
        <v>-23122.05</v>
      </c>
      <c r="K168" s="4">
        <v>-8143.38</v>
      </c>
      <c r="L168" s="4">
        <v>-25109.43</v>
      </c>
      <c r="M168" s="4">
        <v>-15622.29</v>
      </c>
      <c r="N168" s="4">
        <v>-18742.259999999998</v>
      </c>
      <c r="O168" s="4">
        <v>-25695.86</v>
      </c>
      <c r="P168" s="4">
        <v>-14420.4</v>
      </c>
      <c r="Q168" s="4">
        <v>-19127.28</v>
      </c>
      <c r="R168" s="4">
        <v>-16654.28</v>
      </c>
      <c r="S168" s="4">
        <v>-20409.16</v>
      </c>
      <c r="T168" s="4">
        <f>IF(OR(MID(TBBP[[#This Row],[Coluna1]],1,1)="1",MID(TBBP[[#This Row],[Coluna1]],1,1)="2"),TBBP[[#This Row],[Coluna19]],SUM(H168:S168))</f>
        <v>-203201.47</v>
      </c>
      <c r="U168" s="4">
        <v>-17214.48</v>
      </c>
      <c r="V168" s="4">
        <v>-26039.47</v>
      </c>
      <c r="W168" s="4">
        <v>-21243.21</v>
      </c>
      <c r="X168" s="4">
        <v>-18689.990000000002</v>
      </c>
      <c r="Y168" s="4">
        <v>-28073.58</v>
      </c>
      <c r="Z168" s="4">
        <v>-9020.4699999999993</v>
      </c>
      <c r="AA168" s="4">
        <v>-14857.73</v>
      </c>
      <c r="AB168" s="4">
        <v>-19964.37</v>
      </c>
      <c r="AC168" s="4">
        <v>-12067.84</v>
      </c>
      <c r="AD168" s="4">
        <v>-22911.86</v>
      </c>
      <c r="AE168" s="4">
        <v>-24490.639999999999</v>
      </c>
      <c r="AF168" s="4">
        <v>-7371.64</v>
      </c>
      <c r="AG168" s="4">
        <f>IF(OR(MID(TBBP[[#This Row],[Coluna1]],1,1)="1",MID(TBBP[[#This Row],[Coluna1]],1,1)="2"),TBBP[[#This Row],[Coluna32]],SUM(U168:AF168))</f>
        <v>-221945.28000000003</v>
      </c>
      <c r="AH168" s="4">
        <v>-13048.53</v>
      </c>
      <c r="AI168" s="4">
        <v>-16202.05</v>
      </c>
      <c r="AJ168" s="4">
        <v>-16349.81</v>
      </c>
      <c r="AK168" s="4">
        <v>-5891.19</v>
      </c>
      <c r="AL168" s="4">
        <v>-10737.25</v>
      </c>
      <c r="AM168" s="4">
        <v>-12499.75</v>
      </c>
      <c r="AN168" s="4">
        <v>-19508.72</v>
      </c>
      <c r="AO168" s="4">
        <v>-31487.45</v>
      </c>
      <c r="AP168" s="4">
        <v>-34038.81</v>
      </c>
      <c r="AQ168" s="4">
        <v>-25728.269999999997</v>
      </c>
      <c r="AR168" s="4">
        <v>-37467.620000000003</v>
      </c>
      <c r="AS168" s="4">
        <v>-25104.18</v>
      </c>
      <c r="AT168" s="4">
        <f>IF(OR(MID(TBBP[[#This Row],[Coluna1]],1,1)="1",MID(TBBP[[#This Row],[Coluna1]],1,1)="2"),TBBP[[#This Row],[Coluna45]],SUM(AH168:AS168))</f>
        <v>-248063.62999999998</v>
      </c>
      <c r="AU168" s="4">
        <v>-17591.759999999998</v>
      </c>
      <c r="AV168" s="4">
        <v>-43213.22</v>
      </c>
      <c r="AW168" s="4">
        <v>-43794.2</v>
      </c>
      <c r="AX168" s="4">
        <v>-41825.769999999997</v>
      </c>
      <c r="AY168" s="4">
        <v>-42525.59</v>
      </c>
      <c r="AZ168" s="4">
        <v>-54758.63</v>
      </c>
      <c r="BA168" s="4">
        <v>-62230.97</v>
      </c>
      <c r="BB168" s="4">
        <v>-46328.35</v>
      </c>
      <c r="BC168" s="4">
        <v>-45943.89</v>
      </c>
      <c r="BD168" s="4">
        <v>-43358.35</v>
      </c>
      <c r="BE168" s="4">
        <v>-46003.99</v>
      </c>
      <c r="BF168" s="4">
        <v>-46277.5</v>
      </c>
      <c r="BG168" s="4">
        <f>IF(OR(MID(TBBP[[#This Row],[Coluna1]],1,1)="1",MID(TBBP[[#This Row],[Coluna1]],1,1)="2"),TBBP[[#This Row],[Coluna58]],SUM(AU168:BF168))</f>
        <v>-533852.22</v>
      </c>
      <c r="BH168" s="4">
        <v>-32951.03</v>
      </c>
      <c r="BI168" s="4">
        <v>-42074.02</v>
      </c>
      <c r="BJ168" s="4">
        <v>-38215.43</v>
      </c>
      <c r="BK168" s="4">
        <v>-36603</v>
      </c>
      <c r="BL168" s="4">
        <v>-33450.300000000003</v>
      </c>
      <c r="BM168" s="4">
        <v>-55524.75</v>
      </c>
      <c r="BN168" s="4">
        <v>-59023.79</v>
      </c>
      <c r="BO168" s="4">
        <v>-75516.19</v>
      </c>
      <c r="BP168" s="4">
        <v>-32952.639999999999</v>
      </c>
      <c r="BQ168" s="4">
        <v>-26238.84</v>
      </c>
      <c r="BR168" s="4">
        <v>-39540.68</v>
      </c>
      <c r="BS168" s="4">
        <v>-23747.29</v>
      </c>
      <c r="BT168" s="4">
        <f>IF(OR(MID(TBBP[[#This Row],[Coluna1]],1,1)="1",MID(TBBP[[#This Row],[Coluna1]],1,1)="2"),TBBP[[#This Row],[Coluna127]],SUM(BH168:BS168))</f>
        <v>-495837.95999999996</v>
      </c>
      <c r="BU168" s="4">
        <v>-30564.32</v>
      </c>
      <c r="BV168" s="4">
        <v>-42989.03</v>
      </c>
      <c r="BW168" s="4">
        <v>-36080.86</v>
      </c>
      <c r="BX168" s="4">
        <v>-31453.77</v>
      </c>
      <c r="BY168" s="4">
        <v>-51617.42</v>
      </c>
      <c r="BZ168" s="4">
        <v>-33248.19</v>
      </c>
      <c r="CA168" s="4">
        <v>-50269.71</v>
      </c>
      <c r="CB168" s="4">
        <v>-64566.18</v>
      </c>
      <c r="CC168" s="4">
        <v>-57025.66</v>
      </c>
      <c r="CD168" s="4">
        <v>-52431.19</v>
      </c>
      <c r="CE168" s="4">
        <v>-70303.03</v>
      </c>
      <c r="CF168" s="4">
        <v>-57575.93</v>
      </c>
      <c r="CG168" s="4">
        <f>IF(OR(MID(TBBP[[#This Row],[Coluna1]],1,1)="1",MID(TBBP[[#This Row],[Coluna1]],1,1)="2"),CF168,SUM(BU168:CF168))</f>
        <v>-578125.29</v>
      </c>
      <c r="CH168" s="4">
        <v>-45088.33</v>
      </c>
      <c r="CI168" s="4">
        <v>-43444.65</v>
      </c>
      <c r="CJ168" s="4">
        <v>-47903.77</v>
      </c>
      <c r="CK168" s="4">
        <v>-52550.49</v>
      </c>
      <c r="CL168" s="4">
        <v>-58826.84</v>
      </c>
      <c r="CM168" s="4">
        <v>-48454</v>
      </c>
      <c r="CN168" s="4">
        <v>-37346.89</v>
      </c>
      <c r="CO168" s="4">
        <v>-74609.490000000005</v>
      </c>
      <c r="CP168" s="4">
        <v>-77233.759999999995</v>
      </c>
      <c r="CQ168" s="4">
        <v>-66202.83</v>
      </c>
      <c r="CR168" s="4">
        <v>-95355.46</v>
      </c>
      <c r="CS168" s="4">
        <v>-55776.05</v>
      </c>
      <c r="CT168" s="4">
        <f>IF(OR(MID(TBBP[[#This Row],[Coluna1]],1,1)="1",MID(TBBP[[#This Row],[Coluna1]],1,1)="2"),CS168,SUM(CH168:CS168))</f>
        <v>-702792.55999999994</v>
      </c>
      <c r="CU168" s="255">
        <v>-36709.129999999997</v>
      </c>
      <c r="CV168" s="255">
        <v>-51631.97</v>
      </c>
      <c r="CW168" s="255">
        <v>-66335.179999999993</v>
      </c>
      <c r="CX168" s="255">
        <v>-38655.33</v>
      </c>
      <c r="CY168" s="255">
        <v>-56702.080000000002</v>
      </c>
      <c r="CZ168" s="255">
        <v>-39142.9</v>
      </c>
      <c r="DA168" s="255">
        <v>-66216.039999999994</v>
      </c>
      <c r="DB168" s="255">
        <v>-58097.68</v>
      </c>
      <c r="DC168" s="255">
        <v>-45225.7</v>
      </c>
      <c r="DD168" s="255">
        <v>-32318.33</v>
      </c>
      <c r="DE168" s="255">
        <v>-34270.519999999997</v>
      </c>
      <c r="DF168" s="255">
        <v>-23485.37</v>
      </c>
      <c r="DG168" s="255">
        <f>SUM(TBBP[[#This Row],[Coluna287]:[Coluna298]])</f>
        <v>-548790.23</v>
      </c>
      <c r="DH168" s="255">
        <v>-22291.63</v>
      </c>
      <c r="DI168" s="255">
        <v>-19749.8</v>
      </c>
      <c r="DJ168" s="255">
        <v>-35405.18</v>
      </c>
      <c r="DK168" s="255">
        <v>-41204.68</v>
      </c>
      <c r="DL168" s="255">
        <v>-44422.32</v>
      </c>
      <c r="DM168" s="255">
        <v>-24479.34</v>
      </c>
      <c r="DO168" t="s">
        <v>355</v>
      </c>
      <c r="DP168" s="30">
        <f>IF(OR(MID(TBBP[[#This Row],[Coluna1]],1,1)="1",MID(TBBP[[#This Row],[Coluna1]],1,1)="2"),"-",SUMIFS(168:168,listaPeriodos,$DR$1,listaPeriodos,$DR$2))</f>
        <v>-187552.95</v>
      </c>
      <c r="DQ168" s="30">
        <v>-91594.84</v>
      </c>
      <c r="DR168" s="30">
        <f t="shared" si="179"/>
        <v>-549569.04</v>
      </c>
      <c r="DS168" s="30"/>
      <c r="DT168" s="30"/>
      <c r="DU168"/>
    </row>
    <row r="169" spans="1:125" x14ac:dyDescent="0.3">
      <c r="A169" s="7" t="s">
        <v>356</v>
      </c>
      <c r="B169" t="s">
        <v>526</v>
      </c>
      <c r="C169" s="4">
        <v>0</v>
      </c>
      <c r="D169" s="4">
        <v>0</v>
      </c>
      <c r="E169" s="4">
        <v>0</v>
      </c>
      <c r="F169" s="4">
        <v>0</v>
      </c>
      <c r="G169" s="4">
        <v>-270</v>
      </c>
      <c r="H169" s="4">
        <v>-835.06</v>
      </c>
      <c r="I169" s="4">
        <v>-1077.27</v>
      </c>
      <c r="J169" s="4">
        <v>-1177.73</v>
      </c>
      <c r="K169" s="4">
        <v>-1598.21</v>
      </c>
      <c r="L169" s="4">
        <v>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-217.37</v>
      </c>
      <c r="S169" s="4">
        <v>0</v>
      </c>
      <c r="T169" s="4">
        <f>IF(OR(MID(TBBP[[#This Row],[Coluna1]],1,1)="1",MID(TBBP[[#This Row],[Coluna1]],1,1)="2"),TBBP[[#This Row],[Coluna19]],SUM(H169:S169))</f>
        <v>-4905.6400000000003</v>
      </c>
      <c r="U169" s="4">
        <v>0</v>
      </c>
      <c r="V169" s="4">
        <v>-61.85</v>
      </c>
      <c r="W169" s="4">
        <v>0</v>
      </c>
      <c r="X169" s="4">
        <v>-2034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0</v>
      </c>
      <c r="AG169" s="4">
        <f>IF(OR(MID(TBBP[[#This Row],[Coluna1]],1,1)="1",MID(TBBP[[#This Row],[Coluna1]],1,1)="2"),TBBP[[#This Row],[Coluna32]],SUM(U169:AF169))</f>
        <v>-2095.85</v>
      </c>
      <c r="AH169" s="4">
        <v>0</v>
      </c>
      <c r="AI169" s="4">
        <v>0</v>
      </c>
      <c r="AJ169" s="4">
        <v>0</v>
      </c>
      <c r="AK169" s="4">
        <v>0</v>
      </c>
      <c r="AL169" s="4">
        <v>0</v>
      </c>
      <c r="AM169" s="4">
        <v>0</v>
      </c>
      <c r="AN169" s="4">
        <v>0</v>
      </c>
      <c r="AO169" s="4">
        <v>0</v>
      </c>
      <c r="AP169" s="4">
        <v>0</v>
      </c>
      <c r="AQ169" s="4">
        <v>-1697.29</v>
      </c>
      <c r="AR169" s="4">
        <v>-339.96</v>
      </c>
      <c r="AS169" s="4">
        <v>0</v>
      </c>
      <c r="AT169" s="4">
        <f>IF(OR(MID(TBBP[[#This Row],[Coluna1]],1,1)="1",MID(TBBP[[#This Row],[Coluna1]],1,1)="2"),TBBP[[#This Row],[Coluna45]],SUM(AH169:AS169))</f>
        <v>-2037.25</v>
      </c>
      <c r="AU169" s="4">
        <v>0</v>
      </c>
      <c r="AV169" s="4">
        <v>-7263.84</v>
      </c>
      <c r="AW169" s="4">
        <v>-193.69</v>
      </c>
      <c r="AX169" s="4">
        <v>-6275.16</v>
      </c>
      <c r="AY169" s="4">
        <v>-2889.92</v>
      </c>
      <c r="AZ169" s="4">
        <v>-4661.95</v>
      </c>
      <c r="BA169" s="4">
        <v>-5770.88</v>
      </c>
      <c r="BB169" s="4">
        <v>-814.15</v>
      </c>
      <c r="BC169" s="4">
        <v>-693.02</v>
      </c>
      <c r="BD169" s="4">
        <v>0</v>
      </c>
      <c r="BE169" s="4">
        <v>0</v>
      </c>
      <c r="BF169" s="4">
        <v>0</v>
      </c>
      <c r="BG169" s="4">
        <f>IF(OR(MID(TBBP[[#This Row],[Coluna1]],1,1)="1",MID(TBBP[[#This Row],[Coluna1]],1,1)="2"),TBBP[[#This Row],[Coluna58]],SUM(AU169:BF169))</f>
        <v>-28562.610000000004</v>
      </c>
      <c r="BH169" s="4">
        <v>0</v>
      </c>
      <c r="BI169" s="4">
        <v>0</v>
      </c>
      <c r="BJ169" s="4">
        <v>0</v>
      </c>
      <c r="BK169" s="4">
        <v>0</v>
      </c>
      <c r="BL169" s="4">
        <v>0</v>
      </c>
      <c r="BM169" s="4">
        <v>0</v>
      </c>
      <c r="BN169" s="4">
        <v>0</v>
      </c>
      <c r="BO169" s="4">
        <v>0</v>
      </c>
      <c r="BP169" s="4">
        <v>0</v>
      </c>
      <c r="BQ169" s="4">
        <v>0</v>
      </c>
      <c r="BR169" s="4">
        <v>0</v>
      </c>
      <c r="BS169" s="4">
        <v>0</v>
      </c>
      <c r="BT169" s="4">
        <f>IF(OR(MID(TBBP[[#This Row],[Coluna1]],1,1)="1",MID(TBBP[[#This Row],[Coluna1]],1,1)="2"),TBBP[[#This Row],[Coluna127]],SUM(BH169:BS169))</f>
        <v>0</v>
      </c>
      <c r="BU169" s="4">
        <v>0</v>
      </c>
      <c r="BV169" s="4">
        <v>0</v>
      </c>
      <c r="BW169" s="4">
        <v>0</v>
      </c>
      <c r="BX169" s="4">
        <v>0</v>
      </c>
      <c r="BY169" s="4">
        <v>0</v>
      </c>
      <c r="BZ169" s="4">
        <v>0</v>
      </c>
      <c r="CA169" s="4">
        <v>0</v>
      </c>
      <c r="CB169" s="4">
        <v>0</v>
      </c>
      <c r="CC169" s="4">
        <v>0</v>
      </c>
      <c r="CD169" s="4">
        <v>0</v>
      </c>
      <c r="CE169" s="4">
        <v>0</v>
      </c>
      <c r="CF169" s="4">
        <v>0</v>
      </c>
      <c r="CG169" s="4">
        <f>IF(OR(MID(TBBP[[#This Row],[Coluna1]],1,1)="1",MID(TBBP[[#This Row],[Coluna1]],1,1)="2"),CF169,SUM(BU169:CF169))</f>
        <v>0</v>
      </c>
      <c r="CH169" s="4">
        <v>0</v>
      </c>
      <c r="CI169" s="4">
        <v>0</v>
      </c>
      <c r="CJ169" s="4">
        <v>0</v>
      </c>
      <c r="CK169" s="4" t="s">
        <v>1134</v>
      </c>
      <c r="CL169" s="4">
        <v>0</v>
      </c>
      <c r="CM169" s="4" t="s">
        <v>1134</v>
      </c>
      <c r="CN169" s="4">
        <v>0</v>
      </c>
      <c r="CO169" s="4">
        <v>0</v>
      </c>
      <c r="CP169" s="4">
        <v>0</v>
      </c>
      <c r="CQ169" s="4" t="s">
        <v>1134</v>
      </c>
      <c r="CR169" s="4" t="s">
        <v>1134</v>
      </c>
      <c r="CS169" s="4" t="s">
        <v>1134</v>
      </c>
      <c r="CT169" s="4">
        <f>IF(OR(MID(TBBP[[#This Row],[Coluna1]],1,1)="1",MID(TBBP[[#This Row],[Coluna1]],1,1)="2"),CS169,SUM(CH169:CS169))</f>
        <v>0</v>
      </c>
      <c r="CU169" s="255">
        <v>0</v>
      </c>
      <c r="CV169" s="255">
        <v>0</v>
      </c>
      <c r="CW169" s="255">
        <v>0</v>
      </c>
      <c r="CX169" s="255">
        <v>0</v>
      </c>
      <c r="CY169" s="255">
        <v>0</v>
      </c>
      <c r="CZ169" s="255">
        <v>0</v>
      </c>
      <c r="DA169" s="255">
        <v>0</v>
      </c>
      <c r="DB169" s="255">
        <v>0</v>
      </c>
      <c r="DC169" s="255">
        <v>0</v>
      </c>
      <c r="DD169" s="255">
        <v>0</v>
      </c>
      <c r="DE169" s="255"/>
      <c r="DF169" s="255">
        <v>0</v>
      </c>
      <c r="DG169" s="255">
        <f>SUM(TBBP[[#This Row],[Coluna287]:[Coluna298]])</f>
        <v>0</v>
      </c>
      <c r="DH169" s="255">
        <v>0</v>
      </c>
      <c r="DI169" s="255">
        <v>0</v>
      </c>
      <c r="DJ169" s="255">
        <v>0</v>
      </c>
      <c r="DK169" s="255">
        <v>0</v>
      </c>
      <c r="DL169" s="255">
        <v>0</v>
      </c>
      <c r="DM169" s="255">
        <v>0</v>
      </c>
      <c r="DO169" t="s">
        <v>356</v>
      </c>
      <c r="DP169" s="30">
        <f>IF(OR(MID(TBBP[[#This Row],[Coluna1]],1,1)="1",MID(TBBP[[#This Row],[Coluna1]],1,1)="2"),"-",SUMIFS(169:169,listaPeriodos,$DR$1,listaPeriodos,$DR$2))</f>
        <v>0</v>
      </c>
      <c r="DQ169" s="30">
        <v>0</v>
      </c>
      <c r="DR169" s="30">
        <f t="shared" si="179"/>
        <v>0</v>
      </c>
      <c r="DS169" s="30"/>
      <c r="DT169" s="30"/>
      <c r="DU169"/>
    </row>
    <row r="170" spans="1:125" x14ac:dyDescent="0.3">
      <c r="A170" s="7" t="s">
        <v>357</v>
      </c>
      <c r="B170" t="s">
        <v>527</v>
      </c>
      <c r="C170" s="4">
        <v>0</v>
      </c>
      <c r="D170" s="4">
        <v>0</v>
      </c>
      <c r="E170" s="4">
        <v>0</v>
      </c>
      <c r="F170" s="4">
        <v>0</v>
      </c>
      <c r="G170" s="4">
        <v>-520</v>
      </c>
      <c r="H170" s="4">
        <v>0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f>IF(OR(MID(TBBP[[#This Row],[Coluna1]],1,1)="1",MID(TBBP[[#This Row],[Coluna1]],1,1)="2"),TBBP[[#This Row],[Coluna19]],SUM(H170:S170))</f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-144.91</v>
      </c>
      <c r="AC170" s="4">
        <v>0</v>
      </c>
      <c r="AD170" s="4">
        <v>0</v>
      </c>
      <c r="AE170" s="4">
        <v>0</v>
      </c>
      <c r="AF170" s="4">
        <v>0</v>
      </c>
      <c r="AG170" s="4">
        <f>IF(OR(MID(TBBP[[#This Row],[Coluna1]],1,1)="1",MID(TBBP[[#This Row],[Coluna1]],1,1)="2"),TBBP[[#This Row],[Coluna32]],SUM(U170:AF170))</f>
        <v>-144.91</v>
      </c>
      <c r="AH170" s="4">
        <v>0</v>
      </c>
      <c r="AI170" s="4">
        <v>0</v>
      </c>
      <c r="AJ170" s="4">
        <v>0</v>
      </c>
      <c r="AK170" s="4">
        <v>0</v>
      </c>
      <c r="AL170" s="4">
        <v>0</v>
      </c>
      <c r="AM170" s="4">
        <v>0</v>
      </c>
      <c r="AN170" s="4">
        <v>0</v>
      </c>
      <c r="AO170" s="4">
        <v>0</v>
      </c>
      <c r="AP170" s="4">
        <v>0</v>
      </c>
      <c r="AQ170" s="4">
        <v>0</v>
      </c>
      <c r="AR170" s="4">
        <v>0</v>
      </c>
      <c r="AS170" s="4">
        <v>0</v>
      </c>
      <c r="AT170" s="4">
        <f>IF(OR(MID(TBBP[[#This Row],[Coluna1]],1,1)="1",MID(TBBP[[#This Row],[Coluna1]],1,1)="2"),TBBP[[#This Row],[Coluna45]],SUM(AH170:AS170))</f>
        <v>0</v>
      </c>
      <c r="AU170" s="4">
        <v>0</v>
      </c>
      <c r="AV170" s="4">
        <v>0</v>
      </c>
      <c r="AW170" s="4">
        <v>0</v>
      </c>
      <c r="AX170" s="4">
        <v>-250</v>
      </c>
      <c r="AY170" s="4">
        <v>0</v>
      </c>
      <c r="AZ170" s="4">
        <v>-100</v>
      </c>
      <c r="BA170" s="4">
        <v>0</v>
      </c>
      <c r="BB170" s="4">
        <v>0</v>
      </c>
      <c r="BC170" s="4">
        <v>0</v>
      </c>
      <c r="BD170" s="4">
        <v>0</v>
      </c>
      <c r="BE170" s="4">
        <v>0</v>
      </c>
      <c r="BF170" s="4">
        <v>0</v>
      </c>
      <c r="BG170" s="4">
        <f>IF(OR(MID(TBBP[[#This Row],[Coluna1]],1,1)="1",MID(TBBP[[#This Row],[Coluna1]],1,1)="2"),TBBP[[#This Row],[Coluna58]],SUM(AU170:BF170))</f>
        <v>-350</v>
      </c>
      <c r="BH170" s="4">
        <v>-600</v>
      </c>
      <c r="BI170" s="4">
        <v>0</v>
      </c>
      <c r="BJ170" s="4">
        <v>0</v>
      </c>
      <c r="BK170" s="4">
        <v>0</v>
      </c>
      <c r="BL170" s="4">
        <v>0</v>
      </c>
      <c r="BM170" s="4">
        <v>-837.16</v>
      </c>
      <c r="BN170" s="4">
        <v>-9283.2000000000007</v>
      </c>
      <c r="BO170" s="4">
        <v>-6680</v>
      </c>
      <c r="BP170" s="4">
        <v>-3100</v>
      </c>
      <c r="BQ170" s="4">
        <v>-11521.58</v>
      </c>
      <c r="BR170" s="4">
        <v>-5000</v>
      </c>
      <c r="BS170" s="4">
        <v>-240</v>
      </c>
      <c r="BT170" s="4">
        <f>IF(OR(MID(TBBP[[#This Row],[Coluna1]],1,1)="1",MID(TBBP[[#This Row],[Coluna1]],1,1)="2"),TBBP[[#This Row],[Coluna127]],SUM(BH170:BS170))</f>
        <v>-37261.94</v>
      </c>
      <c r="BU170" s="4">
        <v>-4760.3500000000004</v>
      </c>
      <c r="BV170" s="4">
        <v>-1934.76</v>
      </c>
      <c r="BW170" s="4">
        <v>-5920.4</v>
      </c>
      <c r="BX170" s="4">
        <v>0</v>
      </c>
      <c r="BY170" s="4">
        <v>-6856</v>
      </c>
      <c r="BZ170" s="4">
        <v>-2380</v>
      </c>
      <c r="CA170" s="4">
        <v>-1450</v>
      </c>
      <c r="CB170" s="4">
        <v>-4662.6099999999997</v>
      </c>
      <c r="CC170" s="4">
        <v>-2980</v>
      </c>
      <c r="CD170" s="4">
        <v>-520</v>
      </c>
      <c r="CE170" s="4">
        <v>-4061.4</v>
      </c>
      <c r="CF170" s="4">
        <v>0</v>
      </c>
      <c r="CG170" s="4">
        <f>IF(OR(MID(TBBP[[#This Row],[Coluna1]],1,1)="1",MID(TBBP[[#This Row],[Coluna1]],1,1)="2"),CF170,SUM(BU170:CF170))</f>
        <v>-35525.520000000004</v>
      </c>
      <c r="CH170" s="4">
        <v>-7835.07</v>
      </c>
      <c r="CI170" s="4">
        <v>-3185.44</v>
      </c>
      <c r="CJ170" s="4">
        <v>-7105</v>
      </c>
      <c r="CK170" s="4">
        <v>-520</v>
      </c>
      <c r="CL170" s="4">
        <v>-5708</v>
      </c>
      <c r="CM170" s="4">
        <v>-650</v>
      </c>
      <c r="CN170" s="4">
        <v>-3950</v>
      </c>
      <c r="CO170" s="4">
        <v>-1100</v>
      </c>
      <c r="CP170" s="4">
        <v>-770</v>
      </c>
      <c r="CQ170" s="4">
        <v>-3758.02</v>
      </c>
      <c r="CR170" s="4">
        <v>-350</v>
      </c>
      <c r="CS170" s="4">
        <v>0</v>
      </c>
      <c r="CT170" s="4">
        <f>IF(OR(MID(TBBP[[#This Row],[Coluna1]],1,1)="1",MID(TBBP[[#This Row],[Coluna1]],1,1)="2"),CS170,SUM(CH170:CS170))</f>
        <v>-34931.53</v>
      </c>
      <c r="CU170" s="255">
        <v>-770</v>
      </c>
      <c r="CV170" s="255">
        <v>-2110</v>
      </c>
      <c r="CW170" s="255">
        <v>-770</v>
      </c>
      <c r="CX170" s="255">
        <v>0</v>
      </c>
      <c r="CY170" s="255">
        <v>-46.01</v>
      </c>
      <c r="CZ170" s="255">
        <v>-2380</v>
      </c>
      <c r="DA170" s="255">
        <v>0</v>
      </c>
      <c r="DB170" s="255">
        <v>0</v>
      </c>
      <c r="DC170" s="255">
        <v>-4137.63</v>
      </c>
      <c r="DD170" s="255">
        <v>-770</v>
      </c>
      <c r="DE170" s="255">
        <v>-770</v>
      </c>
      <c r="DF170" s="255">
        <v>-770</v>
      </c>
      <c r="DG170" s="255">
        <f>SUM(TBBP[[#This Row],[Coluna287]:[Coluna298]])</f>
        <v>-12523.64</v>
      </c>
      <c r="DH170" s="255">
        <v>-970</v>
      </c>
      <c r="DI170" s="255">
        <v>-770</v>
      </c>
      <c r="DJ170" s="255">
        <v>-770</v>
      </c>
      <c r="DK170" s="255">
        <v>-770</v>
      </c>
      <c r="DL170" s="255">
        <v>-770</v>
      </c>
      <c r="DM170" s="255">
        <v>-770</v>
      </c>
      <c r="DO170" t="s">
        <v>357</v>
      </c>
      <c r="DP170" s="30">
        <f>IF(OR(MID(TBBP[[#This Row],[Coluna1]],1,1)="1",MID(TBBP[[#This Row],[Coluna1]],1,1)="2"),"-",SUMIFS(170:170,listaPeriodos,$DR$1,listaPeriodos,$DR$2))</f>
        <v>-4820</v>
      </c>
      <c r="DQ170" s="30">
        <v>-6324.44</v>
      </c>
      <c r="DR170" s="30">
        <f t="shared" si="179"/>
        <v>-37946.639999999999</v>
      </c>
      <c r="DS170" s="30"/>
      <c r="DT170" s="30"/>
      <c r="DU170"/>
    </row>
    <row r="171" spans="1:125" x14ac:dyDescent="0.3">
      <c r="A171" s="7" t="s">
        <v>358</v>
      </c>
      <c r="B171" t="s">
        <v>528</v>
      </c>
      <c r="C171" s="4">
        <v>0</v>
      </c>
      <c r="D171" s="4">
        <v>0</v>
      </c>
      <c r="E171" s="4">
        <v>0</v>
      </c>
      <c r="F171" s="4">
        <v>0</v>
      </c>
      <c r="G171" s="4">
        <v>-1003.09</v>
      </c>
      <c r="H171" s="4">
        <v>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f>IF(OR(MID(TBBP[[#This Row],[Coluna1]],1,1)="1",MID(TBBP[[#This Row],[Coluna1]],1,1)="2"),TBBP[[#This Row],[Coluna19]],SUM(H171:S171))</f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-20</v>
      </c>
      <c r="AD171" s="4">
        <v>0</v>
      </c>
      <c r="AE171" s="4">
        <v>0</v>
      </c>
      <c r="AF171" s="4">
        <v>0</v>
      </c>
      <c r="AG171" s="4">
        <f>IF(OR(MID(TBBP[[#This Row],[Coluna1]],1,1)="1",MID(TBBP[[#This Row],[Coluna1]],1,1)="2"),TBBP[[#This Row],[Coluna32]],SUM(U171:AF171))</f>
        <v>-20</v>
      </c>
      <c r="AH171" s="4">
        <v>0</v>
      </c>
      <c r="AI171" s="4">
        <v>0</v>
      </c>
      <c r="AJ171" s="4">
        <v>0</v>
      </c>
      <c r="AK171" s="4">
        <v>0</v>
      </c>
      <c r="AL171" s="4">
        <v>0</v>
      </c>
      <c r="AM171" s="4">
        <v>0</v>
      </c>
      <c r="AN171" s="4">
        <v>0</v>
      </c>
      <c r="AO171" s="4">
        <v>-80</v>
      </c>
      <c r="AP171" s="4">
        <v>0</v>
      </c>
      <c r="AQ171" s="4">
        <v>0</v>
      </c>
      <c r="AR171" s="4">
        <v>0</v>
      </c>
      <c r="AS171" s="4">
        <v>0</v>
      </c>
      <c r="AT171" s="4">
        <f>IF(OR(MID(TBBP[[#This Row],[Coluna1]],1,1)="1",MID(TBBP[[#This Row],[Coluna1]],1,1)="2"),TBBP[[#This Row],[Coluna45]],SUM(AH171:AS171))</f>
        <v>-80</v>
      </c>
      <c r="AU171" s="4">
        <v>-1380</v>
      </c>
      <c r="AV171" s="4">
        <v>0</v>
      </c>
      <c r="AW171" s="4">
        <v>-321</v>
      </c>
      <c r="AX171" s="4">
        <v>-4054</v>
      </c>
      <c r="AY171" s="4">
        <v>-2183.39</v>
      </c>
      <c r="AZ171" s="4">
        <v>0</v>
      </c>
      <c r="BA171" s="4">
        <v>-2303.9899999999998</v>
      </c>
      <c r="BB171" s="4">
        <v>-6663.31</v>
      </c>
      <c r="BC171" s="4">
        <v>-3238.36</v>
      </c>
      <c r="BD171" s="4">
        <v>-2286.35</v>
      </c>
      <c r="BE171" s="4">
        <v>-9502.68</v>
      </c>
      <c r="BF171" s="4">
        <v>-5690.63</v>
      </c>
      <c r="BG171" s="4">
        <f>IF(OR(MID(TBBP[[#This Row],[Coluna1]],1,1)="1",MID(TBBP[[#This Row],[Coluna1]],1,1)="2"),TBBP[[#This Row],[Coluna58]],SUM(AU171:BF171))</f>
        <v>-37623.71</v>
      </c>
      <c r="BH171" s="4">
        <v>-7381.75</v>
      </c>
      <c r="BI171" s="4">
        <v>-3931.85</v>
      </c>
      <c r="BJ171" s="4">
        <v>-9686.17</v>
      </c>
      <c r="BK171" s="4">
        <v>-5863.84</v>
      </c>
      <c r="BL171" s="4">
        <v>-2411.5500000000002</v>
      </c>
      <c r="BM171" s="4">
        <v>-8198.5</v>
      </c>
      <c r="BN171" s="4">
        <v>-1326</v>
      </c>
      <c r="BO171" s="4">
        <v>-264</v>
      </c>
      <c r="BP171" s="4">
        <v>-11288.03</v>
      </c>
      <c r="BQ171" s="4">
        <v>-1085.6400000000001</v>
      </c>
      <c r="BR171" s="4">
        <v>-2274.69</v>
      </c>
      <c r="BS171" s="4">
        <v>0</v>
      </c>
      <c r="BT171" s="4">
        <f>IF(OR(MID(TBBP[[#This Row],[Coluna1]],1,1)="1",MID(TBBP[[#This Row],[Coluna1]],1,1)="2"),TBBP[[#This Row],[Coluna127]],SUM(BH171:BS171))</f>
        <v>-53712.020000000004</v>
      </c>
      <c r="BU171" s="4">
        <v>-11756.25</v>
      </c>
      <c r="BV171" s="4">
        <v>-3058.8</v>
      </c>
      <c r="BW171" s="4">
        <v>-2637.72</v>
      </c>
      <c r="BX171" s="4">
        <v>-12570.2</v>
      </c>
      <c r="BY171" s="4">
        <v>-2084.87</v>
      </c>
      <c r="BZ171" s="4">
        <v>-3537.55</v>
      </c>
      <c r="CA171" s="4">
        <v>-12481.88</v>
      </c>
      <c r="CB171" s="4">
        <v>-12801.91</v>
      </c>
      <c r="CC171" s="4">
        <v>-1321.67</v>
      </c>
      <c r="CD171" s="4">
        <v>-563.64</v>
      </c>
      <c r="CE171" s="4">
        <v>-2061.13</v>
      </c>
      <c r="CF171" s="4">
        <v>-1107.06</v>
      </c>
      <c r="CG171" s="4">
        <f>IF(OR(MID(TBBP[[#This Row],[Coluna1]],1,1)="1",MID(TBBP[[#This Row],[Coluna1]],1,1)="2"),CF171,SUM(BU171:CF171))</f>
        <v>-65982.679999999993</v>
      </c>
      <c r="CH171" s="4">
        <v>-839.89</v>
      </c>
      <c r="CI171" s="4">
        <v>-7189.05</v>
      </c>
      <c r="CJ171" s="4">
        <v>-2136.52</v>
      </c>
      <c r="CK171" s="4">
        <v>-1898.2</v>
      </c>
      <c r="CL171" s="4">
        <v>0</v>
      </c>
      <c r="CM171" s="4">
        <v>-3556.02</v>
      </c>
      <c r="CN171" s="4">
        <v>0</v>
      </c>
      <c r="CO171" s="4">
        <v>0</v>
      </c>
      <c r="CP171" s="4">
        <v>0</v>
      </c>
      <c r="CQ171" s="4">
        <v>0</v>
      </c>
      <c r="CR171" s="4">
        <v>0</v>
      </c>
      <c r="CS171" s="4">
        <v>-1254.0899999999999</v>
      </c>
      <c r="CT171" s="4">
        <f>IF(OR(MID(TBBP[[#This Row],[Coluna1]],1,1)="1",MID(TBBP[[#This Row],[Coluna1]],1,1)="2"),CS171,SUM(CH171:CS171))</f>
        <v>-16873.77</v>
      </c>
      <c r="CU171" s="255">
        <v>0</v>
      </c>
      <c r="CV171" s="255">
        <v>0</v>
      </c>
      <c r="CW171" s="255">
        <v>0</v>
      </c>
      <c r="CX171" s="255">
        <v>-17032.419999999998</v>
      </c>
      <c r="CY171" s="255">
        <v>-655</v>
      </c>
      <c r="CZ171" s="255">
        <v>-4173.05</v>
      </c>
      <c r="DA171" s="255">
        <v>-467.22</v>
      </c>
      <c r="DB171" s="255">
        <v>0</v>
      </c>
      <c r="DC171" s="255">
        <v>-458.4</v>
      </c>
      <c r="DD171" s="255">
        <v>-536.47</v>
      </c>
      <c r="DE171" s="255">
        <v>0</v>
      </c>
      <c r="DF171" s="255">
        <v>-626.16999999999996</v>
      </c>
      <c r="DG171" s="255">
        <f>SUM(TBBP[[#This Row],[Coluna287]:[Coluna298]])</f>
        <v>-23948.73</v>
      </c>
      <c r="DH171" s="255">
        <v>-2053.9499999999998</v>
      </c>
      <c r="DI171" s="255">
        <v>-5801.74</v>
      </c>
      <c r="DJ171" s="255">
        <v>-1805.42</v>
      </c>
      <c r="DK171" s="255">
        <v>-194.21</v>
      </c>
      <c r="DL171" s="255">
        <v>-5133.8999999999996</v>
      </c>
      <c r="DM171" s="255">
        <v>-1522.05</v>
      </c>
      <c r="DO171" t="s">
        <v>358</v>
      </c>
      <c r="DP171" s="30">
        <f>IF(OR(MID(TBBP[[#This Row],[Coluna1]],1,1)="1",MID(TBBP[[#This Row],[Coluna1]],1,1)="2"),"-",SUMIFS(171:171,listaPeriodos,$DR$1,listaPeriodos,$DR$2))</f>
        <v>-16511.27</v>
      </c>
      <c r="DQ171" s="30">
        <v>0</v>
      </c>
      <c r="DR171" s="30">
        <f t="shared" si="179"/>
        <v>0</v>
      </c>
      <c r="DS171" s="30"/>
      <c r="DT171" s="30"/>
      <c r="DU171"/>
    </row>
    <row r="172" spans="1:125" x14ac:dyDescent="0.3">
      <c r="A172" s="7" t="s">
        <v>359</v>
      </c>
      <c r="B172" t="s">
        <v>529</v>
      </c>
      <c r="C172" s="4">
        <v>0</v>
      </c>
      <c r="D172" s="4">
        <v>0</v>
      </c>
      <c r="E172" s="4">
        <v>0</v>
      </c>
      <c r="F172" s="4">
        <v>0</v>
      </c>
      <c r="G172" s="4">
        <v>-54990.13</v>
      </c>
      <c r="H172" s="4">
        <v>-7195.86</v>
      </c>
      <c r="I172" s="4">
        <v>-3098</v>
      </c>
      <c r="J172" s="4">
        <v>-868</v>
      </c>
      <c r="K172" s="4">
        <v>-1590</v>
      </c>
      <c r="L172" s="4">
        <v>-2994</v>
      </c>
      <c r="M172" s="4">
        <v>-750</v>
      </c>
      <c r="N172" s="4">
        <v>-13960.5</v>
      </c>
      <c r="O172" s="4">
        <v>-17160.310000000001</v>
      </c>
      <c r="P172" s="4">
        <v>-9430</v>
      </c>
      <c r="Q172" s="4">
        <v>-13050</v>
      </c>
      <c r="R172" s="4">
        <v>-14320</v>
      </c>
      <c r="S172" s="4">
        <v>-12648</v>
      </c>
      <c r="T172" s="4">
        <f>IF(OR(MID(TBBP[[#This Row],[Coluna1]],1,1)="1",MID(TBBP[[#This Row],[Coluna1]],1,1)="2"),TBBP[[#This Row],[Coluna19]],SUM(H172:S172))</f>
        <v>-97064.67</v>
      </c>
      <c r="U172" s="4">
        <v>-7939.23</v>
      </c>
      <c r="V172" s="4">
        <v>-3644.83</v>
      </c>
      <c r="W172" s="4">
        <v>-6390</v>
      </c>
      <c r="X172" s="4">
        <v>-12867.6</v>
      </c>
      <c r="Y172" s="4">
        <v>-1978.4</v>
      </c>
      <c r="Z172" s="4">
        <v>-1640</v>
      </c>
      <c r="AA172" s="4">
        <v>-6200</v>
      </c>
      <c r="AB172" s="4">
        <v>-721</v>
      </c>
      <c r="AC172" s="4">
        <v>0</v>
      </c>
      <c r="AD172" s="4">
        <v>0</v>
      </c>
      <c r="AE172" s="4">
        <v>0</v>
      </c>
      <c r="AF172" s="4">
        <v>0</v>
      </c>
      <c r="AG172" s="4">
        <f>IF(OR(MID(TBBP[[#This Row],[Coluna1]],1,1)="1",MID(TBBP[[#This Row],[Coluna1]],1,1)="2"),TBBP[[#This Row],[Coluna32]],SUM(U172:AF172))</f>
        <v>-41381.06</v>
      </c>
      <c r="AH172" s="4">
        <v>-955.27</v>
      </c>
      <c r="AI172" s="4">
        <v>0</v>
      </c>
      <c r="AJ172" s="4">
        <v>-450</v>
      </c>
      <c r="AK172" s="4">
        <v>0</v>
      </c>
      <c r="AL172" s="4">
        <v>-3550</v>
      </c>
      <c r="AM172" s="4">
        <v>0</v>
      </c>
      <c r="AN172" s="4">
        <v>-820</v>
      </c>
      <c r="AO172" s="4">
        <v>-6000</v>
      </c>
      <c r="AP172" s="4">
        <v>-8386.7999999999993</v>
      </c>
      <c r="AQ172" s="4">
        <v>-700</v>
      </c>
      <c r="AR172" s="4">
        <v>-7034.2</v>
      </c>
      <c r="AS172" s="4">
        <v>-9924.2999999999993</v>
      </c>
      <c r="AT172" s="4">
        <f>IF(OR(MID(TBBP[[#This Row],[Coluna1]],1,1)="1",MID(TBBP[[#This Row],[Coluna1]],1,1)="2"),TBBP[[#This Row],[Coluna45]],SUM(AH172:AS172))</f>
        <v>-37820.57</v>
      </c>
      <c r="AU172" s="4">
        <v>-2650</v>
      </c>
      <c r="AV172" s="4">
        <v>-610</v>
      </c>
      <c r="AW172" s="4">
        <v>-3207</v>
      </c>
      <c r="AX172" s="4">
        <v>-370.12</v>
      </c>
      <c r="AY172" s="4">
        <v>-21345</v>
      </c>
      <c r="AZ172" s="4">
        <v>-22012</v>
      </c>
      <c r="BA172" s="4">
        <v>-700</v>
      </c>
      <c r="BB172" s="4">
        <v>-7156</v>
      </c>
      <c r="BC172" s="4">
        <v>-1340</v>
      </c>
      <c r="BD172" s="4">
        <v>-1258</v>
      </c>
      <c r="BE172" s="4">
        <v>-1440</v>
      </c>
      <c r="BF172" s="4">
        <v>18240</v>
      </c>
      <c r="BG172" s="4">
        <f>IF(OR(MID(TBBP[[#This Row],[Coluna1]],1,1)="1",MID(TBBP[[#This Row],[Coluna1]],1,1)="2"),TBBP[[#This Row],[Coluna58]],SUM(AU172:BF172))</f>
        <v>-43848.119999999995</v>
      </c>
      <c r="BH172" s="4">
        <v>-13864.78</v>
      </c>
      <c r="BI172" s="4">
        <v>-3310.28</v>
      </c>
      <c r="BJ172" s="4">
        <v>-16216.12</v>
      </c>
      <c r="BK172" s="4">
        <v>-28845.94</v>
      </c>
      <c r="BL172" s="4">
        <v>-51774.78</v>
      </c>
      <c r="BM172" s="4">
        <v>-69788.97</v>
      </c>
      <c r="BN172" s="4">
        <v>-40227.379999999997</v>
      </c>
      <c r="BO172" s="4">
        <v>-19272.57</v>
      </c>
      <c r="BP172" s="4">
        <v>-20991.06</v>
      </c>
      <c r="BQ172" s="4">
        <v>-5169.74</v>
      </c>
      <c r="BR172" s="4">
        <v>-6374.25</v>
      </c>
      <c r="BS172" s="4">
        <v>-1003</v>
      </c>
      <c r="BT172" s="4">
        <f>IF(OR(MID(TBBP[[#This Row],[Coluna1]],1,1)="1",MID(TBBP[[#This Row],[Coluna1]],1,1)="2"),TBBP[[#This Row],[Coluna127]],SUM(BH172:BS172))</f>
        <v>-276838.87</v>
      </c>
      <c r="BU172" s="4">
        <v>-2405.77</v>
      </c>
      <c r="BV172" s="4">
        <v>-5037.8900000000003</v>
      </c>
      <c r="BW172" s="4">
        <v>-24323.4</v>
      </c>
      <c r="BX172" s="4">
        <v>-8562.16</v>
      </c>
      <c r="BY172" s="4">
        <v>-22456.37</v>
      </c>
      <c r="BZ172" s="4">
        <v>-11777.1</v>
      </c>
      <c r="CA172" s="4">
        <v>-46233.02</v>
      </c>
      <c r="CB172" s="4">
        <v>-25035.369999999995</v>
      </c>
      <c r="CC172" s="4">
        <v>-87989.53</v>
      </c>
      <c r="CD172" s="4">
        <v>-43061.37</v>
      </c>
      <c r="CE172" s="4">
        <v>-52003.9</v>
      </c>
      <c r="CF172" s="4">
        <v>-47687.65</v>
      </c>
      <c r="CG172" s="4">
        <f>IF(OR(MID(TBBP[[#This Row],[Coluna1]],1,1)="1",MID(TBBP[[#This Row],[Coluna1]],1,1)="2"),CF172,SUM(BU172:CF172))</f>
        <v>-376573.53</v>
      </c>
      <c r="CH172" s="4">
        <v>-30125.83</v>
      </c>
      <c r="CI172" s="4">
        <v>-35771.54</v>
      </c>
      <c r="CJ172" s="4">
        <v>-27521.48</v>
      </c>
      <c r="CK172" s="4">
        <v>-62823.82</v>
      </c>
      <c r="CL172" s="4">
        <v>-72912.62</v>
      </c>
      <c r="CM172" s="4">
        <v>-68319.210000000006</v>
      </c>
      <c r="CN172" s="4">
        <v>-69694.600000000006</v>
      </c>
      <c r="CO172" s="4">
        <v>-127084.59</v>
      </c>
      <c r="CP172" s="4">
        <v>-111073.99</v>
      </c>
      <c r="CQ172" s="4">
        <v>-112862.39999999999</v>
      </c>
      <c r="CR172" s="4">
        <v>-137822.63</v>
      </c>
      <c r="CS172" s="4">
        <v>-75128.13</v>
      </c>
      <c r="CT172" s="4">
        <f>IF(OR(MID(TBBP[[#This Row],[Coluna1]],1,1)="1",MID(TBBP[[#This Row],[Coluna1]],1,1)="2"),CS172,SUM(CH172:CS172))</f>
        <v>-931140.84</v>
      </c>
      <c r="CU172" s="255">
        <v>-38192.410000000003</v>
      </c>
      <c r="CV172" s="255">
        <v>-36753.449999999997</v>
      </c>
      <c r="CW172" s="255">
        <v>-52887.64</v>
      </c>
      <c r="CX172" s="255">
        <v>-68651.53</v>
      </c>
      <c r="CY172" s="255">
        <v>-71575.88</v>
      </c>
      <c r="CZ172" s="255">
        <v>-101606.29</v>
      </c>
      <c r="DA172" s="255">
        <v>-78307.86</v>
      </c>
      <c r="DB172" s="255">
        <v>-43475.55</v>
      </c>
      <c r="DC172" s="255">
        <v>-9574.35</v>
      </c>
      <c r="DD172" s="255">
        <v>-38957.370000000003</v>
      </c>
      <c r="DE172" s="255">
        <v>-32799.82</v>
      </c>
      <c r="DF172" s="255">
        <v>-6586.71</v>
      </c>
      <c r="DG172" s="255">
        <f>SUM(TBBP[[#This Row],[Coluna287]:[Coluna298]])</f>
        <v>-579368.85999999987</v>
      </c>
      <c r="DH172" s="255">
        <v>-26181.360000000001</v>
      </c>
      <c r="DI172" s="255">
        <v>-15063.22</v>
      </c>
      <c r="DJ172" s="255">
        <v>-62815.37</v>
      </c>
      <c r="DK172" s="255">
        <v>-78227.5</v>
      </c>
      <c r="DL172" s="255">
        <v>-33464.6</v>
      </c>
      <c r="DM172" s="255">
        <v>-18041.099999999999</v>
      </c>
      <c r="DO172" t="s">
        <v>359</v>
      </c>
      <c r="DP172" s="30">
        <f>IF(OR(MID(TBBP[[#This Row],[Coluna1]],1,1)="1",MID(TBBP[[#This Row],[Coluna1]],1,1)="2"),"-",SUMIFS(172:172,listaPeriodos,$DR$1,listaPeriodos,$DR$2))</f>
        <v>-233793.15000000002</v>
      </c>
      <c r="DQ172" s="30">
        <v>-80786.899999999994</v>
      </c>
      <c r="DR172" s="30">
        <f t="shared" si="179"/>
        <v>-484721.39999999997</v>
      </c>
      <c r="DS172" s="30"/>
      <c r="DT172" s="30"/>
      <c r="DU172"/>
    </row>
    <row r="173" spans="1:125" x14ac:dyDescent="0.3">
      <c r="A173" s="7" t="s">
        <v>360</v>
      </c>
      <c r="B173" t="s">
        <v>530</v>
      </c>
      <c r="C173" s="4">
        <v>0</v>
      </c>
      <c r="D173" s="4">
        <v>0</v>
      </c>
      <c r="E173" s="4">
        <v>0</v>
      </c>
      <c r="F173" s="4">
        <v>0</v>
      </c>
      <c r="G173" s="4">
        <v>-275119.87</v>
      </c>
      <c r="H173" s="4">
        <v>-20314.63</v>
      </c>
      <c r="I173" s="4">
        <v>-19081.32</v>
      </c>
      <c r="J173" s="4">
        <v>-21528.06</v>
      </c>
      <c r="K173" s="4">
        <v>-35064.9</v>
      </c>
      <c r="L173" s="4">
        <v>-40075.759999999995</v>
      </c>
      <c r="M173" s="4">
        <v>-24575.61</v>
      </c>
      <c r="N173" s="4">
        <v>-41360.03</v>
      </c>
      <c r="O173" s="4">
        <v>-40918.11</v>
      </c>
      <c r="P173" s="4">
        <v>-27246.41</v>
      </c>
      <c r="Q173" s="4">
        <v>-47826.48</v>
      </c>
      <c r="R173" s="4">
        <v>-21095.52</v>
      </c>
      <c r="S173" s="4">
        <v>-11729.22</v>
      </c>
      <c r="T173" s="4">
        <f>IF(OR(MID(TBBP[[#This Row],[Coluna1]],1,1)="1",MID(TBBP[[#This Row],[Coluna1]],1,1)="2"),TBBP[[#This Row],[Coluna19]],SUM(H173:S173))</f>
        <v>-350816.04999999993</v>
      </c>
      <c r="U173" s="4">
        <v>-19517.240000000002</v>
      </c>
      <c r="V173" s="4">
        <v>-31796.67</v>
      </c>
      <c r="W173" s="4">
        <v>-26550.5</v>
      </c>
      <c r="X173" s="4">
        <v>-34630.959999999999</v>
      </c>
      <c r="Y173" s="4">
        <v>-51876.94</v>
      </c>
      <c r="Z173" s="4">
        <v>-31456.85</v>
      </c>
      <c r="AA173" s="4">
        <v>-20336.54</v>
      </c>
      <c r="AB173" s="4">
        <v>-18844.57</v>
      </c>
      <c r="AC173" s="4">
        <v>-23600.95</v>
      </c>
      <c r="AD173" s="4">
        <v>-18780.830000000002</v>
      </c>
      <c r="AE173" s="4">
        <v>-37632.239999999998</v>
      </c>
      <c r="AF173" s="4">
        <v>-18164.189999999999</v>
      </c>
      <c r="AG173" s="4">
        <f>IF(OR(MID(TBBP[[#This Row],[Coluna1]],1,1)="1",MID(TBBP[[#This Row],[Coluna1]],1,1)="2"),TBBP[[#This Row],[Coluna32]],SUM(U173:AF173))</f>
        <v>-333188.48000000004</v>
      </c>
      <c r="AH173" s="4">
        <v>-30046.71</v>
      </c>
      <c r="AI173" s="4">
        <v>-24691.08</v>
      </c>
      <c r="AJ173" s="4">
        <v>-30025.51</v>
      </c>
      <c r="AK173" s="4">
        <v>-6623.35</v>
      </c>
      <c r="AL173" s="4">
        <v>-10834.76</v>
      </c>
      <c r="AM173" s="4">
        <v>-36044.660000000003</v>
      </c>
      <c r="AN173" s="4">
        <v>-38723.910000000003</v>
      </c>
      <c r="AO173" s="4">
        <v>-43766.26</v>
      </c>
      <c r="AP173" s="4">
        <v>-56315.73</v>
      </c>
      <c r="AQ173" s="4">
        <v>-52027.159999999996</v>
      </c>
      <c r="AR173" s="4">
        <v>-57543.450000000004</v>
      </c>
      <c r="AS173" s="4">
        <v>-59364.25</v>
      </c>
      <c r="AT173" s="4">
        <f>IF(OR(MID(TBBP[[#This Row],[Coluna1]],1,1)="1",MID(TBBP[[#This Row],[Coluna1]],1,1)="2"),TBBP[[#This Row],[Coluna45]],SUM(AH173:AS173))</f>
        <v>-446006.83</v>
      </c>
      <c r="AU173" s="4">
        <v>-47653.15</v>
      </c>
      <c r="AV173" s="4">
        <v>-64505.08</v>
      </c>
      <c r="AW173" s="4">
        <v>-74935.16</v>
      </c>
      <c r="AX173" s="4">
        <v>-101123.90999999999</v>
      </c>
      <c r="AY173" s="4">
        <v>-116540.16</v>
      </c>
      <c r="AZ173" s="4">
        <v>-93831.37</v>
      </c>
      <c r="BA173" s="4">
        <v>-82434.559999999998</v>
      </c>
      <c r="BB173" s="4">
        <v>-115638.29999999999</v>
      </c>
      <c r="BC173" s="4">
        <v>-77124.099999999991</v>
      </c>
      <c r="BD173" s="4">
        <v>-80603.94</v>
      </c>
      <c r="BE173" s="4">
        <v>-91254.14</v>
      </c>
      <c r="BF173" s="4">
        <v>-52346.84</v>
      </c>
      <c r="BG173" s="4">
        <f>IF(OR(MID(TBBP[[#This Row],[Coluna1]],1,1)="1",MID(TBBP[[#This Row],[Coluna1]],1,1)="2"),TBBP[[#This Row],[Coluna58]],SUM(AU173:BF173))</f>
        <v>-997990.71</v>
      </c>
      <c r="BH173" s="4">
        <v>-50271.22</v>
      </c>
      <c r="BI173" s="4">
        <v>-113883.03</v>
      </c>
      <c r="BJ173" s="4">
        <v>-78979.110000000015</v>
      </c>
      <c r="BK173" s="4">
        <v>-67933.240000000005</v>
      </c>
      <c r="BL173" s="4">
        <v>-137718.19999999998</v>
      </c>
      <c r="BM173" s="4">
        <v>-183373.51</v>
      </c>
      <c r="BN173" s="4">
        <v>-161123.69</v>
      </c>
      <c r="BO173" s="4">
        <v>-192913.77</v>
      </c>
      <c r="BP173" s="4">
        <v>-174443.63999999998</v>
      </c>
      <c r="BQ173" s="4">
        <v>-169268.19</v>
      </c>
      <c r="BR173" s="4">
        <v>-115145.70000000001</v>
      </c>
      <c r="BS173" s="4">
        <v>-65032.529999999992</v>
      </c>
      <c r="BT173" s="4">
        <f>IF(OR(MID(TBBP[[#This Row],[Coluna1]],1,1)="1",MID(TBBP[[#This Row],[Coluna1]],1,1)="2"),TBBP[[#This Row],[Coluna127]],SUM(BH173:BS173))</f>
        <v>-1510085.8299999998</v>
      </c>
      <c r="BU173" s="4">
        <v>-148701.04999999999</v>
      </c>
      <c r="BV173" s="4">
        <v>-122247.56999999999</v>
      </c>
      <c r="BW173" s="4">
        <v>-167607.11000000002</v>
      </c>
      <c r="BX173" s="4">
        <v>-99536.68</v>
      </c>
      <c r="BY173" s="4">
        <v>-128429.29</v>
      </c>
      <c r="BZ173" s="4">
        <v>-128002.48999999999</v>
      </c>
      <c r="CA173" s="4">
        <v>-137070.81</v>
      </c>
      <c r="CB173" s="4">
        <v>-181566.22999999998</v>
      </c>
      <c r="CC173" s="4">
        <v>-158411.26999999999</v>
      </c>
      <c r="CD173" s="4">
        <v>-144868.12</v>
      </c>
      <c r="CE173" s="4">
        <v>-201394.37</v>
      </c>
      <c r="CF173" s="4">
        <v>-117105.20999999999</v>
      </c>
      <c r="CG173" s="4">
        <f>IF(OR(MID(TBBP[[#This Row],[Coluna1]],1,1)="1",MID(TBBP[[#This Row],[Coluna1]],1,1)="2"),CF173,SUM(BU173:CF173))</f>
        <v>-1734940.2000000002</v>
      </c>
      <c r="CH173" s="4">
        <v>-163692.45000000001</v>
      </c>
      <c r="CI173" s="4">
        <v>-148285.04</v>
      </c>
      <c r="CJ173" s="4">
        <v>-156116.83000000002</v>
      </c>
      <c r="CK173" s="4">
        <v>-189493.00999999998</v>
      </c>
      <c r="CL173" s="4">
        <v>-252484.12000000002</v>
      </c>
      <c r="CM173" s="4">
        <v>-213578.96</v>
      </c>
      <c r="CN173" s="4">
        <v>-244430.09</v>
      </c>
      <c r="CO173" s="4">
        <v>-253690.08000000002</v>
      </c>
      <c r="CP173" s="4">
        <v>-262169.25</v>
      </c>
      <c r="CQ173" s="4">
        <v>-288015.81</v>
      </c>
      <c r="CR173" s="4">
        <v>-200614.77000000002</v>
      </c>
      <c r="CS173" s="4">
        <v>-284978.92</v>
      </c>
      <c r="CT173" s="4">
        <f>IF(OR(MID(TBBP[[#This Row],[Coluna1]],1,1)="1",MID(TBBP[[#This Row],[Coluna1]],1,1)="2"),CS173,SUM(CH173:CS173))</f>
        <v>-2657549.33</v>
      </c>
      <c r="CU173" s="255">
        <v>-239084.28</v>
      </c>
      <c r="CV173" s="255">
        <v>-241521.78</v>
      </c>
      <c r="CW173" s="255">
        <v>-143182.62</v>
      </c>
      <c r="CX173" s="255">
        <v>-128692.46999999999</v>
      </c>
      <c r="CY173" s="255">
        <v>-188361.29</v>
      </c>
      <c r="CZ173" s="255">
        <v>-186203.04</v>
      </c>
      <c r="DA173" s="255">
        <v>-146019.57999999999</v>
      </c>
      <c r="DB173" s="255">
        <v>-134830.18</v>
      </c>
      <c r="DC173" s="255">
        <v>-133438.44999999998</v>
      </c>
      <c r="DD173" s="255">
        <v>-157185.66</v>
      </c>
      <c r="DE173" s="255">
        <v>-132755.5</v>
      </c>
      <c r="DF173" s="255">
        <v>-128663.18000000001</v>
      </c>
      <c r="DG173" s="255">
        <f>SUM(TBBP[[#This Row],[Coluna287]:[Coluna298]])</f>
        <v>-1959938.0299999998</v>
      </c>
      <c r="DH173" s="255">
        <v>-119847.63</v>
      </c>
      <c r="DI173" s="255">
        <v>-117017.65</v>
      </c>
      <c r="DJ173" s="255">
        <v>-167653.44</v>
      </c>
      <c r="DK173" s="255">
        <v>-183036.04</v>
      </c>
      <c r="DL173" s="255">
        <v>-282670</v>
      </c>
      <c r="DM173" s="255">
        <v>-282890.34999999998</v>
      </c>
      <c r="DO173" t="s">
        <v>360</v>
      </c>
      <c r="DP173" s="30">
        <f>IF(OR(MID(TBBP[[#This Row],[Coluna1]],1,1)="1",MID(TBBP[[#This Row],[Coluna1]],1,1)="2"),"-",SUMIFS(173:173,listaPeriodos,$DR$1,listaPeriodos,$DR$2))</f>
        <v>-1153115.1099999999</v>
      </c>
      <c r="DQ173" s="30">
        <v>-283943.99</v>
      </c>
      <c r="DR173" s="30">
        <f t="shared" si="179"/>
        <v>-1703663.94</v>
      </c>
      <c r="DS173" s="30"/>
      <c r="DT173" s="30"/>
      <c r="DU173"/>
    </row>
    <row r="174" spans="1:125" x14ac:dyDescent="0.3">
      <c r="A174" s="7" t="s">
        <v>361</v>
      </c>
      <c r="B174" t="s">
        <v>531</v>
      </c>
      <c r="C174" s="4">
        <v>0</v>
      </c>
      <c r="D174" s="4">
        <v>0</v>
      </c>
      <c r="E174" s="4">
        <v>0</v>
      </c>
      <c r="F174" s="4">
        <v>0</v>
      </c>
      <c r="G174" s="4">
        <v>-42955.28</v>
      </c>
      <c r="H174" s="4">
        <v>-1792.12</v>
      </c>
      <c r="I174" s="4">
        <v>-3393.45</v>
      </c>
      <c r="J174" s="4">
        <v>-3369.7</v>
      </c>
      <c r="K174" s="4">
        <v>-5156.1499999999996</v>
      </c>
      <c r="L174" s="4">
        <v>-3992.75</v>
      </c>
      <c r="M174" s="4">
        <v>-4387.46</v>
      </c>
      <c r="N174" s="4">
        <v>-5923.39</v>
      </c>
      <c r="O174" s="4">
        <v>-7465.52</v>
      </c>
      <c r="P174" s="4">
        <v>-6713.83</v>
      </c>
      <c r="Q174" s="4">
        <v>-13279.59</v>
      </c>
      <c r="R174" s="4">
        <v>-5992.65</v>
      </c>
      <c r="S174" s="4">
        <v>-3350.94</v>
      </c>
      <c r="T174" s="4">
        <f>IF(OR(MID(TBBP[[#This Row],[Coluna1]],1,1)="1",MID(TBBP[[#This Row],[Coluna1]],1,1)="2"),TBBP[[#This Row],[Coluna19]],SUM(H174:S174))</f>
        <v>-64817.549999999996</v>
      </c>
      <c r="U174" s="4">
        <v>-4642.33</v>
      </c>
      <c r="V174" s="4">
        <v>-2896.22</v>
      </c>
      <c r="W174" s="4">
        <v>-8608.16</v>
      </c>
      <c r="X174" s="4">
        <v>-5869.76</v>
      </c>
      <c r="Y174" s="4">
        <v>-7654.4</v>
      </c>
      <c r="Z174" s="4">
        <v>-6186.19</v>
      </c>
      <c r="AA174" s="4">
        <v>-6453.03</v>
      </c>
      <c r="AB174" s="4">
        <v>-7090.51</v>
      </c>
      <c r="AC174" s="4">
        <v>-6468.7</v>
      </c>
      <c r="AD174" s="4">
        <v>-6135.99</v>
      </c>
      <c r="AE174" s="4">
        <v>-6566.56</v>
      </c>
      <c r="AF174" s="4">
        <v>-4441.51</v>
      </c>
      <c r="AG174" s="4">
        <f>IF(OR(MID(TBBP[[#This Row],[Coluna1]],1,1)="1",MID(TBBP[[#This Row],[Coluna1]],1,1)="2"),TBBP[[#This Row],[Coluna32]],SUM(U174:AF174))</f>
        <v>-73013.36</v>
      </c>
      <c r="AH174" s="4">
        <v>-9204.34</v>
      </c>
      <c r="AI174" s="4">
        <v>-6963.49</v>
      </c>
      <c r="AJ174" s="4">
        <v>-6862.33</v>
      </c>
      <c r="AK174" s="4">
        <v>-3224.51</v>
      </c>
      <c r="AL174" s="4">
        <v>-3382.33</v>
      </c>
      <c r="AM174" s="4">
        <v>-6704.41</v>
      </c>
      <c r="AN174" s="4">
        <v>-3705.93</v>
      </c>
      <c r="AO174" s="4">
        <v>-10026.43</v>
      </c>
      <c r="AP174" s="4">
        <v>-8417.69</v>
      </c>
      <c r="AQ174" s="4">
        <v>-10993.03</v>
      </c>
      <c r="AR174" s="4">
        <v>-11869.81</v>
      </c>
      <c r="AS174" s="4">
        <v>-7214.52</v>
      </c>
      <c r="AT174" s="4">
        <f>IF(OR(MID(TBBP[[#This Row],[Coluna1]],1,1)="1",MID(TBBP[[#This Row],[Coluna1]],1,1)="2"),TBBP[[#This Row],[Coluna45]],SUM(AH174:AS174))</f>
        <v>-88568.82</v>
      </c>
      <c r="AU174" s="4">
        <v>-11397.63</v>
      </c>
      <c r="AV174" s="4">
        <v>-10604.04</v>
      </c>
      <c r="AW174" s="4">
        <v>-17546.63</v>
      </c>
      <c r="AX174" s="4">
        <v>-17118.46</v>
      </c>
      <c r="AY174" s="4">
        <v>-16827.349999999999</v>
      </c>
      <c r="AZ174" s="4">
        <v>-20136.22</v>
      </c>
      <c r="BA174" s="4">
        <v>-14300.22</v>
      </c>
      <c r="BB174" s="4">
        <v>-18003.900000000001</v>
      </c>
      <c r="BC174" s="4">
        <v>-19233.060000000001</v>
      </c>
      <c r="BD174" s="4">
        <v>-14613.43</v>
      </c>
      <c r="BE174" s="4">
        <v>-11549.61</v>
      </c>
      <c r="BF174" s="4">
        <v>-11644.93</v>
      </c>
      <c r="BG174" s="4">
        <f>IF(OR(MID(TBBP[[#This Row],[Coluna1]],1,1)="1",MID(TBBP[[#This Row],[Coluna1]],1,1)="2"),TBBP[[#This Row],[Coluna58]],SUM(AU174:BF174))</f>
        <v>-182975.47999999998</v>
      </c>
      <c r="BH174" s="4">
        <v>-15200.67</v>
      </c>
      <c r="BI174" s="4">
        <v>-22864.77</v>
      </c>
      <c r="BJ174" s="4">
        <v>-24966.54</v>
      </c>
      <c r="BK174" s="4">
        <v>-20586.990000000002</v>
      </c>
      <c r="BL174" s="4">
        <v>-24984.99</v>
      </c>
      <c r="BM174" s="4">
        <v>-20817.38</v>
      </c>
      <c r="BN174" s="4">
        <v>-13730.72</v>
      </c>
      <c r="BO174" s="4">
        <v>-12908.69</v>
      </c>
      <c r="BP174" s="4">
        <v>-12655.38</v>
      </c>
      <c r="BQ174" s="4">
        <v>-15442.82</v>
      </c>
      <c r="BR174" s="4">
        <v>-8919.2099999999991</v>
      </c>
      <c r="BS174" s="4">
        <v>-7927.47</v>
      </c>
      <c r="BT174" s="4">
        <f>IF(OR(MID(TBBP[[#This Row],[Coluna1]],1,1)="1",MID(TBBP[[#This Row],[Coluna1]],1,1)="2"),TBBP[[#This Row],[Coluna127]],SUM(BH174:BS174))</f>
        <v>-201005.63</v>
      </c>
      <c r="BU174" s="4">
        <v>-14085</v>
      </c>
      <c r="BV174" s="4">
        <v>-11566.86</v>
      </c>
      <c r="BW174" s="4">
        <v>-11257.07</v>
      </c>
      <c r="BX174" s="4">
        <v>-12618.52</v>
      </c>
      <c r="BY174" s="4">
        <v>-11363.29</v>
      </c>
      <c r="BZ174" s="4">
        <v>-11149.06</v>
      </c>
      <c r="CA174" s="4">
        <v>-14520.51</v>
      </c>
      <c r="CB174" s="4">
        <v>-16409.46</v>
      </c>
      <c r="CC174" s="4">
        <v>-14970.58</v>
      </c>
      <c r="CD174" s="4">
        <v>-16644.919999999998</v>
      </c>
      <c r="CE174" s="4">
        <v>-11323.61</v>
      </c>
      <c r="CF174" s="4">
        <v>-13758.02</v>
      </c>
      <c r="CG174" s="4">
        <f>IF(OR(MID(TBBP[[#This Row],[Coluna1]],1,1)="1",MID(TBBP[[#This Row],[Coluna1]],1,1)="2"),CF174,SUM(BU174:CF174))</f>
        <v>-159666.9</v>
      </c>
      <c r="CH174" s="4">
        <v>-13637.78</v>
      </c>
      <c r="CI174" s="4">
        <v>-19078.580000000002</v>
      </c>
      <c r="CJ174" s="4">
        <v>-19079.73</v>
      </c>
      <c r="CK174" s="4">
        <v>-34563.279999999999</v>
      </c>
      <c r="CL174" s="4">
        <v>-25462.84</v>
      </c>
      <c r="CM174" s="4">
        <v>-32086.11</v>
      </c>
      <c r="CN174" s="4">
        <v>-36052.76</v>
      </c>
      <c r="CO174" s="4">
        <v>-27040.7</v>
      </c>
      <c r="CP174" s="4">
        <v>-25255.93</v>
      </c>
      <c r="CQ174" s="4">
        <v>-28836.19</v>
      </c>
      <c r="CR174" s="4">
        <v>-22541.119999999999</v>
      </c>
      <c r="CS174" s="4">
        <v>-21794.58</v>
      </c>
      <c r="CT174" s="4">
        <f>IF(OR(MID(TBBP[[#This Row],[Coluna1]],1,1)="1",MID(TBBP[[#This Row],[Coluna1]],1,1)="2"),CS174,SUM(CH174:CS174))</f>
        <v>-305429.60000000003</v>
      </c>
      <c r="CU174" s="255">
        <v>-26363.69</v>
      </c>
      <c r="CV174" s="255">
        <v>-24815.19</v>
      </c>
      <c r="CW174" s="255">
        <v>-23455.02</v>
      </c>
      <c r="CX174" s="255">
        <v>-26155.21</v>
      </c>
      <c r="CY174" s="255">
        <v>-28461.22</v>
      </c>
      <c r="CZ174" s="255">
        <v>-24485.02</v>
      </c>
      <c r="DA174" s="255">
        <v>-31158.03</v>
      </c>
      <c r="DB174" s="255">
        <v>-24590</v>
      </c>
      <c r="DC174" s="255">
        <v>-22333.09</v>
      </c>
      <c r="DD174" s="255">
        <v>-24194.29</v>
      </c>
      <c r="DE174" s="255">
        <v>-14396.71</v>
      </c>
      <c r="DF174" s="255">
        <v>-21768.91</v>
      </c>
      <c r="DG174" s="255">
        <f>SUM(TBBP[[#This Row],[Coluna287]:[Coluna298]])</f>
        <v>-292176.37999999995</v>
      </c>
      <c r="DH174" s="255">
        <v>-15373.68</v>
      </c>
      <c r="DI174" s="255">
        <v>-29150.66</v>
      </c>
      <c r="DJ174" s="255">
        <v>-29341.05</v>
      </c>
      <c r="DK174" s="255">
        <v>-30266.66</v>
      </c>
      <c r="DL174" s="255">
        <v>-35352.129999999997</v>
      </c>
      <c r="DM174" s="255">
        <v>-34563.629999999997</v>
      </c>
      <c r="DO174" t="s">
        <v>361</v>
      </c>
      <c r="DP174" s="30">
        <f>IF(OR(MID(TBBP[[#This Row],[Coluna1]],1,1)="1",MID(TBBP[[#This Row],[Coluna1]],1,1)="2"),"-",SUMIFS(174:174,listaPeriodos,$DR$1,listaPeriodos,$DR$2))</f>
        <v>-174047.81</v>
      </c>
      <c r="DQ174" s="30">
        <v>-28212.73</v>
      </c>
      <c r="DR174" s="30">
        <f t="shared" si="179"/>
        <v>-169276.38</v>
      </c>
      <c r="DS174" s="30"/>
      <c r="DT174" s="30"/>
      <c r="DU174"/>
    </row>
    <row r="175" spans="1:125" x14ac:dyDescent="0.3">
      <c r="A175" s="7" t="s">
        <v>362</v>
      </c>
      <c r="B175" t="s">
        <v>532</v>
      </c>
      <c r="C175" s="4">
        <v>0</v>
      </c>
      <c r="D175" s="4">
        <v>0</v>
      </c>
      <c r="E175" s="4">
        <v>0</v>
      </c>
      <c r="F175" s="4">
        <v>0</v>
      </c>
      <c r="G175" s="4">
        <v>-199002.55</v>
      </c>
      <c r="H175" s="4">
        <v>-12897.18</v>
      </c>
      <c r="I175" s="4">
        <v>-5805.55</v>
      </c>
      <c r="J175" s="4">
        <v>-11982.31</v>
      </c>
      <c r="K175" s="4">
        <v>-27495.010000000002</v>
      </c>
      <c r="L175" s="4">
        <v>-37055.160000000003</v>
      </c>
      <c r="M175" s="4">
        <v>-17008.91</v>
      </c>
      <c r="N175" s="4">
        <v>-31664.05</v>
      </c>
      <c r="O175" s="4">
        <v>-2172.6799999999998</v>
      </c>
      <c r="P175" s="4">
        <v>-13091.94</v>
      </c>
      <c r="Q175" s="4">
        <v>-27454.67</v>
      </c>
      <c r="R175" s="4">
        <v>-23977.46</v>
      </c>
      <c r="S175" s="4">
        <v>-11080.02</v>
      </c>
      <c r="T175" s="4">
        <f>IF(OR(MID(TBBP[[#This Row],[Coluna1]],1,1)="1",MID(TBBP[[#This Row],[Coluna1]],1,1)="2"),TBBP[[#This Row],[Coluna19]],SUM(H175:S175))</f>
        <v>-221684.94</v>
      </c>
      <c r="U175" s="4">
        <v>-11704.73</v>
      </c>
      <c r="V175" s="4">
        <v>-14399.9</v>
      </c>
      <c r="W175" s="4">
        <v>-15194.47</v>
      </c>
      <c r="X175" s="4">
        <v>-16545.98</v>
      </c>
      <c r="Y175" s="4">
        <v>-18618.73</v>
      </c>
      <c r="Z175" s="4">
        <v>-19650.669999999998</v>
      </c>
      <c r="AA175" s="4">
        <v>-27812.61</v>
      </c>
      <c r="AB175" s="4">
        <v>-18431.18</v>
      </c>
      <c r="AC175" s="4">
        <v>-15353.29</v>
      </c>
      <c r="AD175" s="4">
        <v>-25527.14</v>
      </c>
      <c r="AE175" s="4">
        <v>-54706.38</v>
      </c>
      <c r="AF175" s="4">
        <v>-30881.06</v>
      </c>
      <c r="AG175" s="4">
        <f>IF(OR(MID(TBBP[[#This Row],[Coluna1]],1,1)="1",MID(TBBP[[#This Row],[Coluna1]],1,1)="2"),TBBP[[#This Row],[Coluna32]],SUM(U175:AF175))</f>
        <v>-268826.14</v>
      </c>
      <c r="AH175" s="4">
        <v>-13057.03</v>
      </c>
      <c r="AI175" s="4">
        <v>-34081.980000000003</v>
      </c>
      <c r="AJ175" s="4">
        <v>-19654.21</v>
      </c>
      <c r="AK175" s="4">
        <v>-14975.99</v>
      </c>
      <c r="AL175" s="4">
        <v>-6023.98</v>
      </c>
      <c r="AM175" s="4">
        <v>-10692.89</v>
      </c>
      <c r="AN175" s="4">
        <v>-5111.8100000000004</v>
      </c>
      <c r="AO175" s="4">
        <v>-21397.360000000001</v>
      </c>
      <c r="AP175" s="4">
        <v>-39506.870000000003</v>
      </c>
      <c r="AQ175" s="4">
        <v>-27330.1</v>
      </c>
      <c r="AR175" s="4">
        <v>-20001.7</v>
      </c>
      <c r="AS175" s="4">
        <v>-32509.26</v>
      </c>
      <c r="AT175" s="4">
        <f>IF(OR(MID(TBBP[[#This Row],[Coluna1]],1,1)="1",MID(TBBP[[#This Row],[Coluna1]],1,1)="2"),TBBP[[#This Row],[Coluna45]],SUM(AH175:AS175))</f>
        <v>-244343.18000000002</v>
      </c>
      <c r="AU175" s="4">
        <v>-16085.88</v>
      </c>
      <c r="AV175" s="4">
        <v>-128632.11</v>
      </c>
      <c r="AW175" s="4">
        <v>-40561.65</v>
      </c>
      <c r="AX175" s="4">
        <v>-37336.69</v>
      </c>
      <c r="AY175" s="4">
        <v>-44158.76</v>
      </c>
      <c r="AZ175" s="4">
        <v>-54072.81</v>
      </c>
      <c r="BA175" s="4">
        <v>-77759.509999999995</v>
      </c>
      <c r="BB175" s="4">
        <v>-70328.600000000006</v>
      </c>
      <c r="BC175" s="4">
        <v>-60433.63</v>
      </c>
      <c r="BD175" s="4">
        <v>-159508.21</v>
      </c>
      <c r="BE175" s="4">
        <v>-113691.52</v>
      </c>
      <c r="BF175" s="4">
        <v>-145319.01</v>
      </c>
      <c r="BG175" s="4">
        <f>IF(OR(MID(TBBP[[#This Row],[Coluna1]],1,1)="1",MID(TBBP[[#This Row],[Coluna1]],1,1)="2"),TBBP[[#This Row],[Coluna58]],SUM(AU175:BF175))</f>
        <v>-947888.38</v>
      </c>
      <c r="BH175" s="4">
        <v>-161565.99</v>
      </c>
      <c r="BI175" s="4">
        <v>-421217.43</v>
      </c>
      <c r="BJ175" s="4">
        <v>-134595.05000000002</v>
      </c>
      <c r="BK175" s="4">
        <v>-126386.62</v>
      </c>
      <c r="BL175" s="4">
        <v>-302764.49</v>
      </c>
      <c r="BM175" s="4">
        <v>-116406.17</v>
      </c>
      <c r="BN175" s="4">
        <v>-127576.61</v>
      </c>
      <c r="BO175" s="4">
        <v>-156317.58000000002</v>
      </c>
      <c r="BP175" s="4">
        <v>-157390.39999999999</v>
      </c>
      <c r="BQ175" s="4">
        <v>-155969.60999999999</v>
      </c>
      <c r="BR175" s="4">
        <v>-194528.09</v>
      </c>
      <c r="BS175" s="4">
        <v>-301776.45</v>
      </c>
      <c r="BT175" s="4">
        <f>IF(OR(MID(TBBP[[#This Row],[Coluna1]],1,1)="1",MID(TBBP[[#This Row],[Coluna1]],1,1)="2"),TBBP[[#This Row],[Coluna127]],SUM(BH175:BS175))</f>
        <v>-2356494.4900000002</v>
      </c>
      <c r="BU175" s="4">
        <v>-259980.91</v>
      </c>
      <c r="BV175" s="4">
        <v>-322687.98</v>
      </c>
      <c r="BW175" s="4">
        <v>-165373.01999999999</v>
      </c>
      <c r="BX175" s="4">
        <v>-172385.85</v>
      </c>
      <c r="BY175" s="4">
        <v>-152276.32999999999</v>
      </c>
      <c r="BZ175" s="4">
        <v>-173642.8</v>
      </c>
      <c r="CA175" s="4">
        <v>-184126.75</v>
      </c>
      <c r="CB175" s="4">
        <v>-179646.49</v>
      </c>
      <c r="CC175" s="4">
        <v>-144333.38</v>
      </c>
      <c r="CD175" s="4">
        <v>-144658.14000000001</v>
      </c>
      <c r="CE175" s="4">
        <v>-174083.18</v>
      </c>
      <c r="CF175" s="4">
        <v>-237256.82</v>
      </c>
      <c r="CG175" s="4">
        <f>IF(OR(MID(TBBP[[#This Row],[Coluna1]],1,1)="1",MID(TBBP[[#This Row],[Coluna1]],1,1)="2"),CF175,SUM(BU175:CF175))</f>
        <v>-2310451.6500000004</v>
      </c>
      <c r="CH175" s="4">
        <v>-329995.74</v>
      </c>
      <c r="CI175" s="4">
        <v>-305529.62</v>
      </c>
      <c r="CJ175" s="4">
        <v>-211031.39</v>
      </c>
      <c r="CK175" s="4">
        <v>-271983.37</v>
      </c>
      <c r="CL175" s="4">
        <v>-345334.45</v>
      </c>
      <c r="CM175" s="4">
        <v>-213241.52</v>
      </c>
      <c r="CN175" s="4">
        <v>-228521.9</v>
      </c>
      <c r="CO175" s="4">
        <v>-243515.42</v>
      </c>
      <c r="CP175" s="4">
        <v>-220783.4</v>
      </c>
      <c r="CQ175" s="4">
        <v>-254234.63</v>
      </c>
      <c r="CR175" s="4">
        <v>-244638.34</v>
      </c>
      <c r="CS175" s="4">
        <v>-352752.2</v>
      </c>
      <c r="CT175" s="4">
        <f>IF(OR(MID(TBBP[[#This Row],[Coluna1]],1,1)="1",MID(TBBP[[#This Row],[Coluna1]],1,1)="2"),CS175,SUM(CH175:CS175))</f>
        <v>-3221561.98</v>
      </c>
      <c r="CU175" s="255">
        <v>-437378.16</v>
      </c>
      <c r="CV175" s="255">
        <v>-345605.27</v>
      </c>
      <c r="CW175" s="255">
        <v>-232293.37</v>
      </c>
      <c r="CX175" s="255">
        <v>-239219.71</v>
      </c>
      <c r="CY175" s="255">
        <v>-271806.83999999997</v>
      </c>
      <c r="CZ175" s="255">
        <v>-218126.97</v>
      </c>
      <c r="DA175" s="255">
        <v>-268674.63999999996</v>
      </c>
      <c r="DB175" s="255">
        <v>-302807.28999999998</v>
      </c>
      <c r="DC175" s="255">
        <v>-279380.33</v>
      </c>
      <c r="DD175" s="255">
        <v>-283307.46999999997</v>
      </c>
      <c r="DE175" s="255">
        <v>-305163.62</v>
      </c>
      <c r="DF175" s="255">
        <v>-452229.09</v>
      </c>
      <c r="DG175" s="255">
        <f>SUM(TBBP[[#This Row],[Coluna287]:[Coluna298]])</f>
        <v>-3635992.76</v>
      </c>
      <c r="DH175" s="255">
        <v>-424151.54</v>
      </c>
      <c r="DI175" s="255">
        <v>-280581.09000000003</v>
      </c>
      <c r="DJ175" s="255">
        <v>-323927.03000000003</v>
      </c>
      <c r="DK175" s="255">
        <v>-404433.36</v>
      </c>
      <c r="DL175" s="255">
        <v>-402277.68</v>
      </c>
      <c r="DM175" s="255">
        <v>-355846.12</v>
      </c>
      <c r="DO175" t="s">
        <v>362</v>
      </c>
      <c r="DP175" s="30">
        <f>IF(OR(MID(TBBP[[#This Row],[Coluna1]],1,1)="1",MID(TBBP[[#This Row],[Coluna1]],1,1)="2"),"-",SUMIFS(175:175,listaPeriodos,$DR$1,listaPeriodos,$DR$2))</f>
        <v>-2191216.8199999998</v>
      </c>
      <c r="DQ175" s="30">
        <v>-374230.33</v>
      </c>
      <c r="DR175" s="30">
        <f t="shared" si="179"/>
        <v>-2245381.98</v>
      </c>
      <c r="DS175" s="30"/>
      <c r="DT175" s="30"/>
      <c r="DU175"/>
    </row>
    <row r="176" spans="1:125" x14ac:dyDescent="0.3">
      <c r="A176" s="7" t="s">
        <v>363</v>
      </c>
      <c r="B176" t="s">
        <v>533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f>IF(OR(MID(TBBP[[#This Row],[Coluna1]],1,1)="1",MID(TBBP[[#This Row],[Coluna1]],1,1)="2"),TBBP[[#This Row],[Coluna19]],SUM(H176:S176))</f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f>IF(OR(MID(TBBP[[#This Row],[Coluna1]],1,1)="1",MID(TBBP[[#This Row],[Coluna1]],1,1)="2"),TBBP[[#This Row],[Coluna32]],SUM(U176:AF176))</f>
        <v>0</v>
      </c>
      <c r="AH176" s="4">
        <v>0</v>
      </c>
      <c r="AI176" s="4">
        <v>0</v>
      </c>
      <c r="AJ176" s="4">
        <v>0</v>
      </c>
      <c r="AK176" s="4">
        <v>0</v>
      </c>
      <c r="AL176" s="4">
        <v>0</v>
      </c>
      <c r="AM176" s="4">
        <v>0</v>
      </c>
      <c r="AN176" s="4">
        <v>0</v>
      </c>
      <c r="AO176" s="4">
        <v>0</v>
      </c>
      <c r="AP176" s="4">
        <v>0</v>
      </c>
      <c r="AQ176" s="4">
        <v>0</v>
      </c>
      <c r="AR176" s="4">
        <v>0</v>
      </c>
      <c r="AS176" s="4">
        <v>0</v>
      </c>
      <c r="AT176" s="4">
        <f>IF(OR(MID(TBBP[[#This Row],[Coluna1]],1,1)="1",MID(TBBP[[#This Row],[Coluna1]],1,1)="2"),TBBP[[#This Row],[Coluna45]],SUM(AH176:AS176))</f>
        <v>0</v>
      </c>
      <c r="AU176" s="4">
        <v>0</v>
      </c>
      <c r="AV176" s="4">
        <v>0</v>
      </c>
      <c r="AW176" s="4">
        <v>0</v>
      </c>
      <c r="AX176" s="4">
        <v>0</v>
      </c>
      <c r="AY176" s="4">
        <v>0</v>
      </c>
      <c r="AZ176" s="4">
        <v>0</v>
      </c>
      <c r="BA176" s="4">
        <v>0</v>
      </c>
      <c r="BB176" s="4">
        <v>0</v>
      </c>
      <c r="BC176" s="4">
        <v>0</v>
      </c>
      <c r="BD176" s="4">
        <v>0</v>
      </c>
      <c r="BE176" s="4">
        <v>0</v>
      </c>
      <c r="BF176" s="4">
        <v>0</v>
      </c>
      <c r="BG176" s="4">
        <f>IF(OR(MID(TBBP[[#This Row],[Coluna1]],1,1)="1",MID(TBBP[[#This Row],[Coluna1]],1,1)="2"),TBBP[[#This Row],[Coluna58]],SUM(AU176:BF176))</f>
        <v>0</v>
      </c>
      <c r="BH176" s="4">
        <v>0</v>
      </c>
      <c r="BI176" s="4">
        <v>0</v>
      </c>
      <c r="BJ176" s="4">
        <v>0</v>
      </c>
      <c r="BK176" s="4">
        <v>0</v>
      </c>
      <c r="BL176" s="4">
        <v>0</v>
      </c>
      <c r="BM176" s="4">
        <v>0</v>
      </c>
      <c r="BN176" s="4">
        <v>0</v>
      </c>
      <c r="BO176" s="4">
        <v>0</v>
      </c>
      <c r="BP176" s="4">
        <v>0</v>
      </c>
      <c r="BQ176" s="4">
        <v>0</v>
      </c>
      <c r="BR176" s="4">
        <v>0</v>
      </c>
      <c r="BS176" s="4">
        <v>0</v>
      </c>
      <c r="BT176" s="4">
        <f>IF(OR(MID(TBBP[[#This Row],[Coluna1]],1,1)="1",MID(TBBP[[#This Row],[Coluna1]],1,1)="2"),TBBP[[#This Row],[Coluna127]],SUM(BH176:BS176))</f>
        <v>0</v>
      </c>
      <c r="BU176" s="4">
        <v>0</v>
      </c>
      <c r="BV176" s="4">
        <v>0</v>
      </c>
      <c r="BW176" s="4">
        <v>0</v>
      </c>
      <c r="BX176" s="4">
        <v>0</v>
      </c>
      <c r="BY176" s="4">
        <v>0</v>
      </c>
      <c r="BZ176" s="4">
        <v>0</v>
      </c>
      <c r="CA176" s="4">
        <v>0</v>
      </c>
      <c r="CB176" s="4">
        <v>0</v>
      </c>
      <c r="CC176" s="4">
        <v>0</v>
      </c>
      <c r="CD176" s="4">
        <v>0</v>
      </c>
      <c r="CE176" s="4">
        <v>0</v>
      </c>
      <c r="CF176" s="4">
        <v>0</v>
      </c>
      <c r="CG176" s="4">
        <f>IF(OR(MID(TBBP[[#This Row],[Coluna1]],1,1)="1",MID(TBBP[[#This Row],[Coluna1]],1,1)="2"),CF176,SUM(BU176:CF176))</f>
        <v>0</v>
      </c>
      <c r="CH176" s="4">
        <v>0</v>
      </c>
      <c r="CI176" s="4">
        <v>0</v>
      </c>
      <c r="CJ176" s="4">
        <v>0</v>
      </c>
      <c r="CK176" s="4" t="s">
        <v>1134</v>
      </c>
      <c r="CL176" s="4">
        <v>0</v>
      </c>
      <c r="CM176" s="4" t="s">
        <v>1134</v>
      </c>
      <c r="CN176" s="4">
        <v>0</v>
      </c>
      <c r="CO176" s="4">
        <v>0</v>
      </c>
      <c r="CP176" s="4">
        <v>0</v>
      </c>
      <c r="CQ176" s="4" t="s">
        <v>1134</v>
      </c>
      <c r="CR176" s="4" t="s">
        <v>1134</v>
      </c>
      <c r="CS176" s="4" t="s">
        <v>1134</v>
      </c>
      <c r="CT176" s="4">
        <f>IF(OR(MID(TBBP[[#This Row],[Coluna1]],1,1)="1",MID(TBBP[[#This Row],[Coluna1]],1,1)="2"),CS176,SUM(CH176:CS176))</f>
        <v>0</v>
      </c>
      <c r="CU176" s="255">
        <v>0</v>
      </c>
      <c r="CV176" s="255">
        <v>0</v>
      </c>
      <c r="CW176" s="255">
        <v>0</v>
      </c>
      <c r="CX176" s="255">
        <v>0</v>
      </c>
      <c r="CY176" s="255">
        <v>0</v>
      </c>
      <c r="CZ176" s="255">
        <v>0</v>
      </c>
      <c r="DA176" s="255">
        <v>0</v>
      </c>
      <c r="DB176" s="255">
        <v>0</v>
      </c>
      <c r="DC176" s="255">
        <v>0</v>
      </c>
      <c r="DD176" s="255">
        <v>0</v>
      </c>
      <c r="DE176" s="255"/>
      <c r="DF176" s="255">
        <v>0</v>
      </c>
      <c r="DG176" s="255">
        <f>SUM(TBBP[[#This Row],[Coluna287]:[Coluna298]])</f>
        <v>0</v>
      </c>
      <c r="DH176" s="255">
        <v>0</v>
      </c>
      <c r="DI176" s="255">
        <v>0</v>
      </c>
      <c r="DJ176" s="255">
        <v>0</v>
      </c>
      <c r="DK176" s="255">
        <v>0</v>
      </c>
      <c r="DL176" s="255">
        <v>0</v>
      </c>
      <c r="DM176" s="255">
        <v>0</v>
      </c>
      <c r="DO176" t="s">
        <v>363</v>
      </c>
      <c r="DP176" s="30">
        <f>IF(OR(MID(TBBP[[#This Row],[Coluna1]],1,1)="1",MID(TBBP[[#This Row],[Coluna1]],1,1)="2"),"-",SUMIFS(176:176,listaPeriodos,$DR$1,listaPeriodos,$DR$2))</f>
        <v>0</v>
      </c>
      <c r="DQ176" s="30">
        <v>0</v>
      </c>
      <c r="DR176" s="30">
        <f t="shared" si="179"/>
        <v>0</v>
      </c>
      <c r="DS176" s="30"/>
      <c r="DT176" s="30"/>
      <c r="DU176"/>
    </row>
    <row r="177" spans="1:125" x14ac:dyDescent="0.3">
      <c r="A177" s="7" t="s">
        <v>364</v>
      </c>
      <c r="B177" t="s">
        <v>534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f>IF(OR(MID(TBBP[[#This Row],[Coluna1]],1,1)="1",MID(TBBP[[#This Row],[Coluna1]],1,1)="2"),TBBP[[#This Row],[Coluna19]],SUM(H177:S177))</f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f>IF(OR(MID(TBBP[[#This Row],[Coluna1]],1,1)="1",MID(TBBP[[#This Row],[Coluna1]],1,1)="2"),TBBP[[#This Row],[Coluna32]],SUM(U177:AF177))</f>
        <v>0</v>
      </c>
      <c r="AH177" s="4">
        <v>0</v>
      </c>
      <c r="AI177" s="4">
        <v>0</v>
      </c>
      <c r="AJ177" s="4">
        <v>0</v>
      </c>
      <c r="AK177" s="4">
        <v>0</v>
      </c>
      <c r="AL177" s="4">
        <v>0</v>
      </c>
      <c r="AM177" s="4">
        <v>0</v>
      </c>
      <c r="AN177" s="4">
        <v>0</v>
      </c>
      <c r="AO177" s="4">
        <v>0</v>
      </c>
      <c r="AP177" s="4">
        <v>0</v>
      </c>
      <c r="AQ177" s="4">
        <v>0</v>
      </c>
      <c r="AR177" s="4">
        <v>0</v>
      </c>
      <c r="AS177" s="4">
        <v>0</v>
      </c>
      <c r="AT177" s="4">
        <f>IF(OR(MID(TBBP[[#This Row],[Coluna1]],1,1)="1",MID(TBBP[[#This Row],[Coluna1]],1,1)="2"),TBBP[[#This Row],[Coluna45]],SUM(AH177:AS177))</f>
        <v>0</v>
      </c>
      <c r="AU177" s="4">
        <v>0</v>
      </c>
      <c r="AV177" s="4">
        <v>0</v>
      </c>
      <c r="AW177" s="4">
        <v>0</v>
      </c>
      <c r="AX177" s="4">
        <v>0</v>
      </c>
      <c r="AY177" s="4">
        <v>0</v>
      </c>
      <c r="AZ177" s="4">
        <v>0</v>
      </c>
      <c r="BA177" s="4">
        <v>0</v>
      </c>
      <c r="BB177" s="4">
        <v>0</v>
      </c>
      <c r="BC177" s="4">
        <v>0</v>
      </c>
      <c r="BD177" s="4">
        <v>0</v>
      </c>
      <c r="BE177" s="4">
        <v>0</v>
      </c>
      <c r="BF177" s="4">
        <v>0</v>
      </c>
      <c r="BG177" s="4">
        <f>IF(OR(MID(TBBP[[#This Row],[Coluna1]],1,1)="1",MID(TBBP[[#This Row],[Coluna1]],1,1)="2"),TBBP[[#This Row],[Coluna58]],SUM(AU177:BF177))</f>
        <v>0</v>
      </c>
      <c r="BH177" s="4">
        <v>0</v>
      </c>
      <c r="BI177" s="4">
        <v>0</v>
      </c>
      <c r="BJ177" s="4">
        <v>0</v>
      </c>
      <c r="BK177" s="4">
        <v>0</v>
      </c>
      <c r="BL177" s="4">
        <v>0</v>
      </c>
      <c r="BM177" s="4">
        <v>0</v>
      </c>
      <c r="BN177" s="4">
        <v>0</v>
      </c>
      <c r="BO177" s="4">
        <v>0</v>
      </c>
      <c r="BP177" s="4">
        <v>0</v>
      </c>
      <c r="BQ177" s="4">
        <v>0</v>
      </c>
      <c r="BR177" s="4">
        <v>0</v>
      </c>
      <c r="BS177" s="4">
        <v>0</v>
      </c>
      <c r="BT177" s="4">
        <f>IF(OR(MID(TBBP[[#This Row],[Coluna1]],1,1)="1",MID(TBBP[[#This Row],[Coluna1]],1,1)="2"),TBBP[[#This Row],[Coluna127]],SUM(BH177:BS177))</f>
        <v>0</v>
      </c>
      <c r="BU177" s="4">
        <v>0</v>
      </c>
      <c r="BV177" s="4">
        <v>0</v>
      </c>
      <c r="BW177" s="4">
        <v>0</v>
      </c>
      <c r="BX177" s="4">
        <v>0</v>
      </c>
      <c r="BY177" s="4">
        <v>0</v>
      </c>
      <c r="BZ177" s="4">
        <v>0</v>
      </c>
      <c r="CA177" s="4">
        <v>0</v>
      </c>
      <c r="CB177" s="4">
        <v>0</v>
      </c>
      <c r="CC177" s="4">
        <v>0</v>
      </c>
      <c r="CD177" s="4">
        <v>0</v>
      </c>
      <c r="CE177" s="4">
        <v>0</v>
      </c>
      <c r="CF177" s="4">
        <v>0</v>
      </c>
      <c r="CG177" s="4">
        <f>IF(OR(MID(TBBP[[#This Row],[Coluna1]],1,1)="1",MID(TBBP[[#This Row],[Coluna1]],1,1)="2"),CF177,SUM(BU177:CF177))</f>
        <v>0</v>
      </c>
      <c r="CH177" s="4">
        <v>0</v>
      </c>
      <c r="CI177" s="4">
        <v>0</v>
      </c>
      <c r="CJ177" s="4">
        <v>0</v>
      </c>
      <c r="CK177" s="4" t="s">
        <v>1134</v>
      </c>
      <c r="CL177" s="4">
        <v>0</v>
      </c>
      <c r="CM177" s="4" t="s">
        <v>1134</v>
      </c>
      <c r="CN177" s="4">
        <v>0</v>
      </c>
      <c r="CO177" s="4">
        <v>0</v>
      </c>
      <c r="CP177" s="4">
        <v>0</v>
      </c>
      <c r="CQ177" s="4" t="s">
        <v>1134</v>
      </c>
      <c r="CR177" s="4" t="s">
        <v>1134</v>
      </c>
      <c r="CS177" s="4" t="s">
        <v>1134</v>
      </c>
      <c r="CT177" s="4">
        <f>IF(OR(MID(TBBP[[#This Row],[Coluna1]],1,1)="1",MID(TBBP[[#This Row],[Coluna1]],1,1)="2"),CS177,SUM(CH177:CS177))</f>
        <v>0</v>
      </c>
      <c r="CU177" s="255">
        <v>0</v>
      </c>
      <c r="CV177" s="255">
        <v>0</v>
      </c>
      <c r="CW177" s="255">
        <v>0</v>
      </c>
      <c r="CX177" s="255">
        <v>0</v>
      </c>
      <c r="CY177" s="255">
        <v>0</v>
      </c>
      <c r="CZ177" s="255">
        <v>0</v>
      </c>
      <c r="DA177" s="255">
        <v>0</v>
      </c>
      <c r="DB177" s="255">
        <v>0</v>
      </c>
      <c r="DC177" s="255">
        <v>0</v>
      </c>
      <c r="DD177" s="255">
        <v>0</v>
      </c>
      <c r="DE177" s="255"/>
      <c r="DF177" s="255">
        <v>0</v>
      </c>
      <c r="DG177" s="255">
        <f>SUM(TBBP[[#This Row],[Coluna287]:[Coluna298]])</f>
        <v>0</v>
      </c>
      <c r="DH177" s="255">
        <v>0</v>
      </c>
      <c r="DI177" s="255">
        <v>0</v>
      </c>
      <c r="DJ177" s="255">
        <v>0</v>
      </c>
      <c r="DK177" s="255">
        <v>0</v>
      </c>
      <c r="DL177" s="255">
        <v>0</v>
      </c>
      <c r="DM177" s="255">
        <v>0</v>
      </c>
      <c r="DP177" s="30">
        <f>IF(OR(MID(TBBP[[#This Row],[Coluna1]],1,1)="1",MID(TBBP[[#This Row],[Coluna1]],1,1)="2"),"-",SUMIFS(177:177,listaPeriodos,$DR$1,listaPeriodos,$DR$2))</f>
        <v>0</v>
      </c>
      <c r="DR177" s="30">
        <f t="shared" si="179"/>
        <v>0</v>
      </c>
      <c r="DS177" s="30"/>
      <c r="DT177" s="30"/>
      <c r="DU177"/>
    </row>
    <row r="178" spans="1:125" x14ac:dyDescent="0.3">
      <c r="A178" s="7" t="s">
        <v>365</v>
      </c>
      <c r="B178" t="s">
        <v>535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f>IF(OR(MID(TBBP[[#This Row],[Coluna1]],1,1)="1",MID(TBBP[[#This Row],[Coluna1]],1,1)="2"),TBBP[[#This Row],[Coluna19]],SUM(H178:S178))</f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f>IF(OR(MID(TBBP[[#This Row],[Coluna1]],1,1)="1",MID(TBBP[[#This Row],[Coluna1]],1,1)="2"),TBBP[[#This Row],[Coluna32]],SUM(U178:AF178))</f>
        <v>0</v>
      </c>
      <c r="AH178" s="4">
        <v>0</v>
      </c>
      <c r="AI178" s="4">
        <v>0</v>
      </c>
      <c r="AJ178" s="4">
        <v>0</v>
      </c>
      <c r="AK178" s="4">
        <v>0</v>
      </c>
      <c r="AL178" s="4">
        <v>0</v>
      </c>
      <c r="AM178" s="4">
        <v>0</v>
      </c>
      <c r="AN178" s="4">
        <v>0</v>
      </c>
      <c r="AO178" s="4">
        <v>0</v>
      </c>
      <c r="AP178" s="4">
        <v>0</v>
      </c>
      <c r="AQ178" s="4">
        <v>0</v>
      </c>
      <c r="AR178" s="4">
        <v>0</v>
      </c>
      <c r="AS178" s="4">
        <v>0</v>
      </c>
      <c r="AT178" s="4">
        <f>IF(OR(MID(TBBP[[#This Row],[Coluna1]],1,1)="1",MID(TBBP[[#This Row],[Coluna1]],1,1)="2"),TBBP[[#This Row],[Coluna45]],SUM(AH178:AS178))</f>
        <v>0</v>
      </c>
      <c r="AU178" s="4">
        <v>0</v>
      </c>
      <c r="AV178" s="4">
        <v>0</v>
      </c>
      <c r="AW178" s="4">
        <v>0</v>
      </c>
      <c r="AX178" s="4">
        <v>0</v>
      </c>
      <c r="AY178" s="4">
        <v>0</v>
      </c>
      <c r="AZ178" s="4">
        <v>0</v>
      </c>
      <c r="BA178" s="4">
        <v>0</v>
      </c>
      <c r="BB178" s="4">
        <v>0</v>
      </c>
      <c r="BC178" s="4">
        <v>0</v>
      </c>
      <c r="BD178" s="4">
        <v>0</v>
      </c>
      <c r="BE178" s="4">
        <v>0</v>
      </c>
      <c r="BF178" s="4">
        <v>0</v>
      </c>
      <c r="BG178" s="4">
        <f>IF(OR(MID(TBBP[[#This Row],[Coluna1]],1,1)="1",MID(TBBP[[#This Row],[Coluna1]],1,1)="2"),TBBP[[#This Row],[Coluna58]],SUM(AU178:BF178))</f>
        <v>0</v>
      </c>
      <c r="BH178" s="4">
        <v>0</v>
      </c>
      <c r="BI178" s="4">
        <v>0</v>
      </c>
      <c r="BJ178" s="4">
        <v>0</v>
      </c>
      <c r="BK178" s="4">
        <v>0</v>
      </c>
      <c r="BL178" s="4">
        <v>0</v>
      </c>
      <c r="BM178" s="4">
        <v>0</v>
      </c>
      <c r="BN178" s="4">
        <v>0</v>
      </c>
      <c r="BO178" s="4">
        <v>0</v>
      </c>
      <c r="BP178" s="4">
        <v>0</v>
      </c>
      <c r="BQ178" s="4">
        <v>0</v>
      </c>
      <c r="BR178" s="4">
        <v>0</v>
      </c>
      <c r="BS178" s="4">
        <v>0</v>
      </c>
      <c r="BT178" s="4">
        <f>IF(OR(MID(TBBP[[#This Row],[Coluna1]],1,1)="1",MID(TBBP[[#This Row],[Coluna1]],1,1)="2"),TBBP[[#This Row],[Coluna127]],SUM(BH178:BS178))</f>
        <v>0</v>
      </c>
      <c r="BU178" s="4">
        <v>0</v>
      </c>
      <c r="BV178" s="4">
        <v>0</v>
      </c>
      <c r="BW178" s="4">
        <v>0</v>
      </c>
      <c r="BX178" s="4">
        <v>0</v>
      </c>
      <c r="BY178" s="4">
        <v>0</v>
      </c>
      <c r="BZ178" s="4">
        <v>0</v>
      </c>
      <c r="CA178" s="4">
        <v>0</v>
      </c>
      <c r="CB178" s="4">
        <v>0</v>
      </c>
      <c r="CC178" s="4">
        <v>0</v>
      </c>
      <c r="CD178" s="4">
        <v>0</v>
      </c>
      <c r="CE178" s="4">
        <v>0</v>
      </c>
      <c r="CF178" s="4">
        <v>0</v>
      </c>
      <c r="CG178" s="4">
        <f>IF(OR(MID(TBBP[[#This Row],[Coluna1]],1,1)="1",MID(TBBP[[#This Row],[Coluna1]],1,1)="2"),CF178,SUM(BU178:CF178))</f>
        <v>0</v>
      </c>
      <c r="CH178" s="4">
        <v>0</v>
      </c>
      <c r="CI178" s="4">
        <v>0</v>
      </c>
      <c r="CJ178" s="4">
        <v>0</v>
      </c>
      <c r="CK178" s="4" t="s">
        <v>1134</v>
      </c>
      <c r="CL178" s="4">
        <v>0</v>
      </c>
      <c r="CM178" s="4" t="s">
        <v>1134</v>
      </c>
      <c r="CN178" s="4">
        <v>0</v>
      </c>
      <c r="CO178" s="4">
        <v>0</v>
      </c>
      <c r="CP178" s="4">
        <v>0</v>
      </c>
      <c r="CQ178" s="4" t="s">
        <v>1134</v>
      </c>
      <c r="CR178" s="4" t="s">
        <v>1134</v>
      </c>
      <c r="CS178" s="4" t="s">
        <v>1134</v>
      </c>
      <c r="CT178" s="4">
        <f>IF(OR(MID(TBBP[[#This Row],[Coluna1]],1,1)="1",MID(TBBP[[#This Row],[Coluna1]],1,1)="2"),CS178,SUM(CH178:CS178))</f>
        <v>0</v>
      </c>
      <c r="CU178" s="255">
        <v>0</v>
      </c>
      <c r="CV178" s="255">
        <v>0</v>
      </c>
      <c r="CW178" s="255">
        <v>0</v>
      </c>
      <c r="CX178" s="255">
        <v>0</v>
      </c>
      <c r="CY178" s="255">
        <v>0</v>
      </c>
      <c r="CZ178" s="255">
        <v>0</v>
      </c>
      <c r="DA178" s="255">
        <v>0</v>
      </c>
      <c r="DB178" s="255">
        <v>0</v>
      </c>
      <c r="DC178" s="255">
        <v>0</v>
      </c>
      <c r="DD178" s="255">
        <v>0</v>
      </c>
      <c r="DE178" s="255"/>
      <c r="DF178" s="255">
        <v>0</v>
      </c>
      <c r="DG178" s="255">
        <f>SUM(TBBP[[#This Row],[Coluna287]:[Coluna298]])</f>
        <v>0</v>
      </c>
      <c r="DH178" s="255">
        <v>0</v>
      </c>
      <c r="DI178" s="255">
        <v>0</v>
      </c>
      <c r="DJ178" s="255">
        <v>0</v>
      </c>
      <c r="DK178" s="255">
        <v>0</v>
      </c>
      <c r="DL178" s="255">
        <v>0</v>
      </c>
      <c r="DM178" s="255">
        <v>0</v>
      </c>
      <c r="DP178" s="30">
        <f>IF(OR(MID(TBBP[[#This Row],[Coluna1]],1,1)="1",MID(TBBP[[#This Row],[Coluna1]],1,1)="2"),"-",SUMIFS(178:178,listaPeriodos,$DR$1,listaPeriodos,$DR$2))</f>
        <v>0</v>
      </c>
      <c r="DR178" s="30">
        <f t="shared" si="179"/>
        <v>0</v>
      </c>
      <c r="DS178" s="30"/>
      <c r="DT178" s="30"/>
      <c r="DU178"/>
    </row>
    <row r="179" spans="1:125" x14ac:dyDescent="0.3">
      <c r="A179" s="7" t="s">
        <v>366</v>
      </c>
      <c r="B179" t="s">
        <v>536</v>
      </c>
      <c r="C179" s="4">
        <v>0</v>
      </c>
      <c r="D179" s="4">
        <v>0</v>
      </c>
      <c r="E179" s="4">
        <v>0</v>
      </c>
      <c r="F179" s="4">
        <v>0</v>
      </c>
      <c r="G179" s="4">
        <v>-954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f>IF(OR(MID(TBBP[[#This Row],[Coluna1]],1,1)="1",MID(TBBP[[#This Row],[Coluna1]],1,1)="2"),TBBP[[#This Row],[Coluna19]],SUM(H179:S179))</f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f>IF(OR(MID(TBBP[[#This Row],[Coluna1]],1,1)="1",MID(TBBP[[#This Row],[Coluna1]],1,1)="2"),TBBP[[#This Row],[Coluna32]],SUM(U179:AF179))</f>
        <v>0</v>
      </c>
      <c r="AH179" s="4">
        <v>0</v>
      </c>
      <c r="AI179" s="4">
        <v>0</v>
      </c>
      <c r="AJ179" s="4">
        <v>0</v>
      </c>
      <c r="AK179" s="4">
        <v>0</v>
      </c>
      <c r="AL179" s="4">
        <v>0</v>
      </c>
      <c r="AM179" s="4">
        <v>0</v>
      </c>
      <c r="AN179" s="4">
        <v>0</v>
      </c>
      <c r="AO179" s="4">
        <v>0</v>
      </c>
      <c r="AP179" s="4">
        <v>0</v>
      </c>
      <c r="AQ179" s="4">
        <v>0</v>
      </c>
      <c r="AR179" s="4">
        <v>0</v>
      </c>
      <c r="AS179" s="4">
        <v>0</v>
      </c>
      <c r="AT179" s="4">
        <f>IF(OR(MID(TBBP[[#This Row],[Coluna1]],1,1)="1",MID(TBBP[[#This Row],[Coluna1]],1,1)="2"),TBBP[[#This Row],[Coluna45]],SUM(AH179:AS179))</f>
        <v>0</v>
      </c>
      <c r="AU179" s="4">
        <v>0</v>
      </c>
      <c r="AV179" s="4">
        <v>0</v>
      </c>
      <c r="AW179" s="4">
        <v>0</v>
      </c>
      <c r="AX179" s="4">
        <v>0</v>
      </c>
      <c r="AY179" s="4">
        <v>0</v>
      </c>
      <c r="AZ179" s="4">
        <v>0</v>
      </c>
      <c r="BA179" s="4">
        <v>0</v>
      </c>
      <c r="BB179" s="4">
        <v>0</v>
      </c>
      <c r="BC179" s="4">
        <v>0</v>
      </c>
      <c r="BD179" s="4">
        <v>0</v>
      </c>
      <c r="BE179" s="4">
        <v>0</v>
      </c>
      <c r="BF179" s="4">
        <v>0</v>
      </c>
      <c r="BG179" s="4">
        <f>IF(OR(MID(TBBP[[#This Row],[Coluna1]],1,1)="1",MID(TBBP[[#This Row],[Coluna1]],1,1)="2"),TBBP[[#This Row],[Coluna58]],SUM(AU179:BF179))</f>
        <v>0</v>
      </c>
      <c r="BH179" s="4">
        <v>0</v>
      </c>
      <c r="BI179" s="4">
        <v>0</v>
      </c>
      <c r="BJ179" s="4">
        <v>0</v>
      </c>
      <c r="BK179" s="4">
        <v>0</v>
      </c>
      <c r="BL179" s="4">
        <v>0</v>
      </c>
      <c r="BM179" s="4">
        <v>0</v>
      </c>
      <c r="BN179" s="4">
        <v>0</v>
      </c>
      <c r="BO179" s="4">
        <v>0</v>
      </c>
      <c r="BP179" s="4">
        <v>0</v>
      </c>
      <c r="BQ179" s="4">
        <v>0</v>
      </c>
      <c r="BR179" s="4">
        <v>0</v>
      </c>
      <c r="BS179" s="4">
        <v>0</v>
      </c>
      <c r="BT179" s="4">
        <f>IF(OR(MID(TBBP[[#This Row],[Coluna1]],1,1)="1",MID(TBBP[[#This Row],[Coluna1]],1,1)="2"),TBBP[[#This Row],[Coluna127]],SUM(BH179:BS179))</f>
        <v>0</v>
      </c>
      <c r="BU179" s="4">
        <v>0</v>
      </c>
      <c r="BV179" s="4">
        <v>0</v>
      </c>
      <c r="BW179" s="4">
        <v>0</v>
      </c>
      <c r="BX179" s="4">
        <v>0</v>
      </c>
      <c r="BY179" s="4">
        <v>0</v>
      </c>
      <c r="BZ179" s="4">
        <v>0</v>
      </c>
      <c r="CA179" s="4">
        <v>0</v>
      </c>
      <c r="CB179" s="4">
        <v>0</v>
      </c>
      <c r="CC179" s="4">
        <v>0</v>
      </c>
      <c r="CD179" s="4">
        <v>0</v>
      </c>
      <c r="CE179" s="4">
        <v>0</v>
      </c>
      <c r="CF179" s="4">
        <v>0</v>
      </c>
      <c r="CG179" s="4">
        <f>IF(OR(MID(TBBP[[#This Row],[Coluna1]],1,1)="1",MID(TBBP[[#This Row],[Coluna1]],1,1)="2"),CF179,SUM(BU179:CF179))</f>
        <v>0</v>
      </c>
      <c r="CH179" s="4">
        <v>0</v>
      </c>
      <c r="CI179" s="4">
        <v>0</v>
      </c>
      <c r="CJ179" s="4">
        <v>0</v>
      </c>
      <c r="CK179" s="4" t="s">
        <v>1134</v>
      </c>
      <c r="CL179" s="4">
        <v>0</v>
      </c>
      <c r="CM179" s="4" t="s">
        <v>1134</v>
      </c>
      <c r="CN179" s="4">
        <v>0</v>
      </c>
      <c r="CO179" s="4">
        <v>0</v>
      </c>
      <c r="CP179" s="4">
        <v>0</v>
      </c>
      <c r="CQ179" s="4" t="s">
        <v>1134</v>
      </c>
      <c r="CR179" s="4" t="s">
        <v>1134</v>
      </c>
      <c r="CS179" s="4" t="s">
        <v>1134</v>
      </c>
      <c r="CT179" s="4">
        <f>IF(OR(MID(TBBP[[#This Row],[Coluna1]],1,1)="1",MID(TBBP[[#This Row],[Coluna1]],1,1)="2"),CS179,SUM(CH179:CS179))</f>
        <v>0</v>
      </c>
      <c r="CU179" s="255">
        <v>0</v>
      </c>
      <c r="CV179" s="255">
        <v>0</v>
      </c>
      <c r="CW179" s="255">
        <v>0</v>
      </c>
      <c r="CX179" s="255">
        <v>0</v>
      </c>
      <c r="CY179" s="255">
        <v>0</v>
      </c>
      <c r="CZ179" s="255">
        <v>0</v>
      </c>
      <c r="DA179" s="255">
        <v>0</v>
      </c>
      <c r="DB179" s="255">
        <v>0</v>
      </c>
      <c r="DC179" s="255">
        <v>0</v>
      </c>
      <c r="DD179" s="255">
        <v>0</v>
      </c>
      <c r="DE179" s="255"/>
      <c r="DF179" s="255">
        <v>0</v>
      </c>
      <c r="DG179" s="255">
        <f>SUM(TBBP[[#This Row],[Coluna287]:[Coluna298]])</f>
        <v>0</v>
      </c>
      <c r="DH179" s="255">
        <v>0</v>
      </c>
      <c r="DI179" s="255">
        <v>0</v>
      </c>
      <c r="DJ179" s="255">
        <v>0</v>
      </c>
      <c r="DK179" s="255">
        <v>0</v>
      </c>
      <c r="DL179" s="255">
        <v>0</v>
      </c>
      <c r="DM179" s="255">
        <v>0</v>
      </c>
      <c r="DP179" s="30">
        <f>IF(OR(MID(TBBP[[#This Row],[Coluna1]],1,1)="1",MID(TBBP[[#This Row],[Coluna1]],1,1)="2"),"-",SUMIFS(179:179,listaPeriodos,$DR$1,listaPeriodos,$DR$2))</f>
        <v>0</v>
      </c>
      <c r="DR179" s="30">
        <f t="shared" si="179"/>
        <v>0</v>
      </c>
      <c r="DS179" s="30"/>
      <c r="DT179" s="30"/>
      <c r="DU179"/>
    </row>
    <row r="180" spans="1:125" x14ac:dyDescent="0.3">
      <c r="A180" s="7" t="s">
        <v>367</v>
      </c>
      <c r="B180" t="s">
        <v>537</v>
      </c>
      <c r="C180" s="4">
        <v>0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f>IF(OR(MID(TBBP[[#This Row],[Coluna1]],1,1)="1",MID(TBBP[[#This Row],[Coluna1]],1,1)="2"),TBBP[[#This Row],[Coluna19]],SUM(H180:S180))</f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f>IF(OR(MID(TBBP[[#This Row],[Coluna1]],1,1)="1",MID(TBBP[[#This Row],[Coluna1]],1,1)="2"),TBBP[[#This Row],[Coluna32]],SUM(U180:AF180))</f>
        <v>0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0</v>
      </c>
      <c r="AR180" s="4">
        <v>0</v>
      </c>
      <c r="AS180" s="4">
        <v>0</v>
      </c>
      <c r="AT180" s="4">
        <f>IF(OR(MID(TBBP[[#This Row],[Coluna1]],1,1)="1",MID(TBBP[[#This Row],[Coluna1]],1,1)="2"),TBBP[[#This Row],[Coluna45]],SUM(AH180:AS180))</f>
        <v>0</v>
      </c>
      <c r="AU180" s="4">
        <v>0</v>
      </c>
      <c r="AV180" s="4">
        <v>0</v>
      </c>
      <c r="AW180" s="4">
        <v>0</v>
      </c>
      <c r="AX180" s="4">
        <v>0</v>
      </c>
      <c r="AY180" s="4">
        <v>0</v>
      </c>
      <c r="AZ180" s="4">
        <v>0</v>
      </c>
      <c r="BA180" s="4">
        <v>0</v>
      </c>
      <c r="BB180" s="4">
        <v>0</v>
      </c>
      <c r="BC180" s="4">
        <v>0</v>
      </c>
      <c r="BD180" s="4">
        <v>0</v>
      </c>
      <c r="BE180" s="4">
        <v>0</v>
      </c>
      <c r="BF180" s="4">
        <v>0</v>
      </c>
      <c r="BG180" s="4">
        <f>IF(OR(MID(TBBP[[#This Row],[Coluna1]],1,1)="1",MID(TBBP[[#This Row],[Coluna1]],1,1)="2"),TBBP[[#This Row],[Coluna58]],SUM(AU180:BF180))</f>
        <v>0</v>
      </c>
      <c r="BH180" s="4">
        <v>0</v>
      </c>
      <c r="BI180" s="4">
        <v>0</v>
      </c>
      <c r="BJ180" s="4">
        <v>0</v>
      </c>
      <c r="BK180" s="4">
        <v>0</v>
      </c>
      <c r="BL180" s="4">
        <v>0</v>
      </c>
      <c r="BM180" s="4">
        <v>0</v>
      </c>
      <c r="BN180" s="4">
        <v>0</v>
      </c>
      <c r="BO180" s="4">
        <v>0</v>
      </c>
      <c r="BP180" s="4">
        <v>0</v>
      </c>
      <c r="BQ180" s="4">
        <v>0</v>
      </c>
      <c r="BR180" s="4">
        <v>0</v>
      </c>
      <c r="BS180" s="4">
        <v>0</v>
      </c>
      <c r="BT180" s="4">
        <f>IF(OR(MID(TBBP[[#This Row],[Coluna1]],1,1)="1",MID(TBBP[[#This Row],[Coluna1]],1,1)="2"),TBBP[[#This Row],[Coluna127]],SUM(BH180:BS180))</f>
        <v>0</v>
      </c>
      <c r="BU180" s="4">
        <v>0</v>
      </c>
      <c r="BV180" s="4">
        <v>0</v>
      </c>
      <c r="BW180" s="4">
        <v>0</v>
      </c>
      <c r="BX180" s="4">
        <v>0</v>
      </c>
      <c r="BY180" s="4">
        <v>0</v>
      </c>
      <c r="BZ180" s="4">
        <v>0</v>
      </c>
      <c r="CA180" s="4">
        <v>0</v>
      </c>
      <c r="CB180" s="4">
        <v>0</v>
      </c>
      <c r="CC180" s="4">
        <v>0</v>
      </c>
      <c r="CD180" s="4">
        <v>0</v>
      </c>
      <c r="CE180" s="4">
        <v>0</v>
      </c>
      <c r="CF180" s="4">
        <v>0</v>
      </c>
      <c r="CG180" s="4">
        <f>IF(OR(MID(TBBP[[#This Row],[Coluna1]],1,1)="1",MID(TBBP[[#This Row],[Coluna1]],1,1)="2"),CF180,SUM(BU180:CF180))</f>
        <v>0</v>
      </c>
      <c r="CH180" s="4">
        <v>0</v>
      </c>
      <c r="CI180" s="4">
        <v>0</v>
      </c>
      <c r="CJ180" s="4">
        <v>0</v>
      </c>
      <c r="CK180" s="4" t="s">
        <v>1134</v>
      </c>
      <c r="CL180" s="4">
        <v>0</v>
      </c>
      <c r="CM180" s="4" t="s">
        <v>1134</v>
      </c>
      <c r="CN180" s="4">
        <v>0</v>
      </c>
      <c r="CO180" s="4">
        <v>0</v>
      </c>
      <c r="CP180" s="4">
        <v>0</v>
      </c>
      <c r="CQ180" s="4" t="s">
        <v>1134</v>
      </c>
      <c r="CR180" s="4" t="s">
        <v>1134</v>
      </c>
      <c r="CS180" s="4" t="s">
        <v>1134</v>
      </c>
      <c r="CT180" s="4">
        <f>IF(OR(MID(TBBP[[#This Row],[Coluna1]],1,1)="1",MID(TBBP[[#This Row],[Coluna1]],1,1)="2"),CS180,SUM(CH180:CS180))</f>
        <v>0</v>
      </c>
      <c r="CU180" s="255">
        <v>0</v>
      </c>
      <c r="CV180" s="255">
        <v>0</v>
      </c>
      <c r="CW180" s="255">
        <v>0</v>
      </c>
      <c r="CX180" s="255">
        <v>0</v>
      </c>
      <c r="CY180" s="255">
        <v>0</v>
      </c>
      <c r="CZ180" s="255">
        <v>0</v>
      </c>
      <c r="DA180" s="255">
        <v>0</v>
      </c>
      <c r="DB180" s="255">
        <v>0</v>
      </c>
      <c r="DC180" s="255">
        <v>0</v>
      </c>
      <c r="DD180" s="255">
        <v>0</v>
      </c>
      <c r="DE180" s="255"/>
      <c r="DF180" s="255">
        <v>0</v>
      </c>
      <c r="DG180" s="255">
        <f>SUM(TBBP[[#This Row],[Coluna287]:[Coluna298]])</f>
        <v>0</v>
      </c>
      <c r="DH180" s="255">
        <v>0</v>
      </c>
      <c r="DI180" s="255">
        <v>0</v>
      </c>
      <c r="DJ180" s="255">
        <v>0</v>
      </c>
      <c r="DK180" s="255">
        <v>0</v>
      </c>
      <c r="DL180" s="255">
        <v>0</v>
      </c>
      <c r="DM180" s="255">
        <v>0</v>
      </c>
      <c r="DP180" s="30">
        <f>IF(OR(MID(TBBP[[#This Row],[Coluna1]],1,1)="1",MID(TBBP[[#This Row],[Coluna1]],1,1)="2"),"-",SUMIFS(180:180,listaPeriodos,$DR$1,listaPeriodos,$DR$2))</f>
        <v>0</v>
      </c>
      <c r="DR180" s="30">
        <f t="shared" si="179"/>
        <v>0</v>
      </c>
      <c r="DS180" s="30"/>
      <c r="DT180" s="30"/>
      <c r="DU180"/>
    </row>
    <row r="181" spans="1:125" x14ac:dyDescent="0.3">
      <c r="A181" s="7" t="s">
        <v>368</v>
      </c>
      <c r="B181" t="s">
        <v>538</v>
      </c>
      <c r="C181" s="4">
        <v>0</v>
      </c>
      <c r="D181" s="4">
        <v>0</v>
      </c>
      <c r="E181" s="4">
        <v>0</v>
      </c>
      <c r="F181" s="4">
        <v>0</v>
      </c>
      <c r="G181" s="4">
        <v>-5805952.9400000004</v>
      </c>
      <c r="H181" s="4">
        <v>-385952.36</v>
      </c>
      <c r="I181" s="4">
        <v>-570674.17000000004</v>
      </c>
      <c r="J181" s="4">
        <v>-471789.79</v>
      </c>
      <c r="K181" s="4">
        <v>-784883.67999999993</v>
      </c>
      <c r="L181" s="4">
        <v>-319549.77</v>
      </c>
      <c r="M181" s="4">
        <v>-498084.24</v>
      </c>
      <c r="N181" s="4">
        <v>-963651.8</v>
      </c>
      <c r="O181" s="4">
        <v>-920833.19</v>
      </c>
      <c r="P181" s="4">
        <v>-865916.45</v>
      </c>
      <c r="Q181" s="4">
        <v>-767897.68</v>
      </c>
      <c r="R181" s="4">
        <v>-481946.74</v>
      </c>
      <c r="S181" s="4">
        <v>-272994.90000000002</v>
      </c>
      <c r="T181" s="4">
        <f>IF(OR(MID(TBBP[[#This Row],[Coluna1]],1,1)="1",MID(TBBP[[#This Row],[Coluna1]],1,1)="2"),TBBP[[#This Row],[Coluna19]],SUM(H181:S181))</f>
        <v>-7304174.7700000005</v>
      </c>
      <c r="U181" s="4">
        <v>-736813.75</v>
      </c>
      <c r="V181" s="4">
        <v>-627668.89</v>
      </c>
      <c r="W181" s="4">
        <v>-754334.75</v>
      </c>
      <c r="X181" s="4">
        <v>-957305.84</v>
      </c>
      <c r="Y181" s="4">
        <v>-713347.45</v>
      </c>
      <c r="Z181" s="4">
        <v>-679793.75</v>
      </c>
      <c r="AA181" s="4">
        <v>-483291.6</v>
      </c>
      <c r="AB181" s="4">
        <v>-446955.84</v>
      </c>
      <c r="AC181" s="4">
        <v>-1057584.3799999999</v>
      </c>
      <c r="AD181" s="4">
        <v>-1343218.6800000002</v>
      </c>
      <c r="AE181" s="4">
        <v>-703166.81</v>
      </c>
      <c r="AF181" s="4">
        <v>-468993.05</v>
      </c>
      <c r="AG181" s="4">
        <f>IF(OR(MID(TBBP[[#This Row],[Coluna1]],1,1)="1",MID(TBBP[[#This Row],[Coluna1]],1,1)="2"),TBBP[[#This Row],[Coluna32]],SUM(U181:AF181))</f>
        <v>-8972474.790000001</v>
      </c>
      <c r="AH181" s="4">
        <v>-975980.59000000008</v>
      </c>
      <c r="AI181" s="4">
        <v>-734699.47</v>
      </c>
      <c r="AJ181" s="4">
        <v>-599278.80999999994</v>
      </c>
      <c r="AK181" s="4">
        <v>-463875.13</v>
      </c>
      <c r="AL181" s="4">
        <v>-782913.41999999993</v>
      </c>
      <c r="AM181" s="4">
        <v>-1382761.01</v>
      </c>
      <c r="AN181" s="4">
        <v>-1395975.6900000002</v>
      </c>
      <c r="AO181" s="4">
        <v>-1663566.52</v>
      </c>
      <c r="AP181" s="4">
        <v>-1729793.9100000001</v>
      </c>
      <c r="AQ181" s="4">
        <v>-1965727.34</v>
      </c>
      <c r="AR181" s="4">
        <v>-1735791.59</v>
      </c>
      <c r="AS181" s="4">
        <v>-1580463.79</v>
      </c>
      <c r="AT181" s="4">
        <f>IF(OR(MID(TBBP[[#This Row],[Coluna1]],1,1)="1",MID(TBBP[[#This Row],[Coluna1]],1,1)="2"),TBBP[[#This Row],[Coluna45]],SUM(AH181:AS181))</f>
        <v>-15010827.27</v>
      </c>
      <c r="AU181" s="4">
        <v>-1799212.4100000001</v>
      </c>
      <c r="AV181" s="4">
        <v>-2054695.23</v>
      </c>
      <c r="AW181" s="4">
        <v>-2140224.6399999997</v>
      </c>
      <c r="AX181" s="4">
        <v>-1888166.39</v>
      </c>
      <c r="AY181" s="4">
        <v>-3139535.1</v>
      </c>
      <c r="AZ181" s="4">
        <v>-3338054.41</v>
      </c>
      <c r="BA181" s="4">
        <v>-3316854.7</v>
      </c>
      <c r="BB181" s="4">
        <v>-3393423.49</v>
      </c>
      <c r="BC181" s="4">
        <v>-3244603.87</v>
      </c>
      <c r="BD181" s="4">
        <v>-3183450.4699999997</v>
      </c>
      <c r="BE181" s="4">
        <v>-2690221.29</v>
      </c>
      <c r="BF181" s="4">
        <v>-2569077.58</v>
      </c>
      <c r="BG181" s="4">
        <f>IF(OR(MID(TBBP[[#This Row],[Coluna1]],1,1)="1",MID(TBBP[[#This Row],[Coluna1]],1,1)="2"),TBBP[[#This Row],[Coluna58]],SUM(AU181:BF181))</f>
        <v>-32757519.579999998</v>
      </c>
      <c r="BH181" s="4">
        <v>-2113286.88</v>
      </c>
      <c r="BI181" s="4">
        <v>-2465742.13</v>
      </c>
      <c r="BJ181" s="4">
        <v>-4780301.2299999995</v>
      </c>
      <c r="BK181" s="4">
        <v>-2785456.8200000003</v>
      </c>
      <c r="BL181" s="4">
        <v>-3301411.2800000003</v>
      </c>
      <c r="BM181" s="4">
        <v>-3231547.19</v>
      </c>
      <c r="BN181" s="4">
        <v>-2320650.15</v>
      </c>
      <c r="BO181" s="4">
        <v>-3111485.5599999996</v>
      </c>
      <c r="BP181" s="4">
        <v>-2724604.1999999997</v>
      </c>
      <c r="BQ181" s="4">
        <v>-2046476.9</v>
      </c>
      <c r="BR181" s="4">
        <v>-2524616.58</v>
      </c>
      <c r="BS181" s="4">
        <v>-1795297.49</v>
      </c>
      <c r="BT181" s="4">
        <f>IF(OR(MID(TBBP[[#This Row],[Coluna1]],1,1)="1",MID(TBBP[[#This Row],[Coluna1]],1,1)="2"),TBBP[[#This Row],[Coluna127]],SUM(BH181:BS181))</f>
        <v>-33200876.409999993</v>
      </c>
      <c r="BU181" s="4">
        <v>-1414008.91</v>
      </c>
      <c r="BV181" s="4">
        <v>-1697992.1400000001</v>
      </c>
      <c r="BW181" s="4">
        <v>-2021787.24</v>
      </c>
      <c r="BX181" s="4">
        <v>-1623876.4</v>
      </c>
      <c r="BY181" s="4">
        <v>-3250415.77</v>
      </c>
      <c r="BZ181" s="4">
        <v>-3219923.5999999996</v>
      </c>
      <c r="CA181" s="4">
        <v>-1679038.78</v>
      </c>
      <c r="CB181" s="4">
        <v>-3107354.42</v>
      </c>
      <c r="CC181" s="4">
        <v>-2818701.12</v>
      </c>
      <c r="CD181" s="4">
        <v>-3513141.51</v>
      </c>
      <c r="CE181" s="4">
        <v>-2432375.04</v>
      </c>
      <c r="CF181" s="4">
        <v>-3034632.3099999996</v>
      </c>
      <c r="CG181" s="4">
        <f>IF(OR(MID(TBBP[[#This Row],[Coluna1]],1,1)="1",MID(TBBP[[#This Row],[Coluna1]],1,1)="2"),CF181,SUM(BU181:CF181))</f>
        <v>-29813247.239999998</v>
      </c>
      <c r="CH181" s="4">
        <v>-2755935.49</v>
      </c>
      <c r="CI181" s="4">
        <v>-3047397.63</v>
      </c>
      <c r="CJ181" s="4">
        <v>-3159823.3400000003</v>
      </c>
      <c r="CK181" s="4">
        <v>-3881712.34</v>
      </c>
      <c r="CL181" s="4">
        <v>-4255062.55</v>
      </c>
      <c r="CM181" s="4">
        <v>-3737698.5999999996</v>
      </c>
      <c r="CN181" s="4">
        <v>-5720982</v>
      </c>
      <c r="CO181" s="4">
        <v>-3681946.79</v>
      </c>
      <c r="CP181" s="4">
        <v>-4145755.4399999995</v>
      </c>
      <c r="CQ181" s="4">
        <v>-4425888.6199999992</v>
      </c>
      <c r="CR181" s="4">
        <v>-3759028.95</v>
      </c>
      <c r="CS181" s="4">
        <v>-5360945.6500000004</v>
      </c>
      <c r="CT181" s="4">
        <f>IF(OR(MID(TBBP[[#This Row],[Coluna1]],1,1)="1",MID(TBBP[[#This Row],[Coluna1]],1,1)="2"),CS181,SUM(CH181:CS181))</f>
        <v>-47932177.399999999</v>
      </c>
      <c r="CU181" s="255">
        <v>-2608834.85</v>
      </c>
      <c r="CV181" s="255">
        <v>-2941411.6900000004</v>
      </c>
      <c r="CW181" s="255">
        <v>-3112972.9699999997</v>
      </c>
      <c r="CX181" s="255">
        <v>-5283596.1199999992</v>
      </c>
      <c r="CY181" s="255">
        <v>-4893909.3499999996</v>
      </c>
      <c r="CZ181" s="255">
        <v>-2734612.6499999994</v>
      </c>
      <c r="DA181" s="255">
        <v>-3090674.1999999997</v>
      </c>
      <c r="DB181" s="255">
        <v>-3159980.08</v>
      </c>
      <c r="DC181" s="255">
        <v>-2983842.6399999997</v>
      </c>
      <c r="DD181" s="255">
        <v>-2848298.48</v>
      </c>
      <c r="DE181" s="255">
        <v>-3585647.01</v>
      </c>
      <c r="DF181" s="255">
        <v>-3001664.9699999997</v>
      </c>
      <c r="DG181" s="255">
        <f>SUM(TBBP[[#This Row],[Coluna287]:[Coluna298]])</f>
        <v>-40245445.00999999</v>
      </c>
      <c r="DH181" s="255">
        <v>-3669252.8</v>
      </c>
      <c r="DI181" s="255">
        <v>-2862320.3400000003</v>
      </c>
      <c r="DJ181" s="255">
        <v>-3788143.8100000005</v>
      </c>
      <c r="DK181" s="255">
        <v>-4710402.13</v>
      </c>
      <c r="DL181" s="255">
        <v>-4695782.0599999996</v>
      </c>
      <c r="DM181" s="255">
        <v>-5849927.3199999994</v>
      </c>
      <c r="DO181" t="s">
        <v>368</v>
      </c>
      <c r="DP181" s="30">
        <f>IF(OR(MID(TBBP[[#This Row],[Coluna1]],1,1)="1",MID(TBBP[[#This Row],[Coluna1]],1,1)="2"),"-",SUMIFS(181:181,listaPeriodos,$DR$1,listaPeriodos,$DR$2))</f>
        <v>-25575828.460000001</v>
      </c>
      <c r="DQ181" s="30">
        <f>-(($DQ$102*72.96%)*50%)</f>
        <v>-4773399.487999999</v>
      </c>
      <c r="DR181" s="30">
        <f t="shared" si="179"/>
        <v>-28640396.927999996</v>
      </c>
      <c r="DS181" s="30"/>
      <c r="DT181" s="30"/>
      <c r="DU181"/>
    </row>
    <row r="182" spans="1:125" x14ac:dyDescent="0.3">
      <c r="A182" s="7" t="s">
        <v>369</v>
      </c>
      <c r="B182" t="s">
        <v>539</v>
      </c>
      <c r="C182" s="4">
        <v>0</v>
      </c>
      <c r="D182" s="4">
        <v>0</v>
      </c>
      <c r="E182" s="4">
        <v>0</v>
      </c>
      <c r="F182" s="4">
        <v>0</v>
      </c>
      <c r="G182" s="4">
        <v>-2945614.84</v>
      </c>
      <c r="H182" s="4">
        <v>-168058.97</v>
      </c>
      <c r="I182" s="4">
        <v>-148331.44</v>
      </c>
      <c r="J182" s="4">
        <v>-624305.03</v>
      </c>
      <c r="K182" s="4">
        <v>-151947.96</v>
      </c>
      <c r="L182" s="4">
        <v>-113913.67</v>
      </c>
      <c r="M182" s="4">
        <v>-484879.18</v>
      </c>
      <c r="N182" s="4">
        <v>-576053.85</v>
      </c>
      <c r="O182" s="4">
        <v>-261119.14</v>
      </c>
      <c r="P182" s="4">
        <v>-508762.61</v>
      </c>
      <c r="Q182" s="4">
        <v>-478186.58</v>
      </c>
      <c r="R182" s="4">
        <v>-321707.76</v>
      </c>
      <c r="S182" s="4">
        <v>-194479</v>
      </c>
      <c r="T182" s="4">
        <f>IF(OR(MID(TBBP[[#This Row],[Coluna1]],1,1)="1",MID(TBBP[[#This Row],[Coluna1]],1,1)="2"),TBBP[[#This Row],[Coluna19]],SUM(H182:S182))</f>
        <v>-4031745.1900000004</v>
      </c>
      <c r="U182" s="4">
        <v>-450849.36</v>
      </c>
      <c r="V182" s="4">
        <v>-321534.86</v>
      </c>
      <c r="W182" s="4">
        <v>-380671.2</v>
      </c>
      <c r="X182" s="4">
        <v>-317321.28000000003</v>
      </c>
      <c r="Y182" s="4">
        <v>-520276.69</v>
      </c>
      <c r="Z182" s="4">
        <v>-304377.78999999998</v>
      </c>
      <c r="AA182" s="4">
        <v>-502267.74</v>
      </c>
      <c r="AB182" s="4">
        <v>-655483.23</v>
      </c>
      <c r="AC182" s="4">
        <v>-681312.64</v>
      </c>
      <c r="AD182" s="4">
        <v>-415557.91</v>
      </c>
      <c r="AE182" s="4">
        <v>-533414.15</v>
      </c>
      <c r="AF182" s="4">
        <v>-403704.5</v>
      </c>
      <c r="AG182" s="4">
        <f>IF(OR(MID(TBBP[[#This Row],[Coluna1]],1,1)="1",MID(TBBP[[#This Row],[Coluna1]],1,1)="2"),TBBP[[#This Row],[Coluna32]],SUM(U182:AF182))</f>
        <v>-5486771.3500000006</v>
      </c>
      <c r="AH182" s="4">
        <v>-340553.8</v>
      </c>
      <c r="AI182" s="4">
        <v>-204791.25</v>
      </c>
      <c r="AJ182" s="4">
        <v>-200320.58</v>
      </c>
      <c r="AK182" s="4">
        <v>-345089.64</v>
      </c>
      <c r="AL182" s="4">
        <v>-382038.57</v>
      </c>
      <c r="AM182" s="4">
        <v>-164485.56999999998</v>
      </c>
      <c r="AN182" s="4">
        <v>-504155.87999999995</v>
      </c>
      <c r="AO182" s="4">
        <v>-323342.06</v>
      </c>
      <c r="AP182" s="4">
        <v>-339684.11</v>
      </c>
      <c r="AQ182" s="4">
        <v>-702809.92999999993</v>
      </c>
      <c r="AR182" s="4">
        <v>-503380.08</v>
      </c>
      <c r="AS182" s="4">
        <v>-392814.69</v>
      </c>
      <c r="AT182" s="4">
        <f>IF(OR(MID(TBBP[[#This Row],[Coluna1]],1,1)="1",MID(TBBP[[#This Row],[Coluna1]],1,1)="2"),TBBP[[#This Row],[Coluna45]],SUM(AH182:AS182))</f>
        <v>-4403466.16</v>
      </c>
      <c r="AU182" s="4">
        <v>-523809.54</v>
      </c>
      <c r="AV182" s="4">
        <v>-315033.35000000003</v>
      </c>
      <c r="AW182" s="4">
        <v>-503260.14</v>
      </c>
      <c r="AX182" s="4">
        <v>-1173729.8</v>
      </c>
      <c r="AY182" s="4">
        <v>-655950.20000000007</v>
      </c>
      <c r="AZ182" s="4">
        <v>-809394.5</v>
      </c>
      <c r="BA182" s="4">
        <v>-1237662.8799999999</v>
      </c>
      <c r="BB182" s="4">
        <v>-561285.53999999992</v>
      </c>
      <c r="BC182" s="4">
        <v>-577080.41</v>
      </c>
      <c r="BD182" s="4">
        <v>-810946.24</v>
      </c>
      <c r="BE182" s="4">
        <v>107162.25</v>
      </c>
      <c r="BF182" s="4">
        <v>-421270.99</v>
      </c>
      <c r="BG182" s="4">
        <f>IF(OR(MID(TBBP[[#This Row],[Coluna1]],1,1)="1",MID(TBBP[[#This Row],[Coluna1]],1,1)="2"),TBBP[[#This Row],[Coluna58]],SUM(AU182:BF182))</f>
        <v>-7482261.3400000008</v>
      </c>
      <c r="BH182" s="4">
        <v>-453020.93</v>
      </c>
      <c r="BI182" s="4">
        <v>-378867.76999999996</v>
      </c>
      <c r="BJ182" s="4">
        <v>-958211.54</v>
      </c>
      <c r="BK182" s="4">
        <v>-315985.44</v>
      </c>
      <c r="BL182" s="4">
        <v>-381637.67000000004</v>
      </c>
      <c r="BM182" s="4">
        <v>-474294.52</v>
      </c>
      <c r="BN182" s="4">
        <v>-867714.96000000008</v>
      </c>
      <c r="BO182" s="4">
        <v>-807852.39999999991</v>
      </c>
      <c r="BP182" s="4">
        <v>-781327.72</v>
      </c>
      <c r="BQ182" s="4">
        <v>-799013.46</v>
      </c>
      <c r="BR182" s="4">
        <v>-389162.80999999994</v>
      </c>
      <c r="BS182" s="4">
        <v>-1416380.52</v>
      </c>
      <c r="BT182" s="4">
        <f>IF(OR(MID(TBBP[[#This Row],[Coluna1]],1,1)="1",MID(TBBP[[#This Row],[Coluna1]],1,1)="2"),TBBP[[#This Row],[Coluna127]],SUM(BH182:BS182))</f>
        <v>-8023469.7400000002</v>
      </c>
      <c r="BU182" s="4">
        <v>-604895.86</v>
      </c>
      <c r="BV182" s="4">
        <v>-964042.96000000008</v>
      </c>
      <c r="BW182" s="4">
        <v>-854264.01</v>
      </c>
      <c r="BX182" s="4">
        <v>-790367.01</v>
      </c>
      <c r="BY182" s="4">
        <v>-1212521.8799999999</v>
      </c>
      <c r="BZ182" s="4">
        <v>-739645.12</v>
      </c>
      <c r="CA182" s="4">
        <v>-773758.42</v>
      </c>
      <c r="CB182" s="4">
        <v>-830595.5</v>
      </c>
      <c r="CC182" s="4">
        <v>-755023.28</v>
      </c>
      <c r="CD182" s="4">
        <v>-770320.6</v>
      </c>
      <c r="CE182" s="4">
        <v>-590580.52999999991</v>
      </c>
      <c r="CF182" s="4">
        <v>-543054.26</v>
      </c>
      <c r="CG182" s="4">
        <f>IF(OR(MID(TBBP[[#This Row],[Coluna1]],1,1)="1",MID(TBBP[[#This Row],[Coluna1]],1,1)="2"),CF182,SUM(BU182:CF182))</f>
        <v>-9429069.4299999997</v>
      </c>
      <c r="CH182" s="4">
        <v>-750669.26</v>
      </c>
      <c r="CI182" s="4">
        <v>-592920.97</v>
      </c>
      <c r="CJ182" s="4">
        <v>-651344.32000000007</v>
      </c>
      <c r="CK182" s="4">
        <v>-1004212.81</v>
      </c>
      <c r="CL182" s="4">
        <v>-1056285.71</v>
      </c>
      <c r="CM182" s="4">
        <v>-1222323.8700000001</v>
      </c>
      <c r="CN182" s="4">
        <v>-836802.57999999984</v>
      </c>
      <c r="CO182" s="4">
        <v>-1272027.7799999998</v>
      </c>
      <c r="CP182" s="4">
        <v>-870141.28999999992</v>
      </c>
      <c r="CQ182" s="4">
        <v>-1421556.81</v>
      </c>
      <c r="CR182" s="4">
        <v>-647873.76</v>
      </c>
      <c r="CS182" s="4">
        <v>-580391</v>
      </c>
      <c r="CT182" s="4">
        <f>IF(OR(MID(TBBP[[#This Row],[Coluna1]],1,1)="1",MID(TBBP[[#This Row],[Coluna1]],1,1)="2"),CS182,SUM(CH182:CS182))</f>
        <v>-10906550.16</v>
      </c>
      <c r="CU182" s="255">
        <v>-1160706.47</v>
      </c>
      <c r="CV182" s="255">
        <v>-1131139.72</v>
      </c>
      <c r="CW182" s="255">
        <v>-1202885.8700000001</v>
      </c>
      <c r="CX182" s="255">
        <v>-1596703.0699999998</v>
      </c>
      <c r="CY182" s="255">
        <v>-3031561.59</v>
      </c>
      <c r="CZ182" s="255">
        <v>-1373916.99</v>
      </c>
      <c r="DA182" s="255">
        <v>-1071889.8700000001</v>
      </c>
      <c r="DB182" s="255">
        <v>-1015450.2399999999</v>
      </c>
      <c r="DC182" s="255">
        <v>-1258556.17</v>
      </c>
      <c r="DD182" s="255">
        <v>-1187018.3399999999</v>
      </c>
      <c r="DE182" s="255">
        <v>-1419906.02</v>
      </c>
      <c r="DF182" s="255">
        <v>-443818.08</v>
      </c>
      <c r="DG182" s="255">
        <f>SUM(TBBP[[#This Row],[Coluna287]:[Coluna298]])</f>
        <v>-15893552.429999998</v>
      </c>
      <c r="DH182" s="255">
        <v>-868529.69</v>
      </c>
      <c r="DI182" s="255">
        <v>-919783.5</v>
      </c>
      <c r="DJ182" s="255">
        <v>-1005950.23</v>
      </c>
      <c r="DK182" s="255">
        <v>-1148170.01</v>
      </c>
      <c r="DL182" s="255">
        <v>-814841.39</v>
      </c>
      <c r="DM182" s="255">
        <v>-995177.46</v>
      </c>
      <c r="DO182" t="s">
        <v>369</v>
      </c>
      <c r="DP182" s="30">
        <f>IF(OR(MID(TBBP[[#This Row],[Coluna1]],1,1)="1",MID(TBBP[[#This Row],[Coluna1]],1,1)="2"),"-",SUMIFS(182:182,listaPeriodos,$DR$1,listaPeriodos,$DR$2))</f>
        <v>-5752452.2799999993</v>
      </c>
      <c r="DQ182" s="30">
        <f>-(($DQ$102*27.04%)*40%)</f>
        <v>-1415271.0762666666</v>
      </c>
      <c r="DR182" s="30">
        <f t="shared" si="179"/>
        <v>-8491626.4575999994</v>
      </c>
      <c r="DS182" s="30"/>
      <c r="DT182" s="30"/>
      <c r="DU182"/>
    </row>
    <row r="183" spans="1:125" x14ac:dyDescent="0.3">
      <c r="A183" s="7" t="s">
        <v>370</v>
      </c>
      <c r="B183" t="s">
        <v>535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f>IF(OR(MID(TBBP[[#This Row],[Coluna1]],1,1)="1",MID(TBBP[[#This Row],[Coluna1]],1,1)="2"),TBBP[[#This Row],[Coluna19]],SUM(H183:S183))</f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f>IF(OR(MID(TBBP[[#This Row],[Coluna1]],1,1)="1",MID(TBBP[[#This Row],[Coluna1]],1,1)="2"),TBBP[[#This Row],[Coluna32]],SUM(U183:AF183))</f>
        <v>0</v>
      </c>
      <c r="AH183" s="4">
        <v>0</v>
      </c>
      <c r="AI183" s="4">
        <v>0</v>
      </c>
      <c r="AJ183" s="4">
        <v>0</v>
      </c>
      <c r="AK183" s="4">
        <v>0</v>
      </c>
      <c r="AL183" s="4">
        <v>0</v>
      </c>
      <c r="AM183" s="4">
        <v>0</v>
      </c>
      <c r="AN183" s="4">
        <v>0</v>
      </c>
      <c r="AO183" s="4">
        <v>0</v>
      </c>
      <c r="AP183" s="4">
        <v>0</v>
      </c>
      <c r="AQ183" s="4">
        <v>0</v>
      </c>
      <c r="AR183" s="4">
        <v>0</v>
      </c>
      <c r="AS183" s="4">
        <v>0</v>
      </c>
      <c r="AT183" s="4">
        <f>IF(OR(MID(TBBP[[#This Row],[Coluna1]],1,1)="1",MID(TBBP[[#This Row],[Coluna1]],1,1)="2"),TBBP[[#This Row],[Coluna45]],SUM(AH183:AS183))</f>
        <v>0</v>
      </c>
      <c r="AU183" s="4">
        <v>0</v>
      </c>
      <c r="AV183" s="4">
        <v>0</v>
      </c>
      <c r="AW183" s="4">
        <v>0</v>
      </c>
      <c r="AX183" s="4">
        <v>0</v>
      </c>
      <c r="AY183" s="4">
        <v>0</v>
      </c>
      <c r="AZ183" s="4">
        <v>0</v>
      </c>
      <c r="BA183" s="4">
        <v>0</v>
      </c>
      <c r="BB183" s="4">
        <v>0</v>
      </c>
      <c r="BC183" s="4">
        <v>0</v>
      </c>
      <c r="BD183" s="4">
        <v>0</v>
      </c>
      <c r="BE183" s="4">
        <v>0</v>
      </c>
      <c r="BF183" s="4">
        <v>0</v>
      </c>
      <c r="BG183" s="4">
        <f>IF(OR(MID(TBBP[[#This Row],[Coluna1]],1,1)="1",MID(TBBP[[#This Row],[Coluna1]],1,1)="2"),TBBP[[#This Row],[Coluna58]],SUM(AU183:BF183))</f>
        <v>0</v>
      </c>
      <c r="BH183" s="4">
        <v>0</v>
      </c>
      <c r="BI183" s="4">
        <v>0</v>
      </c>
      <c r="BJ183" s="4">
        <v>0</v>
      </c>
      <c r="BK183" s="4">
        <v>0</v>
      </c>
      <c r="BL183" s="4">
        <v>0</v>
      </c>
      <c r="BM183" s="4">
        <v>0</v>
      </c>
      <c r="BN183" s="4">
        <v>0</v>
      </c>
      <c r="BO183" s="4">
        <v>0</v>
      </c>
      <c r="BP183" s="4">
        <v>0</v>
      </c>
      <c r="BQ183" s="4">
        <v>0</v>
      </c>
      <c r="BR183" s="4">
        <v>0</v>
      </c>
      <c r="BS183" s="4">
        <v>0</v>
      </c>
      <c r="BT183" s="4">
        <f>IF(OR(MID(TBBP[[#This Row],[Coluna1]],1,1)="1",MID(TBBP[[#This Row],[Coluna1]],1,1)="2"),TBBP[[#This Row],[Coluna127]],SUM(BH183:BS183))</f>
        <v>0</v>
      </c>
      <c r="BU183" s="4">
        <v>0</v>
      </c>
      <c r="BV183" s="4">
        <v>0</v>
      </c>
      <c r="BW183" s="4">
        <v>0</v>
      </c>
      <c r="BX183" s="4">
        <v>0</v>
      </c>
      <c r="BY183" s="4">
        <v>0</v>
      </c>
      <c r="BZ183" s="4">
        <v>0</v>
      </c>
      <c r="CA183" s="4">
        <v>0</v>
      </c>
      <c r="CB183" s="4">
        <v>0</v>
      </c>
      <c r="CC183" s="4">
        <v>0</v>
      </c>
      <c r="CD183" s="4">
        <v>0</v>
      </c>
      <c r="CE183" s="4">
        <v>0</v>
      </c>
      <c r="CF183" s="4">
        <v>0</v>
      </c>
      <c r="CG183" s="4">
        <f>IF(OR(MID(TBBP[[#This Row],[Coluna1]],1,1)="1",MID(TBBP[[#This Row],[Coluna1]],1,1)="2"),CF183,SUM(BU183:CF183))</f>
        <v>0</v>
      </c>
      <c r="CH183" s="4">
        <v>0</v>
      </c>
      <c r="CI183" s="4">
        <v>0</v>
      </c>
      <c r="CJ183" s="4">
        <v>0</v>
      </c>
      <c r="CK183" s="4" t="s">
        <v>1134</v>
      </c>
      <c r="CL183" s="4">
        <v>0</v>
      </c>
      <c r="CM183" s="4" t="s">
        <v>1134</v>
      </c>
      <c r="CN183" s="4">
        <v>0</v>
      </c>
      <c r="CO183" s="4">
        <v>0</v>
      </c>
      <c r="CP183" s="4">
        <v>0</v>
      </c>
      <c r="CQ183" s="4" t="s">
        <v>1134</v>
      </c>
      <c r="CR183" s="4" t="s">
        <v>1134</v>
      </c>
      <c r="CS183" s="4" t="s">
        <v>1134</v>
      </c>
      <c r="CT183" s="4">
        <f>IF(OR(MID(TBBP[[#This Row],[Coluna1]],1,1)="1",MID(TBBP[[#This Row],[Coluna1]],1,1)="2"),CS183,SUM(CH183:CS183))</f>
        <v>0</v>
      </c>
      <c r="CU183" s="255">
        <v>0</v>
      </c>
      <c r="CV183" s="255">
        <v>0</v>
      </c>
      <c r="CW183" s="255">
        <v>0</v>
      </c>
      <c r="CX183" s="255">
        <v>0</v>
      </c>
      <c r="CY183" s="255">
        <v>0</v>
      </c>
      <c r="CZ183" s="255">
        <v>0</v>
      </c>
      <c r="DA183" s="255">
        <v>0</v>
      </c>
      <c r="DB183" s="255">
        <v>0</v>
      </c>
      <c r="DC183" s="255">
        <v>0</v>
      </c>
      <c r="DD183" s="255">
        <v>0</v>
      </c>
      <c r="DE183" s="255"/>
      <c r="DF183" s="255">
        <v>0</v>
      </c>
      <c r="DG183" s="255">
        <f>SUM(TBBP[[#This Row],[Coluna287]:[Coluna298]])</f>
        <v>0</v>
      </c>
      <c r="DH183" s="255">
        <v>0</v>
      </c>
      <c r="DI183" s="255">
        <v>0</v>
      </c>
      <c r="DJ183" s="255">
        <v>0</v>
      </c>
      <c r="DK183" s="255">
        <v>0</v>
      </c>
      <c r="DL183" s="255">
        <v>0</v>
      </c>
      <c r="DM183" s="255">
        <v>0</v>
      </c>
      <c r="DP183" s="30">
        <f>IF(OR(MID(TBBP[[#This Row],[Coluna1]],1,1)="1",MID(TBBP[[#This Row],[Coluna1]],1,1)="2"),"-",SUMIFS(183:183,listaPeriodos,$DR$1,listaPeriodos,$DR$2))</f>
        <v>0</v>
      </c>
      <c r="DQ183" s="30"/>
      <c r="DR183" s="30">
        <f t="shared" si="179"/>
        <v>0</v>
      </c>
      <c r="DS183" s="30"/>
      <c r="DT183" s="30"/>
      <c r="DU183"/>
    </row>
    <row r="184" spans="1:125" x14ac:dyDescent="0.3">
      <c r="A184" s="7" t="s">
        <v>371</v>
      </c>
      <c r="B184" t="s">
        <v>540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f>IF(OR(MID(TBBP[[#This Row],[Coluna1]],1,1)="1",MID(TBBP[[#This Row],[Coluna1]],1,1)="2"),TBBP[[#This Row],[Coluna19]],SUM(H184:S184))</f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f>IF(OR(MID(TBBP[[#This Row],[Coluna1]],1,1)="1",MID(TBBP[[#This Row],[Coluna1]],1,1)="2"),TBBP[[#This Row],[Coluna32]],SUM(U184:AF184))</f>
        <v>0</v>
      </c>
      <c r="AH184" s="4">
        <v>0</v>
      </c>
      <c r="AI184" s="4">
        <v>0</v>
      </c>
      <c r="AJ184" s="4">
        <v>0</v>
      </c>
      <c r="AK184" s="4">
        <v>0</v>
      </c>
      <c r="AL184" s="4">
        <v>0</v>
      </c>
      <c r="AM184" s="4">
        <v>0</v>
      </c>
      <c r="AN184" s="4">
        <v>0</v>
      </c>
      <c r="AO184" s="4">
        <v>0</v>
      </c>
      <c r="AP184" s="4">
        <v>0</v>
      </c>
      <c r="AQ184" s="4">
        <v>0</v>
      </c>
      <c r="AR184" s="4">
        <v>0</v>
      </c>
      <c r="AS184" s="4">
        <v>0</v>
      </c>
      <c r="AT184" s="4">
        <f>IF(OR(MID(TBBP[[#This Row],[Coluna1]],1,1)="1",MID(TBBP[[#This Row],[Coluna1]],1,1)="2"),TBBP[[#This Row],[Coluna45]],SUM(AH184:AS184))</f>
        <v>0</v>
      </c>
      <c r="AU184" s="4">
        <v>0</v>
      </c>
      <c r="AV184" s="4">
        <v>0</v>
      </c>
      <c r="AW184" s="4">
        <v>0</v>
      </c>
      <c r="AX184" s="4">
        <v>0</v>
      </c>
      <c r="AY184" s="4">
        <v>0</v>
      </c>
      <c r="AZ184" s="4">
        <v>0</v>
      </c>
      <c r="BA184" s="4">
        <v>0</v>
      </c>
      <c r="BB184" s="4">
        <v>0</v>
      </c>
      <c r="BC184" s="4">
        <v>0</v>
      </c>
      <c r="BD184" s="4">
        <v>0</v>
      </c>
      <c r="BE184" s="4">
        <v>0</v>
      </c>
      <c r="BF184" s="4">
        <v>0</v>
      </c>
      <c r="BG184" s="4">
        <f>IF(OR(MID(TBBP[[#This Row],[Coluna1]],1,1)="1",MID(TBBP[[#This Row],[Coluna1]],1,1)="2"),TBBP[[#This Row],[Coluna58]],SUM(AU184:BF184))</f>
        <v>0</v>
      </c>
      <c r="BH184" s="4">
        <v>0</v>
      </c>
      <c r="BI184" s="4">
        <v>0</v>
      </c>
      <c r="BJ184" s="4">
        <v>0</v>
      </c>
      <c r="BK184" s="4">
        <v>0</v>
      </c>
      <c r="BL184" s="4">
        <v>0</v>
      </c>
      <c r="BM184" s="4">
        <v>0</v>
      </c>
      <c r="BN184" s="4">
        <v>0</v>
      </c>
      <c r="BO184" s="4">
        <v>0</v>
      </c>
      <c r="BP184" s="4">
        <v>0</v>
      </c>
      <c r="BQ184" s="4">
        <v>0</v>
      </c>
      <c r="BR184" s="4">
        <v>0</v>
      </c>
      <c r="BS184" s="4">
        <v>0</v>
      </c>
      <c r="BT184" s="4">
        <f>IF(OR(MID(TBBP[[#This Row],[Coluna1]],1,1)="1",MID(TBBP[[#This Row],[Coluna1]],1,1)="2"),TBBP[[#This Row],[Coluna127]],SUM(BH184:BS184))</f>
        <v>0</v>
      </c>
      <c r="BU184" s="4">
        <v>0</v>
      </c>
      <c r="BV184" s="4">
        <v>0</v>
      </c>
      <c r="BW184" s="4">
        <v>0</v>
      </c>
      <c r="BX184" s="4">
        <v>0</v>
      </c>
      <c r="BY184" s="4">
        <v>0</v>
      </c>
      <c r="BZ184" s="4">
        <v>0</v>
      </c>
      <c r="CA184" s="4">
        <v>0</v>
      </c>
      <c r="CB184" s="4">
        <v>0</v>
      </c>
      <c r="CC184" s="4">
        <v>0</v>
      </c>
      <c r="CD184" s="4">
        <v>0</v>
      </c>
      <c r="CE184" s="4">
        <v>0</v>
      </c>
      <c r="CF184" s="4">
        <v>0</v>
      </c>
      <c r="CG184" s="4">
        <f>IF(OR(MID(TBBP[[#This Row],[Coluna1]],1,1)="1",MID(TBBP[[#This Row],[Coluna1]],1,1)="2"),CF184,SUM(BU184:CF184))</f>
        <v>0</v>
      </c>
      <c r="CH184" s="4">
        <v>0</v>
      </c>
      <c r="CI184" s="4">
        <v>0</v>
      </c>
      <c r="CJ184" s="4">
        <v>0</v>
      </c>
      <c r="CK184" s="4" t="s">
        <v>1134</v>
      </c>
      <c r="CL184" s="4">
        <v>0</v>
      </c>
      <c r="CM184" s="4" t="s">
        <v>1134</v>
      </c>
      <c r="CN184" s="4">
        <v>0</v>
      </c>
      <c r="CO184" s="4">
        <v>0</v>
      </c>
      <c r="CP184" s="4">
        <v>0</v>
      </c>
      <c r="CQ184" s="4" t="s">
        <v>1134</v>
      </c>
      <c r="CR184" s="4" t="s">
        <v>1134</v>
      </c>
      <c r="CS184" s="4" t="s">
        <v>1134</v>
      </c>
      <c r="CT184" s="4">
        <f>IF(OR(MID(TBBP[[#This Row],[Coluna1]],1,1)="1",MID(TBBP[[#This Row],[Coluna1]],1,1)="2"),CS184,SUM(CH184:CS184))</f>
        <v>0</v>
      </c>
      <c r="CU184" s="255">
        <v>0</v>
      </c>
      <c r="CV184" s="255">
        <v>0</v>
      </c>
      <c r="CW184" s="255">
        <v>0</v>
      </c>
      <c r="CX184" s="255">
        <v>0</v>
      </c>
      <c r="CY184" s="255">
        <v>0</v>
      </c>
      <c r="CZ184" s="255">
        <v>0</v>
      </c>
      <c r="DA184" s="255">
        <v>0</v>
      </c>
      <c r="DB184" s="255">
        <v>0</v>
      </c>
      <c r="DC184" s="255">
        <v>0</v>
      </c>
      <c r="DD184" s="255">
        <v>0</v>
      </c>
      <c r="DE184" s="255"/>
      <c r="DF184" s="255">
        <v>0</v>
      </c>
      <c r="DG184" s="255">
        <f>SUM(TBBP[[#This Row],[Coluna287]:[Coluna298]])</f>
        <v>0</v>
      </c>
      <c r="DH184" s="255">
        <v>0</v>
      </c>
      <c r="DI184" s="255">
        <v>0</v>
      </c>
      <c r="DJ184" s="255">
        <v>0</v>
      </c>
      <c r="DK184" s="255">
        <v>0</v>
      </c>
      <c r="DL184" s="255">
        <v>0</v>
      </c>
      <c r="DM184" s="255">
        <v>0</v>
      </c>
      <c r="DP184" s="30">
        <f>IF(OR(MID(TBBP[[#This Row],[Coluna1]],1,1)="1",MID(TBBP[[#This Row],[Coluna1]],1,1)="2"),"-",SUMIFS(184:184,listaPeriodos,$DR$1,listaPeriodos,$DR$2))</f>
        <v>0</v>
      </c>
      <c r="DQ184" s="30"/>
      <c r="DR184" s="30">
        <f t="shared" si="179"/>
        <v>0</v>
      </c>
      <c r="DS184" s="30"/>
      <c r="DT184" s="30"/>
      <c r="DU184"/>
    </row>
    <row r="185" spans="1:125" x14ac:dyDescent="0.3">
      <c r="A185" s="7" t="s">
        <v>372</v>
      </c>
      <c r="B185" t="s">
        <v>537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f>IF(OR(MID(TBBP[[#This Row],[Coluna1]],1,1)="1",MID(TBBP[[#This Row],[Coluna1]],1,1)="2"),TBBP[[#This Row],[Coluna19]],SUM(H185:S185))</f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f>IF(OR(MID(TBBP[[#This Row],[Coluna1]],1,1)="1",MID(TBBP[[#This Row],[Coluna1]],1,1)="2"),TBBP[[#This Row],[Coluna32]],SUM(U185:AF185))</f>
        <v>0</v>
      </c>
      <c r="AH185" s="4">
        <v>0</v>
      </c>
      <c r="AI185" s="4">
        <v>0</v>
      </c>
      <c r="AJ185" s="4">
        <v>0</v>
      </c>
      <c r="AK185" s="4">
        <v>0</v>
      </c>
      <c r="AL185" s="4">
        <v>0</v>
      </c>
      <c r="AM185" s="4">
        <v>0</v>
      </c>
      <c r="AN185" s="4">
        <v>0</v>
      </c>
      <c r="AO185" s="4">
        <v>0</v>
      </c>
      <c r="AP185" s="4">
        <v>0</v>
      </c>
      <c r="AQ185" s="4">
        <v>0</v>
      </c>
      <c r="AR185" s="4">
        <v>0</v>
      </c>
      <c r="AS185" s="4">
        <v>0</v>
      </c>
      <c r="AT185" s="4">
        <f>IF(OR(MID(TBBP[[#This Row],[Coluna1]],1,1)="1",MID(TBBP[[#This Row],[Coluna1]],1,1)="2"),TBBP[[#This Row],[Coluna45]],SUM(AH185:AS185))</f>
        <v>0</v>
      </c>
      <c r="AU185" s="4">
        <v>0</v>
      </c>
      <c r="AV185" s="4">
        <v>0</v>
      </c>
      <c r="AW185" s="4">
        <v>0</v>
      </c>
      <c r="AX185" s="4">
        <v>0</v>
      </c>
      <c r="AY185" s="4">
        <v>0</v>
      </c>
      <c r="AZ185" s="4">
        <v>0</v>
      </c>
      <c r="BA185" s="4">
        <v>0</v>
      </c>
      <c r="BB185" s="4">
        <v>0</v>
      </c>
      <c r="BC185" s="4">
        <v>0</v>
      </c>
      <c r="BD185" s="4">
        <v>0</v>
      </c>
      <c r="BE185" s="4">
        <v>0</v>
      </c>
      <c r="BF185" s="4">
        <v>0</v>
      </c>
      <c r="BG185" s="4">
        <f>IF(OR(MID(TBBP[[#This Row],[Coluna1]],1,1)="1",MID(TBBP[[#This Row],[Coluna1]],1,1)="2"),TBBP[[#This Row],[Coluna58]],SUM(AU185:BF185))</f>
        <v>0</v>
      </c>
      <c r="BH185" s="4">
        <v>0</v>
      </c>
      <c r="BI185" s="4">
        <v>0</v>
      </c>
      <c r="BJ185" s="4">
        <v>0</v>
      </c>
      <c r="BK185" s="4">
        <v>0</v>
      </c>
      <c r="BL185" s="4">
        <v>0</v>
      </c>
      <c r="BM185" s="4">
        <v>0</v>
      </c>
      <c r="BN185" s="4">
        <v>0</v>
      </c>
      <c r="BO185" s="4">
        <v>0</v>
      </c>
      <c r="BP185" s="4">
        <v>0</v>
      </c>
      <c r="BQ185" s="4">
        <v>0</v>
      </c>
      <c r="BR185" s="4">
        <v>0</v>
      </c>
      <c r="BS185" s="4">
        <v>0</v>
      </c>
      <c r="BT185" s="4">
        <f>IF(OR(MID(TBBP[[#This Row],[Coluna1]],1,1)="1",MID(TBBP[[#This Row],[Coluna1]],1,1)="2"),TBBP[[#This Row],[Coluna127]],SUM(BH185:BS185))</f>
        <v>0</v>
      </c>
      <c r="BU185" s="4">
        <v>0</v>
      </c>
      <c r="BV185" s="4">
        <v>0</v>
      </c>
      <c r="BW185" s="4">
        <v>0</v>
      </c>
      <c r="BX185" s="4">
        <v>0</v>
      </c>
      <c r="BY185" s="4">
        <v>0</v>
      </c>
      <c r="BZ185" s="4">
        <v>0</v>
      </c>
      <c r="CA185" s="4">
        <v>0</v>
      </c>
      <c r="CB185" s="4">
        <v>0</v>
      </c>
      <c r="CC185" s="4">
        <v>0</v>
      </c>
      <c r="CD185" s="4">
        <v>0</v>
      </c>
      <c r="CE185" s="4">
        <v>0</v>
      </c>
      <c r="CF185" s="4">
        <v>0</v>
      </c>
      <c r="CG185" s="4">
        <f>IF(OR(MID(TBBP[[#This Row],[Coluna1]],1,1)="1",MID(TBBP[[#This Row],[Coluna1]],1,1)="2"),CF185,SUM(BU185:CF185))</f>
        <v>0</v>
      </c>
      <c r="CH185" s="4">
        <v>0</v>
      </c>
      <c r="CI185" s="4">
        <v>0</v>
      </c>
      <c r="CJ185" s="4">
        <v>0</v>
      </c>
      <c r="CK185" s="4" t="s">
        <v>1134</v>
      </c>
      <c r="CL185" s="4">
        <v>0</v>
      </c>
      <c r="CM185" s="4" t="s">
        <v>1134</v>
      </c>
      <c r="CN185" s="4">
        <v>0</v>
      </c>
      <c r="CO185" s="4">
        <v>0</v>
      </c>
      <c r="CP185" s="4">
        <v>0</v>
      </c>
      <c r="CQ185" s="4" t="s">
        <v>1134</v>
      </c>
      <c r="CR185" s="4" t="s">
        <v>1134</v>
      </c>
      <c r="CS185" s="4" t="s">
        <v>1134</v>
      </c>
      <c r="CT185" s="4">
        <f>IF(OR(MID(TBBP[[#This Row],[Coluna1]],1,1)="1",MID(TBBP[[#This Row],[Coluna1]],1,1)="2"),CS185,SUM(CH185:CS185))</f>
        <v>0</v>
      </c>
      <c r="CU185" s="255">
        <v>0</v>
      </c>
      <c r="CV185" s="255">
        <v>0</v>
      </c>
      <c r="CW185" s="255">
        <v>0</v>
      </c>
      <c r="CX185" s="255">
        <v>0</v>
      </c>
      <c r="CY185" s="255">
        <v>0</v>
      </c>
      <c r="CZ185" s="255">
        <v>0</v>
      </c>
      <c r="DA185" s="255">
        <v>0</v>
      </c>
      <c r="DB185" s="255">
        <v>0</v>
      </c>
      <c r="DC185" s="255">
        <v>0</v>
      </c>
      <c r="DD185" s="255">
        <v>0</v>
      </c>
      <c r="DE185" s="255"/>
      <c r="DF185" s="255">
        <v>0</v>
      </c>
      <c r="DG185" s="255">
        <f>SUM(TBBP[[#This Row],[Coluna287]:[Coluna298]])</f>
        <v>0</v>
      </c>
      <c r="DH185" s="255">
        <v>0</v>
      </c>
      <c r="DI185" s="255">
        <v>0</v>
      </c>
      <c r="DJ185" s="255">
        <v>0</v>
      </c>
      <c r="DK185" s="255">
        <v>0</v>
      </c>
      <c r="DL185" s="255">
        <v>0</v>
      </c>
      <c r="DM185" s="255">
        <v>0</v>
      </c>
      <c r="DP185" s="30">
        <f>IF(OR(MID(TBBP[[#This Row],[Coluna1]],1,1)="1",MID(TBBP[[#This Row],[Coluna1]],1,1)="2"),"-",SUMIFS(185:185,listaPeriodos,$DR$1,listaPeriodos,$DR$2))</f>
        <v>0</v>
      </c>
      <c r="DQ185" s="30"/>
      <c r="DR185" s="30">
        <f t="shared" si="179"/>
        <v>0</v>
      </c>
      <c r="DS185" s="30"/>
      <c r="DT185" s="30"/>
      <c r="DU185"/>
    </row>
    <row r="186" spans="1:125" x14ac:dyDescent="0.3">
      <c r="A186" s="7" t="s">
        <v>373</v>
      </c>
      <c r="B186" t="s">
        <v>541</v>
      </c>
      <c r="C186" s="4">
        <v>0</v>
      </c>
      <c r="D186" s="4">
        <v>0</v>
      </c>
      <c r="E186" s="4">
        <v>0</v>
      </c>
      <c r="F186" s="4">
        <v>0</v>
      </c>
      <c r="G186" s="4">
        <v>-1801904.11</v>
      </c>
      <c r="H186" s="4">
        <v>-154393.37</v>
      </c>
      <c r="I186" s="4">
        <v>-65580.679999999993</v>
      </c>
      <c r="J186" s="4">
        <v>-140725.59</v>
      </c>
      <c r="K186" s="4">
        <v>-61278.280000000006</v>
      </c>
      <c r="L186" s="4">
        <v>-89396.65</v>
      </c>
      <c r="M186" s="4">
        <v>-101749.11</v>
      </c>
      <c r="N186" s="4">
        <v>-148621.85999999999</v>
      </c>
      <c r="O186" s="4">
        <v>-106630.74</v>
      </c>
      <c r="P186" s="4">
        <v>-112051.86</v>
      </c>
      <c r="Q186" s="4">
        <v>-184495.64</v>
      </c>
      <c r="R186" s="4">
        <v>-147106.67000000001</v>
      </c>
      <c r="S186" s="4">
        <v>-83793.679999999993</v>
      </c>
      <c r="T186" s="4">
        <f>IF(OR(MID(TBBP[[#This Row],[Coluna1]],1,1)="1",MID(TBBP[[#This Row],[Coluna1]],1,1)="2"),TBBP[[#This Row],[Coluna19]],SUM(H186:S186))</f>
        <v>-1395824.13</v>
      </c>
      <c r="U186" s="4">
        <v>-213192.16</v>
      </c>
      <c r="V186" s="4">
        <v>-136173.07999999999</v>
      </c>
      <c r="W186" s="4">
        <v>-122101.79</v>
      </c>
      <c r="X186" s="4">
        <v>-143014.70000000001</v>
      </c>
      <c r="Y186" s="4">
        <v>-136058.69</v>
      </c>
      <c r="Z186" s="4">
        <v>-133966.93</v>
      </c>
      <c r="AA186" s="4">
        <v>-148823.70000000001</v>
      </c>
      <c r="AB186" s="4">
        <v>-130492.77</v>
      </c>
      <c r="AC186" s="4">
        <v>-126074.18</v>
      </c>
      <c r="AD186" s="4">
        <v>-169255.37</v>
      </c>
      <c r="AE186" s="4">
        <v>-154555.36000000002</v>
      </c>
      <c r="AF186" s="4">
        <v>-136421.19</v>
      </c>
      <c r="AG186" s="4">
        <f>IF(OR(MID(TBBP[[#This Row],[Coluna1]],1,1)="1",MID(TBBP[[#This Row],[Coluna1]],1,1)="2"),TBBP[[#This Row],[Coluna32]],SUM(U186:AF186))</f>
        <v>-1750129.9199999997</v>
      </c>
      <c r="AH186" s="4">
        <v>-187695.47</v>
      </c>
      <c r="AI186" s="4">
        <v>-121455.01999999999</v>
      </c>
      <c r="AJ186" s="4">
        <v>-159706.19999999998</v>
      </c>
      <c r="AK186" s="4">
        <v>-129144.65</v>
      </c>
      <c r="AL186" s="4">
        <v>-117746.13</v>
      </c>
      <c r="AM186" s="4">
        <v>-125184.40000000001</v>
      </c>
      <c r="AN186" s="4">
        <v>-131867.93</v>
      </c>
      <c r="AO186" s="4">
        <v>-105756.23000000001</v>
      </c>
      <c r="AP186" s="4">
        <v>-219274.88</v>
      </c>
      <c r="AQ186" s="4">
        <v>-164656.59</v>
      </c>
      <c r="AR186" s="4">
        <v>-178923.95</v>
      </c>
      <c r="AS186" s="4">
        <v>-163773.85999999999</v>
      </c>
      <c r="AT186" s="4">
        <f>IF(OR(MID(TBBP[[#This Row],[Coluna1]],1,1)="1",MID(TBBP[[#This Row],[Coluna1]],1,1)="2"),TBBP[[#This Row],[Coluna45]],SUM(AH186:AS186))</f>
        <v>-1805185.31</v>
      </c>
      <c r="AU186" s="4">
        <v>-204729.50999999998</v>
      </c>
      <c r="AV186" s="4">
        <v>-173648.63999999998</v>
      </c>
      <c r="AW186" s="4">
        <v>-243687.8</v>
      </c>
      <c r="AX186" s="4">
        <v>-156274.08000000002</v>
      </c>
      <c r="AY186" s="4">
        <v>-126123.91</v>
      </c>
      <c r="AZ186" s="4">
        <v>-249998.9</v>
      </c>
      <c r="BA186" s="4">
        <v>-273420.78999999998</v>
      </c>
      <c r="BB186" s="4">
        <v>-205177.15000000002</v>
      </c>
      <c r="BC186" s="4">
        <v>-247031.59</v>
      </c>
      <c r="BD186" s="4">
        <v>-288630.62999999995</v>
      </c>
      <c r="BE186" s="4">
        <v>-306857.49</v>
      </c>
      <c r="BF186" s="4">
        <v>-135229.36000000002</v>
      </c>
      <c r="BG186" s="4">
        <f>IF(OR(MID(TBBP[[#This Row],[Coluna1]],1,1)="1",MID(TBBP[[#This Row],[Coluna1]],1,1)="2"),TBBP[[#This Row],[Coluna58]],SUM(AU186:BF186))</f>
        <v>-2610809.85</v>
      </c>
      <c r="BH186" s="4">
        <v>-156792.60999999999</v>
      </c>
      <c r="BI186" s="4">
        <v>-120834.78</v>
      </c>
      <c r="BJ186" s="4">
        <v>-5968.46</v>
      </c>
      <c r="BK186" s="4">
        <v>-293.98</v>
      </c>
      <c r="BL186" s="4">
        <v>-402.69</v>
      </c>
      <c r="BM186" s="4">
        <v>-13896.07</v>
      </c>
      <c r="BN186" s="4">
        <v>-4798.1400000000003</v>
      </c>
      <c r="BO186" s="4">
        <v>-103.56</v>
      </c>
      <c r="BP186" s="4">
        <v>-146.65</v>
      </c>
      <c r="BQ186" s="4">
        <v>-1591.56</v>
      </c>
      <c r="BR186" s="4">
        <v>-728.42</v>
      </c>
      <c r="BS186" s="4">
        <v>-28.42</v>
      </c>
      <c r="BT186" s="4">
        <f>IF(OR(MID(TBBP[[#This Row],[Coluna1]],1,1)="1",MID(TBBP[[#This Row],[Coluna1]],1,1)="2"),TBBP[[#This Row],[Coluna127]],SUM(BH186:BS186))</f>
        <v>-305585.34000000003</v>
      </c>
      <c r="BU186" s="4">
        <v>-2370.0300000000002</v>
      </c>
      <c r="BV186" s="4">
        <v>0</v>
      </c>
      <c r="BW186" s="4">
        <v>-293.47000000000003</v>
      </c>
      <c r="BX186" s="4">
        <v>0</v>
      </c>
      <c r="BY186" s="4">
        <v>-483.64</v>
      </c>
      <c r="BZ186" s="4">
        <v>0</v>
      </c>
      <c r="CA186" s="4">
        <v>0</v>
      </c>
      <c r="CB186" s="4">
        <v>0</v>
      </c>
      <c r="CC186" s="4">
        <v>0</v>
      </c>
      <c r="CD186" s="4">
        <v>0</v>
      </c>
      <c r="CE186" s="4">
        <v>-28.12</v>
      </c>
      <c r="CF186" s="4">
        <v>0</v>
      </c>
      <c r="CG186" s="4">
        <f>IF(OR(MID(TBBP[[#This Row],[Coluna1]],1,1)="1",MID(TBBP[[#This Row],[Coluna1]],1,1)="2"),CF186,SUM(BU186:CF186))</f>
        <v>-3175.2599999999998</v>
      </c>
      <c r="CH186" s="4">
        <v>-8691.9</v>
      </c>
      <c r="CI186" s="4">
        <v>-2454.5700000000002</v>
      </c>
      <c r="CJ186" s="4">
        <v>-2293.7800000000002</v>
      </c>
      <c r="CK186" s="4">
        <v>-3819.12</v>
      </c>
      <c r="CL186" s="4">
        <v>-26099.43</v>
      </c>
      <c r="CM186" s="4">
        <v>-193.92</v>
      </c>
      <c r="CN186" s="4">
        <v>0</v>
      </c>
      <c r="CO186" s="4">
        <v>-9816.0400000000009</v>
      </c>
      <c r="CP186" s="4">
        <v>-11581.4</v>
      </c>
      <c r="CQ186" s="4">
        <v>-11582.52</v>
      </c>
      <c r="CR186" s="4">
        <v>-19510.650000000001</v>
      </c>
      <c r="CS186" s="4">
        <v>-362.27</v>
      </c>
      <c r="CT186" s="4">
        <f>IF(OR(MID(TBBP[[#This Row],[Coluna1]],1,1)="1",MID(TBBP[[#This Row],[Coluna1]],1,1)="2"),CS186,SUM(CH186:CS186))</f>
        <v>-96405.60000000002</v>
      </c>
      <c r="CU186" s="255">
        <v>-2787.68</v>
      </c>
      <c r="CV186" s="255">
        <v>-894</v>
      </c>
      <c r="CW186" s="255">
        <v>0</v>
      </c>
      <c r="CX186" s="255">
        <v>0</v>
      </c>
      <c r="CY186" s="255">
        <v>-3706.73</v>
      </c>
      <c r="CZ186" s="255">
        <v>298.02999999999997</v>
      </c>
      <c r="DA186" s="255">
        <v>-2543.35</v>
      </c>
      <c r="DB186" s="255">
        <v>0</v>
      </c>
      <c r="DC186" s="255">
        <v>136</v>
      </c>
      <c r="DD186" s="255">
        <v>0</v>
      </c>
      <c r="DE186" s="255">
        <v>0</v>
      </c>
      <c r="DF186" s="255">
        <v>434.92000000000053</v>
      </c>
      <c r="DG186" s="255">
        <f>SUM(TBBP[[#This Row],[Coluna287]:[Coluna298]])</f>
        <v>-9062.81</v>
      </c>
      <c r="DH186" s="255">
        <v>223.86</v>
      </c>
      <c r="DI186" s="255">
        <v>496.55</v>
      </c>
      <c r="DJ186" s="255">
        <v>0</v>
      </c>
      <c r="DK186" s="255">
        <v>3807.02</v>
      </c>
      <c r="DL186" s="255">
        <v>-18587.04</v>
      </c>
      <c r="DM186" s="255">
        <v>-3574.18</v>
      </c>
      <c r="DO186" t="s">
        <v>373</v>
      </c>
      <c r="DP186" s="30">
        <f>IF(OR(MID(TBBP[[#This Row],[Coluna1]],1,1)="1",MID(TBBP[[#This Row],[Coluna1]],1,1)="2"),"-",SUMIFS(186:186,listaPeriodos,$DR$1,listaPeriodos,$DR$2))</f>
        <v>-17633.79</v>
      </c>
      <c r="DQ186" s="30">
        <v>-91594.84</v>
      </c>
      <c r="DR186" s="30">
        <f t="shared" si="179"/>
        <v>-549569.04</v>
      </c>
      <c r="DS186" s="30"/>
      <c r="DT186" s="30"/>
      <c r="DU186"/>
    </row>
    <row r="187" spans="1:125" x14ac:dyDescent="0.3">
      <c r="A187" s="7" t="s">
        <v>374</v>
      </c>
      <c r="B187" t="s">
        <v>493</v>
      </c>
      <c r="C187" s="4">
        <v>0</v>
      </c>
      <c r="D187" s="4">
        <v>0</v>
      </c>
      <c r="E187" s="4">
        <v>0</v>
      </c>
      <c r="F187" s="4">
        <v>0</v>
      </c>
      <c r="G187" s="4">
        <v>-411905.71</v>
      </c>
      <c r="H187" s="4">
        <v>-45418.590000000004</v>
      </c>
      <c r="I187" s="4">
        <v>-27562.180000000004</v>
      </c>
      <c r="J187" s="4">
        <v>-57819.199999999997</v>
      </c>
      <c r="K187" s="4">
        <v>-27258.63</v>
      </c>
      <c r="L187" s="4">
        <v>-50859.049999999996</v>
      </c>
      <c r="M187" s="4">
        <v>-46438.73</v>
      </c>
      <c r="N187" s="4">
        <v>-52389.51</v>
      </c>
      <c r="O187" s="4">
        <v>-43559.43</v>
      </c>
      <c r="P187" s="4">
        <v>-47946.76</v>
      </c>
      <c r="Q187" s="4">
        <v>-58355.07</v>
      </c>
      <c r="R187" s="4">
        <v>-53968.37</v>
      </c>
      <c r="S187" s="4">
        <v>-39377.660000000003</v>
      </c>
      <c r="T187" s="4">
        <f>IF(OR(MID(TBBP[[#This Row],[Coluna1]],1,1)="1",MID(TBBP[[#This Row],[Coluna1]],1,1)="2"),TBBP[[#This Row],[Coluna19]],SUM(H187:S187))</f>
        <v>-550953.18000000005</v>
      </c>
      <c r="U187" s="4">
        <v>-65218.48</v>
      </c>
      <c r="V187" s="4">
        <v>-41504.620000000003</v>
      </c>
      <c r="W187" s="4">
        <v>-55162.02</v>
      </c>
      <c r="X187" s="4">
        <v>-55934.34</v>
      </c>
      <c r="Y187" s="4">
        <v>-57489.03</v>
      </c>
      <c r="Z187" s="4">
        <v>-58063.83</v>
      </c>
      <c r="AA187" s="4">
        <v>-75305.98</v>
      </c>
      <c r="AB187" s="4">
        <v>-43513.99</v>
      </c>
      <c r="AC187" s="4">
        <v>-72609.87</v>
      </c>
      <c r="AD187" s="4">
        <v>-68145.399999999994</v>
      </c>
      <c r="AE187" s="4">
        <v>-73062.17</v>
      </c>
      <c r="AF187" s="4">
        <v>-57817.57</v>
      </c>
      <c r="AG187" s="4">
        <f>IF(OR(MID(TBBP[[#This Row],[Coluna1]],1,1)="1",MID(TBBP[[#This Row],[Coluna1]],1,1)="2"),TBBP[[#This Row],[Coluna32]],SUM(U187:AF187))</f>
        <v>-723827.29999999993</v>
      </c>
      <c r="AH187" s="4">
        <v>-85507.12000000001</v>
      </c>
      <c r="AI187" s="4">
        <v>-62739.76</v>
      </c>
      <c r="AJ187" s="4">
        <v>-67763.19</v>
      </c>
      <c r="AK187" s="4">
        <v>-67093.170000000013</v>
      </c>
      <c r="AL187" s="4">
        <v>-57667.53</v>
      </c>
      <c r="AM187" s="4">
        <v>-67663.430000000008</v>
      </c>
      <c r="AN187" s="4">
        <v>-63026.47</v>
      </c>
      <c r="AO187" s="4">
        <v>-79215.760000000009</v>
      </c>
      <c r="AP187" s="4">
        <v>-98265.29</v>
      </c>
      <c r="AQ187" s="4">
        <v>-70283.17</v>
      </c>
      <c r="AR187" s="4">
        <v>-71805.600000000006</v>
      </c>
      <c r="AS187" s="4">
        <v>-70272.100000000006</v>
      </c>
      <c r="AT187" s="4">
        <f>IF(OR(MID(TBBP[[#This Row],[Coluna1]],1,1)="1",MID(TBBP[[#This Row],[Coluna1]],1,1)="2"),TBBP[[#This Row],[Coluna45]],SUM(AH187:AS187))</f>
        <v>-861302.59000000008</v>
      </c>
      <c r="AU187" s="4">
        <v>-83456.03</v>
      </c>
      <c r="AV187" s="4">
        <v>-68629.959999999992</v>
      </c>
      <c r="AW187" s="4">
        <v>-61640.119999999995</v>
      </c>
      <c r="AX187" s="4">
        <v>-57791.509999999995</v>
      </c>
      <c r="AY187" s="4">
        <v>-78973.22</v>
      </c>
      <c r="AZ187" s="4">
        <v>-70437.19</v>
      </c>
      <c r="BA187" s="4">
        <v>-82509.33</v>
      </c>
      <c r="BB187" s="4">
        <v>-87851.839999999997</v>
      </c>
      <c r="BC187" s="4">
        <v>-75392.08</v>
      </c>
      <c r="BD187" s="4">
        <v>-107151.43</v>
      </c>
      <c r="BE187" s="4">
        <v>-120575.95999999999</v>
      </c>
      <c r="BF187" s="4">
        <v>-86008.18</v>
      </c>
      <c r="BG187" s="4">
        <f>IF(OR(MID(TBBP[[#This Row],[Coluna1]],1,1)="1",MID(TBBP[[#This Row],[Coluna1]],1,1)="2"),TBBP[[#This Row],[Coluna58]],SUM(AU187:BF187))</f>
        <v>-980416.84999999986</v>
      </c>
      <c r="BH187" s="4">
        <v>-96718.76</v>
      </c>
      <c r="BI187" s="4">
        <v>-751</v>
      </c>
      <c r="BJ187" s="4">
        <v>-168</v>
      </c>
      <c r="BK187" s="4">
        <v>0</v>
      </c>
      <c r="BL187" s="4">
        <v>0</v>
      </c>
      <c r="BM187" s="4">
        <v>-10604.47</v>
      </c>
      <c r="BN187" s="4">
        <v>0</v>
      </c>
      <c r="BO187" s="4">
        <v>0</v>
      </c>
      <c r="BP187" s="4">
        <v>0</v>
      </c>
      <c r="BQ187" s="4">
        <v>0</v>
      </c>
      <c r="BR187" s="4">
        <v>0</v>
      </c>
      <c r="BS187" s="4">
        <v>0</v>
      </c>
      <c r="BT187" s="4">
        <f>IF(OR(MID(TBBP[[#This Row],[Coluna1]],1,1)="1",MID(TBBP[[#This Row],[Coluna1]],1,1)="2"),TBBP[[#This Row],[Coluna127]],SUM(BH187:BS187))</f>
        <v>-108242.23</v>
      </c>
      <c r="BU187" s="4">
        <v>0</v>
      </c>
      <c r="BV187" s="4">
        <v>0</v>
      </c>
      <c r="BW187" s="4">
        <v>0</v>
      </c>
      <c r="BX187" s="4">
        <v>0</v>
      </c>
      <c r="BY187" s="4">
        <v>0</v>
      </c>
      <c r="BZ187" s="4">
        <v>0</v>
      </c>
      <c r="CA187" s="4">
        <v>0</v>
      </c>
      <c r="CB187" s="4">
        <v>0</v>
      </c>
      <c r="CC187" s="4">
        <v>0</v>
      </c>
      <c r="CD187" s="4">
        <v>0</v>
      </c>
      <c r="CE187" s="4">
        <v>0</v>
      </c>
      <c r="CF187" s="4">
        <v>0</v>
      </c>
      <c r="CG187" s="4">
        <f>IF(OR(MID(TBBP[[#This Row],[Coluna1]],1,1)="1",MID(TBBP[[#This Row],[Coluna1]],1,1)="2"),CF187,SUM(BU187:CF187))</f>
        <v>0</v>
      </c>
      <c r="CH187" s="4">
        <v>0</v>
      </c>
      <c r="CI187" s="4">
        <v>0</v>
      </c>
      <c r="CJ187" s="4">
        <v>0</v>
      </c>
      <c r="CK187" s="4" t="s">
        <v>1134</v>
      </c>
      <c r="CL187" s="4">
        <v>0</v>
      </c>
      <c r="CM187" s="4" t="s">
        <v>1134</v>
      </c>
      <c r="CN187" s="4">
        <v>0</v>
      </c>
      <c r="CO187" s="4">
        <v>0</v>
      </c>
      <c r="CP187" s="4">
        <v>0</v>
      </c>
      <c r="CQ187" s="4" t="s">
        <v>1134</v>
      </c>
      <c r="CR187" s="4" t="s">
        <v>1134</v>
      </c>
      <c r="CS187" s="4" t="s">
        <v>1134</v>
      </c>
      <c r="CT187" s="4">
        <f>IF(OR(MID(TBBP[[#This Row],[Coluna1]],1,1)="1",MID(TBBP[[#This Row],[Coluna1]],1,1)="2"),CS187,SUM(CH187:CS187))</f>
        <v>0</v>
      </c>
      <c r="CU187" s="255">
        <v>0</v>
      </c>
      <c r="CV187" s="255">
        <v>0</v>
      </c>
      <c r="CW187" s="255">
        <v>0</v>
      </c>
      <c r="CX187" s="255">
        <v>0</v>
      </c>
      <c r="CY187" s="255">
        <v>0</v>
      </c>
      <c r="CZ187" s="255">
        <v>0</v>
      </c>
      <c r="DA187" s="255">
        <v>0</v>
      </c>
      <c r="DB187" s="255">
        <v>0</v>
      </c>
      <c r="DC187" s="255">
        <v>0</v>
      </c>
      <c r="DD187" s="255">
        <v>0</v>
      </c>
      <c r="DE187" s="255"/>
      <c r="DF187" s="255">
        <v>0</v>
      </c>
      <c r="DG187" s="255">
        <f>SUM(TBBP[[#This Row],[Coluna287]:[Coluna298]])</f>
        <v>0</v>
      </c>
      <c r="DH187" s="255">
        <v>0</v>
      </c>
      <c r="DI187" s="255">
        <v>0</v>
      </c>
      <c r="DJ187" s="255">
        <v>0</v>
      </c>
      <c r="DK187" s="255">
        <v>0</v>
      </c>
      <c r="DL187" s="255">
        <v>0</v>
      </c>
      <c r="DM187" s="255">
        <v>0</v>
      </c>
      <c r="DP187" s="30">
        <f>IF(OR(MID(TBBP[[#This Row],[Coluna1]],1,1)="1",MID(TBBP[[#This Row],[Coluna1]],1,1)="2"),"-",SUMIFS(187:187,listaPeriodos,$DR$1,listaPeriodos,$DR$2))</f>
        <v>0</v>
      </c>
      <c r="DQ187" s="30"/>
      <c r="DR187" s="30">
        <f t="shared" si="179"/>
        <v>0</v>
      </c>
      <c r="DS187" s="30"/>
      <c r="DT187" s="30"/>
      <c r="DU187"/>
    </row>
    <row r="188" spans="1:125" x14ac:dyDescent="0.3">
      <c r="A188" s="7" t="s">
        <v>375</v>
      </c>
      <c r="B188" t="s">
        <v>502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f>IF(OR(MID(TBBP[[#This Row],[Coluna1]],1,1)="1",MID(TBBP[[#This Row],[Coluna1]],1,1)="2"),TBBP[[#This Row],[Coluna19]],SUM(H188:S188))</f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f>IF(OR(MID(TBBP[[#This Row],[Coluna1]],1,1)="1",MID(TBBP[[#This Row],[Coluna1]],1,1)="2"),TBBP[[#This Row],[Coluna32]],SUM(U188:AF188))</f>
        <v>0</v>
      </c>
      <c r="AH188" s="4">
        <v>0</v>
      </c>
      <c r="AI188" s="4">
        <v>0</v>
      </c>
      <c r="AJ188" s="4">
        <v>0</v>
      </c>
      <c r="AK188" s="4">
        <v>0</v>
      </c>
      <c r="AL188" s="4">
        <v>0</v>
      </c>
      <c r="AM188" s="4">
        <v>0</v>
      </c>
      <c r="AN188" s="4">
        <v>0</v>
      </c>
      <c r="AO188" s="4">
        <v>0</v>
      </c>
      <c r="AP188" s="4">
        <v>0</v>
      </c>
      <c r="AQ188" s="4">
        <v>0</v>
      </c>
      <c r="AR188" s="4">
        <v>0</v>
      </c>
      <c r="AS188" s="4">
        <v>0</v>
      </c>
      <c r="AT188" s="4">
        <f>IF(OR(MID(TBBP[[#This Row],[Coluna1]],1,1)="1",MID(TBBP[[#This Row],[Coluna1]],1,1)="2"),TBBP[[#This Row],[Coluna45]],SUM(AH188:AS188))</f>
        <v>0</v>
      </c>
      <c r="AU188" s="4">
        <v>0</v>
      </c>
      <c r="AV188" s="4">
        <v>0</v>
      </c>
      <c r="AW188" s="4">
        <v>0</v>
      </c>
      <c r="AX188" s="4">
        <v>0</v>
      </c>
      <c r="AY188" s="4">
        <v>0</v>
      </c>
      <c r="AZ188" s="4">
        <v>0</v>
      </c>
      <c r="BA188" s="4">
        <v>0</v>
      </c>
      <c r="BB188" s="4">
        <v>0</v>
      </c>
      <c r="BC188" s="4">
        <v>0</v>
      </c>
      <c r="BD188" s="4">
        <v>0</v>
      </c>
      <c r="BE188" s="4">
        <v>0</v>
      </c>
      <c r="BF188" s="4">
        <v>0</v>
      </c>
      <c r="BG188" s="4">
        <f>IF(OR(MID(TBBP[[#This Row],[Coluna1]],1,1)="1",MID(TBBP[[#This Row],[Coluna1]],1,1)="2"),TBBP[[#This Row],[Coluna58]],SUM(AU188:BF188))</f>
        <v>0</v>
      </c>
      <c r="BH188" s="4">
        <v>0</v>
      </c>
      <c r="BI188" s="4">
        <v>0</v>
      </c>
      <c r="BJ188" s="4">
        <v>0</v>
      </c>
      <c r="BK188" s="4">
        <v>0</v>
      </c>
      <c r="BL188" s="4">
        <v>0</v>
      </c>
      <c r="BM188" s="4">
        <v>0</v>
      </c>
      <c r="BN188" s="4">
        <v>0</v>
      </c>
      <c r="BO188" s="4">
        <v>0</v>
      </c>
      <c r="BP188" s="4">
        <v>0</v>
      </c>
      <c r="BQ188" s="4">
        <v>0</v>
      </c>
      <c r="BR188" s="4">
        <v>0</v>
      </c>
      <c r="BS188" s="4">
        <v>0</v>
      </c>
      <c r="BT188" s="4">
        <f>IF(OR(MID(TBBP[[#This Row],[Coluna1]],1,1)="1",MID(TBBP[[#This Row],[Coluna1]],1,1)="2"),TBBP[[#This Row],[Coluna127]],SUM(BH188:BS188))</f>
        <v>0</v>
      </c>
      <c r="BU188" s="4">
        <v>0</v>
      </c>
      <c r="BV188" s="4">
        <v>0</v>
      </c>
      <c r="BW188" s="4">
        <v>0</v>
      </c>
      <c r="BX188" s="4">
        <v>0</v>
      </c>
      <c r="BY188" s="4">
        <v>0</v>
      </c>
      <c r="BZ188" s="4">
        <v>0</v>
      </c>
      <c r="CA188" s="4">
        <v>0</v>
      </c>
      <c r="CB188" s="4">
        <v>0</v>
      </c>
      <c r="CC188" s="4">
        <v>0</v>
      </c>
      <c r="CD188" s="4">
        <v>0</v>
      </c>
      <c r="CE188" s="4">
        <v>0</v>
      </c>
      <c r="CF188" s="4">
        <v>0</v>
      </c>
      <c r="CG188" s="4">
        <f>IF(OR(MID(TBBP[[#This Row],[Coluna1]],1,1)="1",MID(TBBP[[#This Row],[Coluna1]],1,1)="2"),CF188,SUM(BU188:CF188))</f>
        <v>0</v>
      </c>
      <c r="CH188" s="4">
        <v>0</v>
      </c>
      <c r="CI188" s="4">
        <v>0</v>
      </c>
      <c r="CJ188" s="4">
        <v>0</v>
      </c>
      <c r="CK188" s="4" t="s">
        <v>1134</v>
      </c>
      <c r="CL188" s="4">
        <v>0</v>
      </c>
      <c r="CM188" s="4" t="s">
        <v>1134</v>
      </c>
      <c r="CN188" s="4">
        <v>0</v>
      </c>
      <c r="CO188" s="4">
        <v>0</v>
      </c>
      <c r="CP188" s="4">
        <v>0</v>
      </c>
      <c r="CQ188" s="4" t="s">
        <v>1134</v>
      </c>
      <c r="CR188" s="4" t="s">
        <v>1134</v>
      </c>
      <c r="CS188" s="4" t="s">
        <v>1134</v>
      </c>
      <c r="CT188" s="4">
        <f>IF(OR(MID(TBBP[[#This Row],[Coluna1]],1,1)="1",MID(TBBP[[#This Row],[Coluna1]],1,1)="2"),CS188,SUM(CH188:CS188))</f>
        <v>0</v>
      </c>
      <c r="CU188" s="255">
        <v>0</v>
      </c>
      <c r="CV188" s="255">
        <v>0</v>
      </c>
      <c r="CW188" s="255">
        <v>0</v>
      </c>
      <c r="CX188" s="255">
        <v>0</v>
      </c>
      <c r="CY188" s="255">
        <v>0</v>
      </c>
      <c r="CZ188" s="255">
        <v>0</v>
      </c>
      <c r="DA188" s="255">
        <v>0</v>
      </c>
      <c r="DB188" s="255">
        <v>0</v>
      </c>
      <c r="DC188" s="255">
        <v>0</v>
      </c>
      <c r="DD188" s="255">
        <v>0</v>
      </c>
      <c r="DE188" s="255"/>
      <c r="DF188" s="255">
        <v>0</v>
      </c>
      <c r="DG188" s="255">
        <f>SUM(TBBP[[#This Row],[Coluna287]:[Coluna298]])</f>
        <v>0</v>
      </c>
      <c r="DH188" s="255">
        <v>0</v>
      </c>
      <c r="DI188" s="255">
        <v>0</v>
      </c>
      <c r="DJ188" s="255">
        <v>0</v>
      </c>
      <c r="DK188" s="255">
        <v>0</v>
      </c>
      <c r="DL188" s="255">
        <v>0</v>
      </c>
      <c r="DM188" s="255">
        <v>0</v>
      </c>
      <c r="DP188" s="30">
        <f>IF(OR(MID(TBBP[[#This Row],[Coluna1]],1,1)="1",MID(TBBP[[#This Row],[Coluna1]],1,1)="2"),"-",SUMIFS(188:188,listaPeriodos,$DR$1,listaPeriodos,$DR$2))</f>
        <v>0</v>
      </c>
      <c r="DQ188" s="30"/>
      <c r="DR188" s="30">
        <f t="shared" si="179"/>
        <v>0</v>
      </c>
      <c r="DS188" s="30"/>
      <c r="DT188" s="30"/>
      <c r="DU188"/>
    </row>
    <row r="189" spans="1:125" x14ac:dyDescent="0.3">
      <c r="A189" s="7" t="s">
        <v>376</v>
      </c>
      <c r="B189" t="s">
        <v>506</v>
      </c>
      <c r="C189" s="4">
        <v>0</v>
      </c>
      <c r="D189" s="4">
        <v>0</v>
      </c>
      <c r="E189" s="4">
        <v>0</v>
      </c>
      <c r="F189" s="4">
        <v>0</v>
      </c>
      <c r="G189" s="4">
        <v>-8793.6299999999992</v>
      </c>
      <c r="H189" s="4">
        <v>0</v>
      </c>
      <c r="I189" s="4">
        <v>-507.3</v>
      </c>
      <c r="J189" s="4">
        <v>-200.34</v>
      </c>
      <c r="K189" s="4">
        <v>0</v>
      </c>
      <c r="L189" s="4">
        <v>-1118.4000000000001</v>
      </c>
      <c r="M189" s="4">
        <v>0</v>
      </c>
      <c r="N189" s="4">
        <v>-1150.92</v>
      </c>
      <c r="O189" s="4">
        <v>-775.97</v>
      </c>
      <c r="P189" s="4">
        <v>-1220.92</v>
      </c>
      <c r="Q189" s="4">
        <v>-884.78</v>
      </c>
      <c r="R189" s="4">
        <v>-2887.12</v>
      </c>
      <c r="S189" s="4">
        <v>-123.33</v>
      </c>
      <c r="T189" s="4">
        <f>IF(OR(MID(TBBP[[#This Row],[Coluna1]],1,1)="1",MID(TBBP[[#This Row],[Coluna1]],1,1)="2"),TBBP[[#This Row],[Coluna19]],SUM(H189:S189))</f>
        <v>-8869.08</v>
      </c>
      <c r="U189" s="4">
        <v>-323.14</v>
      </c>
      <c r="V189" s="4">
        <v>0</v>
      </c>
      <c r="W189" s="4">
        <v>-907.31</v>
      </c>
      <c r="X189" s="4">
        <v>-1931.37</v>
      </c>
      <c r="Y189" s="4">
        <v>-213.8</v>
      </c>
      <c r="Z189" s="4">
        <v>-525.72</v>
      </c>
      <c r="AA189" s="4">
        <v>-369.83</v>
      </c>
      <c r="AB189" s="4">
        <v>-2252.85</v>
      </c>
      <c r="AC189" s="4">
        <v>-423.78</v>
      </c>
      <c r="AD189" s="4">
        <v>-1210.58</v>
      </c>
      <c r="AE189" s="4">
        <v>-476.1</v>
      </c>
      <c r="AF189" s="4">
        <v>-219</v>
      </c>
      <c r="AG189" s="4">
        <f>IF(OR(MID(TBBP[[#This Row],[Coluna1]],1,1)="1",MID(TBBP[[#This Row],[Coluna1]],1,1)="2"),TBBP[[#This Row],[Coluna32]],SUM(U189:AF189))</f>
        <v>-8853.48</v>
      </c>
      <c r="AH189" s="4">
        <v>-611.78</v>
      </c>
      <c r="AI189" s="4">
        <v>-761.08</v>
      </c>
      <c r="AJ189" s="4">
        <v>-5025.16</v>
      </c>
      <c r="AK189" s="4">
        <v>-626.1</v>
      </c>
      <c r="AL189" s="4">
        <v>-1005.57</v>
      </c>
      <c r="AM189" s="4">
        <v>-887.67</v>
      </c>
      <c r="AN189" s="4">
        <v>-1484.28</v>
      </c>
      <c r="AO189" s="4">
        <v>-2140.62</v>
      </c>
      <c r="AP189" s="4">
        <v>-2372.17</v>
      </c>
      <c r="AQ189" s="4">
        <v>-4966.41</v>
      </c>
      <c r="AR189" s="4">
        <v>-1981.52</v>
      </c>
      <c r="AS189" s="4">
        <v>-1490.22</v>
      </c>
      <c r="AT189" s="4">
        <f>IF(OR(MID(TBBP[[#This Row],[Coluna1]],1,1)="1",MID(TBBP[[#This Row],[Coluna1]],1,1)="2"),TBBP[[#This Row],[Coluna45]],SUM(AH189:AS189))</f>
        <v>-23352.580000000005</v>
      </c>
      <c r="AU189" s="4">
        <v>-745.34</v>
      </c>
      <c r="AV189" s="4">
        <v>-1347.24</v>
      </c>
      <c r="AW189" s="4">
        <v>-1085.8599999999999</v>
      </c>
      <c r="AX189" s="4">
        <v>-1181.3499999999999</v>
      </c>
      <c r="AY189" s="4">
        <v>-6151.02</v>
      </c>
      <c r="AZ189" s="4">
        <v>-1483.87</v>
      </c>
      <c r="BA189" s="4">
        <v>-1615.87</v>
      </c>
      <c r="BB189" s="4">
        <v>-2083.92</v>
      </c>
      <c r="BC189" s="4">
        <v>-1901.85</v>
      </c>
      <c r="BD189" s="4">
        <v>-984.9</v>
      </c>
      <c r="BE189" s="4">
        <v>-4162.2</v>
      </c>
      <c r="BF189" s="4">
        <v>-402.69</v>
      </c>
      <c r="BG189" s="4">
        <f>IF(OR(MID(TBBP[[#This Row],[Coluna1]],1,1)="1",MID(TBBP[[#This Row],[Coluna1]],1,1)="2"),TBBP[[#This Row],[Coluna58]],SUM(AU189:BF189))</f>
        <v>-23146.11</v>
      </c>
      <c r="BH189" s="4">
        <v>-124.37</v>
      </c>
      <c r="BI189" s="4">
        <v>0</v>
      </c>
      <c r="BJ189" s="4">
        <v>0</v>
      </c>
      <c r="BK189" s="4">
        <v>0</v>
      </c>
      <c r="BL189" s="4">
        <v>0</v>
      </c>
      <c r="BM189" s="4">
        <v>0</v>
      </c>
      <c r="BN189" s="4">
        <v>0</v>
      </c>
      <c r="BO189" s="4">
        <v>0</v>
      </c>
      <c r="BP189" s="4">
        <v>0</v>
      </c>
      <c r="BQ189" s="4">
        <v>0</v>
      </c>
      <c r="BR189" s="4">
        <v>0</v>
      </c>
      <c r="BS189" s="4">
        <v>0</v>
      </c>
      <c r="BT189" s="4">
        <f>IF(OR(MID(TBBP[[#This Row],[Coluna1]],1,1)="1",MID(TBBP[[#This Row],[Coluna1]],1,1)="2"),TBBP[[#This Row],[Coluna127]],SUM(BH189:BS189))</f>
        <v>-124.37</v>
      </c>
      <c r="BU189" s="4">
        <v>0</v>
      </c>
      <c r="BV189" s="4">
        <v>0</v>
      </c>
      <c r="BW189" s="4">
        <v>0</v>
      </c>
      <c r="BX189" s="4">
        <v>0</v>
      </c>
      <c r="BY189" s="4">
        <v>0</v>
      </c>
      <c r="BZ189" s="4">
        <v>0</v>
      </c>
      <c r="CA189" s="4">
        <v>0</v>
      </c>
      <c r="CB189" s="4">
        <v>0</v>
      </c>
      <c r="CC189" s="4">
        <v>0</v>
      </c>
      <c r="CD189" s="4">
        <v>0</v>
      </c>
      <c r="CE189" s="4">
        <v>0</v>
      </c>
      <c r="CF189" s="4">
        <v>0</v>
      </c>
      <c r="CG189" s="4">
        <f>IF(OR(MID(TBBP[[#This Row],[Coluna1]],1,1)="1",MID(TBBP[[#This Row],[Coluna1]],1,1)="2"),CF189,SUM(BU189:CF189))</f>
        <v>0</v>
      </c>
      <c r="CH189" s="4">
        <v>0</v>
      </c>
      <c r="CI189" s="4">
        <v>0</v>
      </c>
      <c r="CJ189" s="4">
        <v>0</v>
      </c>
      <c r="CK189" s="4" t="s">
        <v>1134</v>
      </c>
      <c r="CL189" s="4">
        <v>0</v>
      </c>
      <c r="CM189" s="4" t="s">
        <v>1134</v>
      </c>
      <c r="CN189" s="4">
        <v>0</v>
      </c>
      <c r="CO189" s="4">
        <v>0</v>
      </c>
      <c r="CP189" s="4">
        <v>0</v>
      </c>
      <c r="CQ189" s="4" t="s">
        <v>1134</v>
      </c>
      <c r="CR189" s="4" t="s">
        <v>1134</v>
      </c>
      <c r="CS189" s="4" t="s">
        <v>1134</v>
      </c>
      <c r="CT189" s="4">
        <f>IF(OR(MID(TBBP[[#This Row],[Coluna1]],1,1)="1",MID(TBBP[[#This Row],[Coluna1]],1,1)="2"),CS189,SUM(CH189:CS189))</f>
        <v>0</v>
      </c>
      <c r="CU189" s="255">
        <v>0</v>
      </c>
      <c r="CV189" s="255">
        <v>0</v>
      </c>
      <c r="CW189" s="255">
        <v>0</v>
      </c>
      <c r="CX189" s="255">
        <v>0</v>
      </c>
      <c r="CY189" s="255">
        <v>0</v>
      </c>
      <c r="CZ189" s="255">
        <v>0</v>
      </c>
      <c r="DA189" s="255">
        <v>0</v>
      </c>
      <c r="DB189" s="255">
        <v>0</v>
      </c>
      <c r="DC189" s="255">
        <v>0</v>
      </c>
      <c r="DD189" s="255">
        <v>0</v>
      </c>
      <c r="DE189" s="255"/>
      <c r="DF189" s="255">
        <v>0</v>
      </c>
      <c r="DG189" s="255">
        <f>SUM(TBBP[[#This Row],[Coluna287]:[Coluna298]])</f>
        <v>0</v>
      </c>
      <c r="DH189" s="255">
        <v>0</v>
      </c>
      <c r="DI189" s="255">
        <v>0</v>
      </c>
      <c r="DJ189" s="255">
        <v>0</v>
      </c>
      <c r="DK189" s="255">
        <v>0</v>
      </c>
      <c r="DL189" s="255">
        <v>0</v>
      </c>
      <c r="DM189" s="255">
        <v>0</v>
      </c>
      <c r="DP189" s="30">
        <f>IF(OR(MID(TBBP[[#This Row],[Coluna1]],1,1)="1",MID(TBBP[[#This Row],[Coluna1]],1,1)="2"),"-",SUMIFS(189:189,listaPeriodos,$DR$1,listaPeriodos,$DR$2))</f>
        <v>0</v>
      </c>
      <c r="DQ189" s="30"/>
      <c r="DR189" s="30">
        <f t="shared" si="179"/>
        <v>0</v>
      </c>
      <c r="DS189" s="30"/>
      <c r="DT189" s="30"/>
      <c r="DU189"/>
    </row>
    <row r="190" spans="1:125" x14ac:dyDescent="0.3">
      <c r="A190" s="7" t="s">
        <v>377</v>
      </c>
      <c r="B190" t="s">
        <v>511</v>
      </c>
      <c r="C190" s="4">
        <v>0</v>
      </c>
      <c r="D190" s="4">
        <v>0</v>
      </c>
      <c r="E190" s="4">
        <v>0</v>
      </c>
      <c r="F190" s="4">
        <v>0</v>
      </c>
      <c r="G190" s="4">
        <v>-272058.36</v>
      </c>
      <c r="H190" s="4">
        <v>-21021.439999999999</v>
      </c>
      <c r="I190" s="4">
        <v>-11431.06</v>
      </c>
      <c r="J190" s="4">
        <v>-13744.32</v>
      </c>
      <c r="K190" s="4">
        <v>-7093.17</v>
      </c>
      <c r="L190" s="4">
        <v>-14320.33</v>
      </c>
      <c r="M190" s="4">
        <v>-11399.74</v>
      </c>
      <c r="N190" s="4">
        <v>-4289.04</v>
      </c>
      <c r="O190" s="4">
        <v>-10123.24</v>
      </c>
      <c r="P190" s="4">
        <v>-8545.33</v>
      </c>
      <c r="Q190" s="4">
        <v>-20790.830000000002</v>
      </c>
      <c r="R190" s="4">
        <v>-10762.45</v>
      </c>
      <c r="S190" s="4">
        <v>-11227.74</v>
      </c>
      <c r="T190" s="4">
        <f>IF(OR(MID(TBBP[[#This Row],[Coluna1]],1,1)="1",MID(TBBP[[#This Row],[Coluna1]],1,1)="2"),TBBP[[#This Row],[Coluna19]],SUM(H190:S190))</f>
        <v>-144748.69</v>
      </c>
      <c r="U190" s="4">
        <v>-30833.95</v>
      </c>
      <c r="V190" s="4">
        <v>-20447.12</v>
      </c>
      <c r="W190" s="4">
        <v>-9738.92</v>
      </c>
      <c r="X190" s="4">
        <v>-23044.03</v>
      </c>
      <c r="Y190" s="4">
        <v>-16001.3</v>
      </c>
      <c r="Z190" s="4">
        <v>-17359.16</v>
      </c>
      <c r="AA190" s="4">
        <v>-11766.6</v>
      </c>
      <c r="AB190" s="4">
        <v>-13333.78</v>
      </c>
      <c r="AC190" s="4">
        <v>-18889.5</v>
      </c>
      <c r="AD190" s="4">
        <v>-19496.12</v>
      </c>
      <c r="AE190" s="4">
        <v>-14075.17</v>
      </c>
      <c r="AF190" s="4">
        <v>-13263.15</v>
      </c>
      <c r="AG190" s="4">
        <f>IF(OR(MID(TBBP[[#This Row],[Coluna1]],1,1)="1",MID(TBBP[[#This Row],[Coluna1]],1,1)="2"),TBBP[[#This Row],[Coluna32]],SUM(U190:AF190))</f>
        <v>-208248.80000000002</v>
      </c>
      <c r="AH190" s="4">
        <v>-9601.56</v>
      </c>
      <c r="AI190" s="4">
        <v>-14852.88</v>
      </c>
      <c r="AJ190" s="4">
        <v>-9748.8799999999992</v>
      </c>
      <c r="AK190" s="4">
        <v>-7827.58</v>
      </c>
      <c r="AL190" s="4">
        <v>-7259.7000000000007</v>
      </c>
      <c r="AM190" s="4">
        <v>-9084.27</v>
      </c>
      <c r="AN190" s="4">
        <v>-5104.1099999999997</v>
      </c>
      <c r="AO190" s="4">
        <v>-2094.0500000000002</v>
      </c>
      <c r="AP190" s="4">
        <v>-10573.37</v>
      </c>
      <c r="AQ190" s="4">
        <v>-7422.4</v>
      </c>
      <c r="AR190" s="4">
        <v>-7855.99</v>
      </c>
      <c r="AS190" s="4">
        <v>-8506.9500000000007</v>
      </c>
      <c r="AT190" s="4">
        <f>IF(OR(MID(TBBP[[#This Row],[Coluna1]],1,1)="1",MID(TBBP[[#This Row],[Coluna1]],1,1)="2"),TBBP[[#This Row],[Coluna45]],SUM(AH190:AS190))</f>
        <v>-99931.74</v>
      </c>
      <c r="AU190" s="4">
        <v>-5326.77</v>
      </c>
      <c r="AV190" s="4">
        <v>-4314.62</v>
      </c>
      <c r="AW190" s="4">
        <v>-11201.51</v>
      </c>
      <c r="AX190" s="4">
        <v>-2317.35</v>
      </c>
      <c r="AY190" s="4">
        <v>-1866.07</v>
      </c>
      <c r="AZ190" s="4">
        <v>-15211.06</v>
      </c>
      <c r="BA190" s="4">
        <v>-7117.71</v>
      </c>
      <c r="BB190" s="4">
        <v>-6558.53</v>
      </c>
      <c r="BC190" s="4">
        <v>-9739.31</v>
      </c>
      <c r="BD190" s="4">
        <v>-22767.26</v>
      </c>
      <c r="BE190" s="4">
        <v>-11638.03</v>
      </c>
      <c r="BF190" s="4">
        <v>-10752.48</v>
      </c>
      <c r="BG190" s="4">
        <f>IF(OR(MID(TBBP[[#This Row],[Coluna1]],1,1)="1",MID(TBBP[[#This Row],[Coluna1]],1,1)="2"),TBBP[[#This Row],[Coluna58]],SUM(AU190:BF190))</f>
        <v>-108810.69999999998</v>
      </c>
      <c r="BH190" s="4">
        <v>-18115.54</v>
      </c>
      <c r="BI190" s="4">
        <v>-10542.8</v>
      </c>
      <c r="BJ190" s="4">
        <v>-1776.75</v>
      </c>
      <c r="BK190" s="4">
        <v>0</v>
      </c>
      <c r="BL190" s="4">
        <v>-131.21</v>
      </c>
      <c r="BM190" s="4">
        <v>0</v>
      </c>
      <c r="BN190" s="4">
        <v>-698.92</v>
      </c>
      <c r="BO190" s="4">
        <v>0</v>
      </c>
      <c r="BP190" s="4">
        <v>0</v>
      </c>
      <c r="BQ190" s="4">
        <v>0</v>
      </c>
      <c r="BR190" s="4">
        <v>0</v>
      </c>
      <c r="BS190" s="4">
        <v>0</v>
      </c>
      <c r="BT190" s="4">
        <f>IF(OR(MID(TBBP[[#This Row],[Coluna1]],1,1)="1",MID(TBBP[[#This Row],[Coluna1]],1,1)="2"),TBBP[[#This Row],[Coluna127]],SUM(BH190:BS190))</f>
        <v>-31265.219999999998</v>
      </c>
      <c r="BU190" s="4">
        <v>-2370.0300000000002</v>
      </c>
      <c r="BV190" s="4">
        <v>0</v>
      </c>
      <c r="BW190" s="4">
        <v>0</v>
      </c>
      <c r="BX190" s="4">
        <v>0</v>
      </c>
      <c r="BY190" s="4">
        <v>0</v>
      </c>
      <c r="BZ190" s="4">
        <v>0</v>
      </c>
      <c r="CA190" s="4">
        <v>0</v>
      </c>
      <c r="CB190" s="4">
        <v>0</v>
      </c>
      <c r="CC190" s="4">
        <v>0</v>
      </c>
      <c r="CD190" s="4">
        <v>0</v>
      </c>
      <c r="CE190" s="4">
        <v>-28.12</v>
      </c>
      <c r="CF190" s="4">
        <v>0</v>
      </c>
      <c r="CG190" s="4">
        <f>IF(OR(MID(TBBP[[#This Row],[Coluna1]],1,1)="1",MID(TBBP[[#This Row],[Coluna1]],1,1)="2"),CF190,SUM(BU190:CF190))</f>
        <v>-2398.15</v>
      </c>
      <c r="CH190" s="4">
        <v>-273.89999999999998</v>
      </c>
      <c r="CI190" s="4">
        <v>-2454.5700000000002</v>
      </c>
      <c r="CJ190" s="4">
        <v>-342.6</v>
      </c>
      <c r="CK190" s="4">
        <v>0</v>
      </c>
      <c r="CL190" s="4">
        <v>0</v>
      </c>
      <c r="CM190" s="4">
        <v>0</v>
      </c>
      <c r="CN190" s="4">
        <v>0</v>
      </c>
      <c r="CO190" s="4">
        <v>-2829.76</v>
      </c>
      <c r="CP190" s="4">
        <v>0</v>
      </c>
      <c r="CQ190" s="4">
        <v>0</v>
      </c>
      <c r="CR190" s="4">
        <v>0</v>
      </c>
      <c r="CS190" s="4">
        <v>0</v>
      </c>
      <c r="CT190" s="4">
        <f>IF(OR(MID(TBBP[[#This Row],[Coluna1]],1,1)="1",MID(TBBP[[#This Row],[Coluna1]],1,1)="2"),CS190,SUM(CH190:CS190))</f>
        <v>-5900.83</v>
      </c>
      <c r="CU190" s="255">
        <v>-2787.68</v>
      </c>
      <c r="CV190" s="255">
        <v>0</v>
      </c>
      <c r="CW190" s="255">
        <v>0</v>
      </c>
      <c r="CX190" s="255">
        <v>0</v>
      </c>
      <c r="CY190" s="255">
        <v>-3706.73</v>
      </c>
      <c r="CZ190" s="255">
        <v>0</v>
      </c>
      <c r="DA190" s="255">
        <v>0</v>
      </c>
      <c r="DB190" s="255">
        <v>0</v>
      </c>
      <c r="DC190" s="255">
        <v>0</v>
      </c>
      <c r="DD190" s="255">
        <v>0</v>
      </c>
      <c r="DE190" s="255">
        <v>0</v>
      </c>
      <c r="DF190" s="255">
        <v>-4068.72</v>
      </c>
      <c r="DG190" s="255">
        <f>SUM(TBBP[[#This Row],[Coluna287]:[Coluna298]])</f>
        <v>-10563.13</v>
      </c>
      <c r="DH190" s="255">
        <v>0</v>
      </c>
      <c r="DI190" s="255">
        <v>0</v>
      </c>
      <c r="DJ190" s="255">
        <v>0</v>
      </c>
      <c r="DK190" s="255">
        <v>0</v>
      </c>
      <c r="DL190" s="255">
        <v>-2674.81</v>
      </c>
      <c r="DM190" s="255">
        <v>-123.24</v>
      </c>
      <c r="DO190" t="s">
        <v>377</v>
      </c>
      <c r="DP190" s="30">
        <f>IF(OR(MID(TBBP[[#This Row],[Coluna1]],1,1)="1",MID(TBBP[[#This Row],[Coluna1]],1,1)="2"),"-",SUMIFS(190:190,listaPeriodos,$DR$1,listaPeriodos,$DR$2))</f>
        <v>-2798.0499999999997</v>
      </c>
      <c r="DQ190" s="30">
        <v>-6411.64</v>
      </c>
      <c r="DR190" s="30">
        <f t="shared" si="179"/>
        <v>-38469.840000000004</v>
      </c>
      <c r="DS190" s="30"/>
      <c r="DT190" s="30"/>
      <c r="DU190"/>
    </row>
    <row r="191" spans="1:125" x14ac:dyDescent="0.3">
      <c r="A191" s="7" t="s">
        <v>378</v>
      </c>
      <c r="B191" t="s">
        <v>512</v>
      </c>
      <c r="C191" s="4">
        <v>0</v>
      </c>
      <c r="D191" s="4">
        <v>0</v>
      </c>
      <c r="E191" s="4">
        <v>0</v>
      </c>
      <c r="F191" s="4">
        <v>0</v>
      </c>
      <c r="G191" s="4">
        <v>-21175.13</v>
      </c>
      <c r="H191" s="4">
        <v>-3906.69</v>
      </c>
      <c r="I191" s="4">
        <v>-161.66</v>
      </c>
      <c r="J191" s="4">
        <v>-1542.92</v>
      </c>
      <c r="K191" s="4">
        <v>-3175.2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f>IF(OR(MID(TBBP[[#This Row],[Coluna1]],1,1)="1",MID(TBBP[[#This Row],[Coluna1]],1,1)="2"),TBBP[[#This Row],[Coluna19]],SUM(H191:S191))</f>
        <v>-8786.4700000000012</v>
      </c>
      <c r="U191" s="4">
        <v>-101.04</v>
      </c>
      <c r="V191" s="4">
        <v>-2976.63</v>
      </c>
      <c r="W191" s="4">
        <v>-1515.24</v>
      </c>
      <c r="X191" s="4">
        <v>-1818.35</v>
      </c>
      <c r="Y191" s="4">
        <v>-1515.24</v>
      </c>
      <c r="Z191" s="4">
        <v>-2121.34</v>
      </c>
      <c r="AA191" s="4">
        <v>-1585.8</v>
      </c>
      <c r="AB191" s="4">
        <v>-348.01</v>
      </c>
      <c r="AC191" s="4">
        <v>-3118.74</v>
      </c>
      <c r="AD191" s="4">
        <v>-5363.72</v>
      </c>
      <c r="AE191" s="4">
        <v>-1776.24</v>
      </c>
      <c r="AF191" s="4">
        <v>-595.28</v>
      </c>
      <c r="AG191" s="4">
        <f>IF(OR(MID(TBBP[[#This Row],[Coluna1]],1,1)="1",MID(TBBP[[#This Row],[Coluna1]],1,1)="2"),TBBP[[#This Row],[Coluna32]],SUM(U191:AF191))</f>
        <v>-22835.63</v>
      </c>
      <c r="AH191" s="4">
        <v>-4612.8599999999997</v>
      </c>
      <c r="AI191" s="4">
        <v>-2322.9</v>
      </c>
      <c r="AJ191" s="4">
        <v>-1286.17</v>
      </c>
      <c r="AK191" s="4">
        <v>-2079.4</v>
      </c>
      <c r="AL191" s="4">
        <v>-3008.83</v>
      </c>
      <c r="AM191" s="4">
        <v>0</v>
      </c>
      <c r="AN191" s="4">
        <v>0</v>
      </c>
      <c r="AO191" s="4">
        <v>0</v>
      </c>
      <c r="AP191" s="4">
        <v>-371.61</v>
      </c>
      <c r="AQ191" s="4">
        <v>-1297.4000000000001</v>
      </c>
      <c r="AR191" s="4">
        <v>-184.02</v>
      </c>
      <c r="AS191" s="4">
        <v>-93.67</v>
      </c>
      <c r="AT191" s="4">
        <f>IF(OR(MID(TBBP[[#This Row],[Coluna1]],1,1)="1",MID(TBBP[[#This Row],[Coluna1]],1,1)="2"),TBBP[[#This Row],[Coluna45]],SUM(AH191:AS191))</f>
        <v>-15256.86</v>
      </c>
      <c r="AU191" s="4">
        <v>0</v>
      </c>
      <c r="AV191" s="4">
        <v>0</v>
      </c>
      <c r="AW191" s="4">
        <v>-1575.24</v>
      </c>
      <c r="AX191" s="4">
        <v>0</v>
      </c>
      <c r="AY191" s="4">
        <v>0</v>
      </c>
      <c r="AZ191" s="4">
        <v>-1522.44</v>
      </c>
      <c r="BA191" s="4">
        <v>-1595.64</v>
      </c>
      <c r="BB191" s="4">
        <v>-1545.24</v>
      </c>
      <c r="BC191" s="4">
        <v>-1522.44</v>
      </c>
      <c r="BD191" s="4">
        <v>-4914.92</v>
      </c>
      <c r="BE191" s="4">
        <v>-3389.9</v>
      </c>
      <c r="BF191" s="4">
        <v>-3389.9</v>
      </c>
      <c r="BG191" s="4">
        <f>IF(OR(MID(TBBP[[#This Row],[Coluna1]],1,1)="1",MID(TBBP[[#This Row],[Coluna1]],1,1)="2"),TBBP[[#This Row],[Coluna58]],SUM(AU191:BF191))</f>
        <v>-19455.72</v>
      </c>
      <c r="BH191" s="4">
        <v>-13514.7</v>
      </c>
      <c r="BI191" s="4">
        <v>-3834.58</v>
      </c>
      <c r="BJ191" s="4">
        <v>-1734.23</v>
      </c>
      <c r="BK191" s="4">
        <v>0</v>
      </c>
      <c r="BL191" s="4">
        <v>-131.21</v>
      </c>
      <c r="BM191" s="4">
        <v>0</v>
      </c>
      <c r="BN191" s="4">
        <v>-698.92</v>
      </c>
      <c r="BO191" s="4">
        <v>0</v>
      </c>
      <c r="BP191" s="4">
        <v>0</v>
      </c>
      <c r="BQ191" s="4">
        <v>0</v>
      </c>
      <c r="BR191" s="4">
        <v>0</v>
      </c>
      <c r="BS191" s="4">
        <v>0</v>
      </c>
      <c r="BT191" s="4">
        <f>IF(OR(MID(TBBP[[#This Row],[Coluna1]],1,1)="1",MID(TBBP[[#This Row],[Coluna1]],1,1)="2"),TBBP[[#This Row],[Coluna127]],SUM(BH191:BS191))</f>
        <v>-19913.639999999996</v>
      </c>
      <c r="BU191" s="4">
        <v>0</v>
      </c>
      <c r="BV191" s="4">
        <v>0</v>
      </c>
      <c r="BW191" s="4">
        <v>0</v>
      </c>
      <c r="BX191" s="4">
        <v>0</v>
      </c>
      <c r="BY191" s="4">
        <v>0</v>
      </c>
      <c r="BZ191" s="4">
        <v>0</v>
      </c>
      <c r="CA191" s="4">
        <v>0</v>
      </c>
      <c r="CB191" s="4">
        <v>0</v>
      </c>
      <c r="CC191" s="4">
        <v>0</v>
      </c>
      <c r="CD191" s="4">
        <v>0</v>
      </c>
      <c r="CE191" s="4">
        <v>0</v>
      </c>
      <c r="CF191" s="4">
        <v>0</v>
      </c>
      <c r="CG191" s="4">
        <f>IF(OR(MID(TBBP[[#This Row],[Coluna1]],1,1)="1",MID(TBBP[[#This Row],[Coluna1]],1,1)="2"),CF191,SUM(BU191:CF191))</f>
        <v>0</v>
      </c>
      <c r="CH191" s="4">
        <v>0</v>
      </c>
      <c r="CI191" s="4">
        <v>0</v>
      </c>
      <c r="CJ191" s="4">
        <v>0</v>
      </c>
      <c r="CK191" s="4" t="s">
        <v>1134</v>
      </c>
      <c r="CL191" s="4">
        <v>0</v>
      </c>
      <c r="CM191" s="4" t="s">
        <v>1134</v>
      </c>
      <c r="CN191" s="4">
        <v>0</v>
      </c>
      <c r="CO191" s="4">
        <v>0</v>
      </c>
      <c r="CP191" s="4">
        <v>0</v>
      </c>
      <c r="CQ191" s="4" t="s">
        <v>1134</v>
      </c>
      <c r="CR191" s="4" t="s">
        <v>1134</v>
      </c>
      <c r="CS191" s="4" t="s">
        <v>1134</v>
      </c>
      <c r="CT191" s="4">
        <f>IF(OR(MID(TBBP[[#This Row],[Coluna1]],1,1)="1",MID(TBBP[[#This Row],[Coluna1]],1,1)="2"),CS191,SUM(CH191:CS191))</f>
        <v>0</v>
      </c>
      <c r="CU191" s="255">
        <v>0</v>
      </c>
      <c r="CV191" s="255">
        <v>0</v>
      </c>
      <c r="CW191" s="255">
        <v>0</v>
      </c>
      <c r="CX191" s="255">
        <v>0</v>
      </c>
      <c r="CY191" s="255">
        <v>-3706.73</v>
      </c>
      <c r="CZ191" s="255">
        <v>0</v>
      </c>
      <c r="DA191" s="255">
        <v>0</v>
      </c>
      <c r="DB191" s="255">
        <v>0</v>
      </c>
      <c r="DC191" s="255">
        <v>0</v>
      </c>
      <c r="DD191" s="255">
        <v>0</v>
      </c>
      <c r="DE191" s="255">
        <v>0</v>
      </c>
      <c r="DF191" s="255">
        <v>0</v>
      </c>
      <c r="DG191" s="255">
        <f>SUM(TBBP[[#This Row],[Coluna287]:[Coluna298]])</f>
        <v>-3706.73</v>
      </c>
      <c r="DH191" s="255">
        <v>0</v>
      </c>
      <c r="DI191" s="255">
        <v>0</v>
      </c>
      <c r="DJ191" s="255">
        <v>0</v>
      </c>
      <c r="DK191" s="255">
        <v>0</v>
      </c>
      <c r="DL191" s="255">
        <v>0</v>
      </c>
      <c r="DM191" s="255">
        <v>0</v>
      </c>
      <c r="DP191" s="30">
        <f>IF(OR(MID(TBBP[[#This Row],[Coluna1]],1,1)="1",MID(TBBP[[#This Row],[Coluna1]],1,1)="2"),"-",SUMIFS(191:191,listaPeriodos,$DR$1,listaPeriodos,$DR$2))</f>
        <v>0</v>
      </c>
      <c r="DQ191" s="30"/>
      <c r="DR191" s="30">
        <f t="shared" si="179"/>
        <v>0</v>
      </c>
      <c r="DS191" s="30"/>
      <c r="DT191" s="30"/>
      <c r="DU191"/>
    </row>
    <row r="192" spans="1:125" x14ac:dyDescent="0.3">
      <c r="A192" s="7" t="s">
        <v>379</v>
      </c>
      <c r="B192" t="s">
        <v>542</v>
      </c>
      <c r="C192" s="4">
        <v>0</v>
      </c>
      <c r="D192" s="4">
        <v>0</v>
      </c>
      <c r="E192" s="4">
        <v>0</v>
      </c>
      <c r="F192" s="4">
        <v>0</v>
      </c>
      <c r="G192" s="4">
        <v>-44165.03</v>
      </c>
      <c r="H192" s="4">
        <v>-3075.41</v>
      </c>
      <c r="I192" s="4">
        <v>-2184.2600000000002</v>
      </c>
      <c r="J192" s="4">
        <v>-2081.62</v>
      </c>
      <c r="K192" s="4">
        <v>-1830.38</v>
      </c>
      <c r="L192" s="4">
        <v>-3487.46</v>
      </c>
      <c r="M192" s="4">
        <v>-2298.69</v>
      </c>
      <c r="N192" s="4">
        <v>-2473.75</v>
      </c>
      <c r="O192" s="4">
        <v>-2679.15</v>
      </c>
      <c r="P192" s="4">
        <v>-3198.36</v>
      </c>
      <c r="Q192" s="4">
        <v>-2913.23</v>
      </c>
      <c r="R192" s="4">
        <v>-3482.24</v>
      </c>
      <c r="S192" s="4">
        <v>-1334.33</v>
      </c>
      <c r="T192" s="4">
        <f>IF(OR(MID(TBBP[[#This Row],[Coluna1]],1,1)="1",MID(TBBP[[#This Row],[Coluna1]],1,1)="2"),TBBP[[#This Row],[Coluna19]],SUM(H192:S192))</f>
        <v>-31038.880000000005</v>
      </c>
      <c r="U192" s="4">
        <v>-4030.29</v>
      </c>
      <c r="V192" s="4">
        <v>-3936.44</v>
      </c>
      <c r="W192" s="4">
        <v>-3123.62</v>
      </c>
      <c r="X192" s="4">
        <v>-3190.43</v>
      </c>
      <c r="Y192" s="4">
        <v>-2997.2</v>
      </c>
      <c r="Z192" s="4">
        <v>-3882.74</v>
      </c>
      <c r="AA192" s="4">
        <v>-4288.03</v>
      </c>
      <c r="AB192" s="4">
        <v>-1906.6</v>
      </c>
      <c r="AC192" s="4">
        <v>-4732.05</v>
      </c>
      <c r="AD192" s="4">
        <v>-4136.13</v>
      </c>
      <c r="AE192" s="4">
        <v>-2590.25</v>
      </c>
      <c r="AF192" s="4">
        <v>-1346.42</v>
      </c>
      <c r="AG192" s="4">
        <f>IF(OR(MID(TBBP[[#This Row],[Coluna1]],1,1)="1",MID(TBBP[[#This Row],[Coluna1]],1,1)="2"),TBBP[[#This Row],[Coluna32]],SUM(U192:AF192))</f>
        <v>-40160.199999999997</v>
      </c>
      <c r="AH192" s="4">
        <v>-1059.45</v>
      </c>
      <c r="AI192" s="4">
        <v>-2629.08</v>
      </c>
      <c r="AJ192" s="4">
        <v>-2419.5500000000002</v>
      </c>
      <c r="AK192" s="4">
        <v>-2199.79</v>
      </c>
      <c r="AL192" s="4">
        <v>-1655.97</v>
      </c>
      <c r="AM192" s="4">
        <v>-2216.9</v>
      </c>
      <c r="AN192" s="4">
        <v>-2305.31</v>
      </c>
      <c r="AO192" s="4">
        <v>-1879.31</v>
      </c>
      <c r="AP192" s="4">
        <v>-2218.13</v>
      </c>
      <c r="AQ192" s="4">
        <v>-3098.62</v>
      </c>
      <c r="AR192" s="4">
        <v>-3320.51</v>
      </c>
      <c r="AS192" s="4">
        <v>-3786.69</v>
      </c>
      <c r="AT192" s="4">
        <f>IF(OR(MID(TBBP[[#This Row],[Coluna1]],1,1)="1",MID(TBBP[[#This Row],[Coluna1]],1,1)="2"),TBBP[[#This Row],[Coluna45]],SUM(AH192:AS192))</f>
        <v>-28789.309999999994</v>
      </c>
      <c r="AU192" s="4">
        <v>-2520.56</v>
      </c>
      <c r="AV192" s="4">
        <v>-2251.56</v>
      </c>
      <c r="AW192" s="4">
        <v>-3555.28</v>
      </c>
      <c r="AX192" s="4">
        <v>-2280.37</v>
      </c>
      <c r="AY192" s="4">
        <v>-1829.09</v>
      </c>
      <c r="AZ192" s="4">
        <v>-4756.45</v>
      </c>
      <c r="BA192" s="4">
        <v>-2211.69</v>
      </c>
      <c r="BB192" s="4">
        <v>-4002.43</v>
      </c>
      <c r="BC192" s="4">
        <v>-4615.01</v>
      </c>
      <c r="BD192" s="4">
        <v>-4040.65</v>
      </c>
      <c r="BE192" s="4">
        <v>-4269.75</v>
      </c>
      <c r="BF192" s="4">
        <v>-3968.92</v>
      </c>
      <c r="BG192" s="4">
        <f>IF(OR(MID(TBBP[[#This Row],[Coluna1]],1,1)="1",MID(TBBP[[#This Row],[Coluna1]],1,1)="2"),TBBP[[#This Row],[Coluna58]],SUM(AU192:BF192))</f>
        <v>-40301.760000000002</v>
      </c>
      <c r="BH192" s="4">
        <v>-1705.98</v>
      </c>
      <c r="BI192" s="4">
        <v>-1546.22</v>
      </c>
      <c r="BJ192" s="4">
        <v>0</v>
      </c>
      <c r="BK192" s="4">
        <v>0</v>
      </c>
      <c r="BL192" s="4">
        <v>0</v>
      </c>
      <c r="BM192" s="4">
        <v>0</v>
      </c>
      <c r="BN192" s="4">
        <v>0</v>
      </c>
      <c r="BO192" s="4">
        <v>0</v>
      </c>
      <c r="BP192" s="4">
        <v>0</v>
      </c>
      <c r="BQ192" s="4">
        <v>0</v>
      </c>
      <c r="BR192" s="4">
        <v>0</v>
      </c>
      <c r="BS192" s="4">
        <v>0</v>
      </c>
      <c r="BT192" s="4">
        <f>IF(OR(MID(TBBP[[#This Row],[Coluna1]],1,1)="1",MID(TBBP[[#This Row],[Coluna1]],1,1)="2"),TBBP[[#This Row],[Coluna127]],SUM(BH192:BS192))</f>
        <v>-3252.2</v>
      </c>
      <c r="BU192" s="4">
        <v>0</v>
      </c>
      <c r="BV192" s="4">
        <v>0</v>
      </c>
      <c r="BW192" s="4">
        <v>0</v>
      </c>
      <c r="BX192" s="4">
        <v>0</v>
      </c>
      <c r="BY192" s="4">
        <v>0</v>
      </c>
      <c r="BZ192" s="4">
        <v>0</v>
      </c>
      <c r="CA192" s="4">
        <v>0</v>
      </c>
      <c r="CB192" s="4">
        <v>0</v>
      </c>
      <c r="CC192" s="4">
        <v>0</v>
      </c>
      <c r="CD192" s="4">
        <v>0</v>
      </c>
      <c r="CE192" s="4">
        <v>-28.12</v>
      </c>
      <c r="CF192" s="4">
        <v>0</v>
      </c>
      <c r="CG192" s="4">
        <f>IF(OR(MID(TBBP[[#This Row],[Coluna1]],1,1)="1",MID(TBBP[[#This Row],[Coluna1]],1,1)="2"),CF192,SUM(BU192:CF192))</f>
        <v>-28.12</v>
      </c>
      <c r="CH192" s="4">
        <v>0</v>
      </c>
      <c r="CI192" s="4">
        <v>0</v>
      </c>
      <c r="CJ192" s="4">
        <v>0</v>
      </c>
      <c r="CK192" s="4" t="s">
        <v>1134</v>
      </c>
      <c r="CL192" s="4">
        <v>0</v>
      </c>
      <c r="CM192" s="4" t="s">
        <v>1134</v>
      </c>
      <c r="CN192" s="4">
        <v>0</v>
      </c>
      <c r="CO192" s="4">
        <v>0</v>
      </c>
      <c r="CP192" s="4">
        <v>0</v>
      </c>
      <c r="CQ192" s="4" t="s">
        <v>1134</v>
      </c>
      <c r="CR192" s="4" t="s">
        <v>1134</v>
      </c>
      <c r="CS192" s="4" t="s">
        <v>1134</v>
      </c>
      <c r="CT192" s="4">
        <f>IF(OR(MID(TBBP[[#This Row],[Coluna1]],1,1)="1",MID(TBBP[[#This Row],[Coluna1]],1,1)="2"),CS192,SUM(CH192:CS192))</f>
        <v>0</v>
      </c>
      <c r="CU192" s="255">
        <v>-296.01</v>
      </c>
      <c r="CV192" s="255">
        <v>0</v>
      </c>
      <c r="CW192" s="255">
        <v>0</v>
      </c>
      <c r="CX192" s="255">
        <v>0</v>
      </c>
      <c r="CY192" s="255">
        <v>0</v>
      </c>
      <c r="CZ192" s="255">
        <v>0</v>
      </c>
      <c r="DA192" s="255">
        <v>0</v>
      </c>
      <c r="DB192" s="255">
        <v>0</v>
      </c>
      <c r="DC192" s="255">
        <v>0</v>
      </c>
      <c r="DD192" s="255">
        <v>0</v>
      </c>
      <c r="DE192" s="255">
        <v>0</v>
      </c>
      <c r="DF192" s="255">
        <v>0</v>
      </c>
      <c r="DG192" s="255">
        <f>SUM(TBBP[[#This Row],[Coluna287]:[Coluna298]])</f>
        <v>-296.01</v>
      </c>
      <c r="DH192" s="255">
        <v>0</v>
      </c>
      <c r="DI192" s="255">
        <v>0</v>
      </c>
      <c r="DJ192" s="255">
        <v>0</v>
      </c>
      <c r="DK192" s="255">
        <v>0</v>
      </c>
      <c r="DL192" s="255">
        <v>-125.04</v>
      </c>
      <c r="DM192" s="255">
        <v>-123.24</v>
      </c>
      <c r="DP192" s="30">
        <f>IF(OR(MID(TBBP[[#This Row],[Coluna1]],1,1)="1",MID(TBBP[[#This Row],[Coluna1]],1,1)="2"),"-",SUMIFS(192:192,listaPeriodos,$DR$1,listaPeriodos,$DR$2))</f>
        <v>-248.28</v>
      </c>
      <c r="DQ192" s="30"/>
      <c r="DR192" s="30">
        <f t="shared" si="179"/>
        <v>0</v>
      </c>
      <c r="DS192" s="30"/>
      <c r="DT192" s="30"/>
      <c r="DU192"/>
    </row>
    <row r="193" spans="1:125" x14ac:dyDescent="0.3">
      <c r="A193" s="7" t="s">
        <v>380</v>
      </c>
      <c r="B193" t="s">
        <v>514</v>
      </c>
      <c r="C193" s="4">
        <v>0</v>
      </c>
      <c r="D193" s="4">
        <v>0</v>
      </c>
      <c r="E193" s="4">
        <v>0</v>
      </c>
      <c r="F193" s="4">
        <v>0</v>
      </c>
      <c r="G193" s="4">
        <v>-192721.62</v>
      </c>
      <c r="H193" s="4">
        <v>-13576.54</v>
      </c>
      <c r="I193" s="4">
        <v>-8329.7199999999993</v>
      </c>
      <c r="J193" s="4">
        <v>-7782.36</v>
      </c>
      <c r="K193" s="4">
        <v>-1591.88</v>
      </c>
      <c r="L193" s="4">
        <v>-9723.42</v>
      </c>
      <c r="M193" s="4">
        <v>-9101.0499999999993</v>
      </c>
      <c r="N193" s="4">
        <v>-1284.3</v>
      </c>
      <c r="O193" s="4">
        <v>-6614.88</v>
      </c>
      <c r="P193" s="4">
        <v>-5117.55</v>
      </c>
      <c r="Q193" s="4">
        <v>-16980.13</v>
      </c>
      <c r="R193" s="4">
        <v>-7280.21</v>
      </c>
      <c r="S193" s="4">
        <v>-9066.0400000000009</v>
      </c>
      <c r="T193" s="4">
        <f>IF(OR(MID(TBBP[[#This Row],[Coluna1]],1,1)="1",MID(TBBP[[#This Row],[Coluna1]],1,1)="2"),TBBP[[#This Row],[Coluna19]],SUM(H193:S193))</f>
        <v>-96448.080000000016</v>
      </c>
      <c r="U193" s="4">
        <v>-23151.7</v>
      </c>
      <c r="V193" s="4">
        <v>-12651.18</v>
      </c>
      <c r="W193" s="4">
        <v>-3966.73</v>
      </c>
      <c r="X193" s="4">
        <v>-15677.02</v>
      </c>
      <c r="Y193" s="4">
        <v>-10610.39</v>
      </c>
      <c r="Z193" s="4">
        <v>-9598.5300000000007</v>
      </c>
      <c r="AA193" s="4">
        <v>-5510.7</v>
      </c>
      <c r="AB193" s="4">
        <v>-11018.19</v>
      </c>
      <c r="AC193" s="4">
        <v>-8535.51</v>
      </c>
      <c r="AD193" s="4">
        <v>-8074.87</v>
      </c>
      <c r="AE193" s="4">
        <v>-4148.25</v>
      </c>
      <c r="AF193" s="4">
        <v>-7071.06</v>
      </c>
      <c r="AG193" s="4">
        <f>IF(OR(MID(TBBP[[#This Row],[Coluna1]],1,1)="1",MID(TBBP[[#This Row],[Coluna1]],1,1)="2"),TBBP[[#This Row],[Coluna32]],SUM(U193:AF193))</f>
        <v>-120014.12999999999</v>
      </c>
      <c r="AH193" s="4">
        <v>-3018.18</v>
      </c>
      <c r="AI193" s="4">
        <v>-7477.23</v>
      </c>
      <c r="AJ193" s="4">
        <v>-2450.11</v>
      </c>
      <c r="AK193" s="4">
        <v>-3548.39</v>
      </c>
      <c r="AL193" s="4">
        <v>-2395.6600000000003</v>
      </c>
      <c r="AM193" s="4">
        <v>-6458.13</v>
      </c>
      <c r="AN193" s="4">
        <v>-2363.7600000000002</v>
      </c>
      <c r="AO193" s="4">
        <v>0</v>
      </c>
      <c r="AP193" s="4">
        <v>-6406.01</v>
      </c>
      <c r="AQ193" s="4">
        <v>-1721.88</v>
      </c>
      <c r="AR193" s="4">
        <v>-2124.3000000000002</v>
      </c>
      <c r="AS193" s="4">
        <v>-4544.6099999999997</v>
      </c>
      <c r="AT193" s="4">
        <f>IF(OR(MID(TBBP[[#This Row],[Coluna1]],1,1)="1",MID(TBBP[[#This Row],[Coluna1]],1,1)="2"),TBBP[[#This Row],[Coluna45]],SUM(AH193:AS193))</f>
        <v>-42508.26</v>
      </c>
      <c r="AU193" s="4">
        <v>-2518.5300000000002</v>
      </c>
      <c r="AV193" s="4">
        <v>-2026.08</v>
      </c>
      <c r="AW193" s="4">
        <v>-5000.46</v>
      </c>
      <c r="AX193" s="4">
        <v>0</v>
      </c>
      <c r="AY193" s="4">
        <v>0</v>
      </c>
      <c r="AZ193" s="4">
        <v>-8880.99</v>
      </c>
      <c r="BA193" s="4">
        <v>-3310.38</v>
      </c>
      <c r="BB193" s="4">
        <v>-936.9</v>
      </c>
      <c r="BC193" s="4">
        <v>-3601.86</v>
      </c>
      <c r="BD193" s="4">
        <v>-10871.25</v>
      </c>
      <c r="BE193" s="4">
        <v>-3893.34</v>
      </c>
      <c r="BF193" s="4">
        <v>-3393.66</v>
      </c>
      <c r="BG193" s="4">
        <f>IF(OR(MID(TBBP[[#This Row],[Coluna1]],1,1)="1",MID(TBBP[[#This Row],[Coluna1]],1,1)="2"),TBBP[[#This Row],[Coluna58]],SUM(AU193:BF193))</f>
        <v>-44433.45</v>
      </c>
      <c r="BH193" s="4">
        <v>-2852.34</v>
      </c>
      <c r="BI193" s="4">
        <v>-5119.4799999999996</v>
      </c>
      <c r="BJ193" s="4">
        <v>0</v>
      </c>
      <c r="BK193" s="4">
        <v>0</v>
      </c>
      <c r="BL193" s="4">
        <v>0</v>
      </c>
      <c r="BM193" s="4">
        <v>0</v>
      </c>
      <c r="BN193" s="4">
        <v>0</v>
      </c>
      <c r="BO193" s="4">
        <v>0</v>
      </c>
      <c r="BP193" s="4">
        <v>0</v>
      </c>
      <c r="BQ193" s="4">
        <v>0</v>
      </c>
      <c r="BR193" s="4">
        <v>0</v>
      </c>
      <c r="BS193" s="4">
        <v>0</v>
      </c>
      <c r="BT193" s="4">
        <f>IF(OR(MID(TBBP[[#This Row],[Coluna1]],1,1)="1",MID(TBBP[[#This Row],[Coluna1]],1,1)="2"),TBBP[[#This Row],[Coluna127]],SUM(BH193:BS193))</f>
        <v>-7971.82</v>
      </c>
      <c r="BU193" s="4">
        <v>0</v>
      </c>
      <c r="BV193" s="4">
        <v>0</v>
      </c>
      <c r="BW193" s="4">
        <v>0</v>
      </c>
      <c r="BX193" s="4">
        <v>0</v>
      </c>
      <c r="BY193" s="4">
        <v>0</v>
      </c>
      <c r="BZ193" s="4">
        <v>0</v>
      </c>
      <c r="CA193" s="4">
        <v>0</v>
      </c>
      <c r="CB193" s="4">
        <v>0</v>
      </c>
      <c r="CC193" s="4">
        <v>0</v>
      </c>
      <c r="CD193" s="4">
        <v>0</v>
      </c>
      <c r="CE193" s="4">
        <v>0</v>
      </c>
      <c r="CF193" s="4">
        <v>0</v>
      </c>
      <c r="CG193" s="4">
        <f>IF(OR(MID(TBBP[[#This Row],[Coluna1]],1,1)="1",MID(TBBP[[#This Row],[Coluna1]],1,1)="2"),CF193,SUM(BU193:CF193))</f>
        <v>0</v>
      </c>
      <c r="CH193" s="4">
        <v>-273.89999999999998</v>
      </c>
      <c r="CI193" s="4">
        <v>-2454.5700000000002</v>
      </c>
      <c r="CJ193" s="4">
        <v>0</v>
      </c>
      <c r="CK193" s="4">
        <v>0</v>
      </c>
      <c r="CL193" s="4">
        <v>0</v>
      </c>
      <c r="CM193" s="4">
        <v>0</v>
      </c>
      <c r="CN193" s="4">
        <v>0</v>
      </c>
      <c r="CO193" s="4">
        <v>0</v>
      </c>
      <c r="CP193" s="4">
        <v>0</v>
      </c>
      <c r="CQ193" s="4">
        <v>0</v>
      </c>
      <c r="CR193" s="4">
        <v>0</v>
      </c>
      <c r="CS193" s="4">
        <v>0</v>
      </c>
      <c r="CT193" s="4">
        <f>IF(OR(MID(TBBP[[#This Row],[Coluna1]],1,1)="1",MID(TBBP[[#This Row],[Coluna1]],1,1)="2"),CS193,SUM(CH193:CS193))</f>
        <v>-2728.4700000000003</v>
      </c>
      <c r="CU193" s="255">
        <v>-2491.67</v>
      </c>
      <c r="CV193" s="255">
        <v>0</v>
      </c>
      <c r="CW193" s="255">
        <v>0</v>
      </c>
      <c r="CX193" s="255">
        <v>0</v>
      </c>
      <c r="CY193" s="255">
        <v>0</v>
      </c>
      <c r="CZ193" s="255">
        <v>0</v>
      </c>
      <c r="DA193" s="255">
        <v>0</v>
      </c>
      <c r="DB193" s="255">
        <v>0</v>
      </c>
      <c r="DC193" s="255">
        <v>0</v>
      </c>
      <c r="DD193" s="255">
        <v>0</v>
      </c>
      <c r="DE193" s="255">
        <v>0</v>
      </c>
      <c r="DF193" s="255">
        <v>0</v>
      </c>
      <c r="DG193" s="255">
        <f>SUM(TBBP[[#This Row],[Coluna287]:[Coluna298]])</f>
        <v>-2491.67</v>
      </c>
      <c r="DH193" s="255">
        <v>0</v>
      </c>
      <c r="DI193" s="255">
        <v>0</v>
      </c>
      <c r="DJ193" s="255">
        <v>0</v>
      </c>
      <c r="DK193" s="255">
        <v>0</v>
      </c>
      <c r="DL193" s="255">
        <v>0</v>
      </c>
      <c r="DM193" s="255">
        <v>0</v>
      </c>
      <c r="DP193" s="30">
        <f>IF(OR(MID(TBBP[[#This Row],[Coluna1]],1,1)="1",MID(TBBP[[#This Row],[Coluna1]],1,1)="2"),"-",SUMIFS(193:193,listaPeriodos,$DR$1,listaPeriodos,$DR$2))</f>
        <v>0</v>
      </c>
      <c r="DQ193" s="30"/>
      <c r="DR193" s="30">
        <f t="shared" si="179"/>
        <v>0</v>
      </c>
      <c r="DS193" s="30"/>
      <c r="DT193" s="30"/>
      <c r="DU193"/>
    </row>
    <row r="194" spans="1:125" x14ac:dyDescent="0.3">
      <c r="A194" s="7" t="s">
        <v>381</v>
      </c>
      <c r="B194" t="s">
        <v>515</v>
      </c>
      <c r="C194" s="4">
        <v>0</v>
      </c>
      <c r="D194" s="4">
        <v>0</v>
      </c>
      <c r="E194" s="4">
        <v>0</v>
      </c>
      <c r="F194" s="4">
        <v>0</v>
      </c>
      <c r="G194" s="4">
        <v>-9011.3799999999992</v>
      </c>
      <c r="H194" s="4">
        <v>0</v>
      </c>
      <c r="I194" s="4">
        <v>0</v>
      </c>
      <c r="J194" s="4">
        <v>-2337.42</v>
      </c>
      <c r="K194" s="4">
        <v>0</v>
      </c>
      <c r="L194" s="4">
        <v>-188.53</v>
      </c>
      <c r="M194" s="4">
        <v>0</v>
      </c>
      <c r="N194" s="4">
        <v>-204.78</v>
      </c>
      <c r="O194" s="4">
        <v>0</v>
      </c>
      <c r="P194" s="4">
        <v>0</v>
      </c>
      <c r="Q194" s="4">
        <v>-897.47</v>
      </c>
      <c r="R194" s="4">
        <v>0</v>
      </c>
      <c r="S194" s="4">
        <v>0</v>
      </c>
      <c r="T194" s="4">
        <f>IF(OR(MID(TBBP[[#This Row],[Coluna1]],1,1)="1",MID(TBBP[[#This Row],[Coluna1]],1,1)="2"),TBBP[[#This Row],[Coluna19]],SUM(H194:S194))</f>
        <v>-3628.2000000000007</v>
      </c>
      <c r="U194" s="4">
        <v>-2814.85</v>
      </c>
      <c r="V194" s="4">
        <v>0</v>
      </c>
      <c r="W194" s="4">
        <v>-322.86</v>
      </c>
      <c r="X194" s="4">
        <v>-1510.46</v>
      </c>
      <c r="Y194" s="4">
        <v>0</v>
      </c>
      <c r="Z194" s="4">
        <v>-845.98</v>
      </c>
      <c r="AA194" s="4">
        <v>0</v>
      </c>
      <c r="AB194" s="4">
        <v>0</v>
      </c>
      <c r="AC194" s="4">
        <v>-2471.1999999999998</v>
      </c>
      <c r="AD194" s="4">
        <v>-1904.48</v>
      </c>
      <c r="AE194" s="4">
        <v>-5524.21</v>
      </c>
      <c r="AF194" s="4">
        <v>-3457.15</v>
      </c>
      <c r="AG194" s="4">
        <f>IF(OR(MID(TBBP[[#This Row],[Coluna1]],1,1)="1",MID(TBBP[[#This Row],[Coluna1]],1,1)="2"),TBBP[[#This Row],[Coluna32]],SUM(U194:AF194))</f>
        <v>-18851.190000000002</v>
      </c>
      <c r="AH194" s="4">
        <v>-571.23</v>
      </c>
      <c r="AI194" s="4">
        <v>-2355.63</v>
      </c>
      <c r="AJ194" s="4">
        <v>-3077.77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-1304.5</v>
      </c>
      <c r="AR194" s="4">
        <v>-2002.58</v>
      </c>
      <c r="AS194" s="4">
        <v>0</v>
      </c>
      <c r="AT194" s="4">
        <f>IF(OR(MID(TBBP[[#This Row],[Coluna1]],1,1)="1",MID(TBBP[[#This Row],[Coluna1]],1,1)="2"),TBBP[[#This Row],[Coluna45]],SUM(AH194:AS194))</f>
        <v>-9311.7099999999991</v>
      </c>
      <c r="AU194" s="4">
        <v>0</v>
      </c>
      <c r="AV194" s="4">
        <v>0</v>
      </c>
      <c r="AW194" s="4">
        <v>-1033.55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f>IF(OR(MID(TBBP[[#This Row],[Coluna1]],1,1)="1",MID(TBBP[[#This Row],[Coluna1]],1,1)="2"),TBBP[[#This Row],[Coluna58]],SUM(AU194:BF194))</f>
        <v>-1033.55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f>IF(OR(MID(TBBP[[#This Row],[Coluna1]],1,1)="1",MID(TBBP[[#This Row],[Coluna1]],1,1)="2"),TBBP[[#This Row],[Coluna127]],SUM(BH194:BS194))</f>
        <v>0</v>
      </c>
      <c r="BU194" s="4">
        <v>-2370.0300000000002</v>
      </c>
      <c r="BV194" s="4">
        <v>0</v>
      </c>
      <c r="BW194" s="4">
        <v>0</v>
      </c>
      <c r="BX194" s="4">
        <v>0</v>
      </c>
      <c r="BY194" s="4">
        <v>0</v>
      </c>
      <c r="BZ194" s="4">
        <v>0</v>
      </c>
      <c r="CA194" s="4">
        <v>0</v>
      </c>
      <c r="CB194" s="4">
        <v>0</v>
      </c>
      <c r="CC194" s="4">
        <v>0</v>
      </c>
      <c r="CD194" s="4">
        <v>0</v>
      </c>
      <c r="CE194" s="4">
        <v>0</v>
      </c>
      <c r="CF194" s="4">
        <v>0</v>
      </c>
      <c r="CG194" s="4">
        <f>IF(OR(MID(TBBP[[#This Row],[Coluna1]],1,1)="1",MID(TBBP[[#This Row],[Coluna1]],1,1)="2"),CF194,SUM(BU194:CF194))</f>
        <v>-2370.0300000000002</v>
      </c>
      <c r="CH194" s="4">
        <v>0</v>
      </c>
      <c r="CI194" s="4">
        <v>0</v>
      </c>
      <c r="CJ194" s="4">
        <v>-342.6</v>
      </c>
      <c r="CK194" s="4">
        <v>0</v>
      </c>
      <c r="CL194" s="4">
        <v>0</v>
      </c>
      <c r="CM194" s="4">
        <v>0</v>
      </c>
      <c r="CN194" s="4">
        <v>0</v>
      </c>
      <c r="CO194" s="4">
        <v>-2829.76</v>
      </c>
      <c r="CP194" s="4">
        <v>0</v>
      </c>
      <c r="CQ194" s="4">
        <v>0</v>
      </c>
      <c r="CR194" s="4">
        <v>0</v>
      </c>
      <c r="CS194" s="4">
        <v>0</v>
      </c>
      <c r="CT194" s="4">
        <f>IF(OR(MID(TBBP[[#This Row],[Coluna1]],1,1)="1",MID(TBBP[[#This Row],[Coluna1]],1,1)="2"),CS194,SUM(CH194:CS194))</f>
        <v>-3172.36</v>
      </c>
      <c r="CU194" s="255">
        <v>0</v>
      </c>
      <c r="CV194" s="255">
        <v>0</v>
      </c>
      <c r="CW194" s="255">
        <v>0</v>
      </c>
      <c r="CX194" s="255">
        <v>0</v>
      </c>
      <c r="CY194" s="255">
        <v>0</v>
      </c>
      <c r="CZ194" s="255">
        <v>0</v>
      </c>
      <c r="DA194" s="255">
        <v>0</v>
      </c>
      <c r="DB194" s="255">
        <v>0</v>
      </c>
      <c r="DC194" s="255">
        <v>0</v>
      </c>
      <c r="DD194" s="255">
        <v>0</v>
      </c>
      <c r="DE194" s="255"/>
      <c r="DF194" s="255">
        <v>-4068.72</v>
      </c>
      <c r="DG194" s="255">
        <f>SUM(TBBP[[#This Row],[Coluna287]:[Coluna298]])</f>
        <v>-4068.72</v>
      </c>
      <c r="DH194" s="255">
        <v>0</v>
      </c>
      <c r="DI194" s="255">
        <v>0</v>
      </c>
      <c r="DJ194" s="255">
        <v>0</v>
      </c>
      <c r="DK194" s="255">
        <v>0</v>
      </c>
      <c r="DL194" s="255">
        <v>-2549.77</v>
      </c>
      <c r="DM194" s="255">
        <v>0</v>
      </c>
      <c r="DP194" s="30">
        <f>IF(OR(MID(TBBP[[#This Row],[Coluna1]],1,1)="1",MID(TBBP[[#This Row],[Coluna1]],1,1)="2"),"-",SUMIFS(194:194,listaPeriodos,$DR$1,listaPeriodos,$DR$2))</f>
        <v>-2549.77</v>
      </c>
      <c r="DQ194" s="30"/>
      <c r="DR194" s="30">
        <f t="shared" si="179"/>
        <v>0</v>
      </c>
      <c r="DS194" s="30"/>
      <c r="DT194" s="30"/>
      <c r="DU194"/>
    </row>
    <row r="195" spans="1:125" x14ac:dyDescent="0.3">
      <c r="A195" s="7" t="s">
        <v>382</v>
      </c>
      <c r="B195" t="s">
        <v>516</v>
      </c>
      <c r="C195" s="4">
        <v>0</v>
      </c>
      <c r="D195" s="4">
        <v>0</v>
      </c>
      <c r="E195" s="4">
        <v>0</v>
      </c>
      <c r="F195" s="4">
        <v>0</v>
      </c>
      <c r="G195" s="4">
        <v>-4985.2</v>
      </c>
      <c r="H195" s="4">
        <v>-462.8</v>
      </c>
      <c r="I195" s="4">
        <v>-755.42</v>
      </c>
      <c r="J195" s="4">
        <v>0</v>
      </c>
      <c r="K195" s="4">
        <v>-495.71</v>
      </c>
      <c r="L195" s="4">
        <v>-920.92</v>
      </c>
      <c r="M195" s="4">
        <v>0</v>
      </c>
      <c r="N195" s="4">
        <v>-326.20999999999998</v>
      </c>
      <c r="O195" s="4">
        <v>-829.21</v>
      </c>
      <c r="P195" s="4">
        <v>-229.42</v>
      </c>
      <c r="Q195" s="4">
        <v>0</v>
      </c>
      <c r="R195" s="4">
        <v>0</v>
      </c>
      <c r="S195" s="4">
        <v>-827.37</v>
      </c>
      <c r="T195" s="4">
        <f>IF(OR(MID(TBBP[[#This Row],[Coluna1]],1,1)="1",MID(TBBP[[#This Row],[Coluna1]],1,1)="2"),TBBP[[#This Row],[Coluna19]],SUM(H195:S195))</f>
        <v>-4847.0600000000004</v>
      </c>
      <c r="U195" s="4">
        <v>-736.07</v>
      </c>
      <c r="V195" s="4">
        <v>-882.87</v>
      </c>
      <c r="W195" s="4">
        <v>-810.47</v>
      </c>
      <c r="X195" s="4">
        <v>-847.77</v>
      </c>
      <c r="Y195" s="4">
        <v>-878.47</v>
      </c>
      <c r="Z195" s="4">
        <v>-910.57</v>
      </c>
      <c r="AA195" s="4">
        <v>-382.07</v>
      </c>
      <c r="AB195" s="4">
        <v>-60.98</v>
      </c>
      <c r="AC195" s="4">
        <v>-32</v>
      </c>
      <c r="AD195" s="4">
        <v>-16.920000000000002</v>
      </c>
      <c r="AE195" s="4">
        <v>-36.22</v>
      </c>
      <c r="AF195" s="4">
        <v>-793.24</v>
      </c>
      <c r="AG195" s="4">
        <f>IF(OR(MID(TBBP[[#This Row],[Coluna1]],1,1)="1",MID(TBBP[[#This Row],[Coluna1]],1,1)="2"),TBBP[[#This Row],[Coluna32]],SUM(U195:AF195))</f>
        <v>-6387.6499999999987</v>
      </c>
      <c r="AH195" s="4">
        <v>-339.84</v>
      </c>
      <c r="AI195" s="4">
        <v>-68.040000000000006</v>
      </c>
      <c r="AJ195" s="4">
        <v>-515.28</v>
      </c>
      <c r="AK195" s="4">
        <v>0</v>
      </c>
      <c r="AL195" s="4">
        <v>-199.24</v>
      </c>
      <c r="AM195" s="4">
        <v>-409.24</v>
      </c>
      <c r="AN195" s="4">
        <v>-435.04</v>
      </c>
      <c r="AO195" s="4">
        <v>-214.74</v>
      </c>
      <c r="AP195" s="4">
        <v>-1577.62</v>
      </c>
      <c r="AQ195" s="4">
        <v>0</v>
      </c>
      <c r="AR195" s="4">
        <v>-224.58</v>
      </c>
      <c r="AS195" s="4">
        <v>-81.98</v>
      </c>
      <c r="AT195" s="4">
        <f>IF(OR(MID(TBBP[[#This Row],[Coluna1]],1,1)="1",MID(TBBP[[#This Row],[Coluna1]],1,1)="2"),TBBP[[#This Row],[Coluna45]],SUM(AH195:AS195))</f>
        <v>-4065.6</v>
      </c>
      <c r="AU195" s="4">
        <v>-287.68</v>
      </c>
      <c r="AV195" s="4">
        <v>-36.979999999999997</v>
      </c>
      <c r="AW195" s="4">
        <v>-36.979999999999997</v>
      </c>
      <c r="AX195" s="4">
        <v>-36.979999999999997</v>
      </c>
      <c r="AY195" s="4">
        <v>-36.979999999999997</v>
      </c>
      <c r="AZ195" s="4">
        <v>-51.18</v>
      </c>
      <c r="BA195" s="4">
        <v>0</v>
      </c>
      <c r="BB195" s="4">
        <v>-73.959999999999994</v>
      </c>
      <c r="BC195" s="4">
        <v>0</v>
      </c>
      <c r="BD195" s="4">
        <v>-2940.44</v>
      </c>
      <c r="BE195" s="4">
        <v>-85.04</v>
      </c>
      <c r="BF195" s="4">
        <v>0</v>
      </c>
      <c r="BG195" s="4">
        <f>IF(OR(MID(TBBP[[#This Row],[Coluna1]],1,1)="1",MID(TBBP[[#This Row],[Coluna1]],1,1)="2"),TBBP[[#This Row],[Coluna58]],SUM(AU195:BF195))</f>
        <v>-3586.2200000000003</v>
      </c>
      <c r="BH195" s="4">
        <v>-42.52</v>
      </c>
      <c r="BI195" s="4">
        <v>-42.52</v>
      </c>
      <c r="BJ195" s="4">
        <v>-42.52</v>
      </c>
      <c r="BK195" s="4">
        <v>0</v>
      </c>
      <c r="BL195" s="4">
        <v>0</v>
      </c>
      <c r="BM195" s="4">
        <v>0</v>
      </c>
      <c r="BN195" s="4">
        <v>0</v>
      </c>
      <c r="BO195" s="4">
        <v>0</v>
      </c>
      <c r="BP195" s="4">
        <v>0</v>
      </c>
      <c r="BQ195" s="4">
        <v>0</v>
      </c>
      <c r="BR195" s="4">
        <v>0</v>
      </c>
      <c r="BS195" s="4">
        <v>0</v>
      </c>
      <c r="BT195" s="4">
        <f>IF(OR(MID(TBBP[[#This Row],[Coluna1]],1,1)="1",MID(TBBP[[#This Row],[Coluna1]],1,1)="2"),TBBP[[#This Row],[Coluna127]],SUM(BH195:BS195))</f>
        <v>-127.56</v>
      </c>
      <c r="BU195" s="4">
        <v>0</v>
      </c>
      <c r="BV195" s="4">
        <v>0</v>
      </c>
      <c r="BW195" s="4">
        <v>0</v>
      </c>
      <c r="BX195" s="4">
        <v>0</v>
      </c>
      <c r="BY195" s="4">
        <v>0</v>
      </c>
      <c r="BZ195" s="4">
        <v>0</v>
      </c>
      <c r="CA195" s="4">
        <v>0</v>
      </c>
      <c r="CB195" s="4">
        <v>0</v>
      </c>
      <c r="CC195" s="4">
        <v>0</v>
      </c>
      <c r="CD195" s="4">
        <v>0</v>
      </c>
      <c r="CE195" s="4">
        <v>0</v>
      </c>
      <c r="CF195" s="4">
        <v>0</v>
      </c>
      <c r="CG195" s="4">
        <f>IF(OR(MID(TBBP[[#This Row],[Coluna1]],1,1)="1",MID(TBBP[[#This Row],[Coluna1]],1,1)="2"),CF195,SUM(BU195:CF195))</f>
        <v>0</v>
      </c>
      <c r="CH195" s="4">
        <v>0</v>
      </c>
      <c r="CI195" s="4">
        <v>0</v>
      </c>
      <c r="CJ195" s="4">
        <v>0</v>
      </c>
      <c r="CK195" s="4" t="s">
        <v>1134</v>
      </c>
      <c r="CL195" s="4">
        <v>0</v>
      </c>
      <c r="CM195" s="4" t="s">
        <v>1134</v>
      </c>
      <c r="CN195" s="4">
        <v>0</v>
      </c>
      <c r="CO195" s="4">
        <v>0</v>
      </c>
      <c r="CP195" s="4">
        <v>0</v>
      </c>
      <c r="CQ195" s="4" t="s">
        <v>1134</v>
      </c>
      <c r="CR195" s="4" t="s">
        <v>1134</v>
      </c>
      <c r="CS195" s="4" t="s">
        <v>1134</v>
      </c>
      <c r="CT195" s="4">
        <f>IF(OR(MID(TBBP[[#This Row],[Coluna1]],1,1)="1",MID(TBBP[[#This Row],[Coluna1]],1,1)="2"),CS195,SUM(CH195:CS195))</f>
        <v>0</v>
      </c>
      <c r="CU195" s="255">
        <v>0</v>
      </c>
      <c r="CV195" s="255">
        <v>0</v>
      </c>
      <c r="CW195" s="255">
        <v>0</v>
      </c>
      <c r="CX195" s="255">
        <v>0</v>
      </c>
      <c r="CY195" s="255">
        <v>0</v>
      </c>
      <c r="CZ195" s="255">
        <v>0</v>
      </c>
      <c r="DA195" s="255">
        <v>0</v>
      </c>
      <c r="DB195" s="255">
        <v>0</v>
      </c>
      <c r="DC195" s="255">
        <v>0</v>
      </c>
      <c r="DD195" s="255">
        <v>0</v>
      </c>
      <c r="DE195" s="255"/>
      <c r="DF195" s="255">
        <v>0</v>
      </c>
      <c r="DG195" s="255">
        <f>SUM(TBBP[[#This Row],[Coluna287]:[Coluna298]])</f>
        <v>0</v>
      </c>
      <c r="DH195" s="255">
        <v>0</v>
      </c>
      <c r="DI195" s="255">
        <v>0</v>
      </c>
      <c r="DJ195" s="255">
        <v>0</v>
      </c>
      <c r="DK195" s="255">
        <v>0</v>
      </c>
      <c r="DL195" s="255">
        <v>0</v>
      </c>
      <c r="DM195" s="255">
        <v>0</v>
      </c>
      <c r="DP195" s="30">
        <f>IF(OR(MID(TBBP[[#This Row],[Coluna1]],1,1)="1",MID(TBBP[[#This Row],[Coluna1]],1,1)="2"),"-",SUMIFS(195:195,listaPeriodos,$DR$1,listaPeriodos,$DR$2))</f>
        <v>0</v>
      </c>
      <c r="DQ195" s="30"/>
      <c r="DR195" s="30">
        <f t="shared" si="179"/>
        <v>0</v>
      </c>
      <c r="DS195" s="30"/>
      <c r="DT195" s="30"/>
      <c r="DU195"/>
    </row>
    <row r="196" spans="1:125" x14ac:dyDescent="0.3">
      <c r="A196" s="7" t="s">
        <v>383</v>
      </c>
      <c r="B196" t="s">
        <v>517</v>
      </c>
      <c r="C196" s="4">
        <v>0</v>
      </c>
      <c r="D196" s="4">
        <v>0</v>
      </c>
      <c r="E196" s="4">
        <v>0</v>
      </c>
      <c r="F196" s="4">
        <v>0</v>
      </c>
      <c r="G196" s="4">
        <v>-56834.2</v>
      </c>
      <c r="H196" s="4">
        <v>-4845.9100000000008</v>
      </c>
      <c r="I196" s="4">
        <v>-2364.3200000000002</v>
      </c>
      <c r="J196" s="4">
        <v>-2760.7</v>
      </c>
      <c r="K196" s="4">
        <v>-727.9</v>
      </c>
      <c r="L196" s="4">
        <v>-2273.0300000000002</v>
      </c>
      <c r="M196" s="4">
        <v>-4500.97</v>
      </c>
      <c r="N196" s="4">
        <v>-3399.6</v>
      </c>
      <c r="O196" s="4">
        <v>-876.08</v>
      </c>
      <c r="P196" s="4">
        <v>-403.86</v>
      </c>
      <c r="Q196" s="4">
        <v>-415.41</v>
      </c>
      <c r="R196" s="4">
        <v>235.6</v>
      </c>
      <c r="S196" s="4">
        <v>-1410.72</v>
      </c>
      <c r="T196" s="4">
        <f>IF(OR(MID(TBBP[[#This Row],[Coluna1]],1,1)="1",MID(TBBP[[#This Row],[Coluna1]],1,1)="2"),TBBP[[#This Row],[Coluna19]],SUM(H196:S196))</f>
        <v>-23742.900000000005</v>
      </c>
      <c r="U196" s="4">
        <v>-2571.3200000000002</v>
      </c>
      <c r="V196" s="4">
        <v>-4050.98</v>
      </c>
      <c r="W196" s="4">
        <v>-2037.65</v>
      </c>
      <c r="X196" s="4">
        <v>-2963.48</v>
      </c>
      <c r="Y196" s="4">
        <v>-2016.52</v>
      </c>
      <c r="Z196" s="4">
        <v>-440.45</v>
      </c>
      <c r="AA196" s="4">
        <v>-4200.8500000000004</v>
      </c>
      <c r="AB196" s="4">
        <v>-2892.63</v>
      </c>
      <c r="AC196" s="4">
        <v>-2810.18</v>
      </c>
      <c r="AD196" s="4">
        <v>-1856.02</v>
      </c>
      <c r="AE196" s="4">
        <v>-4261.57</v>
      </c>
      <c r="AF196" s="4">
        <v>-598.08000000000004</v>
      </c>
      <c r="AG196" s="4">
        <f>IF(OR(MID(TBBP[[#This Row],[Coluna1]],1,1)="1",MID(TBBP[[#This Row],[Coluna1]],1,1)="2"),TBBP[[#This Row],[Coluna32]],SUM(U196:AF196))</f>
        <v>-30699.730000000003</v>
      </c>
      <c r="AH196" s="4">
        <v>-3041.05</v>
      </c>
      <c r="AI196" s="4">
        <v>-4837.92</v>
      </c>
      <c r="AJ196" s="4">
        <v>-3918.1</v>
      </c>
      <c r="AK196" s="4">
        <v>-667.38</v>
      </c>
      <c r="AL196" s="4">
        <v>-1311.38</v>
      </c>
      <c r="AM196" s="4">
        <v>-2523.38</v>
      </c>
      <c r="AN196" s="4">
        <v>-6493.38</v>
      </c>
      <c r="AO196" s="4">
        <v>-3702.3</v>
      </c>
      <c r="AP196" s="4">
        <v>-11486.06</v>
      </c>
      <c r="AQ196" s="4">
        <v>-1823.16</v>
      </c>
      <c r="AR196" s="4">
        <v>-7924.52</v>
      </c>
      <c r="AS196" s="4">
        <v>-4059.21</v>
      </c>
      <c r="AT196" s="4">
        <f>IF(OR(MID(TBBP[[#This Row],[Coluna1]],1,1)="1",MID(TBBP[[#This Row],[Coluna1]],1,1)="2"),TBBP[[#This Row],[Coluna45]],SUM(AH196:AS196))</f>
        <v>-51787.840000000004</v>
      </c>
      <c r="AU196" s="4">
        <v>-5542.31</v>
      </c>
      <c r="AV196" s="4">
        <v>-1217.18</v>
      </c>
      <c r="AW196" s="4">
        <v>-972.18000000000006</v>
      </c>
      <c r="AX196" s="4">
        <v>-2950.12</v>
      </c>
      <c r="AY196" s="4">
        <v>-1605.25</v>
      </c>
      <c r="AZ196" s="4">
        <v>-1937.18</v>
      </c>
      <c r="BA196" s="4">
        <v>-2953.12</v>
      </c>
      <c r="BB196" s="4">
        <v>-2469.92</v>
      </c>
      <c r="BC196" s="4">
        <v>-1205.3900000000001</v>
      </c>
      <c r="BD196" s="4">
        <v>-1547.78</v>
      </c>
      <c r="BE196" s="4">
        <v>-2859.18</v>
      </c>
      <c r="BF196" s="4">
        <v>-5831.53</v>
      </c>
      <c r="BG196" s="4">
        <f>IF(OR(MID(TBBP[[#This Row],[Coluna1]],1,1)="1",MID(TBBP[[#This Row],[Coluna1]],1,1)="2"),TBBP[[#This Row],[Coluna58]],SUM(AU196:BF196))</f>
        <v>-31091.14</v>
      </c>
      <c r="BH196" s="4">
        <v>-582.17999999999995</v>
      </c>
      <c r="BI196" s="4">
        <v>-764.63</v>
      </c>
      <c r="BJ196" s="4">
        <v>-159.63</v>
      </c>
      <c r="BK196" s="4">
        <v>-28.42</v>
      </c>
      <c r="BL196" s="4">
        <v>-28.42</v>
      </c>
      <c r="BM196" s="4">
        <v>-28.42</v>
      </c>
      <c r="BN196" s="4">
        <v>-28.42</v>
      </c>
      <c r="BO196" s="4">
        <v>-28.42</v>
      </c>
      <c r="BP196" s="4">
        <v>-28.42</v>
      </c>
      <c r="BQ196" s="4">
        <v>-28.42</v>
      </c>
      <c r="BR196" s="4">
        <v>-728.42</v>
      </c>
      <c r="BS196" s="4">
        <v>-28.42</v>
      </c>
      <c r="BT196" s="4">
        <f>IF(OR(MID(TBBP[[#This Row],[Coluna1]],1,1)="1",MID(TBBP[[#This Row],[Coluna1]],1,1)="2"),TBBP[[#This Row],[Coluna127]],SUM(BH196:BS196))</f>
        <v>-2462.2200000000007</v>
      </c>
      <c r="BU196" s="4">
        <v>0</v>
      </c>
      <c r="BV196" s="4">
        <v>0</v>
      </c>
      <c r="BW196" s="4">
        <v>-293.47000000000003</v>
      </c>
      <c r="BX196" s="4">
        <v>0</v>
      </c>
      <c r="BY196" s="4">
        <v>0</v>
      </c>
      <c r="BZ196" s="4">
        <v>0</v>
      </c>
      <c r="CA196" s="4">
        <v>0</v>
      </c>
      <c r="CB196" s="4">
        <v>0</v>
      </c>
      <c r="CC196" s="4">
        <v>0</v>
      </c>
      <c r="CD196" s="4">
        <v>0</v>
      </c>
      <c r="CE196" s="4">
        <v>0</v>
      </c>
      <c r="CF196" s="4">
        <v>0</v>
      </c>
      <c r="CG196" s="4">
        <f>IF(OR(MID(TBBP[[#This Row],[Coluna1]],1,1)="1",MID(TBBP[[#This Row],[Coluna1]],1,1)="2"),CF196,SUM(BU196:CF196))</f>
        <v>-293.47000000000003</v>
      </c>
      <c r="CH196" s="4">
        <v>-8418</v>
      </c>
      <c r="CI196" s="4">
        <v>0</v>
      </c>
      <c r="CJ196" s="4">
        <v>-1951.18</v>
      </c>
      <c r="CK196" s="4">
        <v>-1705.22</v>
      </c>
      <c r="CL196" s="4">
        <v>-26099.43</v>
      </c>
      <c r="CM196" s="4">
        <v>0</v>
      </c>
      <c r="CN196" s="4">
        <v>0</v>
      </c>
      <c r="CO196" s="4">
        <v>-6986.28</v>
      </c>
      <c r="CP196" s="4">
        <v>-6012.99</v>
      </c>
      <c r="CQ196" s="4">
        <v>-10162.280000000001</v>
      </c>
      <c r="CR196" s="4">
        <v>-16143.82</v>
      </c>
      <c r="CS196" s="4">
        <v>0</v>
      </c>
      <c r="CT196" s="4">
        <f>IF(OR(MID(TBBP[[#This Row],[Coluna1]],1,1)="1",MID(TBBP[[#This Row],[Coluna1]],1,1)="2"),CS196,SUM(CH196:CS196))</f>
        <v>-77479.199999999997</v>
      </c>
      <c r="CU196" s="255">
        <v>0</v>
      </c>
      <c r="CV196" s="255">
        <v>-894</v>
      </c>
      <c r="CW196" s="255">
        <v>0</v>
      </c>
      <c r="CX196" s="255">
        <v>0</v>
      </c>
      <c r="CY196" s="255">
        <v>0</v>
      </c>
      <c r="CZ196" s="255">
        <v>298.02999999999997</v>
      </c>
      <c r="DA196" s="255">
        <v>0</v>
      </c>
      <c r="DB196" s="255">
        <v>0</v>
      </c>
      <c r="DC196" s="255">
        <v>136</v>
      </c>
      <c r="DD196" s="255">
        <v>0</v>
      </c>
      <c r="DE196" s="255">
        <v>0</v>
      </c>
      <c r="DF196" s="255">
        <v>118.17</v>
      </c>
      <c r="DG196" s="255">
        <f>SUM(TBBP[[#This Row],[Coluna287]:[Coluna298]])</f>
        <v>-341.8</v>
      </c>
      <c r="DH196" s="255">
        <v>223.86</v>
      </c>
      <c r="DI196" s="255">
        <v>496.55</v>
      </c>
      <c r="DJ196" s="255">
        <v>0</v>
      </c>
      <c r="DK196" s="255">
        <v>0</v>
      </c>
      <c r="DL196" s="255">
        <v>-5099.63</v>
      </c>
      <c r="DM196" s="255">
        <v>0</v>
      </c>
      <c r="DO196" t="s">
        <v>383</v>
      </c>
      <c r="DP196" s="30">
        <f>IF(OR(MID(TBBP[[#This Row],[Coluna1]],1,1)="1",MID(TBBP[[#This Row],[Coluna1]],1,1)="2"),"-",SUMIFS(196:196,listaPeriodos,$DR$1,listaPeriodos,$DR$2))</f>
        <v>-4379.22</v>
      </c>
      <c r="DQ196" s="30">
        <v>-85183.2</v>
      </c>
      <c r="DR196" s="30">
        <f t="shared" si="179"/>
        <v>-511099.19999999995</v>
      </c>
      <c r="DS196" s="30"/>
      <c r="DT196" s="30"/>
      <c r="DU196"/>
    </row>
    <row r="197" spans="1:125" x14ac:dyDescent="0.3">
      <c r="A197" s="7" t="s">
        <v>384</v>
      </c>
      <c r="B197" t="s">
        <v>518</v>
      </c>
      <c r="C197" s="4">
        <v>0</v>
      </c>
      <c r="D197" s="4">
        <v>0</v>
      </c>
      <c r="E197" s="4">
        <v>0</v>
      </c>
      <c r="F197" s="4">
        <v>0</v>
      </c>
      <c r="G197" s="4">
        <v>-11331.49</v>
      </c>
      <c r="H197" s="4">
        <v>-2002</v>
      </c>
      <c r="I197" s="4">
        <v>0</v>
      </c>
      <c r="J197" s="4">
        <v>-1365</v>
      </c>
      <c r="K197" s="4">
        <v>0</v>
      </c>
      <c r="L197" s="4">
        <v>-388</v>
      </c>
      <c r="M197" s="4">
        <v>-435</v>
      </c>
      <c r="N197" s="4">
        <v>-350</v>
      </c>
      <c r="O197" s="4">
        <v>-250</v>
      </c>
      <c r="P197" s="4">
        <v>0</v>
      </c>
      <c r="Q197" s="4">
        <v>-63.63</v>
      </c>
      <c r="R197" s="4">
        <v>0</v>
      </c>
      <c r="S197" s="4">
        <v>-224.57</v>
      </c>
      <c r="T197" s="4">
        <f>IF(OR(MID(TBBP[[#This Row],[Coluna1]],1,1)="1",MID(TBBP[[#This Row],[Coluna1]],1,1)="2"),TBBP[[#This Row],[Coluna19]],SUM(H197:S197))</f>
        <v>-5078.2</v>
      </c>
      <c r="U197" s="4">
        <v>-2038</v>
      </c>
      <c r="V197" s="4">
        <v>-2314</v>
      </c>
      <c r="W197" s="4">
        <v>-140</v>
      </c>
      <c r="X197" s="4">
        <v>-2398</v>
      </c>
      <c r="Y197" s="4">
        <v>-1349.7</v>
      </c>
      <c r="Z197" s="4">
        <v>0</v>
      </c>
      <c r="AA197" s="4">
        <v>-290</v>
      </c>
      <c r="AB197" s="4">
        <v>-1657.28</v>
      </c>
      <c r="AC197" s="4">
        <v>-1696</v>
      </c>
      <c r="AD197" s="4">
        <v>-551.5</v>
      </c>
      <c r="AE197" s="4">
        <v>-3149</v>
      </c>
      <c r="AF197" s="4">
        <v>-320</v>
      </c>
      <c r="AG197" s="4">
        <f>IF(OR(MID(TBBP[[#This Row],[Coluna1]],1,1)="1",MID(TBBP[[#This Row],[Coluna1]],1,1)="2"),TBBP[[#This Row],[Coluna32]],SUM(U197:AF197))</f>
        <v>-15903.480000000001</v>
      </c>
      <c r="AH197" s="4">
        <v>-1020</v>
      </c>
      <c r="AI197" s="4">
        <v>-1842</v>
      </c>
      <c r="AJ197" s="4">
        <v>-865</v>
      </c>
      <c r="AK197" s="4">
        <v>-100</v>
      </c>
      <c r="AL197" s="4">
        <v>-744</v>
      </c>
      <c r="AM197" s="4">
        <v>-663</v>
      </c>
      <c r="AN197" s="4">
        <v>-3591</v>
      </c>
      <c r="AO197" s="4">
        <v>-913</v>
      </c>
      <c r="AP197" s="4">
        <v>-8178.5</v>
      </c>
      <c r="AQ197" s="4">
        <v>-510</v>
      </c>
      <c r="AR197" s="4">
        <v>-6289</v>
      </c>
      <c r="AS197" s="4">
        <v>-1158</v>
      </c>
      <c r="AT197" s="4">
        <f>IF(OR(MID(TBBP[[#This Row],[Coluna1]],1,1)="1",MID(TBBP[[#This Row],[Coluna1]],1,1)="2"),TBBP[[#This Row],[Coluna45]],SUM(AH197:AS197))</f>
        <v>-25873.5</v>
      </c>
      <c r="AU197" s="4">
        <v>-2718</v>
      </c>
      <c r="AV197" s="4">
        <v>-80</v>
      </c>
      <c r="AW197" s="4">
        <v>-550</v>
      </c>
      <c r="AX197" s="4">
        <v>-391.5</v>
      </c>
      <c r="AY197" s="4">
        <v>-940</v>
      </c>
      <c r="AZ197" s="4">
        <v>-147.5</v>
      </c>
      <c r="BA197" s="4">
        <v>-766</v>
      </c>
      <c r="BB197" s="4">
        <v>-770</v>
      </c>
      <c r="BC197" s="4">
        <v>0</v>
      </c>
      <c r="BD197" s="4">
        <v>-300</v>
      </c>
      <c r="BE197" s="4">
        <v>-1080</v>
      </c>
      <c r="BF197" s="4">
        <v>-1940</v>
      </c>
      <c r="BG197" s="4">
        <f>IF(OR(MID(TBBP[[#This Row],[Coluna1]],1,1)="1",MID(TBBP[[#This Row],[Coluna1]],1,1)="2"),TBBP[[#This Row],[Coluna58]],SUM(AU197:BF197))</f>
        <v>-9683</v>
      </c>
      <c r="BH197" s="4">
        <v>0</v>
      </c>
      <c r="BI197" s="4">
        <v>-605</v>
      </c>
      <c r="BJ197" s="4">
        <v>0</v>
      </c>
      <c r="BK197" s="4">
        <v>0</v>
      </c>
      <c r="BL197" s="4">
        <v>0</v>
      </c>
      <c r="BM197" s="4">
        <v>0</v>
      </c>
      <c r="BN197" s="4">
        <v>0</v>
      </c>
      <c r="BO197" s="4">
        <v>0</v>
      </c>
      <c r="BP197" s="4">
        <v>0</v>
      </c>
      <c r="BQ197" s="4">
        <v>0</v>
      </c>
      <c r="BR197" s="4">
        <v>-30</v>
      </c>
      <c r="BS197" s="4">
        <v>0</v>
      </c>
      <c r="BT197" s="4">
        <f>IF(OR(MID(TBBP[[#This Row],[Coluna1]],1,1)="1",MID(TBBP[[#This Row],[Coluna1]],1,1)="2"),TBBP[[#This Row],[Coluna127]],SUM(BH197:BS197))</f>
        <v>-635</v>
      </c>
      <c r="BU197" s="4">
        <v>0</v>
      </c>
      <c r="BV197" s="4">
        <v>0</v>
      </c>
      <c r="BW197" s="4">
        <v>0</v>
      </c>
      <c r="BX197" s="4">
        <v>0</v>
      </c>
      <c r="BY197" s="4">
        <v>0</v>
      </c>
      <c r="BZ197" s="4">
        <v>0</v>
      </c>
      <c r="CA197" s="4">
        <v>0</v>
      </c>
      <c r="CB197" s="4">
        <v>0</v>
      </c>
      <c r="CC197" s="4">
        <v>0</v>
      </c>
      <c r="CD197" s="4">
        <v>0</v>
      </c>
      <c r="CE197" s="4">
        <v>0</v>
      </c>
      <c r="CF197" s="4">
        <v>0</v>
      </c>
      <c r="CG197" s="4">
        <f>IF(OR(MID(TBBP[[#This Row],[Coluna1]],1,1)="1",MID(TBBP[[#This Row],[Coluna1]],1,1)="2"),CF197,SUM(BU197:CF197))</f>
        <v>0</v>
      </c>
      <c r="CH197" s="4">
        <v>0</v>
      </c>
      <c r="CI197" s="4">
        <v>0</v>
      </c>
      <c r="CJ197" s="4">
        <v>0</v>
      </c>
      <c r="CK197" s="4" t="s">
        <v>1134</v>
      </c>
      <c r="CL197" s="4">
        <v>0</v>
      </c>
      <c r="CM197" s="4" t="s">
        <v>1134</v>
      </c>
      <c r="CN197" s="4">
        <v>0</v>
      </c>
      <c r="CO197" s="4">
        <v>0</v>
      </c>
      <c r="CP197" s="4">
        <v>0</v>
      </c>
      <c r="CQ197" s="4" t="s">
        <v>1134</v>
      </c>
      <c r="CR197" s="4" t="s">
        <v>1134</v>
      </c>
      <c r="CS197" s="4" t="s">
        <v>1134</v>
      </c>
      <c r="CT197" s="4">
        <f>IF(OR(MID(TBBP[[#This Row],[Coluna1]],1,1)="1",MID(TBBP[[#This Row],[Coluna1]],1,1)="2"),CS197,SUM(CH197:CS197))</f>
        <v>0</v>
      </c>
      <c r="CU197" s="255">
        <v>0</v>
      </c>
      <c r="CV197" s="255">
        <v>0</v>
      </c>
      <c r="CW197" s="255">
        <v>0</v>
      </c>
      <c r="CX197" s="255">
        <v>0</v>
      </c>
      <c r="CY197" s="255">
        <v>0</v>
      </c>
      <c r="CZ197" s="255">
        <v>0</v>
      </c>
      <c r="DA197" s="255">
        <v>0</v>
      </c>
      <c r="DB197" s="255">
        <v>0</v>
      </c>
      <c r="DC197" s="255">
        <v>0</v>
      </c>
      <c r="DD197" s="255">
        <v>0</v>
      </c>
      <c r="DE197" s="255"/>
      <c r="DF197" s="255">
        <v>0</v>
      </c>
      <c r="DG197" s="255">
        <f>SUM(TBBP[[#This Row],[Coluna287]:[Coluna298]])</f>
        <v>0</v>
      </c>
      <c r="DH197" s="255">
        <v>0</v>
      </c>
      <c r="DI197" s="255">
        <v>0</v>
      </c>
      <c r="DJ197" s="255">
        <v>0</v>
      </c>
      <c r="DK197" s="255">
        <v>0</v>
      </c>
      <c r="DL197" s="255">
        <v>0</v>
      </c>
      <c r="DM197" s="255">
        <v>0</v>
      </c>
      <c r="DP197" s="30">
        <f>IF(OR(MID(TBBP[[#This Row],[Coluna1]],1,1)="1",MID(TBBP[[#This Row],[Coluna1]],1,1)="2"),"-",SUMIFS(197:197,listaPeriodos,$DR$1,listaPeriodos,$DR$2))</f>
        <v>0</v>
      </c>
      <c r="DQ197" s="30"/>
      <c r="DR197" s="30">
        <f t="shared" si="179"/>
        <v>0</v>
      </c>
      <c r="DS197" s="30"/>
      <c r="DT197" s="30"/>
      <c r="DU197"/>
    </row>
    <row r="198" spans="1:125" x14ac:dyDescent="0.3">
      <c r="A198" s="7" t="s">
        <v>385</v>
      </c>
      <c r="B198" t="s">
        <v>519</v>
      </c>
      <c r="C198" s="4">
        <v>0</v>
      </c>
      <c r="D198" s="4">
        <v>0</v>
      </c>
      <c r="E198" s="4">
        <v>0</v>
      </c>
      <c r="F198" s="4">
        <v>0</v>
      </c>
      <c r="G198" s="4">
        <v>-39382.71</v>
      </c>
      <c r="H198" s="4">
        <v>-435</v>
      </c>
      <c r="I198" s="4">
        <v>-692.26</v>
      </c>
      <c r="J198" s="4">
        <v>0</v>
      </c>
      <c r="K198" s="4">
        <v>0</v>
      </c>
      <c r="L198" s="4">
        <v>-352</v>
      </c>
      <c r="M198" s="4">
        <v>-2800</v>
      </c>
      <c r="N198" s="4">
        <v>-2130</v>
      </c>
      <c r="O198" s="4">
        <v>-430.48</v>
      </c>
      <c r="P198" s="4">
        <v>0</v>
      </c>
      <c r="Q198" s="4">
        <v>0</v>
      </c>
      <c r="R198" s="4">
        <v>-40</v>
      </c>
      <c r="S198" s="4">
        <v>-875.43</v>
      </c>
      <c r="T198" s="4">
        <f>IF(OR(MID(TBBP[[#This Row],[Coluna1]],1,1)="1",MID(TBBP[[#This Row],[Coluna1]],1,1)="2"),TBBP[[#This Row],[Coluna19]],SUM(H198:S198))</f>
        <v>-7755.17</v>
      </c>
      <c r="U198" s="4">
        <v>-197</v>
      </c>
      <c r="V198" s="4">
        <v>0</v>
      </c>
      <c r="W198" s="4">
        <v>0</v>
      </c>
      <c r="X198" s="4">
        <v>0</v>
      </c>
      <c r="Y198" s="4">
        <v>-330.5</v>
      </c>
      <c r="Z198" s="4">
        <v>0</v>
      </c>
      <c r="AA198" s="4">
        <v>-2258.5</v>
      </c>
      <c r="AB198" s="4">
        <v>-794.9</v>
      </c>
      <c r="AC198" s="4">
        <v>-282.77999999999997</v>
      </c>
      <c r="AD198" s="4">
        <v>-1064.07</v>
      </c>
      <c r="AE198" s="4">
        <v>-768</v>
      </c>
      <c r="AF198" s="4">
        <v>-350</v>
      </c>
      <c r="AG198" s="4">
        <f>IF(OR(MID(TBBP[[#This Row],[Coluna1]],1,1)="1",MID(TBBP[[#This Row],[Coluna1]],1,1)="2"),TBBP[[#This Row],[Coluna32]],SUM(U198:AF198))</f>
        <v>-6045.75</v>
      </c>
      <c r="AH198" s="4">
        <v>-166.5</v>
      </c>
      <c r="AI198" s="4">
        <v>-2636.79</v>
      </c>
      <c r="AJ198" s="4">
        <v>-2290</v>
      </c>
      <c r="AK198" s="4">
        <v>0</v>
      </c>
      <c r="AL198" s="4">
        <v>0</v>
      </c>
      <c r="AM198" s="4">
        <v>-1293</v>
      </c>
      <c r="AN198" s="4">
        <v>-2335</v>
      </c>
      <c r="AO198" s="4">
        <v>-2117.8000000000002</v>
      </c>
      <c r="AP198" s="4">
        <v>-2740.18</v>
      </c>
      <c r="AQ198" s="4">
        <v>-745.78</v>
      </c>
      <c r="AR198" s="4">
        <v>-1068.1400000000001</v>
      </c>
      <c r="AS198" s="4">
        <v>-1178</v>
      </c>
      <c r="AT198" s="4">
        <f>IF(OR(MID(TBBP[[#This Row],[Coluna1]],1,1)="1",MID(TBBP[[#This Row],[Coluna1]],1,1)="2"),TBBP[[#This Row],[Coluna45]],SUM(AH198:AS198))</f>
        <v>-16571.190000000002</v>
      </c>
      <c r="AU198" s="4">
        <v>-2138</v>
      </c>
      <c r="AV198" s="4">
        <v>-555</v>
      </c>
      <c r="AW198" s="4">
        <v>160</v>
      </c>
      <c r="AX198" s="4">
        <v>-1906.5</v>
      </c>
      <c r="AY198" s="4">
        <v>-187.19</v>
      </c>
      <c r="AZ198" s="4">
        <v>-1207.5</v>
      </c>
      <c r="BA198" s="4">
        <v>-1657</v>
      </c>
      <c r="BB198" s="4">
        <v>-1169.8</v>
      </c>
      <c r="BC198" s="4">
        <v>-492</v>
      </c>
      <c r="BD198" s="4">
        <v>-665.6</v>
      </c>
      <c r="BE198" s="4">
        <v>-1197</v>
      </c>
      <c r="BF198" s="4">
        <v>-3309.35</v>
      </c>
      <c r="BG198" s="4">
        <f>IF(OR(MID(TBBP[[#This Row],[Coluna1]],1,1)="1",MID(TBBP[[#This Row],[Coluna1]],1,1)="2"),TBBP[[#This Row],[Coluna58]],SUM(AU198:BF198))</f>
        <v>-14324.94</v>
      </c>
      <c r="BH198" s="4">
        <v>0</v>
      </c>
      <c r="BI198" s="4">
        <v>0</v>
      </c>
      <c r="BJ198" s="4">
        <v>0</v>
      </c>
      <c r="BK198" s="4">
        <v>0</v>
      </c>
      <c r="BL198" s="4">
        <v>0</v>
      </c>
      <c r="BM198" s="4">
        <v>0</v>
      </c>
      <c r="BN198" s="4">
        <v>0</v>
      </c>
      <c r="BO198" s="4">
        <v>0</v>
      </c>
      <c r="BP198" s="4">
        <v>0</v>
      </c>
      <c r="BQ198" s="4">
        <v>0</v>
      </c>
      <c r="BR198" s="4">
        <v>-670</v>
      </c>
      <c r="BS198" s="4">
        <v>0</v>
      </c>
      <c r="BT198" s="4">
        <f>IF(OR(MID(TBBP[[#This Row],[Coluna1]],1,1)="1",MID(TBBP[[#This Row],[Coluna1]],1,1)="2"),TBBP[[#This Row],[Coluna127]],SUM(BH198:BS198))</f>
        <v>-670</v>
      </c>
      <c r="BU198" s="4">
        <v>0</v>
      </c>
      <c r="BV198" s="4">
        <v>0</v>
      </c>
      <c r="BW198" s="4">
        <v>0</v>
      </c>
      <c r="BX198" s="4">
        <v>0</v>
      </c>
      <c r="BY198" s="4">
        <v>0</v>
      </c>
      <c r="BZ198" s="4">
        <v>0</v>
      </c>
      <c r="CA198" s="4">
        <v>0</v>
      </c>
      <c r="CB198" s="4">
        <v>0</v>
      </c>
      <c r="CC198" s="4">
        <v>0</v>
      </c>
      <c r="CD198" s="4">
        <v>0</v>
      </c>
      <c r="CE198" s="4">
        <v>0</v>
      </c>
      <c r="CF198" s="4">
        <v>0</v>
      </c>
      <c r="CG198" s="4">
        <f>IF(OR(MID(TBBP[[#This Row],[Coluna1]],1,1)="1",MID(TBBP[[#This Row],[Coluna1]],1,1)="2"),CF198,SUM(BU198:CF198))</f>
        <v>0</v>
      </c>
      <c r="CH198" s="4">
        <v>-8418</v>
      </c>
      <c r="CI198" s="4">
        <v>0</v>
      </c>
      <c r="CJ198" s="4">
        <v>-1951.18</v>
      </c>
      <c r="CK198" s="4">
        <v>-1705.22</v>
      </c>
      <c r="CL198" s="4">
        <v>-26099.43</v>
      </c>
      <c r="CM198" s="4">
        <v>0</v>
      </c>
      <c r="CN198" s="4">
        <v>0</v>
      </c>
      <c r="CO198" s="4">
        <v>-6986.28</v>
      </c>
      <c r="CP198" s="4">
        <v>-6012.99</v>
      </c>
      <c r="CQ198" s="4">
        <v>-10162.280000000001</v>
      </c>
      <c r="CR198" s="4">
        <v>-16143.82</v>
      </c>
      <c r="CS198" s="4">
        <v>0</v>
      </c>
      <c r="CT198" s="4">
        <f>IF(OR(MID(TBBP[[#This Row],[Coluna1]],1,1)="1",MID(TBBP[[#This Row],[Coluna1]],1,1)="2"),CS198,SUM(CH198:CS198))</f>
        <v>-77479.199999999997</v>
      </c>
      <c r="CU198" s="255">
        <v>0</v>
      </c>
      <c r="CV198" s="255">
        <v>-894</v>
      </c>
      <c r="CW198" s="255">
        <v>0</v>
      </c>
      <c r="CX198" s="255">
        <v>0</v>
      </c>
      <c r="CY198" s="255">
        <v>0</v>
      </c>
      <c r="CZ198" s="255">
        <v>298.02999999999997</v>
      </c>
      <c r="DA198" s="255">
        <v>0</v>
      </c>
      <c r="DB198" s="255">
        <v>0</v>
      </c>
      <c r="DC198" s="255">
        <v>136</v>
      </c>
      <c r="DD198" s="255">
        <v>0</v>
      </c>
      <c r="DE198" s="255">
        <v>0</v>
      </c>
      <c r="DF198" s="255">
        <v>118.17</v>
      </c>
      <c r="DG198" s="255">
        <f>SUM(TBBP[[#This Row],[Coluna287]:[Coluna298]])</f>
        <v>-341.8</v>
      </c>
      <c r="DH198" s="255">
        <v>223.86</v>
      </c>
      <c r="DI198" s="255">
        <v>496.55</v>
      </c>
      <c r="DJ198" s="255">
        <v>0</v>
      </c>
      <c r="DK198" s="255">
        <v>0</v>
      </c>
      <c r="DL198" s="255">
        <v>-5099.63</v>
      </c>
      <c r="DM198" s="255">
        <v>0</v>
      </c>
      <c r="DP198" s="30">
        <f>IF(OR(MID(TBBP[[#This Row],[Coluna1]],1,1)="1",MID(TBBP[[#This Row],[Coluna1]],1,1)="2"),"-",SUMIFS(198:198,listaPeriodos,$DR$1,listaPeriodos,$DR$2))</f>
        <v>-4379.22</v>
      </c>
      <c r="DQ198" s="30"/>
      <c r="DR198" s="30">
        <f t="shared" si="179"/>
        <v>0</v>
      </c>
      <c r="DS198" s="30"/>
      <c r="DT198" s="30"/>
      <c r="DU198"/>
    </row>
    <row r="199" spans="1:125" x14ac:dyDescent="0.3">
      <c r="A199" s="7" t="s">
        <v>386</v>
      </c>
      <c r="B199" t="s">
        <v>520</v>
      </c>
      <c r="C199" s="4">
        <v>0</v>
      </c>
      <c r="D199" s="4">
        <v>0</v>
      </c>
      <c r="E199" s="4">
        <v>0</v>
      </c>
      <c r="F199" s="4">
        <v>0</v>
      </c>
      <c r="G199" s="4">
        <v>-1175.26</v>
      </c>
      <c r="H199" s="4">
        <v>0</v>
      </c>
      <c r="I199" s="4">
        <v>0</v>
      </c>
      <c r="J199" s="4">
        <v>0</v>
      </c>
      <c r="K199" s="4">
        <v>-219.93</v>
      </c>
      <c r="L199" s="4">
        <v>-894.4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f>IF(OR(MID(TBBP[[#This Row],[Coluna1]],1,1)="1",MID(TBBP[[#This Row],[Coluna1]],1,1)="2"),TBBP[[#This Row],[Coluna19]],SUM(H199:S199))</f>
        <v>-1114.33</v>
      </c>
      <c r="U199" s="4">
        <v>0</v>
      </c>
      <c r="V199" s="4">
        <v>-1118.94</v>
      </c>
      <c r="W199" s="4">
        <v>0</v>
      </c>
      <c r="X199" s="4">
        <v>-229.16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f>IF(OR(MID(TBBP[[#This Row],[Coluna1]],1,1)="1",MID(TBBP[[#This Row],[Coluna1]],1,1)="2"),TBBP[[#This Row],[Coluna32]],SUM(U199:AF199))</f>
        <v>-1348.1000000000001</v>
      </c>
      <c r="AH199" s="4">
        <v>-1183.04</v>
      </c>
      <c r="AI199" s="4">
        <v>0</v>
      </c>
      <c r="AJ199" s="4">
        <v>-195.72</v>
      </c>
      <c r="AK199" s="4">
        <v>0</v>
      </c>
      <c r="AL199" s="4">
        <v>0</v>
      </c>
      <c r="AM199" s="4">
        <v>0</v>
      </c>
      <c r="AN199" s="4">
        <v>0</v>
      </c>
      <c r="AO199" s="4">
        <v>0</v>
      </c>
      <c r="AP199" s="4">
        <v>0</v>
      </c>
      <c r="AQ199" s="4">
        <v>0</v>
      </c>
      <c r="AR199" s="4">
        <v>0</v>
      </c>
      <c r="AS199" s="4">
        <v>-1155.83</v>
      </c>
      <c r="AT199" s="4">
        <f>IF(OR(MID(TBBP[[#This Row],[Coluna1]],1,1)="1",MID(TBBP[[#This Row],[Coluna1]],1,1)="2"),TBBP[[#This Row],[Coluna45]],SUM(AH199:AS199))</f>
        <v>-2534.59</v>
      </c>
      <c r="AU199" s="4">
        <v>0</v>
      </c>
      <c r="AV199" s="4">
        <v>0</v>
      </c>
      <c r="AW199" s="4">
        <v>0</v>
      </c>
      <c r="AX199" s="4">
        <v>-194.9</v>
      </c>
      <c r="AY199" s="4">
        <v>0</v>
      </c>
      <c r="AZ199" s="4">
        <v>0</v>
      </c>
      <c r="BA199" s="4">
        <v>0</v>
      </c>
      <c r="BB199" s="4">
        <v>0</v>
      </c>
      <c r="BC199" s="4">
        <v>0</v>
      </c>
      <c r="BD199" s="4">
        <v>0</v>
      </c>
      <c r="BE199" s="4">
        <v>0</v>
      </c>
      <c r="BF199" s="4">
        <v>0</v>
      </c>
      <c r="BG199" s="4">
        <f>IF(OR(MID(TBBP[[#This Row],[Coluna1]],1,1)="1",MID(TBBP[[#This Row],[Coluna1]],1,1)="2"),TBBP[[#This Row],[Coluna58]],SUM(AU199:BF199))</f>
        <v>-194.9</v>
      </c>
      <c r="BH199" s="4">
        <v>0</v>
      </c>
      <c r="BI199" s="4">
        <v>0</v>
      </c>
      <c r="BJ199" s="4">
        <v>0</v>
      </c>
      <c r="BK199" s="4">
        <v>0</v>
      </c>
      <c r="BL199" s="4">
        <v>0</v>
      </c>
      <c r="BM199" s="4">
        <v>0</v>
      </c>
      <c r="BN199" s="4">
        <v>0</v>
      </c>
      <c r="BO199" s="4">
        <v>0</v>
      </c>
      <c r="BP199" s="4">
        <v>0</v>
      </c>
      <c r="BQ199" s="4">
        <v>0</v>
      </c>
      <c r="BR199" s="4">
        <v>0</v>
      </c>
      <c r="BS199" s="4">
        <v>0</v>
      </c>
      <c r="BT199" s="4">
        <f>IF(OR(MID(TBBP[[#This Row],[Coluna1]],1,1)="1",MID(TBBP[[#This Row],[Coluna1]],1,1)="2"),TBBP[[#This Row],[Coluna127]],SUM(BH199:BS199))</f>
        <v>0</v>
      </c>
      <c r="BU199" s="4">
        <v>0</v>
      </c>
      <c r="BV199" s="4">
        <v>0</v>
      </c>
      <c r="BW199" s="4">
        <v>0</v>
      </c>
      <c r="BX199" s="4">
        <v>0</v>
      </c>
      <c r="BY199" s="4">
        <v>0</v>
      </c>
      <c r="BZ199" s="4">
        <v>0</v>
      </c>
      <c r="CA199" s="4">
        <v>0</v>
      </c>
      <c r="CB199" s="4">
        <v>0</v>
      </c>
      <c r="CC199" s="4">
        <v>0</v>
      </c>
      <c r="CD199" s="4">
        <v>0</v>
      </c>
      <c r="CE199" s="4">
        <v>0</v>
      </c>
      <c r="CF199" s="4">
        <v>0</v>
      </c>
      <c r="CG199" s="4">
        <f>IF(OR(MID(TBBP[[#This Row],[Coluna1]],1,1)="1",MID(TBBP[[#This Row],[Coluna1]],1,1)="2"),CF199,SUM(BU199:CF199))</f>
        <v>0</v>
      </c>
      <c r="CH199" s="4">
        <v>0</v>
      </c>
      <c r="CI199" s="4">
        <v>0</v>
      </c>
      <c r="CJ199" s="4">
        <v>0</v>
      </c>
      <c r="CK199" s="4" t="s">
        <v>1134</v>
      </c>
      <c r="CL199" s="4">
        <v>0</v>
      </c>
      <c r="CM199" s="4" t="s">
        <v>1134</v>
      </c>
      <c r="CN199" s="4">
        <v>0</v>
      </c>
      <c r="CO199" s="4">
        <v>0</v>
      </c>
      <c r="CP199" s="4">
        <v>0</v>
      </c>
      <c r="CQ199" s="4" t="s">
        <v>1134</v>
      </c>
      <c r="CR199" s="4" t="s">
        <v>1134</v>
      </c>
      <c r="CS199" s="4" t="s">
        <v>1134</v>
      </c>
      <c r="CT199" s="4">
        <f>IF(OR(MID(TBBP[[#This Row],[Coluna1]],1,1)="1",MID(TBBP[[#This Row],[Coluna1]],1,1)="2"),CS199,SUM(CH199:CS199))</f>
        <v>0</v>
      </c>
      <c r="CU199" s="255">
        <v>0</v>
      </c>
      <c r="CV199" s="255">
        <v>0</v>
      </c>
      <c r="CW199" s="255">
        <v>0</v>
      </c>
      <c r="CX199" s="255">
        <v>0</v>
      </c>
      <c r="CY199" s="255">
        <v>0</v>
      </c>
      <c r="CZ199" s="255">
        <v>0</v>
      </c>
      <c r="DA199" s="255">
        <v>0</v>
      </c>
      <c r="DB199" s="255">
        <v>0</v>
      </c>
      <c r="DC199" s="255">
        <v>0</v>
      </c>
      <c r="DD199" s="255">
        <v>0</v>
      </c>
      <c r="DE199" s="255"/>
      <c r="DF199" s="255">
        <v>0</v>
      </c>
      <c r="DG199" s="255">
        <f>SUM(TBBP[[#This Row],[Coluna287]:[Coluna298]])</f>
        <v>0</v>
      </c>
      <c r="DH199" s="255">
        <v>0</v>
      </c>
      <c r="DI199" s="255">
        <v>0</v>
      </c>
      <c r="DJ199" s="255">
        <v>0</v>
      </c>
      <c r="DK199" s="255">
        <v>0</v>
      </c>
      <c r="DL199" s="255">
        <v>0</v>
      </c>
      <c r="DM199" s="255">
        <v>0</v>
      </c>
      <c r="DP199" s="30">
        <f>IF(OR(MID(TBBP[[#This Row],[Coluna1]],1,1)="1",MID(TBBP[[#This Row],[Coluna1]],1,1)="2"),"-",SUMIFS(199:199,listaPeriodos,$DR$1,listaPeriodos,$DR$2))</f>
        <v>0</v>
      </c>
      <c r="DQ199" s="30"/>
      <c r="DR199" s="30">
        <f t="shared" si="179"/>
        <v>0</v>
      </c>
      <c r="DS199" s="30"/>
      <c r="DT199" s="30"/>
      <c r="DU199"/>
    </row>
    <row r="200" spans="1:125" x14ac:dyDescent="0.3">
      <c r="A200" s="7" t="s">
        <v>387</v>
      </c>
      <c r="B200" t="s">
        <v>522</v>
      </c>
      <c r="C200" s="4">
        <v>0</v>
      </c>
      <c r="D200" s="4">
        <v>0</v>
      </c>
      <c r="E200" s="4">
        <v>0</v>
      </c>
      <c r="F200" s="4">
        <v>0</v>
      </c>
      <c r="G200" s="4">
        <v>-127.69</v>
      </c>
      <c r="H200" s="4">
        <v>-0.80999999999998806</v>
      </c>
      <c r="I200" s="4">
        <v>0</v>
      </c>
      <c r="J200" s="4">
        <v>276.36</v>
      </c>
      <c r="K200" s="4">
        <v>-312.37</v>
      </c>
      <c r="L200" s="4">
        <v>-443.03</v>
      </c>
      <c r="M200" s="4">
        <v>-347.37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f>IF(OR(MID(TBBP[[#This Row],[Coluna1]],1,1)="1",MID(TBBP[[#This Row],[Coluna1]],1,1)="2"),TBBP[[#This Row],[Coluna19]],SUM(H200:S200))</f>
        <v>-827.22</v>
      </c>
      <c r="U200" s="4">
        <v>0</v>
      </c>
      <c r="V200" s="4">
        <v>-281.72000000000003</v>
      </c>
      <c r="W200" s="4">
        <v>-1177.18</v>
      </c>
      <c r="X200" s="4">
        <v>0</v>
      </c>
      <c r="Y200" s="4">
        <v>0</v>
      </c>
      <c r="Z200" s="4">
        <v>0</v>
      </c>
      <c r="AA200" s="4">
        <v>0</v>
      </c>
      <c r="AB200" s="4">
        <v>-104.13</v>
      </c>
      <c r="AC200" s="4">
        <v>-495.08</v>
      </c>
      <c r="AD200" s="4">
        <v>95.87</v>
      </c>
      <c r="AE200" s="4">
        <v>-8.25</v>
      </c>
      <c r="AF200" s="4">
        <v>408.24</v>
      </c>
      <c r="AG200" s="4">
        <f>IF(OR(MID(TBBP[[#This Row],[Coluna1]],1,1)="1",MID(TBBP[[#This Row],[Coluna1]],1,1)="2"),TBBP[[#This Row],[Coluna32]],SUM(U200:AF200))</f>
        <v>-1562.2500000000002</v>
      </c>
      <c r="AH200" s="4">
        <v>-104.13</v>
      </c>
      <c r="AI200" s="4">
        <v>208.25</v>
      </c>
      <c r="AJ200" s="4">
        <v>0</v>
      </c>
      <c r="AK200" s="4">
        <v>0</v>
      </c>
      <c r="AL200" s="4">
        <v>0</v>
      </c>
      <c r="AM200" s="4">
        <v>0</v>
      </c>
      <c r="AN200" s="4">
        <v>0</v>
      </c>
      <c r="AO200" s="4">
        <v>-104.12</v>
      </c>
      <c r="AP200" s="4">
        <v>0</v>
      </c>
      <c r="AQ200" s="4">
        <v>0</v>
      </c>
      <c r="AR200" s="4">
        <v>0</v>
      </c>
      <c r="AS200" s="4">
        <v>0</v>
      </c>
      <c r="AT200" s="4">
        <f>IF(OR(MID(TBBP[[#This Row],[Coluna1]],1,1)="1",MID(TBBP[[#This Row],[Coluna1]],1,1)="2"),TBBP[[#This Row],[Coluna45]],SUM(AH200:AS200))</f>
        <v>0</v>
      </c>
      <c r="AU200" s="4">
        <v>-104.13</v>
      </c>
      <c r="AV200" s="4">
        <v>0</v>
      </c>
      <c r="AW200" s="4">
        <v>0</v>
      </c>
      <c r="AX200" s="4">
        <v>124.96</v>
      </c>
      <c r="AY200" s="4">
        <v>104.12</v>
      </c>
      <c r="AZ200" s="4">
        <v>0</v>
      </c>
      <c r="BA200" s="4">
        <v>52.06</v>
      </c>
      <c r="BB200" s="4">
        <v>52.06</v>
      </c>
      <c r="BC200" s="4">
        <v>-131.21</v>
      </c>
      <c r="BD200" s="4">
        <v>0</v>
      </c>
      <c r="BE200" s="4">
        <v>0</v>
      </c>
      <c r="BF200" s="4">
        <v>0</v>
      </c>
      <c r="BG200" s="4">
        <f>IF(OR(MID(TBBP[[#This Row],[Coluna1]],1,1)="1",MID(TBBP[[#This Row],[Coluna1]],1,1)="2"),TBBP[[#This Row],[Coluna58]],SUM(AU200:BF200))</f>
        <v>97.859999999999985</v>
      </c>
      <c r="BH200" s="4">
        <v>0</v>
      </c>
      <c r="BI200" s="4">
        <v>-131.21</v>
      </c>
      <c r="BJ200" s="4">
        <v>-131.21</v>
      </c>
      <c r="BK200" s="4">
        <v>0</v>
      </c>
      <c r="BL200" s="4">
        <v>0</v>
      </c>
      <c r="BM200" s="4">
        <v>0</v>
      </c>
      <c r="BN200" s="4">
        <v>0</v>
      </c>
      <c r="BO200" s="4">
        <v>0</v>
      </c>
      <c r="BP200" s="4">
        <v>0</v>
      </c>
      <c r="BQ200" s="4">
        <v>0</v>
      </c>
      <c r="BR200" s="4">
        <v>0</v>
      </c>
      <c r="BS200" s="4">
        <v>0</v>
      </c>
      <c r="BT200" s="4">
        <f>IF(OR(MID(TBBP[[#This Row],[Coluna1]],1,1)="1",MID(TBBP[[#This Row],[Coluna1]],1,1)="2"),TBBP[[#This Row],[Coluna127]],SUM(BH200:BS200))</f>
        <v>-262.42</v>
      </c>
      <c r="BU200" s="4">
        <v>0</v>
      </c>
      <c r="BV200" s="4">
        <v>0</v>
      </c>
      <c r="BW200" s="4">
        <v>-293.47000000000003</v>
      </c>
      <c r="BX200" s="4">
        <v>0</v>
      </c>
      <c r="BY200" s="4">
        <v>0</v>
      </c>
      <c r="BZ200" s="4">
        <v>0</v>
      </c>
      <c r="CA200" s="4">
        <v>0</v>
      </c>
      <c r="CB200" s="4">
        <v>0</v>
      </c>
      <c r="CC200" s="4">
        <v>0</v>
      </c>
      <c r="CD200" s="4">
        <v>0</v>
      </c>
      <c r="CE200" s="4">
        <v>0</v>
      </c>
      <c r="CF200" s="4">
        <v>0</v>
      </c>
      <c r="CG200" s="4">
        <f>IF(OR(MID(TBBP[[#This Row],[Coluna1]],1,1)="1",MID(TBBP[[#This Row],[Coluna1]],1,1)="2"),CF200,SUM(BU200:CF200))</f>
        <v>-293.47000000000003</v>
      </c>
      <c r="CH200" s="4">
        <v>0</v>
      </c>
      <c r="CI200" s="4">
        <v>0</v>
      </c>
      <c r="CJ200" s="4">
        <v>0</v>
      </c>
      <c r="CK200" s="4" t="s">
        <v>1134</v>
      </c>
      <c r="CL200" s="4">
        <v>0</v>
      </c>
      <c r="CM200" s="4" t="s">
        <v>1134</v>
      </c>
      <c r="CN200" s="4">
        <v>0</v>
      </c>
      <c r="CO200" s="4">
        <v>0</v>
      </c>
      <c r="CP200" s="4">
        <v>0</v>
      </c>
      <c r="CQ200" s="4" t="s">
        <v>1134</v>
      </c>
      <c r="CR200" s="4" t="s">
        <v>1134</v>
      </c>
      <c r="CS200" s="4" t="s">
        <v>1134</v>
      </c>
      <c r="CT200" s="4">
        <f>IF(OR(MID(TBBP[[#This Row],[Coluna1]],1,1)="1",MID(TBBP[[#This Row],[Coluna1]],1,1)="2"),CS200,SUM(CH200:CS200))</f>
        <v>0</v>
      </c>
      <c r="CU200" s="255">
        <v>0</v>
      </c>
      <c r="CV200" s="255">
        <v>0</v>
      </c>
      <c r="CW200" s="255">
        <v>0</v>
      </c>
      <c r="CX200" s="255">
        <v>0</v>
      </c>
      <c r="CY200" s="255">
        <v>0</v>
      </c>
      <c r="CZ200" s="255">
        <v>0</v>
      </c>
      <c r="DA200" s="255">
        <v>0</v>
      </c>
      <c r="DB200" s="255">
        <v>0</v>
      </c>
      <c r="DC200" s="255">
        <v>0</v>
      </c>
      <c r="DD200" s="255">
        <v>0</v>
      </c>
      <c r="DE200" s="255"/>
      <c r="DF200" s="255">
        <v>0</v>
      </c>
      <c r="DG200" s="255">
        <f>SUM(TBBP[[#This Row],[Coluna287]:[Coluna298]])</f>
        <v>0</v>
      </c>
      <c r="DH200" s="255">
        <v>0</v>
      </c>
      <c r="DI200" s="255">
        <v>0</v>
      </c>
      <c r="DJ200" s="255">
        <v>0</v>
      </c>
      <c r="DK200" s="255">
        <v>0</v>
      </c>
      <c r="DL200" s="255">
        <v>0</v>
      </c>
      <c r="DM200" s="255">
        <v>0</v>
      </c>
      <c r="DP200" s="30">
        <f>IF(OR(MID(TBBP[[#This Row],[Coluna1]],1,1)="1",MID(TBBP[[#This Row],[Coluna1]],1,1)="2"),"-",SUMIFS(200:200,listaPeriodos,$DR$1,listaPeriodos,$DR$2))</f>
        <v>0</v>
      </c>
      <c r="DQ200" s="30"/>
      <c r="DR200" s="30">
        <f t="shared" si="179"/>
        <v>0</v>
      </c>
      <c r="DS200" s="30"/>
      <c r="DT200" s="30"/>
      <c r="DU200"/>
    </row>
    <row r="201" spans="1:125" x14ac:dyDescent="0.3">
      <c r="A201" s="7" t="s">
        <v>388</v>
      </c>
      <c r="B201" t="s">
        <v>543</v>
      </c>
      <c r="C201" s="4">
        <v>0</v>
      </c>
      <c r="D201" s="4">
        <v>0</v>
      </c>
      <c r="E201" s="4">
        <v>0</v>
      </c>
      <c r="F201" s="4">
        <v>0</v>
      </c>
      <c r="G201" s="4">
        <v>-1061105.8400000001</v>
      </c>
      <c r="H201" s="4">
        <v>-83107.429999999993</v>
      </c>
      <c r="I201" s="4">
        <v>-24223.119999999999</v>
      </c>
      <c r="J201" s="4">
        <v>-66401.37</v>
      </c>
      <c r="K201" s="4">
        <v>-26198.58</v>
      </c>
      <c r="L201" s="4">
        <v>-21944.239999999998</v>
      </c>
      <c r="M201" s="4">
        <v>-39409.67</v>
      </c>
      <c r="N201" s="4">
        <v>-88543.71</v>
      </c>
      <c r="O201" s="4">
        <v>-52071.99</v>
      </c>
      <c r="P201" s="4">
        <v>-55155.91</v>
      </c>
      <c r="Q201" s="4">
        <v>-104934.03</v>
      </c>
      <c r="R201" s="4">
        <v>-82140.25</v>
      </c>
      <c r="S201" s="4">
        <v>-31817.56</v>
      </c>
      <c r="T201" s="4">
        <f>IF(OR(MID(TBBP[[#This Row],[Coluna1]],1,1)="1",MID(TBBP[[#This Row],[Coluna1]],1,1)="2"),TBBP[[#This Row],[Coluna19]],SUM(H201:S201))</f>
        <v>-675947.8600000001</v>
      </c>
      <c r="U201" s="4">
        <v>-114568.41</v>
      </c>
      <c r="V201" s="4">
        <v>-70170.36</v>
      </c>
      <c r="W201" s="4">
        <v>-55163.199999999997</v>
      </c>
      <c r="X201" s="4">
        <v>-61072.85</v>
      </c>
      <c r="Y201" s="4">
        <v>-60551.839999999997</v>
      </c>
      <c r="Z201" s="4">
        <v>-58103.49</v>
      </c>
      <c r="AA201" s="4">
        <v>-57550.27</v>
      </c>
      <c r="AB201" s="4">
        <v>-70752.37</v>
      </c>
      <c r="AC201" s="4">
        <v>-31764.63</v>
      </c>
      <c r="AD201" s="4">
        <v>-85757.83</v>
      </c>
      <c r="AE201" s="4">
        <v>-63156.45</v>
      </c>
      <c r="AF201" s="4">
        <v>-64742.389999999992</v>
      </c>
      <c r="AG201" s="4">
        <f>IF(OR(MID(TBBP[[#This Row],[Coluna1]],1,1)="1",MID(TBBP[[#This Row],[Coluna1]],1,1)="2"),TBBP[[#This Row],[Coluna32]],SUM(U201:AF201))</f>
        <v>-793354.09</v>
      </c>
      <c r="AH201" s="4">
        <v>-89545.74</v>
      </c>
      <c r="AI201" s="4">
        <v>-39024.46</v>
      </c>
      <c r="AJ201" s="4">
        <v>-78276.03</v>
      </c>
      <c r="AK201" s="4">
        <v>-53556.520000000004</v>
      </c>
      <c r="AL201" s="4">
        <v>-51507.520000000004</v>
      </c>
      <c r="AM201" s="4">
        <v>-45913.32</v>
      </c>
      <c r="AN201" s="4">
        <v>-57243.97</v>
      </c>
      <c r="AO201" s="4">
        <v>-20744.12</v>
      </c>
      <c r="AP201" s="4">
        <v>-98950.159999999989</v>
      </c>
      <c r="AQ201" s="4">
        <v>-85127.86</v>
      </c>
      <c r="AR201" s="4">
        <v>-91337.84</v>
      </c>
      <c r="AS201" s="4">
        <v>-80935.600000000006</v>
      </c>
      <c r="AT201" s="4">
        <f>IF(OR(MID(TBBP[[#This Row],[Coluna1]],1,1)="1",MID(TBBP[[#This Row],[Coluna1]],1,1)="2"),TBBP[[#This Row],[Coluna45]],SUM(AH201:AS201))</f>
        <v>-792163.14</v>
      </c>
      <c r="AU201" s="4">
        <v>-110404.4</v>
      </c>
      <c r="AV201" s="4">
        <v>-99486.88</v>
      </c>
      <c r="AW201" s="4">
        <v>-169873.99</v>
      </c>
      <c r="AX201" s="4">
        <v>-93215.1</v>
      </c>
      <c r="AY201" s="4">
        <v>-43679.37</v>
      </c>
      <c r="AZ201" s="4">
        <v>-162413.47</v>
      </c>
      <c r="BA201" s="4">
        <v>-180840.63</v>
      </c>
      <c r="BB201" s="4">
        <v>-108296.86</v>
      </c>
      <c r="BC201" s="4">
        <v>-160694.81000000003</v>
      </c>
      <c r="BD201" s="4">
        <v>-157164.16</v>
      </c>
      <c r="BE201" s="4">
        <v>-171784.31999999998</v>
      </c>
      <c r="BF201" s="4">
        <v>-32637.170000000002</v>
      </c>
      <c r="BG201" s="4">
        <f>IF(OR(MID(TBBP[[#This Row],[Coluna1]],1,1)="1",MID(TBBP[[#This Row],[Coluna1]],1,1)="2"),TBBP[[#This Row],[Coluna58]],SUM(AU201:BF201))</f>
        <v>-1490491.16</v>
      </c>
      <c r="BH201" s="4">
        <v>-41376.129999999997</v>
      </c>
      <c r="BI201" s="4">
        <v>-108776.35</v>
      </c>
      <c r="BJ201" s="4">
        <v>-3864.08</v>
      </c>
      <c r="BK201" s="4">
        <v>-265.56</v>
      </c>
      <c r="BL201" s="4">
        <v>-243.06</v>
      </c>
      <c r="BM201" s="4">
        <v>-3263.18</v>
      </c>
      <c r="BN201" s="4">
        <v>-4070.8</v>
      </c>
      <c r="BO201" s="4">
        <v>-75.14</v>
      </c>
      <c r="BP201" s="4">
        <v>-118.23</v>
      </c>
      <c r="BQ201" s="4">
        <v>-1563.14</v>
      </c>
      <c r="BR201" s="4">
        <v>0</v>
      </c>
      <c r="BS201" s="4">
        <v>0</v>
      </c>
      <c r="BT201" s="4">
        <f>IF(OR(MID(TBBP[[#This Row],[Coluna1]],1,1)="1",MID(TBBP[[#This Row],[Coluna1]],1,1)="2"),TBBP[[#This Row],[Coluna127]],SUM(BH201:BS201))</f>
        <v>-163615.67000000001</v>
      </c>
      <c r="BU201" s="4">
        <v>0</v>
      </c>
      <c r="BV201" s="4">
        <v>0</v>
      </c>
      <c r="BW201" s="4">
        <v>0</v>
      </c>
      <c r="BX201" s="4">
        <v>0</v>
      </c>
      <c r="BY201" s="4">
        <v>-483.64</v>
      </c>
      <c r="BZ201" s="4">
        <v>0</v>
      </c>
      <c r="CA201" s="4">
        <v>0</v>
      </c>
      <c r="CB201" s="4">
        <v>0</v>
      </c>
      <c r="CC201" s="4">
        <v>0</v>
      </c>
      <c r="CD201" s="4">
        <v>0</v>
      </c>
      <c r="CE201" s="4">
        <v>0</v>
      </c>
      <c r="CF201" s="4">
        <v>0</v>
      </c>
      <c r="CG201" s="4">
        <f>IF(OR(MID(TBBP[[#This Row],[Coluna1]],1,1)="1",MID(TBBP[[#This Row],[Coluna1]],1,1)="2"),CF201,SUM(BU201:CF201))</f>
        <v>-483.64</v>
      </c>
      <c r="CH201" s="4">
        <v>0</v>
      </c>
      <c r="CI201" s="4">
        <v>0</v>
      </c>
      <c r="CJ201" s="4">
        <v>0</v>
      </c>
      <c r="CK201" s="4">
        <v>-2113.9</v>
      </c>
      <c r="CL201" s="4">
        <v>0</v>
      </c>
      <c r="CM201" s="4">
        <v>-193.92</v>
      </c>
      <c r="CN201" s="4">
        <v>0</v>
      </c>
      <c r="CO201" s="4">
        <v>0</v>
      </c>
      <c r="CP201" s="4">
        <v>-5568.41</v>
      </c>
      <c r="CQ201" s="4">
        <v>-1420.24</v>
      </c>
      <c r="CR201" s="4">
        <v>-3366.83</v>
      </c>
      <c r="CS201" s="4">
        <v>-362.27</v>
      </c>
      <c r="CT201" s="4">
        <f>IF(OR(MID(TBBP[[#This Row],[Coluna1]],1,1)="1",MID(TBBP[[#This Row],[Coluna1]],1,1)="2"),CS201,SUM(CH201:CS201))</f>
        <v>-13025.57</v>
      </c>
      <c r="CU201" s="255">
        <v>0</v>
      </c>
      <c r="CV201" s="255">
        <v>0</v>
      </c>
      <c r="CW201" s="255">
        <v>0</v>
      </c>
      <c r="CX201" s="255">
        <v>0</v>
      </c>
      <c r="CY201" s="255">
        <v>0</v>
      </c>
      <c r="CZ201" s="255">
        <v>0</v>
      </c>
      <c r="DA201" s="255">
        <v>-2543.35</v>
      </c>
      <c r="DB201" s="255">
        <v>0</v>
      </c>
      <c r="DC201" s="255">
        <v>0</v>
      </c>
      <c r="DD201" s="255">
        <v>0</v>
      </c>
      <c r="DE201" s="255">
        <v>0</v>
      </c>
      <c r="DF201" s="255">
        <v>4385.47</v>
      </c>
      <c r="DG201" s="255">
        <f>SUM(TBBP[[#This Row],[Coluna287]:[Coluna298]])</f>
        <v>1842.1200000000003</v>
      </c>
      <c r="DH201" s="255">
        <v>0</v>
      </c>
      <c r="DI201" s="255">
        <v>0</v>
      </c>
      <c r="DJ201" s="255">
        <v>0</v>
      </c>
      <c r="DK201" s="255">
        <v>3807.02</v>
      </c>
      <c r="DL201" s="255">
        <v>-10812.6</v>
      </c>
      <c r="DM201" s="255">
        <v>-3450.94</v>
      </c>
      <c r="DP201" s="30">
        <f>IF(OR(MID(TBBP[[#This Row],[Coluna1]],1,1)="1",MID(TBBP[[#This Row],[Coluna1]],1,1)="2"),"-",SUMIFS(201:201,listaPeriodos,$DR$1,listaPeriodos,$DR$2))</f>
        <v>-10456.52</v>
      </c>
      <c r="DQ201" s="30"/>
      <c r="DR201" s="30">
        <f t="shared" si="179"/>
        <v>0</v>
      </c>
      <c r="DS201" s="30"/>
      <c r="DT201" s="30"/>
      <c r="DU201"/>
    </row>
    <row r="202" spans="1:125" x14ac:dyDescent="0.3">
      <c r="A202" s="7" t="s">
        <v>389</v>
      </c>
      <c r="B202" t="s">
        <v>524</v>
      </c>
      <c r="C202" s="4">
        <v>0</v>
      </c>
      <c r="D202" s="4">
        <v>0</v>
      </c>
      <c r="E202" s="4">
        <v>0</v>
      </c>
      <c r="F202" s="4">
        <v>0</v>
      </c>
      <c r="G202" s="4">
        <v>-132753.54999999999</v>
      </c>
      <c r="H202" s="4">
        <v>-6509.4</v>
      </c>
      <c r="I202" s="4">
        <v>-4500</v>
      </c>
      <c r="J202" s="4">
        <v>-7163.33</v>
      </c>
      <c r="K202" s="4">
        <v>0</v>
      </c>
      <c r="L202" s="4">
        <v>-1240</v>
      </c>
      <c r="M202" s="4">
        <v>-620</v>
      </c>
      <c r="N202" s="4">
        <v>-620</v>
      </c>
      <c r="O202" s="4">
        <v>-620</v>
      </c>
      <c r="P202" s="4">
        <v>-620</v>
      </c>
      <c r="Q202" s="4">
        <v>0</v>
      </c>
      <c r="R202" s="4">
        <v>-1330</v>
      </c>
      <c r="S202" s="4">
        <v>-620</v>
      </c>
      <c r="T202" s="4">
        <f>IF(OR(MID(TBBP[[#This Row],[Coluna1]],1,1)="1",MID(TBBP[[#This Row],[Coluna1]],1,1)="2"),TBBP[[#This Row],[Coluna19]],SUM(H202:S202))</f>
        <v>-23842.73</v>
      </c>
      <c r="U202" s="4">
        <v>-728.69</v>
      </c>
      <c r="V202" s="4">
        <v>-108.69</v>
      </c>
      <c r="W202" s="4">
        <v>-1348.69</v>
      </c>
      <c r="X202" s="4">
        <v>-2308.69</v>
      </c>
      <c r="Y202" s="4">
        <v>-728.69</v>
      </c>
      <c r="Z202" s="4">
        <v>-1348.69</v>
      </c>
      <c r="AA202" s="4">
        <v>-728.69</v>
      </c>
      <c r="AB202" s="4">
        <v>-728.69</v>
      </c>
      <c r="AC202" s="4">
        <v>-1348.69</v>
      </c>
      <c r="AD202" s="4">
        <v>-728.69</v>
      </c>
      <c r="AE202" s="4">
        <v>-728.69</v>
      </c>
      <c r="AF202" s="4">
        <v>-21833.25</v>
      </c>
      <c r="AG202" s="4">
        <f>IF(OR(MID(TBBP[[#This Row],[Coluna1]],1,1)="1",MID(TBBP[[#This Row],[Coluna1]],1,1)="2"),TBBP[[#This Row],[Coluna32]],SUM(U202:AF202))</f>
        <v>-32668.840000000004</v>
      </c>
      <c r="AH202" s="4">
        <v>-933.25</v>
      </c>
      <c r="AI202" s="4">
        <v>-1373.25</v>
      </c>
      <c r="AJ202" s="4">
        <v>-133.25</v>
      </c>
      <c r="AK202" s="4">
        <v>-753.25</v>
      </c>
      <c r="AL202" s="4">
        <v>-780</v>
      </c>
      <c r="AM202" s="4">
        <v>-780</v>
      </c>
      <c r="AN202" s="4">
        <v>-1400</v>
      </c>
      <c r="AO202" s="4">
        <v>-780</v>
      </c>
      <c r="AP202" s="4">
        <v>-780</v>
      </c>
      <c r="AQ202" s="4">
        <v>-780</v>
      </c>
      <c r="AR202" s="4">
        <v>-60780</v>
      </c>
      <c r="AS202" s="4">
        <v>-780</v>
      </c>
      <c r="AT202" s="4">
        <f>IF(OR(MID(TBBP[[#This Row],[Coluna1]],1,1)="1",MID(TBBP[[#This Row],[Coluna1]],1,1)="2"),TBBP[[#This Row],[Coluna45]],SUM(AH202:AS202))</f>
        <v>-70053</v>
      </c>
      <c r="AU202" s="4">
        <v>-199.23</v>
      </c>
      <c r="AV202" s="4">
        <v>-819.23</v>
      </c>
      <c r="AW202" s="4">
        <v>-819.23</v>
      </c>
      <c r="AX202" s="4">
        <v>-819.23</v>
      </c>
      <c r="AY202" s="4">
        <v>-199.23</v>
      </c>
      <c r="AZ202" s="4">
        <v>-6419.23</v>
      </c>
      <c r="BA202" s="4">
        <v>-224.23</v>
      </c>
      <c r="BB202" s="4">
        <v>-5319.23</v>
      </c>
      <c r="BC202" s="4">
        <v>-27169.23</v>
      </c>
      <c r="BD202" s="4">
        <v>-82707.17</v>
      </c>
      <c r="BE202" s="4">
        <v>-29012.17</v>
      </c>
      <c r="BF202" s="4">
        <v>-5556</v>
      </c>
      <c r="BG202" s="4">
        <f>IF(OR(MID(TBBP[[#This Row],[Coluna1]],1,1)="1",MID(TBBP[[#This Row],[Coluna1]],1,1)="2"),TBBP[[#This Row],[Coluna58]],SUM(AU202:BF202))</f>
        <v>-159263.40999999997</v>
      </c>
      <c r="BH202" s="4">
        <v>-243.06</v>
      </c>
      <c r="BI202" s="4">
        <v>0</v>
      </c>
      <c r="BJ202" s="4">
        <v>-243.06</v>
      </c>
      <c r="BK202" s="4">
        <v>-243.06</v>
      </c>
      <c r="BL202" s="4">
        <v>-243.06</v>
      </c>
      <c r="BM202" s="4">
        <v>-486.12</v>
      </c>
      <c r="BN202" s="4">
        <v>0</v>
      </c>
      <c r="BO202" s="4">
        <v>0</v>
      </c>
      <c r="BP202" s="4">
        <v>0</v>
      </c>
      <c r="BQ202" s="4">
        <v>0</v>
      </c>
      <c r="BR202" s="4">
        <v>0</v>
      </c>
      <c r="BS202" s="4">
        <v>0</v>
      </c>
      <c r="BT202" s="4">
        <f>IF(OR(MID(TBBP[[#This Row],[Coluna1]],1,1)="1",MID(TBBP[[#This Row],[Coluna1]],1,1)="2"),TBBP[[#This Row],[Coluna127]],SUM(BH202:BS202))</f>
        <v>-1458.3600000000001</v>
      </c>
      <c r="BU202" s="4">
        <v>0</v>
      </c>
      <c r="BV202" s="4">
        <v>0</v>
      </c>
      <c r="BW202" s="4">
        <v>0</v>
      </c>
      <c r="BX202" s="4">
        <v>0</v>
      </c>
      <c r="BY202" s="4">
        <v>0</v>
      </c>
      <c r="BZ202" s="4">
        <v>0</v>
      </c>
      <c r="CA202" s="4">
        <v>0</v>
      </c>
      <c r="CB202" s="4">
        <v>0</v>
      </c>
      <c r="CC202" s="4">
        <v>0</v>
      </c>
      <c r="CD202" s="4">
        <v>0</v>
      </c>
      <c r="CE202" s="4">
        <v>0</v>
      </c>
      <c r="CF202" s="4">
        <v>0</v>
      </c>
      <c r="CG202" s="4">
        <f>IF(OR(MID(TBBP[[#This Row],[Coluna1]],1,1)="1",MID(TBBP[[#This Row],[Coluna1]],1,1)="2"),CF202,SUM(BU202:CF202))</f>
        <v>0</v>
      </c>
      <c r="CH202" s="4">
        <v>0</v>
      </c>
      <c r="CI202" s="4">
        <v>0</v>
      </c>
      <c r="CJ202" s="4">
        <v>0</v>
      </c>
      <c r="CK202" s="4" t="s">
        <v>1134</v>
      </c>
      <c r="CL202" s="4">
        <v>0</v>
      </c>
      <c r="CM202" s="4" t="s">
        <v>1134</v>
      </c>
      <c r="CN202" s="4">
        <v>0</v>
      </c>
      <c r="CO202" s="4">
        <v>0</v>
      </c>
      <c r="CP202" s="4">
        <v>0</v>
      </c>
      <c r="CQ202" s="4" t="s">
        <v>1134</v>
      </c>
      <c r="CR202" s="4" t="s">
        <v>1134</v>
      </c>
      <c r="CS202" s="4" t="s">
        <v>1134</v>
      </c>
      <c r="CT202" s="4">
        <f>IF(OR(MID(TBBP[[#This Row],[Coluna1]],1,1)="1",MID(TBBP[[#This Row],[Coluna1]],1,1)="2"),CS202,SUM(CH202:CS202))</f>
        <v>0</v>
      </c>
      <c r="CU202" s="255">
        <v>0</v>
      </c>
      <c r="CV202" s="255">
        <v>0</v>
      </c>
      <c r="CW202" s="255">
        <v>0</v>
      </c>
      <c r="CX202" s="255">
        <v>0</v>
      </c>
      <c r="CY202" s="255">
        <v>0</v>
      </c>
      <c r="CZ202" s="255">
        <v>0</v>
      </c>
      <c r="DA202" s="255">
        <v>0</v>
      </c>
      <c r="DB202" s="255">
        <v>0</v>
      </c>
      <c r="DC202" s="255">
        <v>0</v>
      </c>
      <c r="DD202" s="255">
        <v>0</v>
      </c>
      <c r="DE202" s="255"/>
      <c r="DF202" s="255">
        <v>0</v>
      </c>
      <c r="DG202" s="255">
        <f>SUM(TBBP[[#This Row],[Coluna287]:[Coluna298]])</f>
        <v>0</v>
      </c>
      <c r="DH202" s="255">
        <v>0</v>
      </c>
      <c r="DI202" s="255">
        <v>0</v>
      </c>
      <c r="DJ202" s="255">
        <v>0</v>
      </c>
      <c r="DK202" s="255">
        <v>0</v>
      </c>
      <c r="DL202" s="255">
        <v>0</v>
      </c>
      <c r="DM202" s="255">
        <v>0</v>
      </c>
      <c r="DP202" s="30">
        <f>IF(OR(MID(TBBP[[#This Row],[Coluna1]],1,1)="1",MID(TBBP[[#This Row],[Coluna1]],1,1)="2"),"-",SUMIFS(202:202,listaPeriodos,$DR$1,listaPeriodos,$DR$2))</f>
        <v>0</v>
      </c>
      <c r="DQ202" s="30"/>
      <c r="DR202" s="30">
        <f t="shared" si="179"/>
        <v>0</v>
      </c>
      <c r="DS202" s="30"/>
      <c r="DT202" s="30"/>
      <c r="DU202"/>
    </row>
    <row r="203" spans="1:125" x14ac:dyDescent="0.3">
      <c r="A203" s="7" t="s">
        <v>390</v>
      </c>
      <c r="B203" t="s">
        <v>544</v>
      </c>
      <c r="C203" s="4">
        <v>0</v>
      </c>
      <c r="D203" s="4">
        <v>0</v>
      </c>
      <c r="E203" s="4">
        <v>0</v>
      </c>
      <c r="F203" s="4">
        <v>0</v>
      </c>
      <c r="G203" s="4">
        <v>-452944.9</v>
      </c>
      <c r="H203" s="4">
        <v>-53783.85</v>
      </c>
      <c r="I203" s="4">
        <v>0</v>
      </c>
      <c r="J203" s="4">
        <v>-35619.199999999997</v>
      </c>
      <c r="K203" s="4">
        <v>887.31</v>
      </c>
      <c r="L203" s="4">
        <v>0</v>
      </c>
      <c r="M203" s="4">
        <v>-26938.85</v>
      </c>
      <c r="N203" s="4">
        <v>-72314.42</v>
      </c>
      <c r="O203" s="4">
        <v>-29233.67</v>
      </c>
      <c r="P203" s="4">
        <v>-7342.61</v>
      </c>
      <c r="Q203" s="4">
        <v>-56843.81</v>
      </c>
      <c r="R203" s="4">
        <v>-27156.47</v>
      </c>
      <c r="S203" s="4">
        <v>0</v>
      </c>
      <c r="T203" s="4">
        <f>IF(OR(MID(TBBP[[#This Row],[Coluna1]],1,1)="1",MID(TBBP[[#This Row],[Coluna1]],1,1)="2"),TBBP[[#This Row],[Coluna19]],SUM(H203:S203))</f>
        <v>-308345.56999999995</v>
      </c>
      <c r="U203" s="4">
        <v>-75585.990000000005</v>
      </c>
      <c r="V203" s="4">
        <v>-35136.639999999999</v>
      </c>
      <c r="W203" s="4">
        <v>-33518.050000000003</v>
      </c>
      <c r="X203" s="4">
        <v>-29694.560000000001</v>
      </c>
      <c r="Y203" s="4">
        <v>-23127.84</v>
      </c>
      <c r="Z203" s="4">
        <v>-28659.02</v>
      </c>
      <c r="AA203" s="4">
        <v>-27350.639999999999</v>
      </c>
      <c r="AB203" s="4">
        <v>-28750.54</v>
      </c>
      <c r="AC203" s="4">
        <v>-12245.31</v>
      </c>
      <c r="AD203" s="4">
        <v>-14665.83</v>
      </c>
      <c r="AE203" s="4">
        <v>-13753.86</v>
      </c>
      <c r="AF203" s="4">
        <v>1374.26</v>
      </c>
      <c r="AG203" s="4">
        <f>IF(OR(MID(TBBP[[#This Row],[Coluna1]],1,1)="1",MID(TBBP[[#This Row],[Coluna1]],1,1)="2"),TBBP[[#This Row],[Coluna32]],SUM(U203:AF203))</f>
        <v>-321114.01999999996</v>
      </c>
      <c r="AH203" s="4">
        <v>-36856.800000000003</v>
      </c>
      <c r="AI203" s="4">
        <v>-2640</v>
      </c>
      <c r="AJ203" s="4">
        <v>-41505.160000000003</v>
      </c>
      <c r="AK203" s="4">
        <v>0</v>
      </c>
      <c r="AL203" s="4">
        <v>-27560.33</v>
      </c>
      <c r="AM203" s="4">
        <v>-17483.12</v>
      </c>
      <c r="AN203" s="4">
        <v>-23571.7</v>
      </c>
      <c r="AO203" s="4">
        <v>0</v>
      </c>
      <c r="AP203" s="4">
        <v>-53635.98</v>
      </c>
      <c r="AQ203" s="4">
        <v>-25534.51</v>
      </c>
      <c r="AR203" s="4">
        <v>0</v>
      </c>
      <c r="AS203" s="4">
        <v>0</v>
      </c>
      <c r="AT203" s="4">
        <f>IF(OR(MID(TBBP[[#This Row],[Coluna1]],1,1)="1",MID(TBBP[[#This Row],[Coluna1]],1,1)="2"),TBBP[[#This Row],[Coluna45]],SUM(AH203:AS203))</f>
        <v>-228787.60000000003</v>
      </c>
      <c r="AU203" s="4">
        <v>-70906.42</v>
      </c>
      <c r="AV203" s="4">
        <v>-24286.46</v>
      </c>
      <c r="AW203" s="4">
        <v>-105654.37</v>
      </c>
      <c r="AX203" s="4">
        <v>-2160</v>
      </c>
      <c r="AY203" s="4">
        <v>0</v>
      </c>
      <c r="AZ203" s="4">
        <v>-44825.19</v>
      </c>
      <c r="BA203" s="4">
        <v>-70059.69</v>
      </c>
      <c r="BB203" s="4">
        <v>-22153.89</v>
      </c>
      <c r="BC203" s="4">
        <v>-46232.89</v>
      </c>
      <c r="BD203" s="4">
        <v>-2991.13</v>
      </c>
      <c r="BE203" s="4">
        <v>-80174.3</v>
      </c>
      <c r="BF203" s="4">
        <v>-2567.5600000000004</v>
      </c>
      <c r="BG203" s="4">
        <f>IF(OR(MID(TBBP[[#This Row],[Coluna1]],1,1)="1",MID(TBBP[[#This Row],[Coluna1]],1,1)="2"),TBBP[[#This Row],[Coluna58]],SUM(AU203:BF203))</f>
        <v>-472011.9</v>
      </c>
      <c r="BH203" s="4">
        <v>0</v>
      </c>
      <c r="BI203" s="4">
        <v>-86098.76</v>
      </c>
      <c r="BJ203" s="4">
        <v>0</v>
      </c>
      <c r="BK203" s="4">
        <v>0</v>
      </c>
      <c r="BL203" s="4">
        <v>0</v>
      </c>
      <c r="BM203" s="4">
        <v>0</v>
      </c>
      <c r="BN203" s="4">
        <v>0</v>
      </c>
      <c r="BO203" s="4">
        <v>0</v>
      </c>
      <c r="BP203" s="4">
        <v>0</v>
      </c>
      <c r="BQ203" s="4">
        <v>0</v>
      </c>
      <c r="BR203" s="4">
        <v>0</v>
      </c>
      <c r="BS203" s="4">
        <v>0</v>
      </c>
      <c r="BT203" s="4">
        <f>IF(OR(MID(TBBP[[#This Row],[Coluna1]],1,1)="1",MID(TBBP[[#This Row],[Coluna1]],1,1)="2"),TBBP[[#This Row],[Coluna127]],SUM(BH203:BS203))</f>
        <v>-86098.76</v>
      </c>
      <c r="BU203" s="4">
        <v>0</v>
      </c>
      <c r="BV203" s="4">
        <v>0</v>
      </c>
      <c r="BW203" s="4">
        <v>0</v>
      </c>
      <c r="BX203" s="4">
        <v>0</v>
      </c>
      <c r="BY203" s="4">
        <v>0</v>
      </c>
      <c r="BZ203" s="4">
        <v>0</v>
      </c>
      <c r="CA203" s="4">
        <v>0</v>
      </c>
      <c r="CB203" s="4">
        <v>0</v>
      </c>
      <c r="CC203" s="4">
        <v>0</v>
      </c>
      <c r="CD203" s="4">
        <v>0</v>
      </c>
      <c r="CE203" s="4">
        <v>0</v>
      </c>
      <c r="CF203" s="4">
        <v>0</v>
      </c>
      <c r="CG203" s="4">
        <f>IF(OR(MID(TBBP[[#This Row],[Coluna1]],1,1)="1",MID(TBBP[[#This Row],[Coluna1]],1,1)="2"),CF203,SUM(BU203:CF203))</f>
        <v>0</v>
      </c>
      <c r="CH203" s="4">
        <v>0</v>
      </c>
      <c r="CI203" s="4">
        <v>0</v>
      </c>
      <c r="CJ203" s="4">
        <v>0</v>
      </c>
      <c r="CK203" s="4" t="s">
        <v>1134</v>
      </c>
      <c r="CL203" s="4">
        <v>0</v>
      </c>
      <c r="CM203" s="4" t="s">
        <v>1134</v>
      </c>
      <c r="CN203" s="4">
        <v>0</v>
      </c>
      <c r="CO203" s="4">
        <v>0</v>
      </c>
      <c r="CP203" s="4">
        <v>0</v>
      </c>
      <c r="CQ203" s="4" t="s">
        <v>1134</v>
      </c>
      <c r="CR203" s="4" t="s">
        <v>1134</v>
      </c>
      <c r="CS203" s="4" t="s">
        <v>1134</v>
      </c>
      <c r="CT203" s="4">
        <f>IF(OR(MID(TBBP[[#This Row],[Coluna1]],1,1)="1",MID(TBBP[[#This Row],[Coluna1]],1,1)="2"),CS203,SUM(CH203:CS203))</f>
        <v>0</v>
      </c>
      <c r="CU203" s="255">
        <v>0</v>
      </c>
      <c r="CV203" s="255">
        <v>0</v>
      </c>
      <c r="CW203" s="255">
        <v>0</v>
      </c>
      <c r="CX203" s="255">
        <v>0</v>
      </c>
      <c r="CY203" s="255">
        <v>0</v>
      </c>
      <c r="CZ203" s="255">
        <v>0</v>
      </c>
      <c r="DA203" s="255">
        <v>0</v>
      </c>
      <c r="DB203" s="255">
        <v>0</v>
      </c>
      <c r="DC203" s="255">
        <v>0</v>
      </c>
      <c r="DD203" s="255">
        <v>0</v>
      </c>
      <c r="DE203" s="255"/>
      <c r="DF203" s="255">
        <v>4385.47</v>
      </c>
      <c r="DG203" s="255">
        <f>SUM(TBBP[[#This Row],[Coluna287]:[Coluna298]])</f>
        <v>4385.47</v>
      </c>
      <c r="DH203" s="255">
        <v>0</v>
      </c>
      <c r="DI203" s="255">
        <v>0</v>
      </c>
      <c r="DJ203" s="255">
        <v>0</v>
      </c>
      <c r="DK203" s="255">
        <v>3807.02</v>
      </c>
      <c r="DL203" s="255">
        <v>-10812.6</v>
      </c>
      <c r="DM203" s="255">
        <v>-3450.94</v>
      </c>
      <c r="DP203" s="30">
        <f>IF(OR(MID(TBBP[[#This Row],[Coluna1]],1,1)="1",MID(TBBP[[#This Row],[Coluna1]],1,1)="2"),"-",SUMIFS(203:203,listaPeriodos,$DR$1,listaPeriodos,$DR$2))</f>
        <v>-10456.52</v>
      </c>
      <c r="DQ203" s="30"/>
      <c r="DR203" s="30">
        <f t="shared" si="179"/>
        <v>0</v>
      </c>
      <c r="DS203" s="30"/>
      <c r="DT203" s="30"/>
      <c r="DU203"/>
    </row>
    <row r="204" spans="1:125" x14ac:dyDescent="0.3">
      <c r="A204" s="7" t="s">
        <v>391</v>
      </c>
      <c r="B204" t="s">
        <v>525</v>
      </c>
      <c r="C204" s="4">
        <v>0</v>
      </c>
      <c r="D204" s="4">
        <v>0</v>
      </c>
      <c r="E204" s="4">
        <v>0</v>
      </c>
      <c r="F204" s="4">
        <v>0</v>
      </c>
      <c r="G204" s="4">
        <v>-63626.47</v>
      </c>
      <c r="H204" s="4">
        <v>0</v>
      </c>
      <c r="I204" s="4">
        <v>0</v>
      </c>
      <c r="J204" s="4">
        <v>-54.23</v>
      </c>
      <c r="K204" s="4">
        <v>-5000</v>
      </c>
      <c r="L204" s="4">
        <v>-1330</v>
      </c>
      <c r="M204" s="4">
        <v>0</v>
      </c>
      <c r="N204" s="4">
        <v>-770.18</v>
      </c>
      <c r="O204" s="4">
        <v>-358.35</v>
      </c>
      <c r="P204" s="4">
        <v>-2091.7600000000002</v>
      </c>
      <c r="Q204" s="4">
        <v>-3696.04</v>
      </c>
      <c r="R204" s="4">
        <v>-8964.7199999999993</v>
      </c>
      <c r="S204" s="4">
        <v>0</v>
      </c>
      <c r="T204" s="4">
        <f>IF(OR(MID(TBBP[[#This Row],[Coluna1]],1,1)="1",MID(TBBP[[#This Row],[Coluna1]],1,1)="2"),TBBP[[#This Row],[Coluna19]],SUM(H204:S204))</f>
        <v>-22265.279999999999</v>
      </c>
      <c r="U204" s="4">
        <v>-2500</v>
      </c>
      <c r="V204" s="4">
        <v>-4665</v>
      </c>
      <c r="W204" s="4">
        <v>-1250.6099999999999</v>
      </c>
      <c r="X204" s="4">
        <v>0</v>
      </c>
      <c r="Y204" s="4">
        <v>-1067.17</v>
      </c>
      <c r="Z204" s="4">
        <v>-704.9</v>
      </c>
      <c r="AA204" s="4">
        <v>-779.1</v>
      </c>
      <c r="AB204" s="4">
        <v>-16750.990000000002</v>
      </c>
      <c r="AC204" s="4">
        <v>-4217.54</v>
      </c>
      <c r="AD204" s="4">
        <v>-933.79</v>
      </c>
      <c r="AE204" s="4">
        <v>-2051.1</v>
      </c>
      <c r="AF204" s="4">
        <v>-12124.7</v>
      </c>
      <c r="AG204" s="4">
        <f>IF(OR(MID(TBBP[[#This Row],[Coluna1]],1,1)="1",MID(TBBP[[#This Row],[Coluna1]],1,1)="2"),TBBP[[#This Row],[Coluna32]],SUM(U204:AF204))</f>
        <v>-47044.900000000009</v>
      </c>
      <c r="AH204" s="4">
        <v>-1045.0899999999999</v>
      </c>
      <c r="AI204" s="4">
        <v>-3397.84</v>
      </c>
      <c r="AJ204" s="4">
        <v>-4700</v>
      </c>
      <c r="AK204" s="4">
        <v>-10256.83</v>
      </c>
      <c r="AL204" s="4">
        <v>0</v>
      </c>
      <c r="AM204" s="4">
        <v>-7567.42</v>
      </c>
      <c r="AN204" s="4">
        <v>-440.1</v>
      </c>
      <c r="AO204" s="4">
        <v>-53.88</v>
      </c>
      <c r="AP204" s="4">
        <v>-11156.8</v>
      </c>
      <c r="AQ204" s="4">
        <v>-18299.21</v>
      </c>
      <c r="AR204" s="4">
        <v>-2000</v>
      </c>
      <c r="AS204" s="4">
        <v>-2840</v>
      </c>
      <c r="AT204" s="4">
        <f>IF(OR(MID(TBBP[[#This Row],[Coluna1]],1,1)="1",MID(TBBP[[#This Row],[Coluna1]],1,1)="2"),TBBP[[#This Row],[Coluna45]],SUM(AH204:AS204))</f>
        <v>-61757.17</v>
      </c>
      <c r="AU204" s="4">
        <v>0</v>
      </c>
      <c r="AV204" s="4">
        <v>-3000</v>
      </c>
      <c r="AW204" s="4">
        <v>0</v>
      </c>
      <c r="AX204" s="4">
        <v>-850</v>
      </c>
      <c r="AY204" s="4">
        <v>0</v>
      </c>
      <c r="AZ204" s="4">
        <v>0</v>
      </c>
      <c r="BA204" s="4">
        <v>-4289.34</v>
      </c>
      <c r="BB204" s="4">
        <v>-9000</v>
      </c>
      <c r="BC204" s="4">
        <v>0</v>
      </c>
      <c r="BD204" s="4">
        <v>-207.87</v>
      </c>
      <c r="BE204" s="4">
        <v>-1500</v>
      </c>
      <c r="BF204" s="4">
        <v>0</v>
      </c>
      <c r="BG204" s="4">
        <f>IF(OR(MID(TBBP[[#This Row],[Coluna1]],1,1)="1",MID(TBBP[[#This Row],[Coluna1]],1,1)="2"),TBBP[[#This Row],[Coluna58]],SUM(AU204:BF204))</f>
        <v>-18847.21</v>
      </c>
      <c r="BH204" s="4">
        <v>-18368.669999999998</v>
      </c>
      <c r="BI204" s="4">
        <v>-15714.99</v>
      </c>
      <c r="BJ204" s="4">
        <v>0</v>
      </c>
      <c r="BK204" s="4">
        <v>0</v>
      </c>
      <c r="BL204" s="4">
        <v>0</v>
      </c>
      <c r="BM204" s="4">
        <v>0</v>
      </c>
      <c r="BN204" s="4">
        <v>0</v>
      </c>
      <c r="BO204" s="4">
        <v>0</v>
      </c>
      <c r="BP204" s="4">
        <v>0</v>
      </c>
      <c r="BQ204" s="4">
        <v>0</v>
      </c>
      <c r="BR204" s="4">
        <v>0</v>
      </c>
      <c r="BS204" s="4">
        <v>0</v>
      </c>
      <c r="BT204" s="4">
        <f>IF(OR(MID(TBBP[[#This Row],[Coluna1]],1,1)="1",MID(TBBP[[#This Row],[Coluna1]],1,1)="2"),TBBP[[#This Row],[Coluna127]],SUM(BH204:BS204))</f>
        <v>-34083.659999999996</v>
      </c>
      <c r="BU204" s="4">
        <v>0</v>
      </c>
      <c r="BV204" s="4">
        <v>0</v>
      </c>
      <c r="BW204" s="4">
        <v>0</v>
      </c>
      <c r="BX204" s="4">
        <v>0</v>
      </c>
      <c r="BY204" s="4">
        <v>0</v>
      </c>
      <c r="BZ204" s="4">
        <v>0</v>
      </c>
      <c r="CA204" s="4">
        <v>0</v>
      </c>
      <c r="CB204" s="4">
        <v>0</v>
      </c>
      <c r="CC204" s="4">
        <v>0</v>
      </c>
      <c r="CD204" s="4">
        <v>0</v>
      </c>
      <c r="CE204" s="4">
        <v>0</v>
      </c>
      <c r="CF204" s="4">
        <v>0</v>
      </c>
      <c r="CG204" s="4">
        <f>IF(OR(MID(TBBP[[#This Row],[Coluna1]],1,1)="1",MID(TBBP[[#This Row],[Coluna1]],1,1)="2"),CF204,SUM(BU204:CF204))</f>
        <v>0</v>
      </c>
      <c r="CH204" s="4">
        <v>0</v>
      </c>
      <c r="CI204" s="4">
        <v>0</v>
      </c>
      <c r="CJ204" s="4">
        <v>0</v>
      </c>
      <c r="CK204" s="4">
        <v>-441.3</v>
      </c>
      <c r="CL204" s="4">
        <v>0</v>
      </c>
      <c r="CM204" s="4">
        <v>-193.92</v>
      </c>
      <c r="CN204" s="4">
        <v>0</v>
      </c>
      <c r="CO204" s="4">
        <v>0</v>
      </c>
      <c r="CP204" s="4">
        <v>-495.49</v>
      </c>
      <c r="CQ204" s="4">
        <v>0</v>
      </c>
      <c r="CR204" s="4">
        <v>0</v>
      </c>
      <c r="CS204" s="4">
        <v>0</v>
      </c>
      <c r="CT204" s="4">
        <f>IF(OR(MID(TBBP[[#This Row],[Coluna1]],1,1)="1",MID(TBBP[[#This Row],[Coluna1]],1,1)="2"),CS204,SUM(CH204:CS204))</f>
        <v>-1130.71</v>
      </c>
      <c r="CU204" s="255">
        <v>0</v>
      </c>
      <c r="CV204" s="255">
        <v>0</v>
      </c>
      <c r="CW204" s="255">
        <v>0</v>
      </c>
      <c r="CX204" s="255">
        <v>0</v>
      </c>
      <c r="CY204" s="255">
        <v>0</v>
      </c>
      <c r="CZ204" s="255">
        <v>0</v>
      </c>
      <c r="DA204" s="255">
        <v>0</v>
      </c>
      <c r="DB204" s="255">
        <v>0</v>
      </c>
      <c r="DC204" s="255">
        <v>0</v>
      </c>
      <c r="DD204" s="255">
        <v>0</v>
      </c>
      <c r="DE204" s="255"/>
      <c r="DF204" s="255">
        <v>0</v>
      </c>
      <c r="DG204" s="255">
        <f>SUM(TBBP[[#This Row],[Coluna287]:[Coluna298]])</f>
        <v>0</v>
      </c>
      <c r="DH204" s="255">
        <v>0</v>
      </c>
      <c r="DI204" s="255">
        <v>0</v>
      </c>
      <c r="DJ204" s="255">
        <v>0</v>
      </c>
      <c r="DK204" s="255">
        <v>0</v>
      </c>
      <c r="DL204" s="255">
        <v>0</v>
      </c>
      <c r="DM204" s="255">
        <v>0</v>
      </c>
      <c r="DP204" s="30">
        <f>IF(OR(MID(TBBP[[#This Row],[Coluna1]],1,1)="1",MID(TBBP[[#This Row],[Coluna1]],1,1)="2"),"-",SUMIFS(204:204,listaPeriodos,$DR$1,listaPeriodos,$DR$2))</f>
        <v>0</v>
      </c>
      <c r="DQ204" s="30"/>
      <c r="DR204" s="30">
        <f t="shared" si="179"/>
        <v>0</v>
      </c>
      <c r="DS204" s="30"/>
      <c r="DT204" s="30"/>
      <c r="DU204"/>
    </row>
    <row r="205" spans="1:125" x14ac:dyDescent="0.3">
      <c r="A205" s="7" t="s">
        <v>392</v>
      </c>
      <c r="B205" t="s">
        <v>527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f>IF(OR(MID(TBBP[[#This Row],[Coluna1]],1,1)="1",MID(TBBP[[#This Row],[Coluna1]],1,1)="2"),TBBP[[#This Row],[Coluna19]],SUM(H205:S205))</f>
        <v>0</v>
      </c>
      <c r="U205" s="4">
        <v>0</v>
      </c>
      <c r="V205" s="4">
        <v>0</v>
      </c>
      <c r="W205" s="4">
        <v>0</v>
      </c>
      <c r="X205" s="4">
        <v>0</v>
      </c>
      <c r="Y205" s="4">
        <v>-124.39</v>
      </c>
      <c r="Z205" s="4">
        <v>0</v>
      </c>
      <c r="AA205" s="4">
        <v>-312.58</v>
      </c>
      <c r="AB205" s="4">
        <v>0</v>
      </c>
      <c r="AC205" s="4">
        <v>-160</v>
      </c>
      <c r="AD205" s="4">
        <v>0</v>
      </c>
      <c r="AE205" s="4">
        <v>-262.33</v>
      </c>
      <c r="AF205" s="4">
        <v>0</v>
      </c>
      <c r="AG205" s="4">
        <f>IF(OR(MID(TBBP[[#This Row],[Coluna1]],1,1)="1",MID(TBBP[[#This Row],[Coluna1]],1,1)="2"),TBBP[[#This Row],[Coluna32]],SUM(U205:AF205))</f>
        <v>-859.3</v>
      </c>
      <c r="AH205" s="4">
        <v>0</v>
      </c>
      <c r="AI205" s="4">
        <v>0</v>
      </c>
      <c r="AJ205" s="4">
        <v>0</v>
      </c>
      <c r="AK205" s="4">
        <v>0</v>
      </c>
      <c r="AL205" s="4">
        <v>0</v>
      </c>
      <c r="AM205" s="4">
        <v>0</v>
      </c>
      <c r="AN205" s="4">
        <v>0</v>
      </c>
      <c r="AO205" s="4">
        <v>0</v>
      </c>
      <c r="AP205" s="4">
        <v>0</v>
      </c>
      <c r="AQ205" s="4">
        <v>0</v>
      </c>
      <c r="AR205" s="4">
        <v>0</v>
      </c>
      <c r="AS205" s="4">
        <v>0</v>
      </c>
      <c r="AT205" s="4">
        <f>IF(OR(MID(TBBP[[#This Row],[Coluna1]],1,1)="1",MID(TBBP[[#This Row],[Coluna1]],1,1)="2"),TBBP[[#This Row],[Coluna45]],SUM(AH205:AS205))</f>
        <v>0</v>
      </c>
      <c r="AU205" s="4">
        <v>0</v>
      </c>
      <c r="AV205" s="4">
        <v>0</v>
      </c>
      <c r="AW205" s="4">
        <v>0</v>
      </c>
      <c r="AX205" s="4">
        <v>0</v>
      </c>
      <c r="AY205" s="4">
        <v>0</v>
      </c>
      <c r="AZ205" s="4">
        <v>0</v>
      </c>
      <c r="BA205" s="4">
        <v>0</v>
      </c>
      <c r="BB205" s="4">
        <v>0</v>
      </c>
      <c r="BC205" s="4">
        <v>0</v>
      </c>
      <c r="BD205" s="4">
        <v>0</v>
      </c>
      <c r="BE205" s="4">
        <v>0</v>
      </c>
      <c r="BF205" s="4">
        <v>0</v>
      </c>
      <c r="BG205" s="4">
        <f>IF(OR(MID(TBBP[[#This Row],[Coluna1]],1,1)="1",MID(TBBP[[#This Row],[Coluna1]],1,1)="2"),TBBP[[#This Row],[Coluna58]],SUM(AU205:BF205))</f>
        <v>0</v>
      </c>
      <c r="BH205" s="4">
        <v>0</v>
      </c>
      <c r="BI205" s="4">
        <v>0</v>
      </c>
      <c r="BJ205" s="4">
        <v>0</v>
      </c>
      <c r="BK205" s="4">
        <v>0</v>
      </c>
      <c r="BL205" s="4">
        <v>0</v>
      </c>
      <c r="BM205" s="4">
        <v>0</v>
      </c>
      <c r="BN205" s="4">
        <v>0</v>
      </c>
      <c r="BO205" s="4">
        <v>0</v>
      </c>
      <c r="BP205" s="4">
        <v>0</v>
      </c>
      <c r="BQ205" s="4">
        <v>0</v>
      </c>
      <c r="BR205" s="4">
        <v>0</v>
      </c>
      <c r="BS205" s="4">
        <v>0</v>
      </c>
      <c r="BT205" s="4">
        <f>IF(OR(MID(TBBP[[#This Row],[Coluna1]],1,1)="1",MID(TBBP[[#This Row],[Coluna1]],1,1)="2"),TBBP[[#This Row],[Coluna127]],SUM(BH205:BS205))</f>
        <v>0</v>
      </c>
      <c r="BU205" s="4">
        <v>0</v>
      </c>
      <c r="BV205" s="4">
        <v>0</v>
      </c>
      <c r="BW205" s="4">
        <v>0</v>
      </c>
      <c r="BX205" s="4">
        <v>0</v>
      </c>
      <c r="BY205" s="4">
        <v>0</v>
      </c>
      <c r="BZ205" s="4">
        <v>0</v>
      </c>
      <c r="CA205" s="4">
        <v>0</v>
      </c>
      <c r="CB205" s="4">
        <v>0</v>
      </c>
      <c r="CC205" s="4">
        <v>0</v>
      </c>
      <c r="CD205" s="4">
        <v>0</v>
      </c>
      <c r="CE205" s="4">
        <v>0</v>
      </c>
      <c r="CF205" s="4">
        <v>0</v>
      </c>
      <c r="CG205" s="4">
        <f>IF(OR(MID(TBBP[[#This Row],[Coluna1]],1,1)="1",MID(TBBP[[#This Row],[Coluna1]],1,1)="2"),CF205,SUM(BU205:CF205))</f>
        <v>0</v>
      </c>
      <c r="CH205" s="4">
        <v>0</v>
      </c>
      <c r="CI205" s="4">
        <v>0</v>
      </c>
      <c r="CJ205" s="4">
        <v>0</v>
      </c>
      <c r="CK205" s="4" t="s">
        <v>1134</v>
      </c>
      <c r="CL205" s="4">
        <v>0</v>
      </c>
      <c r="CM205" s="4" t="s">
        <v>1134</v>
      </c>
      <c r="CN205" s="4">
        <v>0</v>
      </c>
      <c r="CO205" s="4">
        <v>0</v>
      </c>
      <c r="CP205" s="4">
        <v>0</v>
      </c>
      <c r="CQ205" s="4" t="s">
        <v>1134</v>
      </c>
      <c r="CR205" s="4" t="s">
        <v>1134</v>
      </c>
      <c r="CS205" s="4" t="s">
        <v>1134</v>
      </c>
      <c r="CT205" s="4">
        <f>IF(OR(MID(TBBP[[#This Row],[Coluna1]],1,1)="1",MID(TBBP[[#This Row],[Coluna1]],1,1)="2"),CS205,SUM(CH205:CS205))</f>
        <v>0</v>
      </c>
      <c r="CU205" s="255">
        <v>0</v>
      </c>
      <c r="CV205" s="255">
        <v>0</v>
      </c>
      <c r="CW205" s="255">
        <v>0</v>
      </c>
      <c r="CX205" s="255">
        <v>0</v>
      </c>
      <c r="CY205" s="255">
        <v>0</v>
      </c>
      <c r="CZ205" s="255">
        <v>0</v>
      </c>
      <c r="DA205" s="255">
        <v>-2380</v>
      </c>
      <c r="DB205" s="255">
        <v>0</v>
      </c>
      <c r="DC205" s="255">
        <v>0</v>
      </c>
      <c r="DD205" s="255">
        <v>0</v>
      </c>
      <c r="DE205" s="255">
        <v>0</v>
      </c>
      <c r="DF205" s="255">
        <v>0</v>
      </c>
      <c r="DG205" s="255">
        <f>SUM(TBBP[[#This Row],[Coluna287]:[Coluna298]])</f>
        <v>-2380</v>
      </c>
      <c r="DH205" s="255">
        <v>0</v>
      </c>
      <c r="DI205" s="255">
        <v>0</v>
      </c>
      <c r="DJ205" s="255">
        <v>0</v>
      </c>
      <c r="DK205" s="255">
        <v>0</v>
      </c>
      <c r="DL205" s="255">
        <v>0</v>
      </c>
      <c r="DM205" s="255">
        <v>0</v>
      </c>
      <c r="DP205" s="30">
        <f>IF(OR(MID(TBBP[[#This Row],[Coluna1]],1,1)="1",MID(TBBP[[#This Row],[Coluna1]],1,1)="2"),"-",SUMIFS(205:205,listaPeriodos,$DR$1,listaPeriodos,$DR$2))</f>
        <v>0</v>
      </c>
      <c r="DQ205" s="30"/>
      <c r="DR205" s="30">
        <f t="shared" ref="DR205:DR267" si="180">DQ205*$DS$1</f>
        <v>0</v>
      </c>
      <c r="DS205" s="30"/>
      <c r="DT205" s="30"/>
      <c r="DU205"/>
    </row>
    <row r="206" spans="1:125" x14ac:dyDescent="0.3">
      <c r="A206" s="7" t="s">
        <v>393</v>
      </c>
      <c r="B206" t="s">
        <v>528</v>
      </c>
      <c r="C206" s="4">
        <v>0</v>
      </c>
      <c r="D206" s="4">
        <v>0</v>
      </c>
      <c r="E206" s="4">
        <v>0</v>
      </c>
      <c r="F206" s="4">
        <v>0</v>
      </c>
      <c r="G206" s="4">
        <v>-121734.59</v>
      </c>
      <c r="H206" s="4">
        <v>-8833.25</v>
      </c>
      <c r="I206" s="4">
        <v>-8085.4</v>
      </c>
      <c r="J206" s="4">
        <v>-9240.33</v>
      </c>
      <c r="K206" s="4">
        <v>-14960.72</v>
      </c>
      <c r="L206" s="4">
        <v>-5701.05</v>
      </c>
      <c r="M206" s="4">
        <v>-3545.05</v>
      </c>
      <c r="N206" s="4">
        <v>-4136.91</v>
      </c>
      <c r="O206" s="4">
        <v>-10580.65</v>
      </c>
      <c r="P206" s="4">
        <v>-39458.800000000003</v>
      </c>
      <c r="Q206" s="4">
        <v>-26892.66</v>
      </c>
      <c r="R206" s="4">
        <v>-22136.46</v>
      </c>
      <c r="S206" s="4">
        <v>-3826.56</v>
      </c>
      <c r="T206" s="4">
        <f>IF(OR(MID(TBBP[[#This Row],[Coluna1]],1,1)="1",MID(TBBP[[#This Row],[Coluna1]],1,1)="2"),TBBP[[#This Row],[Coluna19]],SUM(H206:S206))</f>
        <v>-157397.84</v>
      </c>
      <c r="U206" s="4">
        <v>-24922.63</v>
      </c>
      <c r="V206" s="4">
        <v>-9077.65</v>
      </c>
      <c r="W206" s="4">
        <v>-11643.98</v>
      </c>
      <c r="X206" s="4">
        <v>-13520.01</v>
      </c>
      <c r="Y206" s="4">
        <v>-11086.83</v>
      </c>
      <c r="Z206" s="4">
        <v>-14230.94</v>
      </c>
      <c r="AA206" s="4">
        <v>-4067.58</v>
      </c>
      <c r="AB206" s="4">
        <v>-4385.63</v>
      </c>
      <c r="AC206" s="4">
        <v>-4729.05</v>
      </c>
      <c r="AD206" s="4">
        <v>-30056.37</v>
      </c>
      <c r="AE206" s="4">
        <v>-19083.599999999999</v>
      </c>
      <c r="AF206" s="4">
        <v>-19405.09</v>
      </c>
      <c r="AG206" s="4">
        <f>IF(OR(MID(TBBP[[#This Row],[Coluna1]],1,1)="1",MID(TBBP[[#This Row],[Coluna1]],1,1)="2"),TBBP[[#This Row],[Coluna32]],SUM(U206:AF206))</f>
        <v>-166209.35999999999</v>
      </c>
      <c r="AH206" s="4">
        <v>-9552.31</v>
      </c>
      <c r="AI206" s="4">
        <v>-12875.58</v>
      </c>
      <c r="AJ206" s="4">
        <v>-5869.95</v>
      </c>
      <c r="AK206" s="4">
        <v>-13809.740000000002</v>
      </c>
      <c r="AL206" s="4">
        <v>-14628.91</v>
      </c>
      <c r="AM206" s="4">
        <v>-10847.35</v>
      </c>
      <c r="AN206" s="4">
        <v>-20498.650000000001</v>
      </c>
      <c r="AO206" s="4">
        <v>-7554.74</v>
      </c>
      <c r="AP206" s="4">
        <v>-20209.95</v>
      </c>
      <c r="AQ206" s="4">
        <v>-11927.75</v>
      </c>
      <c r="AR206" s="4">
        <v>-14038.15</v>
      </c>
      <c r="AS206" s="4">
        <v>-38588.65</v>
      </c>
      <c r="AT206" s="4">
        <f>IF(OR(MID(TBBP[[#This Row],[Coluna1]],1,1)="1",MID(TBBP[[#This Row],[Coluna1]],1,1)="2"),TBBP[[#This Row],[Coluna45]],SUM(AH206:AS206))</f>
        <v>-180401.73</v>
      </c>
      <c r="AU206" s="4">
        <v>-21481.53</v>
      </c>
      <c r="AV206" s="4">
        <v>-45295.91</v>
      </c>
      <c r="AW206" s="4">
        <v>-37794.46</v>
      </c>
      <c r="AX206" s="4">
        <v>-65843.61</v>
      </c>
      <c r="AY206" s="4">
        <v>-32870.239999999998</v>
      </c>
      <c r="AZ206" s="4">
        <v>-54508.87</v>
      </c>
      <c r="BA206" s="4">
        <v>-80197.240000000005</v>
      </c>
      <c r="BB206" s="4">
        <v>-45030.05</v>
      </c>
      <c r="BC206" s="4">
        <v>-61186.53</v>
      </c>
      <c r="BD206" s="4">
        <v>-49420.08</v>
      </c>
      <c r="BE206" s="4">
        <v>-39667.769999999997</v>
      </c>
      <c r="BF206" s="4">
        <v>-35402.129999999997</v>
      </c>
      <c r="BG206" s="4">
        <f>IF(OR(MID(TBBP[[#This Row],[Coluna1]],1,1)="1",MID(TBBP[[#This Row],[Coluna1]],1,1)="2"),TBBP[[#This Row],[Coluna58]],SUM(AU206:BF206))</f>
        <v>-568698.41999999993</v>
      </c>
      <c r="BH206" s="4">
        <v>-14479.46</v>
      </c>
      <c r="BI206" s="4">
        <v>-3263.37</v>
      </c>
      <c r="BJ206" s="4">
        <v>0</v>
      </c>
      <c r="BK206" s="4">
        <v>0</v>
      </c>
      <c r="BL206" s="4">
        <v>0</v>
      </c>
      <c r="BM206" s="4">
        <v>0</v>
      </c>
      <c r="BN206" s="4">
        <v>0</v>
      </c>
      <c r="BO206" s="4">
        <v>0</v>
      </c>
      <c r="BP206" s="4">
        <v>0</v>
      </c>
      <c r="BQ206" s="4">
        <v>0</v>
      </c>
      <c r="BR206" s="4">
        <v>0</v>
      </c>
      <c r="BS206" s="4">
        <v>0</v>
      </c>
      <c r="BT206" s="4">
        <f>IF(OR(MID(TBBP[[#This Row],[Coluna1]],1,1)="1",MID(TBBP[[#This Row],[Coluna1]],1,1)="2"),TBBP[[#This Row],[Coluna127]],SUM(BH206:BS206))</f>
        <v>-17742.829999999998</v>
      </c>
      <c r="BU206" s="4">
        <v>0</v>
      </c>
      <c r="BV206" s="4">
        <v>0</v>
      </c>
      <c r="BW206" s="4">
        <v>0</v>
      </c>
      <c r="BX206" s="4">
        <v>0</v>
      </c>
      <c r="BY206" s="4">
        <v>0</v>
      </c>
      <c r="BZ206" s="4">
        <v>0</v>
      </c>
      <c r="CA206" s="4">
        <v>0</v>
      </c>
      <c r="CB206" s="4">
        <v>0</v>
      </c>
      <c r="CC206" s="4">
        <v>0</v>
      </c>
      <c r="CD206" s="4">
        <v>0</v>
      </c>
      <c r="CE206" s="4">
        <v>0</v>
      </c>
      <c r="CF206" s="4">
        <v>0</v>
      </c>
      <c r="CG206" s="4">
        <f>IF(OR(MID(TBBP[[#This Row],[Coluna1]],1,1)="1",MID(TBBP[[#This Row],[Coluna1]],1,1)="2"),CF206,SUM(BU206:CF206))</f>
        <v>0</v>
      </c>
      <c r="CH206" s="4">
        <v>0</v>
      </c>
      <c r="CI206" s="4">
        <v>0</v>
      </c>
      <c r="CJ206" s="4">
        <v>0</v>
      </c>
      <c r="CK206" s="4" t="s">
        <v>1134</v>
      </c>
      <c r="CL206" s="4">
        <v>0</v>
      </c>
      <c r="CM206" s="4" t="s">
        <v>1134</v>
      </c>
      <c r="CN206" s="4">
        <v>0</v>
      </c>
      <c r="CO206" s="4">
        <v>0</v>
      </c>
      <c r="CP206" s="4">
        <v>0</v>
      </c>
      <c r="CQ206" s="4" t="s">
        <v>1134</v>
      </c>
      <c r="CR206" s="4" t="s">
        <v>1134</v>
      </c>
      <c r="CS206" s="4" t="s">
        <v>1134</v>
      </c>
      <c r="CT206" s="4">
        <f>IF(OR(MID(TBBP[[#This Row],[Coluna1]],1,1)="1",MID(TBBP[[#This Row],[Coluna1]],1,1)="2"),CS206,SUM(CH206:CS206))</f>
        <v>0</v>
      </c>
      <c r="CU206" s="255">
        <v>0</v>
      </c>
      <c r="CV206" s="255">
        <v>0</v>
      </c>
      <c r="CW206" s="255">
        <v>0</v>
      </c>
      <c r="CX206" s="255">
        <v>0</v>
      </c>
      <c r="CY206" s="255">
        <v>0</v>
      </c>
      <c r="CZ206" s="255">
        <v>0</v>
      </c>
      <c r="DA206" s="255">
        <v>0</v>
      </c>
      <c r="DB206" s="255">
        <v>0</v>
      </c>
      <c r="DC206" s="255">
        <v>0</v>
      </c>
      <c r="DD206" s="255">
        <v>0</v>
      </c>
      <c r="DE206" s="255"/>
      <c r="DF206" s="255">
        <v>0</v>
      </c>
      <c r="DG206" s="255">
        <f>SUM(TBBP[[#This Row],[Coluna287]:[Coluna298]])</f>
        <v>0</v>
      </c>
      <c r="DH206" s="255">
        <v>0</v>
      </c>
      <c r="DI206" s="255">
        <v>0</v>
      </c>
      <c r="DJ206" s="255">
        <v>0</v>
      </c>
      <c r="DK206" s="255">
        <v>0</v>
      </c>
      <c r="DL206" s="255">
        <v>0</v>
      </c>
      <c r="DM206" s="255">
        <v>0</v>
      </c>
      <c r="DP206" s="30">
        <f>IF(OR(MID(TBBP[[#This Row],[Coluna1]],1,1)="1",MID(TBBP[[#This Row],[Coluna1]],1,1)="2"),"-",SUMIFS(206:206,listaPeriodos,$DR$1,listaPeriodos,$DR$2))</f>
        <v>0</v>
      </c>
      <c r="DQ206" s="30"/>
      <c r="DR206" s="30">
        <f t="shared" si="180"/>
        <v>0</v>
      </c>
      <c r="DS206" s="30"/>
      <c r="DT206" s="30"/>
      <c r="DU206"/>
    </row>
    <row r="207" spans="1:125" x14ac:dyDescent="0.3">
      <c r="A207" s="7" t="s">
        <v>394</v>
      </c>
      <c r="B207" t="s">
        <v>529</v>
      </c>
      <c r="C207" s="4">
        <v>0</v>
      </c>
      <c r="D207" s="4">
        <v>0</v>
      </c>
      <c r="E207" s="4">
        <v>0</v>
      </c>
      <c r="F207" s="4">
        <v>0</v>
      </c>
      <c r="G207" s="4">
        <v>-103655.45</v>
      </c>
      <c r="H207" s="4">
        <v>-6430</v>
      </c>
      <c r="I207" s="4">
        <v>-5720</v>
      </c>
      <c r="J207" s="4">
        <v>-4500</v>
      </c>
      <c r="K207" s="4">
        <v>-2660</v>
      </c>
      <c r="L207" s="4">
        <v>-4365</v>
      </c>
      <c r="M207" s="4">
        <v>-2285</v>
      </c>
      <c r="N207" s="4">
        <v>-1614.5</v>
      </c>
      <c r="O207" s="4">
        <v>-5420</v>
      </c>
      <c r="P207" s="4">
        <v>-950</v>
      </c>
      <c r="Q207" s="4">
        <v>-660</v>
      </c>
      <c r="R207" s="4">
        <v>-13800</v>
      </c>
      <c r="S207" s="4">
        <v>-3740</v>
      </c>
      <c r="T207" s="4">
        <f>IF(OR(MID(TBBP[[#This Row],[Coluna1]],1,1)="1",MID(TBBP[[#This Row],[Coluna1]],1,1)="2"),TBBP[[#This Row],[Coluna19]],SUM(H207:S207))</f>
        <v>-52144.5</v>
      </c>
      <c r="U207" s="4">
        <v>-4968.3999999999996</v>
      </c>
      <c r="V207" s="4">
        <v>-18375</v>
      </c>
      <c r="W207" s="4">
        <v>-4400.5</v>
      </c>
      <c r="X207" s="4">
        <v>-10080</v>
      </c>
      <c r="Y207" s="4">
        <v>-21271</v>
      </c>
      <c r="Z207" s="4">
        <v>-7283.5</v>
      </c>
      <c r="AA207" s="4">
        <v>-3420</v>
      </c>
      <c r="AB207" s="4">
        <v>-2850</v>
      </c>
      <c r="AC207" s="4">
        <v>0</v>
      </c>
      <c r="AD207" s="4">
        <v>-515</v>
      </c>
      <c r="AE207" s="4">
        <v>-8569.24</v>
      </c>
      <c r="AF207" s="4">
        <v>-2495</v>
      </c>
      <c r="AG207" s="4">
        <f>IF(OR(MID(TBBP[[#This Row],[Coluna1]],1,1)="1",MID(TBBP[[#This Row],[Coluna1]],1,1)="2"),TBBP[[#This Row],[Coluna32]],SUM(U207:AF207))</f>
        <v>-84227.64</v>
      </c>
      <c r="AH207" s="4">
        <v>0</v>
      </c>
      <c r="AI207" s="4">
        <v>0</v>
      </c>
      <c r="AJ207" s="4">
        <v>-9773</v>
      </c>
      <c r="AK207" s="4">
        <v>-1900</v>
      </c>
      <c r="AL207" s="4">
        <v>-1190</v>
      </c>
      <c r="AM207" s="4">
        <v>-1500</v>
      </c>
      <c r="AN207" s="4">
        <v>-3770</v>
      </c>
      <c r="AO207" s="4">
        <v>-5742.2</v>
      </c>
      <c r="AP207" s="4">
        <v>-1040</v>
      </c>
      <c r="AQ207" s="4">
        <v>-2970</v>
      </c>
      <c r="AR207" s="4">
        <v>-2995</v>
      </c>
      <c r="AS207" s="4">
        <v>-10770</v>
      </c>
      <c r="AT207" s="4">
        <f>IF(OR(MID(TBBP[[#This Row],[Coluna1]],1,1)="1",MID(TBBP[[#This Row],[Coluna1]],1,1)="2"),TBBP[[#This Row],[Coluna45]],SUM(AH207:AS207))</f>
        <v>-41650.199999999997</v>
      </c>
      <c r="AU207" s="4">
        <v>-5315</v>
      </c>
      <c r="AV207" s="4">
        <v>-7800</v>
      </c>
      <c r="AW207" s="4">
        <v>-13473</v>
      </c>
      <c r="AX207" s="4">
        <v>-880</v>
      </c>
      <c r="AY207" s="4">
        <v>-8518</v>
      </c>
      <c r="AZ207" s="4">
        <v>-45745.5</v>
      </c>
      <c r="BA207" s="4">
        <v>-13570</v>
      </c>
      <c r="BB207" s="4">
        <v>-16860</v>
      </c>
      <c r="BC207" s="4">
        <v>-16445</v>
      </c>
      <c r="BD207" s="4">
        <v>-12400</v>
      </c>
      <c r="BE207" s="4">
        <v>-14180</v>
      </c>
      <c r="BF207" s="4">
        <v>11420</v>
      </c>
      <c r="BG207" s="4">
        <f>IF(OR(MID(TBBP[[#This Row],[Coluna1]],1,1)="1",MID(TBBP[[#This Row],[Coluna1]],1,1)="2"),TBBP[[#This Row],[Coluna58]],SUM(AU207:BF207))</f>
        <v>-143766.5</v>
      </c>
      <c r="BH207" s="4">
        <v>-6530.15</v>
      </c>
      <c r="BI207" s="4">
        <v>0</v>
      </c>
      <c r="BJ207" s="4">
        <v>0</v>
      </c>
      <c r="BK207" s="4">
        <v>0</v>
      </c>
      <c r="BL207" s="4">
        <v>0</v>
      </c>
      <c r="BM207" s="4">
        <v>0</v>
      </c>
      <c r="BN207" s="4">
        <v>0</v>
      </c>
      <c r="BO207" s="4">
        <v>0</v>
      </c>
      <c r="BP207" s="4">
        <v>0</v>
      </c>
      <c r="BQ207" s="4">
        <v>0</v>
      </c>
      <c r="BR207" s="4">
        <v>0</v>
      </c>
      <c r="BS207" s="4">
        <v>0</v>
      </c>
      <c r="BT207" s="4">
        <f>IF(OR(MID(TBBP[[#This Row],[Coluna1]],1,1)="1",MID(TBBP[[#This Row],[Coluna1]],1,1)="2"),TBBP[[#This Row],[Coluna127]],SUM(BH207:BS207))</f>
        <v>-6530.15</v>
      </c>
      <c r="BU207" s="4">
        <v>0</v>
      </c>
      <c r="BV207" s="4">
        <v>0</v>
      </c>
      <c r="BW207" s="4">
        <v>0</v>
      </c>
      <c r="BX207" s="4">
        <v>0</v>
      </c>
      <c r="BY207" s="4">
        <v>0</v>
      </c>
      <c r="BZ207" s="4">
        <v>0</v>
      </c>
      <c r="CA207" s="4">
        <v>0</v>
      </c>
      <c r="CB207" s="4">
        <v>0</v>
      </c>
      <c r="CC207" s="4">
        <v>0</v>
      </c>
      <c r="CD207" s="4">
        <v>0</v>
      </c>
      <c r="CE207" s="4">
        <v>0</v>
      </c>
      <c r="CF207" s="4">
        <v>0</v>
      </c>
      <c r="CG207" s="4">
        <f>IF(OR(MID(TBBP[[#This Row],[Coluna1]],1,1)="1",MID(TBBP[[#This Row],[Coluna1]],1,1)="2"),CF207,SUM(BU207:CF207))</f>
        <v>0</v>
      </c>
      <c r="CH207" s="4">
        <v>0</v>
      </c>
      <c r="CI207" s="4">
        <v>0</v>
      </c>
      <c r="CJ207" s="4">
        <v>0</v>
      </c>
      <c r="CK207" s="4" t="s">
        <v>1134</v>
      </c>
      <c r="CL207" s="4">
        <v>0</v>
      </c>
      <c r="CM207" s="4" t="s">
        <v>1134</v>
      </c>
      <c r="CN207" s="4">
        <v>0</v>
      </c>
      <c r="CO207" s="4">
        <v>0</v>
      </c>
      <c r="CP207" s="4">
        <v>-5072.92</v>
      </c>
      <c r="CQ207" s="4">
        <v>-1420.24</v>
      </c>
      <c r="CR207" s="4">
        <v>-3366.83</v>
      </c>
      <c r="CS207" s="4">
        <v>0</v>
      </c>
      <c r="CT207" s="4">
        <f>IF(OR(MID(TBBP[[#This Row],[Coluna1]],1,1)="1",MID(TBBP[[#This Row],[Coluna1]],1,1)="2"),CS207,SUM(CH207:CS207))</f>
        <v>-9859.99</v>
      </c>
      <c r="CU207" s="255">
        <v>0</v>
      </c>
      <c r="CV207" s="255">
        <v>0</v>
      </c>
      <c r="CW207" s="255">
        <v>0</v>
      </c>
      <c r="CX207" s="255">
        <v>0</v>
      </c>
      <c r="CY207" s="255">
        <v>0</v>
      </c>
      <c r="CZ207" s="255">
        <v>0</v>
      </c>
      <c r="DA207" s="255">
        <v>-163.35</v>
      </c>
      <c r="DB207" s="255">
        <v>0</v>
      </c>
      <c r="DC207" s="255">
        <v>0</v>
      </c>
      <c r="DD207" s="255">
        <v>0</v>
      </c>
      <c r="DE207" s="255">
        <v>0</v>
      </c>
      <c r="DF207" s="255">
        <v>0</v>
      </c>
      <c r="DG207" s="255">
        <f>SUM(TBBP[[#This Row],[Coluna287]:[Coluna298]])</f>
        <v>-163.35</v>
      </c>
      <c r="DH207" s="255">
        <v>0</v>
      </c>
      <c r="DI207" s="255">
        <v>0</v>
      </c>
      <c r="DJ207" s="255">
        <v>0</v>
      </c>
      <c r="DK207" s="255">
        <v>0</v>
      </c>
      <c r="DL207" s="255">
        <v>0</v>
      </c>
      <c r="DM207" s="255">
        <v>0</v>
      </c>
      <c r="DP207" s="30">
        <f>IF(OR(MID(TBBP[[#This Row],[Coluna1]],1,1)="1",MID(TBBP[[#This Row],[Coluna1]],1,1)="2"),"-",SUMIFS(207:207,listaPeriodos,$DR$1,listaPeriodos,$DR$2))</f>
        <v>0</v>
      </c>
      <c r="DQ207" s="30"/>
      <c r="DR207" s="30">
        <f t="shared" si="180"/>
        <v>0</v>
      </c>
      <c r="DS207" s="30"/>
      <c r="DT207" s="30"/>
      <c r="DU207"/>
    </row>
    <row r="208" spans="1:125" x14ac:dyDescent="0.3">
      <c r="A208" s="7" t="s">
        <v>395</v>
      </c>
      <c r="B208" t="s">
        <v>530</v>
      </c>
      <c r="C208" s="4">
        <v>0</v>
      </c>
      <c r="D208" s="4">
        <v>0</v>
      </c>
      <c r="E208" s="4">
        <v>0</v>
      </c>
      <c r="F208" s="4">
        <v>0</v>
      </c>
      <c r="G208" s="4">
        <v>-75245.52</v>
      </c>
      <c r="H208" s="4">
        <v>-4013.27</v>
      </c>
      <c r="I208" s="4">
        <v>-4061.92</v>
      </c>
      <c r="J208" s="4">
        <v>-5642.03</v>
      </c>
      <c r="K208" s="4">
        <v>-3434.1400000000003</v>
      </c>
      <c r="L208" s="4">
        <v>-2655.68</v>
      </c>
      <c r="M208" s="4">
        <v>-5014.51</v>
      </c>
      <c r="N208" s="4">
        <v>-7657.69</v>
      </c>
      <c r="O208" s="4">
        <v>-3928.06</v>
      </c>
      <c r="P208" s="4">
        <v>-3986.48</v>
      </c>
      <c r="Q208" s="4">
        <v>-15519.39</v>
      </c>
      <c r="R208" s="4">
        <v>-5592.63</v>
      </c>
      <c r="S208" s="4">
        <v>-14895.61</v>
      </c>
      <c r="T208" s="4">
        <f>IF(OR(MID(TBBP[[#This Row],[Coluna1]],1,1)="1",MID(TBBP[[#This Row],[Coluna1]],1,1)="2"),TBBP[[#This Row],[Coluna19]],SUM(H208:S208))</f>
        <v>-76401.41</v>
      </c>
      <c r="U208" s="4">
        <v>-3531.7</v>
      </c>
      <c r="V208" s="4">
        <v>-2442.38</v>
      </c>
      <c r="W208" s="4">
        <v>-1067.3699999999999</v>
      </c>
      <c r="X208" s="4">
        <v>-5009.59</v>
      </c>
      <c r="Y208" s="4">
        <v>-1060.92</v>
      </c>
      <c r="Z208" s="4">
        <v>-4746.4399999999996</v>
      </c>
      <c r="AA208" s="4">
        <v>-11131.68</v>
      </c>
      <c r="AB208" s="4">
        <v>-9387.86</v>
      </c>
      <c r="AC208" s="4">
        <v>-7160.24</v>
      </c>
      <c r="AD208" s="4">
        <v>-6459.17</v>
      </c>
      <c r="AE208" s="4">
        <v>-8269.1299999999992</v>
      </c>
      <c r="AF208" s="4">
        <v>-7699.57</v>
      </c>
      <c r="AG208" s="4">
        <f>IF(OR(MID(TBBP[[#This Row],[Coluna1]],1,1)="1",MID(TBBP[[#This Row],[Coluna1]],1,1)="2"),TBBP[[#This Row],[Coluna32]],SUM(U208:AF208))</f>
        <v>-67966.049999999988</v>
      </c>
      <c r="AH208" s="4">
        <v>-20567.41</v>
      </c>
      <c r="AI208" s="4">
        <v>-5045.54</v>
      </c>
      <c r="AJ208" s="4">
        <v>-6641</v>
      </c>
      <c r="AK208" s="4">
        <v>-945.87</v>
      </c>
      <c r="AL208" s="4">
        <v>-4324.5</v>
      </c>
      <c r="AM208" s="4">
        <v>-4531.7299999999996</v>
      </c>
      <c r="AN208" s="4">
        <v>-2108.19</v>
      </c>
      <c r="AO208" s="4">
        <v>-508.47</v>
      </c>
      <c r="AP208" s="4">
        <v>-5024.57</v>
      </c>
      <c r="AQ208" s="4">
        <v>-18062.080000000002</v>
      </c>
      <c r="AR208" s="4">
        <v>-198.95</v>
      </c>
      <c r="AS208" s="4">
        <v>-21090.52</v>
      </c>
      <c r="AT208" s="4">
        <f>IF(OR(MID(TBBP[[#This Row],[Coluna1]],1,1)="1",MID(TBBP[[#This Row],[Coluna1]],1,1)="2"),TBBP[[#This Row],[Coluna45]],SUM(AH208:AS208))</f>
        <v>-89048.830000000016</v>
      </c>
      <c r="AU208" s="4">
        <v>-5555.34</v>
      </c>
      <c r="AV208" s="4">
        <v>-7962.73</v>
      </c>
      <c r="AW208" s="4">
        <v>-1235.4599999999998</v>
      </c>
      <c r="AX208" s="4">
        <v>-3518.44</v>
      </c>
      <c r="AY208" s="4">
        <v>-1643.24</v>
      </c>
      <c r="AZ208" s="4">
        <v>-1214.0899999999999</v>
      </c>
      <c r="BA208" s="4">
        <v>-2948.35</v>
      </c>
      <c r="BB208" s="4">
        <v>-594.16999999999996</v>
      </c>
      <c r="BC208" s="4">
        <v>-1481.44</v>
      </c>
      <c r="BD208" s="4">
        <v>-5482.81</v>
      </c>
      <c r="BE208" s="4">
        <v>-4275.4799999999996</v>
      </c>
      <c r="BF208" s="4">
        <v>-363.16</v>
      </c>
      <c r="BG208" s="4">
        <f>IF(OR(MID(TBBP[[#This Row],[Coluna1]],1,1)="1",MID(TBBP[[#This Row],[Coluna1]],1,1)="2"),TBBP[[#This Row],[Coluna58]],SUM(AU208:BF208))</f>
        <v>-36274.71</v>
      </c>
      <c r="BH208" s="4">
        <v>-689.15</v>
      </c>
      <c r="BI208" s="4">
        <v>0</v>
      </c>
      <c r="BJ208" s="4">
        <v>-3172.36</v>
      </c>
      <c r="BK208" s="4">
        <v>0</v>
      </c>
      <c r="BL208" s="4">
        <v>0</v>
      </c>
      <c r="BM208" s="4">
        <v>0</v>
      </c>
      <c r="BN208" s="4">
        <v>-4070.8</v>
      </c>
      <c r="BO208" s="4">
        <v>-75.14</v>
      </c>
      <c r="BP208" s="4">
        <v>-118.23</v>
      </c>
      <c r="BQ208" s="4">
        <v>-1563.14</v>
      </c>
      <c r="BR208" s="4">
        <v>0</v>
      </c>
      <c r="BS208" s="4">
        <v>0</v>
      </c>
      <c r="BT208" s="4">
        <f>IF(OR(MID(TBBP[[#This Row],[Coluna1]],1,1)="1",MID(TBBP[[#This Row],[Coluna1]],1,1)="2"),TBBP[[#This Row],[Coluna127]],SUM(BH208:BS208))</f>
        <v>-9688.82</v>
      </c>
      <c r="BU208" s="4">
        <v>0</v>
      </c>
      <c r="BV208" s="4">
        <v>0</v>
      </c>
      <c r="BW208" s="4">
        <v>0</v>
      </c>
      <c r="BX208" s="4">
        <v>0</v>
      </c>
      <c r="BY208" s="4">
        <v>-483.64</v>
      </c>
      <c r="BZ208" s="4">
        <v>0</v>
      </c>
      <c r="CA208" s="4">
        <v>0</v>
      </c>
      <c r="CB208" s="4">
        <v>0</v>
      </c>
      <c r="CC208" s="4">
        <v>0</v>
      </c>
      <c r="CD208" s="4">
        <v>0</v>
      </c>
      <c r="CE208" s="4">
        <v>0</v>
      </c>
      <c r="CF208" s="4">
        <v>0</v>
      </c>
      <c r="CG208" s="4">
        <f>IF(OR(MID(TBBP[[#This Row],[Coluna1]],1,1)="1",MID(TBBP[[#This Row],[Coluna1]],1,1)="2"),CF208,SUM(BU208:CF208))</f>
        <v>-483.64</v>
      </c>
      <c r="CH208" s="4">
        <v>0</v>
      </c>
      <c r="CI208" s="4">
        <v>0</v>
      </c>
      <c r="CJ208" s="4">
        <v>0</v>
      </c>
      <c r="CK208" s="4" t="s">
        <v>1134</v>
      </c>
      <c r="CL208" s="4">
        <v>0</v>
      </c>
      <c r="CM208" s="4" t="s">
        <v>1134</v>
      </c>
      <c r="CN208" s="4">
        <v>0</v>
      </c>
      <c r="CO208" s="4">
        <v>0</v>
      </c>
      <c r="CP208" s="4">
        <v>0</v>
      </c>
      <c r="CQ208" s="4" t="s">
        <v>1134</v>
      </c>
      <c r="CR208" s="4" t="s">
        <v>1134</v>
      </c>
      <c r="CS208" s="4">
        <v>-362.27</v>
      </c>
      <c r="CT208" s="4">
        <f>IF(OR(MID(TBBP[[#This Row],[Coluna1]],1,1)="1",MID(TBBP[[#This Row],[Coluna1]],1,1)="2"),CS208,SUM(CH208:CS208))</f>
        <v>-362.27</v>
      </c>
      <c r="CU208" s="255">
        <v>0</v>
      </c>
      <c r="CV208" s="255">
        <v>0</v>
      </c>
      <c r="CW208" s="255">
        <v>0</v>
      </c>
      <c r="CX208" s="255">
        <v>0</v>
      </c>
      <c r="CY208" s="255">
        <v>0</v>
      </c>
      <c r="CZ208" s="255">
        <v>0</v>
      </c>
      <c r="DA208" s="255">
        <v>0</v>
      </c>
      <c r="DB208" s="255">
        <v>0</v>
      </c>
      <c r="DC208" s="255">
        <v>0</v>
      </c>
      <c r="DD208" s="255">
        <v>0</v>
      </c>
      <c r="DE208" s="255"/>
      <c r="DF208" s="255">
        <v>0</v>
      </c>
      <c r="DG208" s="255">
        <f>SUM(TBBP[[#This Row],[Coluna287]:[Coluna298]])</f>
        <v>0</v>
      </c>
      <c r="DH208" s="255">
        <v>0</v>
      </c>
      <c r="DI208" s="255">
        <v>0</v>
      </c>
      <c r="DJ208" s="255">
        <v>0</v>
      </c>
      <c r="DK208" s="255">
        <v>0</v>
      </c>
      <c r="DL208" s="255">
        <v>0</v>
      </c>
      <c r="DM208" s="255">
        <v>0</v>
      </c>
      <c r="DP208" s="30">
        <f>IF(OR(MID(TBBP[[#This Row],[Coluna1]],1,1)="1",MID(TBBP[[#This Row],[Coluna1]],1,1)="2"),"-",SUMIFS(208:208,listaPeriodos,$DR$1,listaPeriodos,$DR$2))</f>
        <v>0</v>
      </c>
      <c r="DQ208" s="30"/>
      <c r="DR208" s="30">
        <f t="shared" si="180"/>
        <v>0</v>
      </c>
      <c r="DS208" s="30"/>
      <c r="DT208" s="30"/>
      <c r="DU208"/>
    </row>
    <row r="209" spans="1:125" x14ac:dyDescent="0.3">
      <c r="A209" s="7" t="s">
        <v>396</v>
      </c>
      <c r="B209" t="s">
        <v>532</v>
      </c>
      <c r="C209" s="4">
        <v>0</v>
      </c>
      <c r="D209" s="4">
        <v>0</v>
      </c>
      <c r="E209" s="4">
        <v>0</v>
      </c>
      <c r="F209" s="4">
        <v>0</v>
      </c>
      <c r="G209" s="4">
        <v>-110964.1</v>
      </c>
      <c r="H209" s="4">
        <v>-3537.66</v>
      </c>
      <c r="I209" s="4">
        <v>-1855.8</v>
      </c>
      <c r="J209" s="4">
        <v>-4182.25</v>
      </c>
      <c r="K209" s="4">
        <v>-1031.03</v>
      </c>
      <c r="L209" s="4">
        <v>-6129.24</v>
      </c>
      <c r="M209" s="4">
        <v>-1006.26</v>
      </c>
      <c r="N209" s="4">
        <v>-1430.01</v>
      </c>
      <c r="O209" s="4">
        <v>-1931.26</v>
      </c>
      <c r="P209" s="4">
        <v>-706.26</v>
      </c>
      <c r="Q209" s="4">
        <v>-1322.13</v>
      </c>
      <c r="R209" s="4">
        <v>-3159.97</v>
      </c>
      <c r="S209" s="4">
        <v>-8735.4</v>
      </c>
      <c r="T209" s="4">
        <f>IF(OR(MID(TBBP[[#This Row],[Coluna1]],1,1)="1",MID(TBBP[[#This Row],[Coluna1]],1,1)="2"),TBBP[[#This Row],[Coluna19]],SUM(H209:S209))</f>
        <v>-35027.269999999997</v>
      </c>
      <c r="U209" s="4">
        <v>-2331</v>
      </c>
      <c r="V209" s="4">
        <v>-365</v>
      </c>
      <c r="W209" s="4">
        <v>-1934</v>
      </c>
      <c r="X209" s="4">
        <v>-460</v>
      </c>
      <c r="Y209" s="4">
        <v>-2085</v>
      </c>
      <c r="Z209" s="4">
        <v>-1130</v>
      </c>
      <c r="AA209" s="4">
        <v>-9760</v>
      </c>
      <c r="AB209" s="4">
        <v>-7898.66</v>
      </c>
      <c r="AC209" s="4">
        <v>-1903.8</v>
      </c>
      <c r="AD209" s="4">
        <v>-26398.98</v>
      </c>
      <c r="AE209" s="4">
        <v>-10438.5</v>
      </c>
      <c r="AF209" s="4">
        <v>-2559.04</v>
      </c>
      <c r="AG209" s="4">
        <f>IF(OR(MID(TBBP[[#This Row],[Coluna1]],1,1)="1",MID(TBBP[[#This Row],[Coluna1]],1,1)="2"),TBBP[[#This Row],[Coluna32]],SUM(U209:AF209))</f>
        <v>-67263.98</v>
      </c>
      <c r="AH209" s="4">
        <v>-20590.88</v>
      </c>
      <c r="AI209" s="4">
        <v>-13692.25</v>
      </c>
      <c r="AJ209" s="4">
        <v>-9653.67</v>
      </c>
      <c r="AK209" s="4">
        <v>-25890.83</v>
      </c>
      <c r="AL209" s="4">
        <v>-3023.78</v>
      </c>
      <c r="AM209" s="4">
        <v>-3203.7</v>
      </c>
      <c r="AN209" s="4">
        <v>-5455.33</v>
      </c>
      <c r="AO209" s="4">
        <v>-6104.83</v>
      </c>
      <c r="AP209" s="4">
        <v>-7102.86</v>
      </c>
      <c r="AQ209" s="4">
        <v>-7554.31</v>
      </c>
      <c r="AR209" s="4">
        <v>-11325.74</v>
      </c>
      <c r="AS209" s="4">
        <v>-6866.43</v>
      </c>
      <c r="AT209" s="4">
        <f>IF(OR(MID(TBBP[[#This Row],[Coluna1]],1,1)="1",MID(TBBP[[#This Row],[Coluna1]],1,1)="2"),TBBP[[#This Row],[Coluna45]],SUM(AH209:AS209))</f>
        <v>-120464.61000000002</v>
      </c>
      <c r="AU209" s="4">
        <v>-6946.88</v>
      </c>
      <c r="AV209" s="4">
        <v>-10322.549999999999</v>
      </c>
      <c r="AW209" s="4">
        <v>-10897.47</v>
      </c>
      <c r="AX209" s="4">
        <v>-19143.82</v>
      </c>
      <c r="AY209" s="4">
        <v>-448.66</v>
      </c>
      <c r="AZ209" s="4">
        <v>-9433.59</v>
      </c>
      <c r="BA209" s="4">
        <v>-9551.7800000000007</v>
      </c>
      <c r="BB209" s="4">
        <v>-9339.52</v>
      </c>
      <c r="BC209" s="4">
        <v>-7720.72</v>
      </c>
      <c r="BD209" s="4">
        <v>-3955.1</v>
      </c>
      <c r="BE209" s="4">
        <v>-2974.6</v>
      </c>
      <c r="BF209" s="4">
        <v>-168.32</v>
      </c>
      <c r="BG209" s="4">
        <f>IF(OR(MID(TBBP[[#This Row],[Coluna1]],1,1)="1",MID(TBBP[[#This Row],[Coluna1]],1,1)="2"),TBBP[[#This Row],[Coluna58]],SUM(AU209:BF209))</f>
        <v>-90903.010000000024</v>
      </c>
      <c r="BH209" s="4">
        <v>-1065.6400000000001</v>
      </c>
      <c r="BI209" s="4">
        <v>-3699.23</v>
      </c>
      <c r="BJ209" s="4">
        <v>-448.66</v>
      </c>
      <c r="BK209" s="4">
        <v>-22.5</v>
      </c>
      <c r="BL209" s="4">
        <v>0</v>
      </c>
      <c r="BM209" s="4">
        <v>-2777.06</v>
      </c>
      <c r="BN209" s="4">
        <v>0</v>
      </c>
      <c r="BO209" s="4">
        <v>0</v>
      </c>
      <c r="BP209" s="4">
        <v>0</v>
      </c>
      <c r="BQ209" s="4">
        <v>0</v>
      </c>
      <c r="BR209" s="4">
        <v>0</v>
      </c>
      <c r="BS209" s="4">
        <v>0</v>
      </c>
      <c r="BT209" s="4">
        <f>IF(OR(MID(TBBP[[#This Row],[Coluna1]],1,1)="1",MID(TBBP[[#This Row],[Coluna1]],1,1)="2"),TBBP[[#This Row],[Coluna127]],SUM(BH209:BS209))</f>
        <v>-8013.09</v>
      </c>
      <c r="BU209" s="4">
        <v>0</v>
      </c>
      <c r="BV209" s="4">
        <v>0</v>
      </c>
      <c r="BW209" s="4">
        <v>0</v>
      </c>
      <c r="BX209" s="4">
        <v>0</v>
      </c>
      <c r="BY209" s="4">
        <v>0</v>
      </c>
      <c r="BZ209" s="4">
        <v>0</v>
      </c>
      <c r="CA209" s="4">
        <v>0</v>
      </c>
      <c r="CB209" s="4">
        <v>0</v>
      </c>
      <c r="CC209" s="4">
        <v>0</v>
      </c>
      <c r="CD209" s="4">
        <v>0</v>
      </c>
      <c r="CE209" s="4">
        <v>0</v>
      </c>
      <c r="CF209" s="4">
        <v>0</v>
      </c>
      <c r="CG209" s="4">
        <f>IF(OR(MID(TBBP[[#This Row],[Coluna1]],1,1)="1",MID(TBBP[[#This Row],[Coluna1]],1,1)="2"),CF209,SUM(BU209:CF209))</f>
        <v>0</v>
      </c>
      <c r="CH209" s="4">
        <v>0</v>
      </c>
      <c r="CI209" s="4">
        <v>0</v>
      </c>
      <c r="CJ209" s="4">
        <v>0</v>
      </c>
      <c r="CK209" s="4">
        <v>-1672.6</v>
      </c>
      <c r="CL209" s="4">
        <v>0</v>
      </c>
      <c r="CM209" s="4">
        <v>0</v>
      </c>
      <c r="CN209" s="4">
        <v>0</v>
      </c>
      <c r="CO209" s="4">
        <v>0</v>
      </c>
      <c r="CP209" s="4">
        <v>0</v>
      </c>
      <c r="CQ209" s="4">
        <v>0</v>
      </c>
      <c r="CR209" s="4">
        <v>0</v>
      </c>
      <c r="CS209" s="4">
        <v>0</v>
      </c>
      <c r="CT209" s="4">
        <f>IF(OR(MID(TBBP[[#This Row],[Coluna1]],1,1)="1",MID(TBBP[[#This Row],[Coluna1]],1,1)="2"),CS209,SUM(CH209:CS209))</f>
        <v>-1672.6</v>
      </c>
      <c r="CU209" s="255">
        <v>0</v>
      </c>
      <c r="CV209" s="255">
        <v>0</v>
      </c>
      <c r="CW209" s="255">
        <v>0</v>
      </c>
      <c r="CX209" s="255">
        <v>0</v>
      </c>
      <c r="CY209" s="255">
        <v>0</v>
      </c>
      <c r="CZ209" s="255">
        <v>0</v>
      </c>
      <c r="DA209" s="255">
        <v>0</v>
      </c>
      <c r="DB209" s="255">
        <v>0</v>
      </c>
      <c r="DC209" s="255">
        <v>0</v>
      </c>
      <c r="DD209" s="255">
        <v>0</v>
      </c>
      <c r="DE209" s="255"/>
      <c r="DF209" s="255">
        <v>0</v>
      </c>
      <c r="DG209" s="255">
        <f>SUM(TBBP[[#This Row],[Coluna287]:[Coluna298]])</f>
        <v>0</v>
      </c>
      <c r="DH209" s="255">
        <v>0</v>
      </c>
      <c r="DI209" s="255">
        <v>0</v>
      </c>
      <c r="DJ209" s="255">
        <v>0</v>
      </c>
      <c r="DK209" s="255">
        <v>0</v>
      </c>
      <c r="DL209" s="255">
        <v>0</v>
      </c>
      <c r="DM209" s="255">
        <v>0</v>
      </c>
      <c r="DP209" s="30">
        <f>IF(OR(MID(TBBP[[#This Row],[Coluna1]],1,1)="1",MID(TBBP[[#This Row],[Coluna1]],1,1)="2"),"-",SUMIFS(209:209,listaPeriodos,$DR$1,listaPeriodos,$DR$2))</f>
        <v>0</v>
      </c>
      <c r="DQ209" s="30"/>
      <c r="DR209" s="30">
        <f t="shared" si="180"/>
        <v>0</v>
      </c>
      <c r="DS209" s="30"/>
      <c r="DT209" s="30"/>
      <c r="DU209"/>
    </row>
    <row r="210" spans="1:125" x14ac:dyDescent="0.3">
      <c r="A210" s="7" t="s">
        <v>131</v>
      </c>
      <c r="B210" t="s">
        <v>545</v>
      </c>
      <c r="C210" s="4">
        <v>0</v>
      </c>
      <c r="D210" s="4">
        <v>0</v>
      </c>
      <c r="E210" s="4">
        <v>0</v>
      </c>
      <c r="F210" s="4">
        <v>0</v>
      </c>
      <c r="G210" s="4">
        <v>-3090455.85</v>
      </c>
      <c r="H210" s="4">
        <v>-238578.06999999998</v>
      </c>
      <c r="I210" s="4">
        <v>-283240.65999999997</v>
      </c>
      <c r="J210" s="4">
        <v>-278094.76999999996</v>
      </c>
      <c r="K210" s="4">
        <v>-286889.61</v>
      </c>
      <c r="L210" s="4">
        <v>-257426.99</v>
      </c>
      <c r="M210" s="4">
        <v>-381483.33</v>
      </c>
      <c r="N210" s="4">
        <v>-377943.66</v>
      </c>
      <c r="O210" s="4">
        <v>-302463.26</v>
      </c>
      <c r="P210" s="4">
        <v>-372223.34</v>
      </c>
      <c r="Q210" s="4">
        <v>-343133.97</v>
      </c>
      <c r="R210" s="4">
        <v>-406339.79</v>
      </c>
      <c r="S210" s="4">
        <v>-505709.5</v>
      </c>
      <c r="T210" s="4">
        <f>IF(OR(MID(TBBP[[#This Row],[Coluna1]],1,1)="1",MID(TBBP[[#This Row],[Coluna1]],1,1)="2"),TBBP[[#This Row],[Coluna19]],SUM(H210:S210))</f>
        <v>-4033526.9499999993</v>
      </c>
      <c r="U210" s="4">
        <v>-362260.92</v>
      </c>
      <c r="V210" s="4">
        <v>-461229.12</v>
      </c>
      <c r="W210" s="4">
        <v>-329989.3</v>
      </c>
      <c r="X210" s="4">
        <v>-332691.28999999998</v>
      </c>
      <c r="Y210" s="4">
        <v>-346319.35999999999</v>
      </c>
      <c r="Z210" s="4">
        <v>-349916.46</v>
      </c>
      <c r="AA210" s="4">
        <v>-354557.21</v>
      </c>
      <c r="AB210" s="4">
        <v>-348859.66</v>
      </c>
      <c r="AC210" s="4">
        <v>-442327.95</v>
      </c>
      <c r="AD210" s="4">
        <v>-348774.81</v>
      </c>
      <c r="AE210" s="4">
        <v>-382009.77</v>
      </c>
      <c r="AF210" s="4">
        <v>-341902.87</v>
      </c>
      <c r="AG210" s="4">
        <f>IF(OR(MID(TBBP[[#This Row],[Coluna1]],1,1)="1",MID(TBBP[[#This Row],[Coluna1]],1,1)="2"),TBBP[[#This Row],[Coluna32]],SUM(U210:AF210))</f>
        <v>-4400838.7200000007</v>
      </c>
      <c r="AH210" s="4">
        <v>-366858.43</v>
      </c>
      <c r="AI210" s="4">
        <v>-494253.41000000003</v>
      </c>
      <c r="AJ210" s="4">
        <v>-360175.20999999996</v>
      </c>
      <c r="AK210" s="4">
        <v>-263411.03000000003</v>
      </c>
      <c r="AL210" s="4">
        <v>-301653.95</v>
      </c>
      <c r="AM210" s="4">
        <v>-338403.64</v>
      </c>
      <c r="AN210" s="4">
        <v>-360783.12</v>
      </c>
      <c r="AO210" s="4">
        <v>-365250.27</v>
      </c>
      <c r="AP210" s="4">
        <v>-409723.61</v>
      </c>
      <c r="AQ210" s="4">
        <v>-403753.68</v>
      </c>
      <c r="AR210" s="4">
        <v>-422009.74</v>
      </c>
      <c r="AS210" s="4">
        <v>-417271.71</v>
      </c>
      <c r="AT210" s="4">
        <f>IF(OR(MID(TBBP[[#This Row],[Coluna1]],1,1)="1",MID(TBBP[[#This Row],[Coluna1]],1,1)="2"),TBBP[[#This Row],[Coluna45]],SUM(AH210:AS210))</f>
        <v>-4503547.8</v>
      </c>
      <c r="AU210" s="4">
        <v>-384881.06</v>
      </c>
      <c r="AV210" s="4">
        <v>-698004.03</v>
      </c>
      <c r="AW210" s="4">
        <v>-363123.99</v>
      </c>
      <c r="AX210" s="4">
        <v>-402626.45</v>
      </c>
      <c r="AY210" s="4">
        <v>-472594.77999999997</v>
      </c>
      <c r="AZ210" s="4">
        <v>-523860.79</v>
      </c>
      <c r="BA210" s="4">
        <v>-575117.86</v>
      </c>
      <c r="BB210" s="4">
        <v>-563070.85000000009</v>
      </c>
      <c r="BC210" s="4">
        <v>-580264.77</v>
      </c>
      <c r="BD210" s="4">
        <v>-922154.45000000007</v>
      </c>
      <c r="BE210" s="4">
        <v>-771811.8</v>
      </c>
      <c r="BF210" s="4">
        <v>-331246.08000000007</v>
      </c>
      <c r="BG210" s="4">
        <f>IF(OR(MID(TBBP[[#This Row],[Coluna1]],1,1)="1",MID(TBBP[[#This Row],[Coluna1]],1,1)="2"),TBBP[[#This Row],[Coluna58]],SUM(AU210:BF210))</f>
        <v>-6588756.9100000001</v>
      </c>
      <c r="BH210" s="4">
        <v>-636982.38</v>
      </c>
      <c r="BI210" s="4">
        <v>-996484.83000000007</v>
      </c>
      <c r="BJ210" s="4">
        <v>-807633.56</v>
      </c>
      <c r="BK210" s="4">
        <v>-771182.26</v>
      </c>
      <c r="BL210" s="4">
        <v>-923813.04999999993</v>
      </c>
      <c r="BM210" s="4">
        <v>-831767.2</v>
      </c>
      <c r="BN210" s="4">
        <v>-714870.34</v>
      </c>
      <c r="BO210" s="4">
        <v>-786919.48</v>
      </c>
      <c r="BP210" s="4">
        <v>-1115816.3400000001</v>
      </c>
      <c r="BQ210" s="4">
        <v>-872549.30999999994</v>
      </c>
      <c r="BR210" s="4">
        <v>-753765.5</v>
      </c>
      <c r="BS210" s="4">
        <v>-842379.91999999993</v>
      </c>
      <c r="BT210" s="4">
        <f>IF(OR(MID(TBBP[[#This Row],[Coluna1]],1,1)="1",MID(TBBP[[#This Row],[Coluna1]],1,1)="2"),TBBP[[#This Row],[Coluna127]],SUM(BH210:BS210))</f>
        <v>-10054164.17</v>
      </c>
      <c r="BU210" s="4">
        <v>-917451.1</v>
      </c>
      <c r="BV210" s="4">
        <v>-973784.9800000001</v>
      </c>
      <c r="BW210" s="4">
        <v>-983682.59</v>
      </c>
      <c r="BX210" s="4">
        <v>-700066.72</v>
      </c>
      <c r="BY210" s="4">
        <v>-811984.37</v>
      </c>
      <c r="BZ210" s="4">
        <v>-849014.67999999993</v>
      </c>
      <c r="CA210" s="4">
        <v>-1006859.8</v>
      </c>
      <c r="CB210" s="4">
        <v>-1121121.67</v>
      </c>
      <c r="CC210" s="4">
        <v>-1164146.2</v>
      </c>
      <c r="CD210" s="4">
        <v>-1147135.3900000001</v>
      </c>
      <c r="CE210" s="4">
        <v>-922381.94000000006</v>
      </c>
      <c r="CF210" s="4">
        <v>-991096.76</v>
      </c>
      <c r="CG210" s="4">
        <f>IF(OR(MID(TBBP[[#This Row],[Coluna1]],1,1)="1",MID(TBBP[[#This Row],[Coluna1]],1,1)="2"),CF210,SUM(BU210:CF210))</f>
        <v>-11588726.199999999</v>
      </c>
      <c r="CH210" s="4">
        <v>-1110382.8399999999</v>
      </c>
      <c r="CI210" s="4">
        <v>-1379449.1800000002</v>
      </c>
      <c r="CJ210" s="4">
        <v>-1082158.5699999998</v>
      </c>
      <c r="CK210" s="4">
        <v>-1120752.79</v>
      </c>
      <c r="CL210" s="4">
        <v>-1609272.3</v>
      </c>
      <c r="CM210" s="4">
        <v>-1266286.55</v>
      </c>
      <c r="CN210" s="4">
        <v>-1560636.3299999998</v>
      </c>
      <c r="CO210" s="4">
        <v>-1810544.14</v>
      </c>
      <c r="CP210" s="4">
        <v>-1577562.92</v>
      </c>
      <c r="CQ210" s="4">
        <v>-1575616.51</v>
      </c>
      <c r="CR210" s="4">
        <v>-1587332.94</v>
      </c>
      <c r="CS210" s="4">
        <v>-1540155.4100000001</v>
      </c>
      <c r="CT210" s="4">
        <f>IF(OR(MID(TBBP[[#This Row],[Coluna1]],1,1)="1",MID(TBBP[[#This Row],[Coluna1]],1,1)="2"),CS210,SUM(CH210:CS210))</f>
        <v>-17220150.479999997</v>
      </c>
      <c r="CU210" s="255">
        <v>-1502729.26</v>
      </c>
      <c r="CV210" s="255">
        <v>-1750990.6500000001</v>
      </c>
      <c r="CW210" s="255">
        <v>-1578634.12</v>
      </c>
      <c r="CX210" s="255">
        <v>-1487176.1900000002</v>
      </c>
      <c r="CY210" s="255">
        <v>-1581247.04</v>
      </c>
      <c r="CZ210" s="255">
        <v>-2408522.09</v>
      </c>
      <c r="DA210" s="255">
        <v>-1597321.81</v>
      </c>
      <c r="DB210" s="255">
        <v>-1808335.69</v>
      </c>
      <c r="DC210" s="255">
        <v>-2131416.7599999998</v>
      </c>
      <c r="DD210" s="255">
        <v>-1607546.9200000002</v>
      </c>
      <c r="DE210" s="255">
        <v>-1526068.48</v>
      </c>
      <c r="DF210" s="255">
        <v>-1877021.54</v>
      </c>
      <c r="DG210" s="255">
        <f>SUM(TBBP[[#This Row],[Coluna287]:[Coluna298]])</f>
        <v>-20857010.550000001</v>
      </c>
      <c r="DH210" s="255">
        <v>-1502561.89</v>
      </c>
      <c r="DI210" s="255">
        <v>-1585217.82</v>
      </c>
      <c r="DJ210" s="255">
        <v>-1727811.96</v>
      </c>
      <c r="DK210" s="255">
        <v>-1511245.78</v>
      </c>
      <c r="DL210" s="255">
        <v>-1728386.97</v>
      </c>
      <c r="DM210" s="255">
        <v>-1580231.2100000002</v>
      </c>
      <c r="DP210" s="30">
        <f>IF(OR(MID(TBBP[[#This Row],[Coluna1]],1,1)="1",MID(TBBP[[#This Row],[Coluna1]],1,1)="2"),"-",SUMIFS(210:210,listaPeriodos,$DR$1,listaPeriodos,$DR$2))</f>
        <v>-9635455.6300000008</v>
      </c>
      <c r="DQ210" s="30"/>
      <c r="DR210" s="30">
        <f t="shared" si="180"/>
        <v>0</v>
      </c>
      <c r="DS210" s="30"/>
      <c r="DT210" s="30"/>
      <c r="DU210"/>
    </row>
    <row r="211" spans="1:125" x14ac:dyDescent="0.3">
      <c r="A211" s="7" t="s">
        <v>397</v>
      </c>
      <c r="B211" t="s">
        <v>545</v>
      </c>
      <c r="C211" s="4">
        <v>0</v>
      </c>
      <c r="D211" s="4">
        <v>0</v>
      </c>
      <c r="E211" s="4">
        <v>0</v>
      </c>
      <c r="F211" s="4">
        <v>0</v>
      </c>
      <c r="G211" s="4">
        <v>-3090455.85</v>
      </c>
      <c r="H211" s="4">
        <v>-238578.06999999998</v>
      </c>
      <c r="I211" s="4">
        <v>-283240.65999999997</v>
      </c>
      <c r="J211" s="4">
        <v>-278094.76999999996</v>
      </c>
      <c r="K211" s="4">
        <v>-286889.61</v>
      </c>
      <c r="L211" s="4">
        <v>-257426.99</v>
      </c>
      <c r="M211" s="4">
        <v>-381483.33</v>
      </c>
      <c r="N211" s="4">
        <v>-377943.66</v>
      </c>
      <c r="O211" s="4">
        <v>-302463.26</v>
      </c>
      <c r="P211" s="4">
        <v>-372223.34</v>
      </c>
      <c r="Q211" s="4">
        <v>-343133.97</v>
      </c>
      <c r="R211" s="4">
        <v>-406339.79</v>
      </c>
      <c r="S211" s="4">
        <v>-505709.5</v>
      </c>
      <c r="T211" s="4">
        <f>IF(OR(MID(TBBP[[#This Row],[Coluna1]],1,1)="1",MID(TBBP[[#This Row],[Coluna1]],1,1)="2"),TBBP[[#This Row],[Coluna19]],SUM(H211:S211))</f>
        <v>-4033526.9499999993</v>
      </c>
      <c r="U211" s="4">
        <v>-362260.92</v>
      </c>
      <c r="V211" s="4">
        <v>-461229.12</v>
      </c>
      <c r="W211" s="4">
        <v>-329989.3</v>
      </c>
      <c r="X211" s="4">
        <v>-332691.28999999998</v>
      </c>
      <c r="Y211" s="4">
        <v>-346319.35999999999</v>
      </c>
      <c r="Z211" s="4">
        <v>-349916.46</v>
      </c>
      <c r="AA211" s="4">
        <v>-354557.21</v>
      </c>
      <c r="AB211" s="4">
        <v>-348859.66</v>
      </c>
      <c r="AC211" s="4">
        <v>-442327.95</v>
      </c>
      <c r="AD211" s="4">
        <v>-348774.81</v>
      </c>
      <c r="AE211" s="4">
        <v>-382009.77</v>
      </c>
      <c r="AF211" s="4">
        <v>-341902.87</v>
      </c>
      <c r="AG211" s="4">
        <f>IF(OR(MID(TBBP[[#This Row],[Coluna1]],1,1)="1",MID(TBBP[[#This Row],[Coluna1]],1,1)="2"),TBBP[[#This Row],[Coluna32]],SUM(U211:AF211))</f>
        <v>-4400838.7200000007</v>
      </c>
      <c r="AH211" s="4">
        <v>-366858.43</v>
      </c>
      <c r="AI211" s="4">
        <v>-494253.41000000003</v>
      </c>
      <c r="AJ211" s="4">
        <v>-360175.20999999996</v>
      </c>
      <c r="AK211" s="4">
        <v>-263411.03000000003</v>
      </c>
      <c r="AL211" s="4">
        <v>-301653.95</v>
      </c>
      <c r="AM211" s="4">
        <v>-338403.64</v>
      </c>
      <c r="AN211" s="4">
        <v>-360783.12</v>
      </c>
      <c r="AO211" s="4">
        <v>-365250.27</v>
      </c>
      <c r="AP211" s="4">
        <v>-409723.61</v>
      </c>
      <c r="AQ211" s="4">
        <v>-403753.68</v>
      </c>
      <c r="AR211" s="4">
        <v>-422009.74</v>
      </c>
      <c r="AS211" s="4">
        <v>-417271.71</v>
      </c>
      <c r="AT211" s="4">
        <f>IF(OR(MID(TBBP[[#This Row],[Coluna1]],1,1)="1",MID(TBBP[[#This Row],[Coluna1]],1,1)="2"),TBBP[[#This Row],[Coluna45]],SUM(AH211:AS211))</f>
        <v>-4503547.8</v>
      </c>
      <c r="AU211" s="4">
        <v>-384881.06</v>
      </c>
      <c r="AV211" s="4">
        <v>-698004.03</v>
      </c>
      <c r="AW211" s="4">
        <v>-363123.99</v>
      </c>
      <c r="AX211" s="4">
        <v>-402626.45</v>
      </c>
      <c r="AY211" s="4">
        <v>-472594.77999999997</v>
      </c>
      <c r="AZ211" s="4">
        <v>-523860.79</v>
      </c>
      <c r="BA211" s="4">
        <v>-575117.86</v>
      </c>
      <c r="BB211" s="4">
        <v>-563070.85000000009</v>
      </c>
      <c r="BC211" s="4">
        <v>-580264.77</v>
      </c>
      <c r="BD211" s="4">
        <v>-922154.45000000007</v>
      </c>
      <c r="BE211" s="4">
        <v>-771811.8</v>
      </c>
      <c r="BF211" s="4">
        <v>-331246.08000000007</v>
      </c>
      <c r="BG211" s="4">
        <f>IF(OR(MID(TBBP[[#This Row],[Coluna1]],1,1)="1",MID(TBBP[[#This Row],[Coluna1]],1,1)="2"),TBBP[[#This Row],[Coluna58]],SUM(AU211:BF211))</f>
        <v>-6588756.9100000001</v>
      </c>
      <c r="BH211" s="4">
        <v>-636982.38</v>
      </c>
      <c r="BI211" s="4">
        <v>-996484.83000000007</v>
      </c>
      <c r="BJ211" s="4">
        <v>-807633.56</v>
      </c>
      <c r="BK211" s="4">
        <v>-771182.26</v>
      </c>
      <c r="BL211" s="4">
        <v>-923813.04999999993</v>
      </c>
      <c r="BM211" s="4">
        <v>-831767.2</v>
      </c>
      <c r="BN211" s="4">
        <v>-714870.34</v>
      </c>
      <c r="BO211" s="4">
        <v>-786919.48</v>
      </c>
      <c r="BP211" s="4">
        <v>-1115816.3400000001</v>
      </c>
      <c r="BQ211" s="4">
        <v>-872549.30999999994</v>
      </c>
      <c r="BR211" s="4">
        <v>-753765.5</v>
      </c>
      <c r="BS211" s="4">
        <v>-842379.91999999993</v>
      </c>
      <c r="BT211" s="4">
        <f>IF(OR(MID(TBBP[[#This Row],[Coluna1]],1,1)="1",MID(TBBP[[#This Row],[Coluna1]],1,1)="2"),TBBP[[#This Row],[Coluna127]],SUM(BH211:BS211))</f>
        <v>-10054164.17</v>
      </c>
      <c r="BU211" s="4">
        <v>-917451.1</v>
      </c>
      <c r="BV211" s="4">
        <v>-973784.9800000001</v>
      </c>
      <c r="BW211" s="4">
        <v>-983682.59</v>
      </c>
      <c r="BX211" s="4">
        <v>-700066.72</v>
      </c>
      <c r="BY211" s="4">
        <v>-811984.37</v>
      </c>
      <c r="BZ211" s="4">
        <v>-849014.67999999993</v>
      </c>
      <c r="CA211" s="4">
        <v>-1006859.8</v>
      </c>
      <c r="CB211" s="4">
        <v>-1121121.67</v>
      </c>
      <c r="CC211" s="4">
        <v>-1164146.2</v>
      </c>
      <c r="CD211" s="4">
        <v>-1147135.3900000001</v>
      </c>
      <c r="CE211" s="4">
        <v>-922381.94000000006</v>
      </c>
      <c r="CF211" s="4">
        <v>-991096.76</v>
      </c>
      <c r="CG211" s="4">
        <f>IF(OR(MID(TBBP[[#This Row],[Coluna1]],1,1)="1",MID(TBBP[[#This Row],[Coluna1]],1,1)="2"),CF211,SUM(BU211:CF211))</f>
        <v>-11588726.199999999</v>
      </c>
      <c r="CH211" s="4">
        <v>-1110382.8399999999</v>
      </c>
      <c r="CI211" s="4">
        <v>-1379449.1800000002</v>
      </c>
      <c r="CJ211" s="4">
        <v>-1082158.5699999998</v>
      </c>
      <c r="CK211" s="4">
        <v>-1120752.79</v>
      </c>
      <c r="CL211" s="4">
        <v>-1609272.3</v>
      </c>
      <c r="CM211" s="4">
        <v>-1266286.55</v>
      </c>
      <c r="CN211" s="4">
        <v>-1560636.3299999998</v>
      </c>
      <c r="CO211" s="4">
        <v>-1810544.14</v>
      </c>
      <c r="CP211" s="4">
        <v>-1577562.92</v>
      </c>
      <c r="CQ211" s="4">
        <v>-1575616.51</v>
      </c>
      <c r="CR211" s="4">
        <v>-1587332.94</v>
      </c>
      <c r="CS211" s="4">
        <v>-1540155.4100000001</v>
      </c>
      <c r="CT211" s="4">
        <f>IF(OR(MID(TBBP[[#This Row],[Coluna1]],1,1)="1",MID(TBBP[[#This Row],[Coluna1]],1,1)="2"),CS211,SUM(CH211:CS211))</f>
        <v>-17220150.479999997</v>
      </c>
      <c r="CU211" s="255">
        <v>-1502729.26</v>
      </c>
      <c r="CV211" s="255">
        <v>-1750990.6500000001</v>
      </c>
      <c r="CW211" s="255">
        <v>-1578634.12</v>
      </c>
      <c r="CX211" s="255">
        <v>-1487176.1900000002</v>
      </c>
      <c r="CY211" s="255">
        <v>-1581247.04</v>
      </c>
      <c r="CZ211" s="255">
        <v>-2408522.09</v>
      </c>
      <c r="DA211" s="255">
        <v>-1597321.81</v>
      </c>
      <c r="DB211" s="255">
        <v>-1808335.69</v>
      </c>
      <c r="DC211" s="255">
        <v>-2131416.7599999998</v>
      </c>
      <c r="DD211" s="255">
        <v>-1607546.9200000002</v>
      </c>
      <c r="DE211" s="255">
        <v>-1526068.48</v>
      </c>
      <c r="DF211" s="255">
        <v>-1877021.54</v>
      </c>
      <c r="DG211" s="255">
        <f>SUM(TBBP[[#This Row],[Coluna287]:[Coluna298]])</f>
        <v>-20857010.550000001</v>
      </c>
      <c r="DH211" s="255">
        <v>-1502561.89</v>
      </c>
      <c r="DI211" s="255">
        <v>-1585217.82</v>
      </c>
      <c r="DJ211" s="255">
        <v>-1727811.96</v>
      </c>
      <c r="DK211" s="255">
        <v>-1511245.78</v>
      </c>
      <c r="DL211" s="255">
        <v>-1728386.97</v>
      </c>
      <c r="DM211" s="255">
        <v>-1580231.2100000002</v>
      </c>
      <c r="DP211" s="30">
        <f>IF(OR(MID(TBBP[[#This Row],[Coluna1]],1,1)="1",MID(TBBP[[#This Row],[Coluna1]],1,1)="2"),"-",SUMIFS(211:211,listaPeriodos,$DR$1,listaPeriodos,$DR$2))</f>
        <v>-9635455.6300000008</v>
      </c>
      <c r="DR211" s="30">
        <f t="shared" si="180"/>
        <v>0</v>
      </c>
      <c r="DS211" s="30"/>
      <c r="DT211" s="30"/>
      <c r="DU211"/>
    </row>
    <row r="212" spans="1:125" x14ac:dyDescent="0.3">
      <c r="A212" s="7" t="s">
        <v>132</v>
      </c>
      <c r="B212" t="s">
        <v>546</v>
      </c>
      <c r="C212" s="4">
        <v>0</v>
      </c>
      <c r="D212" s="4">
        <v>0</v>
      </c>
      <c r="E212" s="4">
        <v>0</v>
      </c>
      <c r="F212" s="4">
        <v>0</v>
      </c>
      <c r="G212" s="4">
        <v>-1407893.32</v>
      </c>
      <c r="H212" s="4">
        <v>-85916.29</v>
      </c>
      <c r="I212" s="4">
        <v>-110275.79</v>
      </c>
      <c r="J212" s="4">
        <v>-115899.96</v>
      </c>
      <c r="K212" s="4">
        <v>-118661.15000000001</v>
      </c>
      <c r="L212" s="4">
        <v>-63646.659999999996</v>
      </c>
      <c r="M212" s="4">
        <v>-210501.36</v>
      </c>
      <c r="N212" s="4">
        <v>-132843.67000000001</v>
      </c>
      <c r="O212" s="4">
        <v>-140423.99</v>
      </c>
      <c r="P212" s="4">
        <v>-173120.63</v>
      </c>
      <c r="Q212" s="4">
        <v>-164316.19</v>
      </c>
      <c r="R212" s="4">
        <v>-219030.94</v>
      </c>
      <c r="S212" s="4">
        <v>-323782.81</v>
      </c>
      <c r="T212" s="4">
        <f>IF(OR(MID(TBBP[[#This Row],[Coluna1]],1,1)="1",MID(TBBP[[#This Row],[Coluna1]],1,1)="2"),TBBP[[#This Row],[Coluna19]],SUM(H212:S212))</f>
        <v>-1858419.44</v>
      </c>
      <c r="U212" s="4">
        <v>-179718.77</v>
      </c>
      <c r="V212" s="4">
        <v>-268169.46999999997</v>
      </c>
      <c r="W212" s="4">
        <v>-171439.93</v>
      </c>
      <c r="X212" s="4">
        <v>-161967.54</v>
      </c>
      <c r="Y212" s="4">
        <v>-163301.63</v>
      </c>
      <c r="Z212" s="4">
        <v>-171637.44</v>
      </c>
      <c r="AA212" s="4">
        <v>-150313.88</v>
      </c>
      <c r="AB212" s="4">
        <v>-180095.57</v>
      </c>
      <c r="AC212" s="4">
        <v>-247551.02</v>
      </c>
      <c r="AD212" s="4">
        <v>-156634.75</v>
      </c>
      <c r="AE212" s="4">
        <v>-198989.55</v>
      </c>
      <c r="AF212" s="4">
        <v>-170700.77000000002</v>
      </c>
      <c r="AG212" s="4">
        <f>IF(OR(MID(TBBP[[#This Row],[Coluna1]],1,1)="1",MID(TBBP[[#This Row],[Coluna1]],1,1)="2"),TBBP[[#This Row],[Coluna32]],SUM(U212:AF212))</f>
        <v>-2220520.3200000003</v>
      </c>
      <c r="AH212" s="4">
        <v>-176432.23</v>
      </c>
      <c r="AI212" s="4">
        <v>-321227.96999999997</v>
      </c>
      <c r="AJ212" s="4">
        <v>-148634.1</v>
      </c>
      <c r="AK212" s="4">
        <v>-116107.58</v>
      </c>
      <c r="AL212" s="4">
        <v>-148782.76999999999</v>
      </c>
      <c r="AM212" s="4">
        <v>-138210.34</v>
      </c>
      <c r="AN212" s="4">
        <v>-165742.85</v>
      </c>
      <c r="AO212" s="4">
        <v>-157175.23000000001</v>
      </c>
      <c r="AP212" s="4">
        <v>-177107.85</v>
      </c>
      <c r="AQ212" s="4">
        <v>-197458.79</v>
      </c>
      <c r="AR212" s="4">
        <v>-191403.84</v>
      </c>
      <c r="AS212" s="4">
        <v>-170273.54</v>
      </c>
      <c r="AT212" s="4">
        <f>IF(OR(MID(TBBP[[#This Row],[Coluna1]],1,1)="1",MID(TBBP[[#This Row],[Coluna1]],1,1)="2"),TBBP[[#This Row],[Coluna45]],SUM(AH212:AS212))</f>
        <v>-2108557.0900000003</v>
      </c>
      <c r="AU212" s="4">
        <v>-158203.44</v>
      </c>
      <c r="AV212" s="4">
        <v>-396872.58999999997</v>
      </c>
      <c r="AW212" s="4">
        <v>-166343.57</v>
      </c>
      <c r="AX212" s="4">
        <v>-173706.23</v>
      </c>
      <c r="AY212" s="4">
        <v>-208430.27000000002</v>
      </c>
      <c r="AZ212" s="4">
        <v>-207290.84</v>
      </c>
      <c r="BA212" s="4">
        <v>-261359.77000000002</v>
      </c>
      <c r="BB212" s="4">
        <v>-259688.84</v>
      </c>
      <c r="BC212" s="4">
        <v>-307595.21999999997</v>
      </c>
      <c r="BD212" s="4">
        <v>-531020.89</v>
      </c>
      <c r="BE212" s="4">
        <v>-418443.93</v>
      </c>
      <c r="BF212" s="4">
        <v>-350119.93</v>
      </c>
      <c r="BG212" s="4">
        <f>IF(OR(MID(TBBP[[#This Row],[Coluna1]],1,1)="1",MID(TBBP[[#This Row],[Coluna1]],1,1)="2"),TBBP[[#This Row],[Coluna58]],SUM(AU212:BF212))</f>
        <v>-3439075.5200000009</v>
      </c>
      <c r="BH212" s="4">
        <v>-357200.12</v>
      </c>
      <c r="BI212" s="4">
        <v>-610154.16999999993</v>
      </c>
      <c r="BJ212" s="4">
        <v>-475119.15</v>
      </c>
      <c r="BK212" s="4">
        <v>-422949.57</v>
      </c>
      <c r="BL212" s="4">
        <v>-570897.87</v>
      </c>
      <c r="BM212" s="4">
        <v>-454645.55</v>
      </c>
      <c r="BN212" s="4">
        <v>-377098.23</v>
      </c>
      <c r="BO212" s="4">
        <v>-404368.99</v>
      </c>
      <c r="BP212" s="4">
        <v>-687589.79</v>
      </c>
      <c r="BQ212" s="4">
        <v>-489327.61</v>
      </c>
      <c r="BR212" s="4">
        <v>-421300.4</v>
      </c>
      <c r="BS212" s="4">
        <v>-497142.17</v>
      </c>
      <c r="BT212" s="4">
        <f>IF(OR(MID(TBBP[[#This Row],[Coluna1]],1,1)="1",MID(TBBP[[#This Row],[Coluna1]],1,1)="2"),TBBP[[#This Row],[Coluna127]],SUM(BH212:BS212))</f>
        <v>-5767793.6200000001</v>
      </c>
      <c r="BU212" s="4">
        <v>-494277.4</v>
      </c>
      <c r="BV212" s="4">
        <v>-567654.85</v>
      </c>
      <c r="BW212" s="4">
        <v>-617931.63</v>
      </c>
      <c r="BX212" s="4">
        <v>-320640.49</v>
      </c>
      <c r="BY212" s="4">
        <v>-340375.01</v>
      </c>
      <c r="BZ212" s="4">
        <v>-489961.87</v>
      </c>
      <c r="CA212" s="4">
        <v>-603462.56999999995</v>
      </c>
      <c r="CB212" s="4">
        <v>-589187.07999999996</v>
      </c>
      <c r="CC212" s="4">
        <v>-708526.28</v>
      </c>
      <c r="CD212" s="4">
        <v>-666806.54</v>
      </c>
      <c r="CE212" s="4">
        <v>-479974.99</v>
      </c>
      <c r="CF212" s="4">
        <v>-414684.73000000004</v>
      </c>
      <c r="CG212" s="4">
        <f>IF(OR(MID(TBBP[[#This Row],[Coluna1]],1,1)="1",MID(TBBP[[#This Row],[Coluna1]],1,1)="2"),CF212,SUM(BU212:CF212))</f>
        <v>-6293483.4400000004</v>
      </c>
      <c r="CH212" s="4">
        <v>-627478.37</v>
      </c>
      <c r="CI212" s="4">
        <v>-859391.47</v>
      </c>
      <c r="CJ212" s="4">
        <v>-520725.27</v>
      </c>
      <c r="CK212" s="4">
        <v>-685851.9</v>
      </c>
      <c r="CL212" s="4">
        <v>-1060078.29</v>
      </c>
      <c r="CM212" s="4">
        <v>-640447.78</v>
      </c>
      <c r="CN212" s="4">
        <v>-859830.96</v>
      </c>
      <c r="CO212" s="4">
        <v>-1071337.53</v>
      </c>
      <c r="CP212" s="4">
        <v>-867341.60000000009</v>
      </c>
      <c r="CQ212" s="4">
        <v>-890390.29</v>
      </c>
      <c r="CR212" s="4">
        <v>-932718.02</v>
      </c>
      <c r="CS212" s="4">
        <v>-688740.6</v>
      </c>
      <c r="CT212" s="4">
        <f>IF(OR(MID(TBBP[[#This Row],[Coluna1]],1,1)="1",MID(TBBP[[#This Row],[Coluna1]],1,1)="2"),CS212,SUM(CH212:CS212))</f>
        <v>-9704332.0800000001</v>
      </c>
      <c r="CU212" s="255">
        <v>-689982.46</v>
      </c>
      <c r="CV212" s="255">
        <v>-853253.07000000007</v>
      </c>
      <c r="CW212" s="255">
        <v>-834594.84</v>
      </c>
      <c r="CX212" s="255">
        <v>-691158.21000000008</v>
      </c>
      <c r="CY212" s="255">
        <v>-850821.51</v>
      </c>
      <c r="CZ212" s="255">
        <v>-1115937.8199999998</v>
      </c>
      <c r="DA212" s="255">
        <v>-784913.29</v>
      </c>
      <c r="DB212" s="255">
        <v>-1020734.61</v>
      </c>
      <c r="DC212" s="255">
        <v>-1244771.1300000001</v>
      </c>
      <c r="DD212" s="255">
        <v>-834233.84000000008</v>
      </c>
      <c r="DE212" s="255">
        <v>-813807.15999999992</v>
      </c>
      <c r="DF212" s="255">
        <v>-810183.26</v>
      </c>
      <c r="DG212" s="255">
        <f>SUM(TBBP[[#This Row],[Coluna287]:[Coluna298]])</f>
        <v>-10544391.200000001</v>
      </c>
      <c r="DH212" s="255">
        <v>-714949.65</v>
      </c>
      <c r="DI212" s="255">
        <v>-838853.16</v>
      </c>
      <c r="DJ212" s="255">
        <v>-887347.66999999993</v>
      </c>
      <c r="DK212" s="255">
        <v>-635991.36</v>
      </c>
      <c r="DL212" s="255">
        <v>-907238.80999999994</v>
      </c>
      <c r="DM212" s="255">
        <v>-865280.91</v>
      </c>
      <c r="DO212" t="s">
        <v>132</v>
      </c>
      <c r="DP212" s="30">
        <f>IF(OR(MID(TBBP[[#This Row],[Coluna1]],1,1)="1",MID(TBBP[[#This Row],[Coluna1]],1,1)="2"),"-",SUMIFS(212:212,listaPeriodos,$DR$1,listaPeriodos,$DR$2))</f>
        <v>-4849661.5599999996</v>
      </c>
      <c r="DR212" s="30">
        <f t="shared" si="180"/>
        <v>0</v>
      </c>
      <c r="DS212" s="30"/>
      <c r="DT212" s="30"/>
      <c r="DU212"/>
    </row>
    <row r="213" spans="1:125" x14ac:dyDescent="0.3">
      <c r="A213" s="7" t="s">
        <v>398</v>
      </c>
      <c r="B213" t="s">
        <v>547</v>
      </c>
      <c r="C213" s="4">
        <v>0</v>
      </c>
      <c r="D213" s="4">
        <v>0</v>
      </c>
      <c r="E213" s="4">
        <v>0</v>
      </c>
      <c r="F213" s="4">
        <v>0</v>
      </c>
      <c r="G213" s="4">
        <v>-71349.740000000005</v>
      </c>
      <c r="H213" s="4">
        <v>-6565.5300000000007</v>
      </c>
      <c r="I213" s="4">
        <v>-12968.89</v>
      </c>
      <c r="J213" s="4">
        <v>-12745.74</v>
      </c>
      <c r="K213" s="4">
        <v>-12793.42</v>
      </c>
      <c r="L213" s="4">
        <v>-11021.1</v>
      </c>
      <c r="M213" s="4">
        <v>-12741.94</v>
      </c>
      <c r="N213" s="4">
        <v>-11194.44</v>
      </c>
      <c r="O213" s="4">
        <v>-10233.629999999999</v>
      </c>
      <c r="P213" s="4">
        <v>-9121.81</v>
      </c>
      <c r="Q213" s="4">
        <v>-9819.73</v>
      </c>
      <c r="R213" s="4">
        <v>-14003.59</v>
      </c>
      <c r="S213" s="4">
        <v>-7118.6</v>
      </c>
      <c r="T213" s="4">
        <f>IF(OR(MID(TBBP[[#This Row],[Coluna1]],1,1)="1",MID(TBBP[[#This Row],[Coluna1]],1,1)="2"),TBBP[[#This Row],[Coluna19]],SUM(H213:S213))</f>
        <v>-130328.42</v>
      </c>
      <c r="U213" s="4">
        <v>-16518.400000000001</v>
      </c>
      <c r="V213" s="4">
        <v>-38695.279999999999</v>
      </c>
      <c r="W213" s="4">
        <v>-14914.89</v>
      </c>
      <c r="X213" s="4">
        <v>-15645.24</v>
      </c>
      <c r="Y213" s="4">
        <v>-16654.509999999998</v>
      </c>
      <c r="Z213" s="4">
        <v>-15439.11</v>
      </c>
      <c r="AA213" s="4">
        <v>-13231.95</v>
      </c>
      <c r="AB213" s="4">
        <v>-15963.99</v>
      </c>
      <c r="AC213" s="4">
        <v>-15026.24</v>
      </c>
      <c r="AD213" s="4">
        <v>-14571.71</v>
      </c>
      <c r="AE213" s="4">
        <v>-16529.54</v>
      </c>
      <c r="AF213" s="4">
        <v>-9409.25</v>
      </c>
      <c r="AG213" s="4">
        <f>IF(OR(MID(TBBP[[#This Row],[Coluna1]],1,1)="1",MID(TBBP[[#This Row],[Coluna1]],1,1)="2"),TBBP[[#This Row],[Coluna32]],SUM(U213:AF213))</f>
        <v>-202600.11</v>
      </c>
      <c r="AH213" s="4">
        <v>-23381.23</v>
      </c>
      <c r="AI213" s="4">
        <v>-30013.760000000002</v>
      </c>
      <c r="AJ213" s="4">
        <v>-13827.779999999999</v>
      </c>
      <c r="AK213" s="4">
        <v>-19283.5</v>
      </c>
      <c r="AL213" s="4">
        <v>-16629.55</v>
      </c>
      <c r="AM213" s="4">
        <v>-17832.830000000002</v>
      </c>
      <c r="AN213" s="4">
        <v>-19462.330000000002</v>
      </c>
      <c r="AO213" s="4">
        <v>-22032.33</v>
      </c>
      <c r="AP213" s="4">
        <v>-21372.43</v>
      </c>
      <c r="AQ213" s="4">
        <v>-19433.190000000002</v>
      </c>
      <c r="AR213" s="4">
        <v>-20835.309999999998</v>
      </c>
      <c r="AS213" s="4">
        <v>-11730.07</v>
      </c>
      <c r="AT213" s="4">
        <f>IF(OR(MID(TBBP[[#This Row],[Coluna1]],1,1)="1",MID(TBBP[[#This Row],[Coluna1]],1,1)="2"),TBBP[[#This Row],[Coluna45]],SUM(AH213:AS213))</f>
        <v>-235834.31</v>
      </c>
      <c r="AU213" s="4">
        <v>-20345.5</v>
      </c>
      <c r="AV213" s="4">
        <v>-19512.960000000003</v>
      </c>
      <c r="AW213" s="4">
        <v>-20001.73</v>
      </c>
      <c r="AX213" s="4">
        <v>-24794.69</v>
      </c>
      <c r="AY213" s="4">
        <v>-23038.120000000003</v>
      </c>
      <c r="AZ213" s="4">
        <v>-19283.22</v>
      </c>
      <c r="BA213" s="4">
        <v>-27006.449999999997</v>
      </c>
      <c r="BB213" s="4">
        <v>-20549.509999999998</v>
      </c>
      <c r="BC213" s="4">
        <v>-16153.54</v>
      </c>
      <c r="BD213" s="4">
        <v>-16226.779999999999</v>
      </c>
      <c r="BE213" s="4">
        <v>-23123.239999999998</v>
      </c>
      <c r="BF213" s="4">
        <v>-14018.170000000002</v>
      </c>
      <c r="BG213" s="4">
        <f>IF(OR(MID(TBBP[[#This Row],[Coluna1]],1,1)="1",MID(TBBP[[#This Row],[Coluna1]],1,1)="2"),TBBP[[#This Row],[Coluna58]],SUM(AU213:BF213))</f>
        <v>-244053.91</v>
      </c>
      <c r="BH213" s="4">
        <v>-20187.829999999998</v>
      </c>
      <c r="BI213" s="4">
        <v>-26388.969999999998</v>
      </c>
      <c r="BJ213" s="4">
        <v>-24585.539999999997</v>
      </c>
      <c r="BK213" s="4">
        <v>-22317.56</v>
      </c>
      <c r="BL213" s="4">
        <v>-22782.140000000003</v>
      </c>
      <c r="BM213" s="4">
        <v>-22357.040000000001</v>
      </c>
      <c r="BN213" s="4">
        <v>-24034.78</v>
      </c>
      <c r="BO213" s="4">
        <v>-22517.25</v>
      </c>
      <c r="BP213" s="4">
        <v>-30931.13</v>
      </c>
      <c r="BQ213" s="4">
        <v>-24716.95</v>
      </c>
      <c r="BR213" s="4">
        <v>-26777.02</v>
      </c>
      <c r="BS213" s="4">
        <v>-23086.02</v>
      </c>
      <c r="BT213" s="4">
        <f>IF(OR(MID(TBBP[[#This Row],[Coluna1]],1,1)="1",MID(TBBP[[#This Row],[Coluna1]],1,1)="2"),TBBP[[#This Row],[Coluna127]],SUM(BH213:BS213))</f>
        <v>-290682.23000000004</v>
      </c>
      <c r="BU213" s="4">
        <v>-26061.25</v>
      </c>
      <c r="BV213" s="4">
        <v>-33512.76</v>
      </c>
      <c r="BW213" s="4">
        <v>-22892.400000000001</v>
      </c>
      <c r="BX213" s="4">
        <v>-20060.100000000002</v>
      </c>
      <c r="BY213" s="4">
        <v>-27793.98</v>
      </c>
      <c r="BZ213" s="4">
        <v>-25657.98</v>
      </c>
      <c r="CA213" s="4">
        <v>-26536.959999999999</v>
      </c>
      <c r="CB213" s="4">
        <v>-28868.73</v>
      </c>
      <c r="CC213" s="4">
        <v>-24908.51</v>
      </c>
      <c r="CD213" s="4">
        <v>-30522.34</v>
      </c>
      <c r="CE213" s="4">
        <v>-27821.57</v>
      </c>
      <c r="CF213" s="4">
        <v>-28751.35</v>
      </c>
      <c r="CG213" s="4">
        <f>IF(OR(MID(TBBP[[#This Row],[Coluna1]],1,1)="1",MID(TBBP[[#This Row],[Coluna1]],1,1)="2"),CF213,SUM(BU213:CF213))</f>
        <v>-323387.93</v>
      </c>
      <c r="CH213" s="4">
        <v>-34324.049999999996</v>
      </c>
      <c r="CI213" s="4">
        <v>-32649.980000000003</v>
      </c>
      <c r="CJ213" s="4">
        <v>-26956.92</v>
      </c>
      <c r="CK213" s="4">
        <v>-39201.880000000005</v>
      </c>
      <c r="CL213" s="4">
        <v>-39960.44</v>
      </c>
      <c r="CM213" s="4">
        <v>-28835.699999999997</v>
      </c>
      <c r="CN213" s="4">
        <v>-39408.57</v>
      </c>
      <c r="CO213" s="4">
        <v>-34633.759999999995</v>
      </c>
      <c r="CP213" s="4">
        <v>-45716.07</v>
      </c>
      <c r="CQ213" s="4">
        <v>-39352.35</v>
      </c>
      <c r="CR213" s="4">
        <v>-49877.279999999999</v>
      </c>
      <c r="CS213" s="4">
        <v>-32006.760000000002</v>
      </c>
      <c r="CT213" s="4">
        <f>IF(OR(MID(TBBP[[#This Row],[Coluna1]],1,1)="1",MID(TBBP[[#This Row],[Coluna1]],1,1)="2"),CS213,SUM(CH213:CS213))</f>
        <v>-442923.76</v>
      </c>
      <c r="CU213" s="255">
        <v>-47292.95</v>
      </c>
      <c r="CV213" s="255">
        <v>-40274.44</v>
      </c>
      <c r="CW213" s="255">
        <v>-40911.33</v>
      </c>
      <c r="CX213" s="255">
        <v>-47274.05</v>
      </c>
      <c r="CY213" s="255">
        <v>-46444.299999999996</v>
      </c>
      <c r="CZ213" s="255">
        <v>-47495.48</v>
      </c>
      <c r="DA213" s="255">
        <v>-48128.1</v>
      </c>
      <c r="DB213" s="255">
        <v>-46458.66</v>
      </c>
      <c r="DC213" s="255">
        <v>-77885.399999999994</v>
      </c>
      <c r="DD213" s="255">
        <v>-59336.56</v>
      </c>
      <c r="DE213" s="255">
        <v>-52346.19</v>
      </c>
      <c r="DF213" s="255">
        <v>-81106.42</v>
      </c>
      <c r="DG213" s="255">
        <f>SUM(TBBP[[#This Row],[Coluna287]:[Coluna298]])</f>
        <v>-634953.88</v>
      </c>
      <c r="DH213" s="255">
        <v>-48178.560000000005</v>
      </c>
      <c r="DI213" s="255">
        <v>-103360.81</v>
      </c>
      <c r="DJ213" s="255">
        <v>-73958.399999999994</v>
      </c>
      <c r="DK213" s="255">
        <v>-55587.31</v>
      </c>
      <c r="DL213" s="255">
        <v>-59005.5</v>
      </c>
      <c r="DM213" s="255">
        <v>-19711.599999999999</v>
      </c>
      <c r="DO213" t="s">
        <v>398</v>
      </c>
      <c r="DP213" s="30">
        <f>IF(OR(MID(TBBP[[#This Row],[Coluna1]],1,1)="1",MID(TBBP[[#This Row],[Coluna1]],1,1)="2"),"-",SUMIFS(213:213,listaPeriodos,$DR$1,listaPeriodos,$DR$2))</f>
        <v>-359802.17999999993</v>
      </c>
      <c r="DQ213" s="30">
        <v>-33594.639999999999</v>
      </c>
      <c r="DR213" s="30">
        <f t="shared" si="180"/>
        <v>-201567.84</v>
      </c>
      <c r="DS213" s="30"/>
      <c r="DT213" s="30"/>
      <c r="DU213"/>
    </row>
    <row r="214" spans="1:125" x14ac:dyDescent="0.3">
      <c r="A214" s="7" t="s">
        <v>399</v>
      </c>
      <c r="B214" t="s">
        <v>505</v>
      </c>
      <c r="C214" s="4">
        <v>0</v>
      </c>
      <c r="D214" s="4">
        <v>0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0</v>
      </c>
      <c r="AL214" s="4">
        <v>0</v>
      </c>
      <c r="AM214" s="4">
        <v>0</v>
      </c>
      <c r="AN214" s="4">
        <v>0</v>
      </c>
      <c r="AO214" s="4">
        <v>0</v>
      </c>
      <c r="AP214" s="4">
        <v>0</v>
      </c>
      <c r="AQ214" s="4">
        <v>0</v>
      </c>
      <c r="AR214" s="4">
        <v>0</v>
      </c>
      <c r="AS214" s="4">
        <v>0</v>
      </c>
      <c r="AT214" s="4">
        <v>0</v>
      </c>
      <c r="AU214" s="4">
        <v>0</v>
      </c>
      <c r="AV214" s="4">
        <v>0</v>
      </c>
      <c r="AW214" s="4">
        <v>0</v>
      </c>
      <c r="AX214" s="4">
        <v>0</v>
      </c>
      <c r="AY214" s="4">
        <v>0</v>
      </c>
      <c r="AZ214" s="4">
        <v>0</v>
      </c>
      <c r="BA214" s="4">
        <v>0</v>
      </c>
      <c r="BB214" s="4">
        <v>0</v>
      </c>
      <c r="BC214" s="4">
        <v>0</v>
      </c>
      <c r="BD214" s="4">
        <v>0</v>
      </c>
      <c r="BE214" s="4">
        <v>0</v>
      </c>
      <c r="BF214" s="4">
        <v>0</v>
      </c>
      <c r="BG214" s="4">
        <f>IF(OR(MID(TBBP[[#This Row],[Coluna1]],1,1)="1",MID(TBBP[[#This Row],[Coluna1]],1,1)="2"),TBBP[[#This Row],[Coluna58]],SUM(AU214:BF214))</f>
        <v>0</v>
      </c>
      <c r="BH214" s="4">
        <v>0</v>
      </c>
      <c r="BI214" s="4">
        <v>-18.399999999999999</v>
      </c>
      <c r="BJ214" s="4">
        <v>0</v>
      </c>
      <c r="BK214" s="4">
        <v>0</v>
      </c>
      <c r="BL214" s="4">
        <v>0</v>
      </c>
      <c r="BM214" s="4">
        <v>0</v>
      </c>
      <c r="BN214" s="4">
        <v>0</v>
      </c>
      <c r="BO214" s="4">
        <v>0</v>
      </c>
      <c r="BP214" s="4">
        <v>0</v>
      </c>
      <c r="BQ214" s="4">
        <v>0</v>
      </c>
      <c r="BR214" s="4">
        <v>0</v>
      </c>
      <c r="BS214" s="4">
        <v>0</v>
      </c>
      <c r="BT214" s="4">
        <f>IF(OR(MID(TBBP[[#This Row],[Coluna1]],1,1)="1",MID(TBBP[[#This Row],[Coluna1]],1,1)="2"),TBBP[[#This Row],[Coluna127]],SUM(BH214:BS214))</f>
        <v>-18.399999999999999</v>
      </c>
      <c r="BU214" s="4">
        <v>0</v>
      </c>
      <c r="BV214" s="4">
        <v>0</v>
      </c>
      <c r="BW214" s="4">
        <v>0</v>
      </c>
      <c r="BX214" s="4">
        <v>0</v>
      </c>
      <c r="BY214" s="4">
        <v>0</v>
      </c>
      <c r="BZ214" s="4">
        <v>0</v>
      </c>
      <c r="CA214" s="4">
        <v>0</v>
      </c>
      <c r="CB214" s="4">
        <v>0</v>
      </c>
      <c r="CC214" s="4">
        <v>0</v>
      </c>
      <c r="CD214" s="4">
        <v>0</v>
      </c>
      <c r="CE214" s="4">
        <v>0</v>
      </c>
      <c r="CF214" s="4">
        <v>0</v>
      </c>
      <c r="CG214" s="4">
        <f>IF(OR(MID(TBBP[[#This Row],[Coluna1]],1,1)="1",MID(TBBP[[#This Row],[Coluna1]],1,1)="2"),CF214,SUM(BU214:CF214))</f>
        <v>0</v>
      </c>
      <c r="CH214" s="4">
        <v>0</v>
      </c>
      <c r="CI214" s="4">
        <v>0</v>
      </c>
      <c r="CJ214" s="4">
        <v>0</v>
      </c>
      <c r="CK214" s="4" t="s">
        <v>1134</v>
      </c>
      <c r="CL214" s="4">
        <v>0</v>
      </c>
      <c r="CM214" s="4" t="s">
        <v>1134</v>
      </c>
      <c r="CN214" s="4">
        <v>-1200</v>
      </c>
      <c r="CO214" s="4">
        <v>0</v>
      </c>
      <c r="CP214" s="4">
        <v>0</v>
      </c>
      <c r="CQ214" s="4">
        <v>0</v>
      </c>
      <c r="CR214" s="4">
        <v>0</v>
      </c>
      <c r="CS214" s="4">
        <v>0</v>
      </c>
      <c r="CT214" s="4">
        <f>IF(OR(MID(TBBP[[#This Row],[Coluna1]],1,1)="1",MID(TBBP[[#This Row],[Coluna1]],1,1)="2"),CS214,SUM(CH214:CS214))</f>
        <v>-1200</v>
      </c>
      <c r="CU214" s="255">
        <v>0</v>
      </c>
      <c r="CV214" s="255">
        <v>0</v>
      </c>
      <c r="CW214" s="255">
        <v>0</v>
      </c>
      <c r="CX214" s="255">
        <v>0</v>
      </c>
      <c r="CY214" s="255">
        <v>0</v>
      </c>
      <c r="CZ214" s="255">
        <v>0</v>
      </c>
      <c r="DA214" s="255">
        <v>0</v>
      </c>
      <c r="DB214" s="255">
        <v>0</v>
      </c>
      <c r="DC214" s="255">
        <v>0</v>
      </c>
      <c r="DD214" s="255">
        <v>0</v>
      </c>
      <c r="DE214" s="255"/>
      <c r="DF214" s="255">
        <v>0</v>
      </c>
      <c r="DG214" s="255">
        <f>SUM(TBBP[[#This Row],[Coluna287]:[Coluna298]])</f>
        <v>0</v>
      </c>
      <c r="DH214" s="255">
        <v>0</v>
      </c>
      <c r="DI214" s="255">
        <v>0</v>
      </c>
      <c r="DJ214" s="255">
        <v>0</v>
      </c>
      <c r="DK214" s="255">
        <v>0</v>
      </c>
      <c r="DL214" s="255">
        <v>0</v>
      </c>
      <c r="DM214" s="255">
        <v>0</v>
      </c>
      <c r="DP214" s="30">
        <f>IF(OR(MID(TBBP[[#This Row],[Coluna1]],1,1)="1",MID(TBBP[[#This Row],[Coluna1]],1,1)="2"),"-",SUMIFS(214:214,listaPeriodos,$DR$1,listaPeriodos,$DR$2))</f>
        <v>0</v>
      </c>
      <c r="DR214" s="30">
        <f t="shared" si="180"/>
        <v>0</v>
      </c>
      <c r="DS214" s="30"/>
      <c r="DT214" s="30"/>
      <c r="DU214"/>
    </row>
    <row r="215" spans="1:125" x14ac:dyDescent="0.3">
      <c r="A215" s="7" t="s">
        <v>400</v>
      </c>
      <c r="B215" t="s">
        <v>508</v>
      </c>
      <c r="C215" s="4">
        <v>0</v>
      </c>
      <c r="D215" s="4">
        <v>0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0</v>
      </c>
      <c r="AL215" s="4">
        <v>0</v>
      </c>
      <c r="AM215" s="4">
        <v>0</v>
      </c>
      <c r="AN215" s="4">
        <v>0</v>
      </c>
      <c r="AO215" s="4">
        <v>0</v>
      </c>
      <c r="AP215" s="4">
        <v>0</v>
      </c>
      <c r="AQ215" s="4">
        <v>0</v>
      </c>
      <c r="AR215" s="4">
        <v>0</v>
      </c>
      <c r="AS215" s="4">
        <v>0</v>
      </c>
      <c r="AT215" s="4">
        <v>0</v>
      </c>
      <c r="AU215" s="4">
        <v>0</v>
      </c>
      <c r="AV215" s="4">
        <v>0</v>
      </c>
      <c r="AW215" s="4">
        <v>0</v>
      </c>
      <c r="AX215" s="4">
        <v>0</v>
      </c>
      <c r="AY215" s="4">
        <v>0</v>
      </c>
      <c r="AZ215" s="4">
        <v>0</v>
      </c>
      <c r="BA215" s="4">
        <v>0</v>
      </c>
      <c r="BB215" s="4">
        <v>0</v>
      </c>
      <c r="BC215" s="4">
        <v>0</v>
      </c>
      <c r="BD215" s="4">
        <v>0</v>
      </c>
      <c r="BE215" s="4">
        <v>0</v>
      </c>
      <c r="BF215" s="4">
        <v>0</v>
      </c>
      <c r="BG215" s="4">
        <f>IF(OR(MID(TBBP[[#This Row],[Coluna1]],1,1)="1",MID(TBBP[[#This Row],[Coluna1]],1,1)="2"),TBBP[[#This Row],[Coluna58]],SUM(AU215:BF215))</f>
        <v>0</v>
      </c>
      <c r="BH215" s="4">
        <v>0</v>
      </c>
      <c r="BI215" s="4">
        <v>-1500</v>
      </c>
      <c r="BJ215" s="4">
        <v>0</v>
      </c>
      <c r="BK215" s="4">
        <v>-1500</v>
      </c>
      <c r="BL215" s="4">
        <v>-1500</v>
      </c>
      <c r="BM215" s="4">
        <v>-1500</v>
      </c>
      <c r="BN215" s="4">
        <v>-1500</v>
      </c>
      <c r="BO215" s="4">
        <v>0</v>
      </c>
      <c r="BP215" s="4">
        <v>-3000</v>
      </c>
      <c r="BQ215" s="4">
        <v>-1500</v>
      </c>
      <c r="BR215" s="4">
        <v>-1500</v>
      </c>
      <c r="BS215" s="4">
        <v>-1500</v>
      </c>
      <c r="BT215" s="4">
        <f>IF(OR(MID(TBBP[[#This Row],[Coluna1]],1,1)="1",MID(TBBP[[#This Row],[Coluna1]],1,1)="2"),TBBP[[#This Row],[Coluna127]],SUM(BH215:BS215))</f>
        <v>-15000</v>
      </c>
      <c r="BU215" s="4">
        <v>-1500</v>
      </c>
      <c r="BV215" s="4">
        <v>-1500</v>
      </c>
      <c r="BW215" s="4">
        <v>0</v>
      </c>
      <c r="BX215" s="4">
        <v>-1500</v>
      </c>
      <c r="BY215" s="4">
        <v>-1500</v>
      </c>
      <c r="BZ215" s="4">
        <v>-1500</v>
      </c>
      <c r="CA215" s="4">
        <v>-1500</v>
      </c>
      <c r="CB215" s="4">
        <v>0</v>
      </c>
      <c r="CC215" s="4">
        <v>0</v>
      </c>
      <c r="CD215" s="4">
        <v>0</v>
      </c>
      <c r="CE215" s="4">
        <v>0</v>
      </c>
      <c r="CF215" s="4">
        <v>0</v>
      </c>
      <c r="CG215" s="4">
        <f>IF(OR(MID(TBBP[[#This Row],[Coluna1]],1,1)="1",MID(TBBP[[#This Row],[Coluna1]],1,1)="2"),CF215,SUM(BU215:CF215))</f>
        <v>-9000</v>
      </c>
      <c r="CH215" s="4">
        <v>-1000</v>
      </c>
      <c r="CI215" s="4">
        <v>0</v>
      </c>
      <c r="CJ215" s="4">
        <v>-3000</v>
      </c>
      <c r="CK215" s="4">
        <v>-1000</v>
      </c>
      <c r="CL215" s="4">
        <v>-2200</v>
      </c>
      <c r="CM215" s="4">
        <v>-1000</v>
      </c>
      <c r="CN215" s="4">
        <v>0</v>
      </c>
      <c r="CO215" s="4">
        <v>0</v>
      </c>
      <c r="CP215" s="4">
        <v>-4000</v>
      </c>
      <c r="CQ215" s="4">
        <v>0</v>
      </c>
      <c r="CR215" s="4">
        <v>-2000</v>
      </c>
      <c r="CS215" s="4">
        <v>0</v>
      </c>
      <c r="CT215" s="4">
        <f>IF(OR(MID(TBBP[[#This Row],[Coluna1]],1,1)="1",MID(TBBP[[#This Row],[Coluna1]],1,1)="2"),CS215,SUM(CH215:CS215))</f>
        <v>-14200</v>
      </c>
      <c r="CU215" s="255">
        <v>-2000</v>
      </c>
      <c r="CV215" s="255">
        <v>0</v>
      </c>
      <c r="CW215" s="255">
        <v>0</v>
      </c>
      <c r="CX215" s="255">
        <v>-4000</v>
      </c>
      <c r="CY215" s="255">
        <v>-2000</v>
      </c>
      <c r="CZ215" s="255">
        <v>-2000</v>
      </c>
      <c r="DA215" s="255">
        <v>-2000</v>
      </c>
      <c r="DB215" s="255">
        <v>-2000</v>
      </c>
      <c r="DC215" s="255">
        <v>-2000</v>
      </c>
      <c r="DD215" s="255">
        <v>-2000</v>
      </c>
      <c r="DE215" s="255">
        <v>-2000</v>
      </c>
      <c r="DF215" s="255">
        <v>-2000</v>
      </c>
      <c r="DG215" s="255">
        <f>SUM(TBBP[[#This Row],[Coluna287]:[Coluna298]])</f>
        <v>-22000</v>
      </c>
      <c r="DH215" s="255">
        <v>0</v>
      </c>
      <c r="DI215" s="255">
        <v>-2000</v>
      </c>
      <c r="DJ215" s="255">
        <v>-2000</v>
      </c>
      <c r="DK215" s="255">
        <v>-2000</v>
      </c>
      <c r="DL215" s="255">
        <v>-2000</v>
      </c>
      <c r="DM215" s="255">
        <v>-2000</v>
      </c>
      <c r="DP215" s="30">
        <f>IF(OR(MID(TBBP[[#This Row],[Coluna1]],1,1)="1",MID(TBBP[[#This Row],[Coluna1]],1,1)="2"),"-",SUMIFS(215:215,listaPeriodos,$DR$1,listaPeriodos,$DR$2))</f>
        <v>-10000</v>
      </c>
      <c r="DQ215" s="30"/>
      <c r="DR215" s="30">
        <f t="shared" si="180"/>
        <v>0</v>
      </c>
      <c r="DS215" s="30"/>
      <c r="DT215" s="30"/>
      <c r="DU215"/>
    </row>
    <row r="216" spans="1:125" x14ac:dyDescent="0.3">
      <c r="A216" s="7" t="s">
        <v>401</v>
      </c>
      <c r="B216" t="s">
        <v>548</v>
      </c>
      <c r="C216" s="4">
        <v>0</v>
      </c>
      <c r="D216" s="4">
        <v>0</v>
      </c>
      <c r="E216" s="4">
        <v>0</v>
      </c>
      <c r="F216" s="4">
        <v>0</v>
      </c>
      <c r="G216" s="4">
        <v>-53980.14</v>
      </c>
      <c r="H216" s="4">
        <v>-2503.36</v>
      </c>
      <c r="I216" s="4">
        <v>-2299.9</v>
      </c>
      <c r="J216" s="4">
        <v>-8184.98</v>
      </c>
      <c r="K216" s="4">
        <v>-2407.4299999999998</v>
      </c>
      <c r="L216" s="4">
        <v>-1167.04</v>
      </c>
      <c r="M216" s="4">
        <v>-9195.58</v>
      </c>
      <c r="N216" s="4">
        <v>-10550.48</v>
      </c>
      <c r="O216" s="4">
        <v>-6365.6</v>
      </c>
      <c r="P216" s="4">
        <v>-6494.23</v>
      </c>
      <c r="Q216" s="4">
        <v>-13374.78</v>
      </c>
      <c r="R216" s="4">
        <v>-9101.0400000000009</v>
      </c>
      <c r="S216" s="4">
        <v>-8924.9</v>
      </c>
      <c r="T216" s="4">
        <f>IF(OR(MID(TBBP[[#This Row],[Coluna1]],1,1)="1",MID(TBBP[[#This Row],[Coluna1]],1,1)="2"),TBBP[[#This Row],[Coluna19]],SUM(H216:S216))</f>
        <v>-80569.320000000007</v>
      </c>
      <c r="U216" s="4">
        <v>-6960.35</v>
      </c>
      <c r="V216" s="4">
        <v>-17628.400000000001</v>
      </c>
      <c r="W216" s="4">
        <v>-7123.94</v>
      </c>
      <c r="X216" s="4">
        <v>-5711.58</v>
      </c>
      <c r="Y216" s="4">
        <v>-3191.74</v>
      </c>
      <c r="Z216" s="4">
        <v>-6049.95</v>
      </c>
      <c r="AA216" s="4">
        <v>-7571.98</v>
      </c>
      <c r="AB216" s="4">
        <v>-6685.55</v>
      </c>
      <c r="AC216" s="4">
        <v>-9639.5499999999993</v>
      </c>
      <c r="AD216" s="4">
        <v>-7216.12</v>
      </c>
      <c r="AE216" s="4">
        <v>-2991.06</v>
      </c>
      <c r="AF216" s="4">
        <v>-13489.27</v>
      </c>
      <c r="AG216" s="4">
        <f>IF(OR(MID(TBBP[[#This Row],[Coluna1]],1,1)="1",MID(TBBP[[#This Row],[Coluna1]],1,1)="2"),TBBP[[#This Row],[Coluna32]],SUM(U216:AF216))</f>
        <v>-94259.489999999991</v>
      </c>
      <c r="AH216" s="4">
        <v>-6142.56</v>
      </c>
      <c r="AI216" s="4">
        <v>-6039.55</v>
      </c>
      <c r="AJ216" s="4">
        <v>-4019</v>
      </c>
      <c r="AK216" s="4">
        <v>-5530.31</v>
      </c>
      <c r="AL216" s="4">
        <v>-1661.92</v>
      </c>
      <c r="AM216" s="4">
        <v>-5675.26</v>
      </c>
      <c r="AN216" s="4">
        <v>-6140.29</v>
      </c>
      <c r="AO216" s="4">
        <v>-7081.84</v>
      </c>
      <c r="AP216" s="4">
        <v>-4393.2</v>
      </c>
      <c r="AQ216" s="4">
        <v>-1098.9000000000001</v>
      </c>
      <c r="AR216" s="4">
        <v>-8772.93</v>
      </c>
      <c r="AS216" s="4">
        <v>-9087.4</v>
      </c>
      <c r="AT216" s="4">
        <f>IF(OR(MID(TBBP[[#This Row],[Coluna1]],1,1)="1",MID(TBBP[[#This Row],[Coluna1]],1,1)="2"),TBBP[[#This Row],[Coluna45]],SUM(AH216:AS216))</f>
        <v>-65643.16</v>
      </c>
      <c r="AU216" s="4">
        <v>-2428.94</v>
      </c>
      <c r="AV216" s="4">
        <v>-5078.04</v>
      </c>
      <c r="AW216" s="4">
        <v>-2196.6799999999998</v>
      </c>
      <c r="AX216" s="4">
        <v>-1392.96</v>
      </c>
      <c r="AY216" s="4">
        <v>-11516.19</v>
      </c>
      <c r="AZ216" s="4">
        <v>-3147.23</v>
      </c>
      <c r="BA216" s="4">
        <v>-4818.76</v>
      </c>
      <c r="BB216" s="4">
        <v>-869.76</v>
      </c>
      <c r="BC216" s="4">
        <v>-7432.92</v>
      </c>
      <c r="BD216" s="4">
        <v>-465.28</v>
      </c>
      <c r="BE216" s="4">
        <v>-4270.8999999999996</v>
      </c>
      <c r="BF216" s="4">
        <v>-14070.67</v>
      </c>
      <c r="BG216" s="4">
        <f>IF(OR(MID(TBBP[[#This Row],[Coluna1]],1,1)="1",MID(TBBP[[#This Row],[Coluna1]],1,1)="2"),TBBP[[#This Row],[Coluna58]],SUM(AU216:BF216))</f>
        <v>-57688.329999999994</v>
      </c>
      <c r="BH216" s="4">
        <v>-1828.15</v>
      </c>
      <c r="BI216" s="4">
        <v>-1708.85</v>
      </c>
      <c r="BJ216" s="4">
        <v>-798.63</v>
      </c>
      <c r="BK216" s="4">
        <v>-6640.76</v>
      </c>
      <c r="BL216" s="4">
        <v>-2346.96</v>
      </c>
      <c r="BM216" s="4">
        <v>-2791.44</v>
      </c>
      <c r="BN216" s="4">
        <v>-5651.05</v>
      </c>
      <c r="BO216" s="4">
        <v>-5820.78</v>
      </c>
      <c r="BP216" s="4">
        <v>-8830.07</v>
      </c>
      <c r="BQ216" s="4">
        <v>-5812.74</v>
      </c>
      <c r="BR216" s="4">
        <v>-17878.009999999998</v>
      </c>
      <c r="BS216" s="4">
        <v>-14723.5</v>
      </c>
      <c r="BT216" s="4">
        <f>IF(OR(MID(TBBP[[#This Row],[Coluna1]],1,1)="1",MID(TBBP[[#This Row],[Coluna1]],1,1)="2"),TBBP[[#This Row],[Coluna127]],SUM(BH216:BS216))</f>
        <v>-74830.94</v>
      </c>
      <c r="BU216" s="4">
        <v>-17483.669999999998</v>
      </c>
      <c r="BV216" s="4">
        <v>-6009.88</v>
      </c>
      <c r="BW216" s="4">
        <v>-11794.21</v>
      </c>
      <c r="BX216" s="4">
        <v>-4778.9799999999996</v>
      </c>
      <c r="BY216" s="4">
        <v>-11875.12</v>
      </c>
      <c r="BZ216" s="4">
        <v>-9734.39</v>
      </c>
      <c r="CA216" s="4">
        <v>-4201.07</v>
      </c>
      <c r="CB216" s="4">
        <v>-22331.43</v>
      </c>
      <c r="CC216" s="4">
        <v>-5490.26</v>
      </c>
      <c r="CD216" s="4">
        <v>-6480.93</v>
      </c>
      <c r="CE216" s="4">
        <v>-19788.84</v>
      </c>
      <c r="CF216" s="4">
        <v>-7938.22</v>
      </c>
      <c r="CG216" s="4">
        <f>IF(OR(MID(TBBP[[#This Row],[Coluna1]],1,1)="1",MID(TBBP[[#This Row],[Coluna1]],1,1)="2"),CF216,SUM(BU216:CF216))</f>
        <v>-127907</v>
      </c>
      <c r="CH216" s="4">
        <v>-26139.79</v>
      </c>
      <c r="CI216" s="4">
        <v>-52836.57</v>
      </c>
      <c r="CJ216" s="4">
        <v>-36278.370000000003</v>
      </c>
      <c r="CK216" s="4">
        <v>-39399.160000000003</v>
      </c>
      <c r="CL216" s="4">
        <v>-38321.01</v>
      </c>
      <c r="CM216" s="4">
        <v>-38458.26</v>
      </c>
      <c r="CN216" s="4">
        <v>-67236.639999999999</v>
      </c>
      <c r="CO216" s="4">
        <v>-35964.03</v>
      </c>
      <c r="CP216" s="4">
        <v>-30923.84</v>
      </c>
      <c r="CQ216" s="4">
        <v>-17795.68</v>
      </c>
      <c r="CR216" s="4">
        <v>-35440.559999999998</v>
      </c>
      <c r="CS216" s="4">
        <v>-26293.67</v>
      </c>
      <c r="CT216" s="4">
        <f>IF(OR(MID(TBBP[[#This Row],[Coluna1]],1,1)="1",MID(TBBP[[#This Row],[Coluna1]],1,1)="2"),CS216,SUM(CH216:CS216))</f>
        <v>-445087.58000000007</v>
      </c>
      <c r="CU216" s="255">
        <v>-13896.86</v>
      </c>
      <c r="CV216" s="255">
        <v>-17219.96</v>
      </c>
      <c r="CW216" s="255">
        <v>-29015.640000000003</v>
      </c>
      <c r="CX216" s="255">
        <v>-15498.26</v>
      </c>
      <c r="CY216" s="255">
        <v>-35279.760000000002</v>
      </c>
      <c r="CZ216" s="255">
        <v>-65352.73</v>
      </c>
      <c r="DA216" s="255">
        <v>-72282.3</v>
      </c>
      <c r="DB216" s="255">
        <v>-56631.44</v>
      </c>
      <c r="DC216" s="255">
        <v>-33540.43</v>
      </c>
      <c r="DD216" s="255">
        <v>-18466.7</v>
      </c>
      <c r="DE216" s="255">
        <v>-16702.919999999998</v>
      </c>
      <c r="DF216" s="255">
        <v>-30451.919999999998</v>
      </c>
      <c r="DG216" s="255">
        <f>SUM(TBBP[[#This Row],[Coluna287]:[Coluna298]])</f>
        <v>-404338.92</v>
      </c>
      <c r="DH216" s="255">
        <v>-21599.86</v>
      </c>
      <c r="DI216" s="255">
        <v>-26854.65</v>
      </c>
      <c r="DJ216" s="255">
        <v>-27455.439999999999</v>
      </c>
      <c r="DK216" s="255">
        <v>-13047.6</v>
      </c>
      <c r="DL216" s="255">
        <v>-29686.41</v>
      </c>
      <c r="DM216" s="255">
        <v>-21964.55</v>
      </c>
      <c r="DO216" t="s">
        <v>401</v>
      </c>
      <c r="DP216" s="30">
        <f>IF(OR(MID(TBBP[[#This Row],[Coluna1]],1,1)="1",MID(TBBP[[#This Row],[Coluna1]],1,1)="2"),"-",SUMIFS(216:216,listaPeriodos,$DR$1,listaPeriodos,$DR$2))</f>
        <v>-140608.51</v>
      </c>
      <c r="DQ216" s="30">
        <v>-14580.77</v>
      </c>
      <c r="DR216" s="30">
        <f t="shared" si="180"/>
        <v>-87484.62</v>
      </c>
      <c r="DS216" s="30"/>
      <c r="DT216" s="30"/>
      <c r="DU216"/>
    </row>
    <row r="217" spans="1:125" x14ac:dyDescent="0.3">
      <c r="A217" s="7" t="s">
        <v>402</v>
      </c>
      <c r="B217" t="s">
        <v>525</v>
      </c>
      <c r="C217" s="4">
        <v>0</v>
      </c>
      <c r="D217" s="4">
        <v>0</v>
      </c>
      <c r="E217" s="4">
        <v>0</v>
      </c>
      <c r="F217" s="4">
        <v>0</v>
      </c>
      <c r="G217" s="4">
        <v>-53980.14</v>
      </c>
      <c r="H217" s="4">
        <v>-2503.36</v>
      </c>
      <c r="I217" s="4">
        <v>-2299.9</v>
      </c>
      <c r="J217" s="4">
        <v>-8184.98</v>
      </c>
      <c r="K217" s="4">
        <v>-2407.4299999999998</v>
      </c>
      <c r="L217" s="4">
        <v>-1167.04</v>
      </c>
      <c r="M217" s="4">
        <v>-9195.58</v>
      </c>
      <c r="N217" s="4">
        <v>-10550.48</v>
      </c>
      <c r="O217" s="4">
        <v>-6365.6</v>
      </c>
      <c r="P217" s="4">
        <v>-6494.23</v>
      </c>
      <c r="Q217" s="4">
        <v>-13374.78</v>
      </c>
      <c r="R217" s="4">
        <v>-9101.0400000000009</v>
      </c>
      <c r="S217" s="4">
        <v>-8924.9</v>
      </c>
      <c r="T217" s="4">
        <f>IF(OR(MID(TBBP[[#This Row],[Coluna1]],1,1)="1",MID(TBBP[[#This Row],[Coluna1]],1,1)="2"),TBBP[[#This Row],[Coluna19]],SUM(H217:S217))</f>
        <v>-80569.320000000007</v>
      </c>
      <c r="U217" s="4">
        <v>-6960.35</v>
      </c>
      <c r="V217" s="4">
        <v>-17628.400000000001</v>
      </c>
      <c r="W217" s="4">
        <v>-7123.94</v>
      </c>
      <c r="X217" s="4">
        <v>-5711.58</v>
      </c>
      <c r="Y217" s="4">
        <v>-3191.74</v>
      </c>
      <c r="Z217" s="4">
        <v>-6049.95</v>
      </c>
      <c r="AA217" s="4">
        <v>-7571.98</v>
      </c>
      <c r="AB217" s="4">
        <v>-6685.55</v>
      </c>
      <c r="AC217" s="4">
        <v>-9639.5499999999993</v>
      </c>
      <c r="AD217" s="4">
        <v>-7216.12</v>
      </c>
      <c r="AE217" s="4">
        <v>-2991.06</v>
      </c>
      <c r="AF217" s="4">
        <v>-13489.27</v>
      </c>
      <c r="AG217" s="4">
        <f>IF(OR(MID(TBBP[[#This Row],[Coluna1]],1,1)="1",MID(TBBP[[#This Row],[Coluna1]],1,1)="2"),TBBP[[#This Row],[Coluna32]],SUM(U217:AF217))</f>
        <v>-94259.489999999991</v>
      </c>
      <c r="AH217" s="4">
        <v>-6142.56</v>
      </c>
      <c r="AI217" s="4">
        <v>-6039.55</v>
      </c>
      <c r="AJ217" s="4">
        <v>-4019</v>
      </c>
      <c r="AK217" s="4">
        <v>-5530.31</v>
      </c>
      <c r="AL217" s="4">
        <v>-1661.92</v>
      </c>
      <c r="AM217" s="4">
        <v>-5675.26</v>
      </c>
      <c r="AN217" s="4">
        <v>-6140.29</v>
      </c>
      <c r="AO217" s="4">
        <v>-7081.84</v>
      </c>
      <c r="AP217" s="4">
        <v>-4393.2</v>
      </c>
      <c r="AQ217" s="4">
        <v>-1098.9000000000001</v>
      </c>
      <c r="AR217" s="4">
        <v>-8772.93</v>
      </c>
      <c r="AS217" s="4">
        <v>-9087.4</v>
      </c>
      <c r="AT217" s="4">
        <f>IF(OR(MID(TBBP[[#This Row],[Coluna1]],1,1)="1",MID(TBBP[[#This Row],[Coluna1]],1,1)="2"),TBBP[[#This Row],[Coluna45]],SUM(AH217:AS217))</f>
        <v>-65643.16</v>
      </c>
      <c r="AU217" s="4">
        <v>-2428.94</v>
      </c>
      <c r="AV217" s="4">
        <v>-5078.04</v>
      </c>
      <c r="AW217" s="4">
        <v>-2196.6799999999998</v>
      </c>
      <c r="AX217" s="4">
        <v>-1392.96</v>
      </c>
      <c r="AY217" s="4">
        <v>-11516.19</v>
      </c>
      <c r="AZ217" s="4">
        <v>-3147.23</v>
      </c>
      <c r="BA217" s="4">
        <v>-4818.76</v>
      </c>
      <c r="BB217" s="4">
        <v>-869.76</v>
      </c>
      <c r="BC217" s="4">
        <v>-7432.92</v>
      </c>
      <c r="BD217" s="4">
        <v>-465.28</v>
      </c>
      <c r="BE217" s="4">
        <v>-4270.8999999999996</v>
      </c>
      <c r="BF217" s="4">
        <v>-14070.67</v>
      </c>
      <c r="BG217" s="4">
        <f>IF(OR(MID(TBBP[[#This Row],[Coluna1]],1,1)="1",MID(TBBP[[#This Row],[Coluna1]],1,1)="2"),TBBP[[#This Row],[Coluna58]],SUM(AU217:BF217))</f>
        <v>-57688.329999999994</v>
      </c>
      <c r="BH217" s="4">
        <v>-1828.15</v>
      </c>
      <c r="BI217" s="4">
        <v>-1708.85</v>
      </c>
      <c r="BJ217" s="4">
        <v>-798.63</v>
      </c>
      <c r="BK217" s="4">
        <v>-6640.76</v>
      </c>
      <c r="BL217" s="4">
        <v>-2346.96</v>
      </c>
      <c r="BM217" s="4">
        <v>-2791.44</v>
      </c>
      <c r="BN217" s="4">
        <v>-5651.05</v>
      </c>
      <c r="BO217" s="4">
        <v>-5820.78</v>
      </c>
      <c r="BP217" s="4">
        <v>-8830.07</v>
      </c>
      <c r="BQ217" s="4">
        <v>-5812.74</v>
      </c>
      <c r="BR217" s="4">
        <v>-17878.009999999998</v>
      </c>
      <c r="BS217" s="4">
        <v>-14723.5</v>
      </c>
      <c r="BT217" s="4">
        <f>IF(OR(MID(TBBP[[#This Row],[Coluna1]],1,1)="1",MID(TBBP[[#This Row],[Coluna1]],1,1)="2"),TBBP[[#This Row],[Coluna127]],SUM(BH217:BS217))</f>
        <v>-74830.94</v>
      </c>
      <c r="BU217" s="4">
        <v>-17483.669999999998</v>
      </c>
      <c r="BV217" s="4">
        <v>-6009.88</v>
      </c>
      <c r="BW217" s="4">
        <v>-11794.21</v>
      </c>
      <c r="BX217" s="4">
        <v>-4778.9799999999996</v>
      </c>
      <c r="BY217" s="4">
        <v>-11875.12</v>
      </c>
      <c r="BZ217" s="4">
        <v>-9734.39</v>
      </c>
      <c r="CA217" s="4">
        <v>-4201.07</v>
      </c>
      <c r="CB217" s="4">
        <v>-22331.43</v>
      </c>
      <c r="CC217" s="4">
        <v>-5490.26</v>
      </c>
      <c r="CD217" s="4">
        <v>-6480.93</v>
      </c>
      <c r="CE217" s="4">
        <v>-19788.84</v>
      </c>
      <c r="CF217" s="4">
        <v>-7938.22</v>
      </c>
      <c r="CG217" s="4">
        <f>IF(OR(MID(TBBP[[#This Row],[Coluna1]],1,1)="1",MID(TBBP[[#This Row],[Coluna1]],1,1)="2"),CF217,SUM(BU217:CF217))</f>
        <v>-127907</v>
      </c>
      <c r="CH217" s="4">
        <v>-26139.79</v>
      </c>
      <c r="CI217" s="4">
        <v>-52836.57</v>
      </c>
      <c r="CJ217" s="4">
        <v>-36278.370000000003</v>
      </c>
      <c r="CK217" s="4">
        <v>-39399.160000000003</v>
      </c>
      <c r="CL217" s="4">
        <v>-38321.01</v>
      </c>
      <c r="CM217" s="4">
        <v>-38458.26</v>
      </c>
      <c r="CN217" s="4">
        <v>-67236.639999999999</v>
      </c>
      <c r="CO217" s="4">
        <v>-35964.03</v>
      </c>
      <c r="CP217" s="4">
        <v>-30923.84</v>
      </c>
      <c r="CQ217" s="4">
        <v>-17795.68</v>
      </c>
      <c r="CR217" s="4">
        <v>-35440.559999999998</v>
      </c>
      <c r="CS217" s="4">
        <v>-26293.67</v>
      </c>
      <c r="CT217" s="4">
        <f>IF(OR(MID(TBBP[[#This Row],[Coluna1]],1,1)="1",MID(TBBP[[#This Row],[Coluna1]],1,1)="2"),CS217,SUM(CH217:CS217))</f>
        <v>-445087.58000000007</v>
      </c>
      <c r="CU217" s="255">
        <v>-13896.86</v>
      </c>
      <c r="CV217" s="255">
        <v>-17219.96</v>
      </c>
      <c r="CW217" s="255">
        <v>-29015.640000000003</v>
      </c>
      <c r="CX217" s="255">
        <v>-15498.26</v>
      </c>
      <c r="CY217" s="255">
        <v>-35279.760000000002</v>
      </c>
      <c r="CZ217" s="255">
        <v>-65352.73</v>
      </c>
      <c r="DA217" s="255">
        <v>-72282.3</v>
      </c>
      <c r="DB217" s="255">
        <v>-56631.44</v>
      </c>
      <c r="DC217" s="255">
        <v>-33540.43</v>
      </c>
      <c r="DD217" s="255">
        <v>-18466.7</v>
      </c>
      <c r="DE217" s="255">
        <v>-16702.919999999998</v>
      </c>
      <c r="DF217" s="255">
        <v>-30451.919999999998</v>
      </c>
      <c r="DG217" s="255">
        <f>SUM(TBBP[[#This Row],[Coluna287]:[Coluna298]])</f>
        <v>-404338.92</v>
      </c>
      <c r="DH217" s="255">
        <v>-21599.86</v>
      </c>
      <c r="DI217" s="255">
        <v>-26854.65</v>
      </c>
      <c r="DJ217" s="255">
        <v>-27455.439999999999</v>
      </c>
      <c r="DK217" s="255">
        <v>-13047.6</v>
      </c>
      <c r="DL217" s="255">
        <v>-29686.41</v>
      </c>
      <c r="DM217" s="255">
        <v>-21964.55</v>
      </c>
      <c r="DP217" s="30">
        <f>IF(OR(MID(TBBP[[#This Row],[Coluna1]],1,1)="1",MID(TBBP[[#This Row],[Coluna1]],1,1)="2"),"-",SUMIFS(217:217,listaPeriodos,$DR$1,listaPeriodos,$DR$2))</f>
        <v>-140608.51</v>
      </c>
      <c r="DQ217" s="30"/>
      <c r="DR217" s="30">
        <f t="shared" si="180"/>
        <v>0</v>
      </c>
      <c r="DS217" s="30"/>
      <c r="DT217" s="30"/>
      <c r="DU217"/>
    </row>
    <row r="218" spans="1:125" x14ac:dyDescent="0.3">
      <c r="A218" s="7" t="s">
        <v>403</v>
      </c>
      <c r="B218" t="s">
        <v>549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4">
        <v>0</v>
      </c>
      <c r="AM218" s="4">
        <v>0</v>
      </c>
      <c r="AN218" s="4">
        <v>0</v>
      </c>
      <c r="AO218" s="4">
        <v>0</v>
      </c>
      <c r="AP218" s="4">
        <v>0</v>
      </c>
      <c r="AQ218" s="4">
        <v>0</v>
      </c>
      <c r="AR218" s="4">
        <v>0</v>
      </c>
      <c r="AS218" s="4">
        <v>0</v>
      </c>
      <c r="AT218" s="4">
        <v>0</v>
      </c>
      <c r="AU218" s="4">
        <v>0</v>
      </c>
      <c r="AV218" s="4">
        <v>0</v>
      </c>
      <c r="AW218" s="4">
        <v>0</v>
      </c>
      <c r="AX218" s="4">
        <v>0</v>
      </c>
      <c r="AY218" s="4">
        <v>0</v>
      </c>
      <c r="AZ218" s="4">
        <v>0</v>
      </c>
      <c r="BA218" s="4">
        <v>0</v>
      </c>
      <c r="BB218" s="4">
        <v>0</v>
      </c>
      <c r="BC218" s="4">
        <v>0</v>
      </c>
      <c r="BD218" s="4">
        <v>0</v>
      </c>
      <c r="BE218" s="4">
        <v>0</v>
      </c>
      <c r="BF218" s="4">
        <v>0</v>
      </c>
      <c r="BG218" s="4">
        <v>0</v>
      </c>
      <c r="BH218" s="4">
        <v>0</v>
      </c>
      <c r="BI218" s="4">
        <v>0</v>
      </c>
      <c r="BJ218" s="4">
        <v>0</v>
      </c>
      <c r="BK218" s="4">
        <v>0</v>
      </c>
      <c r="BL218" s="4">
        <v>0</v>
      </c>
      <c r="BM218" s="4">
        <v>0</v>
      </c>
      <c r="BN218" s="4">
        <v>0</v>
      </c>
      <c r="BO218" s="4">
        <v>0</v>
      </c>
      <c r="BP218" s="4">
        <v>0</v>
      </c>
      <c r="BQ218" s="4">
        <v>0</v>
      </c>
      <c r="BR218" s="4">
        <v>0</v>
      </c>
      <c r="BS218" s="4">
        <v>0</v>
      </c>
      <c r="BT218" s="4">
        <f>IF(OR(MID(TBBP[[#This Row],[Coluna1]],1,1)="1",MID(TBBP[[#This Row],[Coluna1]],1,1)="2"),TBBP[[#This Row],[Coluna127]],SUM(BH218:BS218))</f>
        <v>0</v>
      </c>
      <c r="BU218" s="4">
        <v>0</v>
      </c>
      <c r="BV218" s="4">
        <v>0</v>
      </c>
      <c r="BW218" s="4">
        <v>0</v>
      </c>
      <c r="BX218" s="4">
        <v>0</v>
      </c>
      <c r="BY218" s="4">
        <v>0</v>
      </c>
      <c r="BZ218" s="4">
        <v>0</v>
      </c>
      <c r="CA218" s="4">
        <v>0</v>
      </c>
      <c r="CB218" s="4">
        <v>0</v>
      </c>
      <c r="CC218" s="4">
        <v>0</v>
      </c>
      <c r="CD218" s="4">
        <v>0</v>
      </c>
      <c r="CE218" s="4">
        <v>0</v>
      </c>
      <c r="CF218" s="4">
        <v>0</v>
      </c>
      <c r="CG218" s="4">
        <f>IF(OR(MID(TBBP[[#This Row],[Coluna1]],1,1)="1",MID(TBBP[[#This Row],[Coluna1]],1,1)="2"),CF218,SUM(BU218:CF218))</f>
        <v>0</v>
      </c>
      <c r="CH218" s="4">
        <v>0</v>
      </c>
      <c r="CI218" s="4">
        <v>0</v>
      </c>
      <c r="CJ218" s="4">
        <v>0</v>
      </c>
      <c r="CK218" s="4" t="s">
        <v>1134</v>
      </c>
      <c r="CL218" s="4">
        <v>0</v>
      </c>
      <c r="CM218" s="4" t="s">
        <v>1134</v>
      </c>
      <c r="CN218" s="4">
        <v>0</v>
      </c>
      <c r="CO218" s="4">
        <v>0</v>
      </c>
      <c r="CP218" s="4">
        <v>0</v>
      </c>
      <c r="CQ218" s="4" t="s">
        <v>1134</v>
      </c>
      <c r="CR218" s="4" t="s">
        <v>1134</v>
      </c>
      <c r="CS218" s="4" t="s">
        <v>1134</v>
      </c>
      <c r="CT218" s="4">
        <f>IF(OR(MID(TBBP[[#This Row],[Coluna1]],1,1)="1",MID(TBBP[[#This Row],[Coluna1]],1,1)="2"),CS218,SUM(CH218:CS218))</f>
        <v>0</v>
      </c>
      <c r="CU218" s="255">
        <v>0</v>
      </c>
      <c r="CV218" s="255">
        <v>0</v>
      </c>
      <c r="CW218" s="255">
        <v>0</v>
      </c>
      <c r="CX218" s="255">
        <v>0</v>
      </c>
      <c r="CY218" s="255">
        <v>0</v>
      </c>
      <c r="CZ218" s="255">
        <v>0</v>
      </c>
      <c r="DA218" s="255">
        <v>0</v>
      </c>
      <c r="DB218" s="255">
        <v>0</v>
      </c>
      <c r="DC218" s="255">
        <v>0</v>
      </c>
      <c r="DD218" s="255">
        <v>0</v>
      </c>
      <c r="DE218" s="255"/>
      <c r="DF218" s="255">
        <v>0</v>
      </c>
      <c r="DG218" s="255">
        <f>SUM(TBBP[[#This Row],[Coluna287]:[Coluna298]])</f>
        <v>0</v>
      </c>
      <c r="DH218" s="255">
        <v>0</v>
      </c>
      <c r="DI218" s="255">
        <v>0</v>
      </c>
      <c r="DJ218" s="255">
        <v>0</v>
      </c>
      <c r="DK218" s="255">
        <v>0</v>
      </c>
      <c r="DL218" s="255">
        <v>0</v>
      </c>
      <c r="DM218" s="255">
        <v>0</v>
      </c>
      <c r="DP218" s="30">
        <f>IF(OR(MID(TBBP[[#This Row],[Coluna1]],1,1)="1",MID(TBBP[[#This Row],[Coluna1]],1,1)="2"),"-",SUMIFS(218:218,listaPeriodos,$DR$1,listaPeriodos,$DR$2))</f>
        <v>0</v>
      </c>
      <c r="DR218" s="30">
        <f t="shared" si="180"/>
        <v>0</v>
      </c>
      <c r="DS218" s="30"/>
      <c r="DT218" s="30"/>
      <c r="DU218"/>
    </row>
    <row r="219" spans="1:125" x14ac:dyDescent="0.3">
      <c r="A219" s="7" t="s">
        <v>404</v>
      </c>
      <c r="B219" t="s">
        <v>550</v>
      </c>
      <c r="C219" s="4">
        <v>0</v>
      </c>
      <c r="D219" s="4">
        <v>0</v>
      </c>
      <c r="E219" s="4">
        <v>0</v>
      </c>
      <c r="F219" s="4">
        <v>0</v>
      </c>
      <c r="G219" s="4">
        <v>-540998.24</v>
      </c>
      <c r="H219" s="4">
        <v>-47710.91</v>
      </c>
      <c r="I219" s="4">
        <v>-61142.43</v>
      </c>
      <c r="J219" s="4">
        <v>-46679.79</v>
      </c>
      <c r="K219" s="4">
        <v>-60214.59</v>
      </c>
      <c r="L219" s="4">
        <v>-52973.61</v>
      </c>
      <c r="M219" s="4">
        <v>-40171.17</v>
      </c>
      <c r="N219" s="4">
        <v>-55245.919999999998</v>
      </c>
      <c r="O219" s="4">
        <v>-44567.78</v>
      </c>
      <c r="P219" s="4">
        <v>-41887.17</v>
      </c>
      <c r="Q219" s="4">
        <v>-55931.15</v>
      </c>
      <c r="R219" s="4">
        <v>-74007.67</v>
      </c>
      <c r="S219" s="4">
        <v>-68619.81</v>
      </c>
      <c r="T219" s="4">
        <f>IF(OR(MID(TBBP[[#This Row],[Coluna1]],1,1)="1",MID(TBBP[[#This Row],[Coluna1]],1,1)="2"),TBBP[[#This Row],[Coluna19]],SUM(H219:S219))</f>
        <v>-649152</v>
      </c>
      <c r="U219" s="4">
        <v>-64234.17</v>
      </c>
      <c r="V219" s="4">
        <v>-70342.399999999994</v>
      </c>
      <c r="W219" s="4">
        <v>-49705.93</v>
      </c>
      <c r="X219" s="4">
        <v>-49640.71</v>
      </c>
      <c r="Y219" s="4">
        <v>-43536.62</v>
      </c>
      <c r="Z219" s="4">
        <v>-54870.75</v>
      </c>
      <c r="AA219" s="4">
        <v>-41068.35</v>
      </c>
      <c r="AB219" s="4">
        <v>-51019.42</v>
      </c>
      <c r="AC219" s="4">
        <v>-71428.56</v>
      </c>
      <c r="AD219" s="4">
        <v>-52832.98</v>
      </c>
      <c r="AE219" s="4">
        <v>-69969.03</v>
      </c>
      <c r="AF219" s="4">
        <v>-81489.320000000007</v>
      </c>
      <c r="AG219" s="4">
        <f>IF(OR(MID(TBBP[[#This Row],[Coluna1]],1,1)="1",MID(TBBP[[#This Row],[Coluna1]],1,1)="2"),TBBP[[#This Row],[Coluna32]],SUM(U219:AF219))</f>
        <v>-700138.24</v>
      </c>
      <c r="AH219" s="4">
        <v>-71122.47</v>
      </c>
      <c r="AI219" s="4">
        <v>-81810.429999999993</v>
      </c>
      <c r="AJ219" s="4">
        <v>-66440.66</v>
      </c>
      <c r="AK219" s="4">
        <v>-54495.34</v>
      </c>
      <c r="AL219" s="4">
        <v>-68605.539999999994</v>
      </c>
      <c r="AM219" s="4">
        <v>-65487.83</v>
      </c>
      <c r="AN219" s="4">
        <v>-97031.37</v>
      </c>
      <c r="AO219" s="4">
        <v>-95467.520000000004</v>
      </c>
      <c r="AP219" s="4">
        <v>-101634.45</v>
      </c>
      <c r="AQ219" s="4">
        <v>-100626.88</v>
      </c>
      <c r="AR219" s="4">
        <v>-108987.62</v>
      </c>
      <c r="AS219" s="4">
        <v>-106545.69</v>
      </c>
      <c r="AT219" s="4">
        <f>IF(OR(MID(TBBP[[#This Row],[Coluna1]],1,1)="1",MID(TBBP[[#This Row],[Coluna1]],1,1)="2"),TBBP[[#This Row],[Coluna45]],SUM(AH219:AS219))</f>
        <v>-1018255.8</v>
      </c>
      <c r="AU219" s="4">
        <v>-102244.48</v>
      </c>
      <c r="AV219" s="4">
        <v>-336766.03</v>
      </c>
      <c r="AW219" s="4">
        <v>-97518.82</v>
      </c>
      <c r="AX219" s="4">
        <v>-114857.98</v>
      </c>
      <c r="AY219" s="4">
        <v>-142597.07</v>
      </c>
      <c r="AZ219" s="4">
        <v>-129994.46</v>
      </c>
      <c r="BA219" s="4">
        <v>-177139.01</v>
      </c>
      <c r="BB219" s="4">
        <v>-164394.23999999999</v>
      </c>
      <c r="BC219" s="4">
        <v>-199997.7</v>
      </c>
      <c r="BD219" s="4">
        <v>-415992.64</v>
      </c>
      <c r="BE219" s="4">
        <v>-215340.81</v>
      </c>
      <c r="BF219" s="4">
        <v>-251132.12</v>
      </c>
      <c r="BG219" s="4">
        <f>IF(OR(MID(TBBP[[#This Row],[Coluna1]],1,1)="1",MID(TBBP[[#This Row],[Coluna1]],1,1)="2"),TBBP[[#This Row],[Coluna58]],SUM(AU219:BF219))</f>
        <v>-2347975.3600000003</v>
      </c>
      <c r="BH219" s="4">
        <v>-211758.78</v>
      </c>
      <c r="BI219" s="4">
        <v>-456213.47</v>
      </c>
      <c r="BJ219" s="4">
        <v>-258948.49</v>
      </c>
      <c r="BK219" s="4">
        <v>-215361.77</v>
      </c>
      <c r="BL219" s="4">
        <v>-200932.04</v>
      </c>
      <c r="BM219" s="4">
        <v>-227454.45</v>
      </c>
      <c r="BN219" s="4">
        <v>-148523.13</v>
      </c>
      <c r="BO219" s="4">
        <v>-167578.91</v>
      </c>
      <c r="BP219" s="4">
        <v>-178612.24</v>
      </c>
      <c r="BQ219" s="4">
        <v>-190992.93</v>
      </c>
      <c r="BR219" s="4">
        <v>-146710.82999999999</v>
      </c>
      <c r="BS219" s="4">
        <v>-206902.57</v>
      </c>
      <c r="BT219" s="4">
        <f>IF(OR(MID(TBBP[[#This Row],[Coluna1]],1,1)="1",MID(TBBP[[#This Row],[Coluna1]],1,1)="2"),TBBP[[#This Row],[Coluna127]],SUM(BH219:BS219))</f>
        <v>-2609989.61</v>
      </c>
      <c r="BU219" s="4">
        <v>-267521.3</v>
      </c>
      <c r="BV219" s="4">
        <v>-199317.79</v>
      </c>
      <c r="BW219" s="4">
        <v>-188973.07</v>
      </c>
      <c r="BX219" s="4">
        <v>-150942.85999999999</v>
      </c>
      <c r="BY219" s="4">
        <v>-163309.04</v>
      </c>
      <c r="BZ219" s="4">
        <v>-207625.57</v>
      </c>
      <c r="CA219" s="4">
        <v>-227538.54</v>
      </c>
      <c r="CB219" s="4">
        <v>-203099.22</v>
      </c>
      <c r="CC219" s="4">
        <v>-200288.59</v>
      </c>
      <c r="CD219" s="4">
        <v>-211120.21</v>
      </c>
      <c r="CE219" s="4">
        <v>-178087.03</v>
      </c>
      <c r="CF219" s="4">
        <v>-192535.55</v>
      </c>
      <c r="CG219" s="4">
        <f>IF(OR(MID(TBBP[[#This Row],[Coluna1]],1,1)="1",MID(TBBP[[#This Row],[Coluna1]],1,1)="2"),CF219,SUM(BU219:CF219))</f>
        <v>-2390358.7699999996</v>
      </c>
      <c r="CH219" s="4">
        <v>-185767.17</v>
      </c>
      <c r="CI219" s="4">
        <v>-177593.45</v>
      </c>
      <c r="CJ219" s="4">
        <v>-188391.17</v>
      </c>
      <c r="CK219" s="4">
        <v>-193850.28</v>
      </c>
      <c r="CL219" s="4">
        <v>-299792.88</v>
      </c>
      <c r="CM219" s="4">
        <v>-283587</v>
      </c>
      <c r="CN219" s="4">
        <v>-236931.94</v>
      </c>
      <c r="CO219" s="4">
        <v>-280527.13</v>
      </c>
      <c r="CP219" s="4">
        <v>-288608.40999999997</v>
      </c>
      <c r="CQ219" s="4">
        <v>-328368.25</v>
      </c>
      <c r="CR219" s="4">
        <v>-360524.11</v>
      </c>
      <c r="CS219" s="4">
        <v>-244150.75</v>
      </c>
      <c r="CT219" s="4">
        <f>IF(OR(MID(TBBP[[#This Row],[Coluna1]],1,1)="1",MID(TBBP[[#This Row],[Coluna1]],1,1)="2"),CS219,SUM(CH219:CS219))</f>
        <v>-3068092.54</v>
      </c>
      <c r="CU219" s="255">
        <v>-286357.34000000003</v>
      </c>
      <c r="CV219" s="255">
        <v>-219316</v>
      </c>
      <c r="CW219" s="255">
        <v>-318772.45</v>
      </c>
      <c r="CX219" s="255">
        <v>-253416.26</v>
      </c>
      <c r="CY219" s="255">
        <v>-323664.68</v>
      </c>
      <c r="CZ219" s="255">
        <v>-469511.75</v>
      </c>
      <c r="DA219" s="255">
        <v>-281499.7</v>
      </c>
      <c r="DB219" s="255">
        <v>-342031.46</v>
      </c>
      <c r="DC219" s="255">
        <v>-212965.98</v>
      </c>
      <c r="DD219" s="255">
        <v>-277716.84000000003</v>
      </c>
      <c r="DE219" s="255">
        <v>-266472.21000000002</v>
      </c>
      <c r="DF219" s="255">
        <v>-223304.53</v>
      </c>
      <c r="DG219" s="255">
        <f>SUM(TBBP[[#This Row],[Coluna287]:[Coluna298]])</f>
        <v>-3475029.1999999997</v>
      </c>
      <c r="DH219" s="255">
        <v>-272632.11</v>
      </c>
      <c r="DI219" s="255">
        <v>-284375.95</v>
      </c>
      <c r="DJ219" s="255">
        <v>-227427.35</v>
      </c>
      <c r="DK219" s="255">
        <v>-258207.76</v>
      </c>
      <c r="DL219" s="255">
        <v>-243738.77</v>
      </c>
      <c r="DM219" s="255">
        <v>-248381.24</v>
      </c>
      <c r="DO219" t="s">
        <v>404</v>
      </c>
      <c r="DP219" s="30">
        <f>IF(OR(MID(TBBP[[#This Row],[Coluna1]],1,1)="1",MID(TBBP[[#This Row],[Coluna1]],1,1)="2"),"-",SUMIFS(219:219,listaPeriodos,$DR$1,listaPeriodos,$DR$2))</f>
        <v>-1534763.18</v>
      </c>
      <c r="DQ219" s="30">
        <v>-266853.63</v>
      </c>
      <c r="DR219" s="30">
        <f t="shared" si="180"/>
        <v>-1601121.78</v>
      </c>
      <c r="DS219" s="30"/>
      <c r="DT219" s="30"/>
      <c r="DU219"/>
    </row>
    <row r="220" spans="1:125" x14ac:dyDescent="0.3">
      <c r="A220" s="7" t="s">
        <v>405</v>
      </c>
      <c r="B220" t="s">
        <v>550</v>
      </c>
      <c r="C220" s="4">
        <v>0</v>
      </c>
      <c r="D220" s="4">
        <v>0</v>
      </c>
      <c r="E220" s="4">
        <v>0</v>
      </c>
      <c r="F220" s="4">
        <v>0</v>
      </c>
      <c r="G220" s="4">
        <v>-540998.24</v>
      </c>
      <c r="H220" s="4">
        <v>-47710.91</v>
      </c>
      <c r="I220" s="4">
        <v>-61142.43</v>
      </c>
      <c r="J220" s="4">
        <v>-46679.79</v>
      </c>
      <c r="K220" s="4">
        <v>-60214.59</v>
      </c>
      <c r="L220" s="4">
        <v>-52973.61</v>
      </c>
      <c r="M220" s="4">
        <v>-40171.17</v>
      </c>
      <c r="N220" s="4">
        <v>-55245.919999999998</v>
      </c>
      <c r="O220" s="4">
        <v>-44567.78</v>
      </c>
      <c r="P220" s="4">
        <v>-41887.17</v>
      </c>
      <c r="Q220" s="4">
        <v>-55931.15</v>
      </c>
      <c r="R220" s="4">
        <v>-74007.67</v>
      </c>
      <c r="S220" s="4">
        <v>-68619.81</v>
      </c>
      <c r="T220" s="4">
        <f>IF(OR(MID(TBBP[[#This Row],[Coluna1]],1,1)="1",MID(TBBP[[#This Row],[Coluna1]],1,1)="2"),TBBP[[#This Row],[Coluna19]],SUM(H220:S220))</f>
        <v>-649152</v>
      </c>
      <c r="U220" s="4">
        <v>-64234.17</v>
      </c>
      <c r="V220" s="4">
        <v>-70342.399999999994</v>
      </c>
      <c r="W220" s="4">
        <v>-49705.93</v>
      </c>
      <c r="X220" s="4">
        <v>-49640.71</v>
      </c>
      <c r="Y220" s="4">
        <v>-43536.62</v>
      </c>
      <c r="Z220" s="4">
        <v>-54870.75</v>
      </c>
      <c r="AA220" s="4">
        <v>-41068.35</v>
      </c>
      <c r="AB220" s="4">
        <v>-51019.42</v>
      </c>
      <c r="AC220" s="4">
        <v>-71428.56</v>
      </c>
      <c r="AD220" s="4">
        <v>-52832.98</v>
      </c>
      <c r="AE220" s="4">
        <v>-69969.03</v>
      </c>
      <c r="AF220" s="4">
        <v>-81489.320000000007</v>
      </c>
      <c r="AG220" s="4">
        <f>IF(OR(MID(TBBP[[#This Row],[Coluna1]],1,1)="1",MID(TBBP[[#This Row],[Coluna1]],1,1)="2"),TBBP[[#This Row],[Coluna32]],SUM(U220:AF220))</f>
        <v>-700138.24</v>
      </c>
      <c r="AH220" s="4">
        <v>-71122.47</v>
      </c>
      <c r="AI220" s="4">
        <v>-81810.429999999993</v>
      </c>
      <c r="AJ220" s="4">
        <v>-66440.66</v>
      </c>
      <c r="AK220" s="4">
        <v>-54495.34</v>
      </c>
      <c r="AL220" s="4">
        <v>-68605.539999999994</v>
      </c>
      <c r="AM220" s="4">
        <v>-65487.83</v>
      </c>
      <c r="AN220" s="4">
        <v>-97031.37</v>
      </c>
      <c r="AO220" s="4">
        <v>-95467.520000000004</v>
      </c>
      <c r="AP220" s="4">
        <v>-101634.45</v>
      </c>
      <c r="AQ220" s="4">
        <v>-100626.88</v>
      </c>
      <c r="AR220" s="4">
        <v>-108987.62</v>
      </c>
      <c r="AS220" s="4">
        <v>-106545.69</v>
      </c>
      <c r="AT220" s="4">
        <f>IF(OR(MID(TBBP[[#This Row],[Coluna1]],1,1)="1",MID(TBBP[[#This Row],[Coluna1]],1,1)="2"),TBBP[[#This Row],[Coluna45]],SUM(AH220:AS220))</f>
        <v>-1018255.8</v>
      </c>
      <c r="AU220" s="4">
        <v>-102244.48</v>
      </c>
      <c r="AV220" s="4">
        <v>-336766.03</v>
      </c>
      <c r="AW220" s="4">
        <v>-97518.82</v>
      </c>
      <c r="AX220" s="4">
        <v>-114857.98</v>
      </c>
      <c r="AY220" s="4">
        <v>-142597.07</v>
      </c>
      <c r="AZ220" s="4">
        <v>-129994.46</v>
      </c>
      <c r="BA220" s="4">
        <v>-177139.01</v>
      </c>
      <c r="BB220" s="4">
        <v>-164394.23999999999</v>
      </c>
      <c r="BC220" s="4">
        <v>-199997.7</v>
      </c>
      <c r="BD220" s="4">
        <v>-415992.64</v>
      </c>
      <c r="BE220" s="4">
        <v>-215340.81</v>
      </c>
      <c r="BF220" s="4">
        <v>-251132.12</v>
      </c>
      <c r="BG220" s="4">
        <f>IF(OR(MID(TBBP[[#This Row],[Coluna1]],1,1)="1",MID(TBBP[[#This Row],[Coluna1]],1,1)="2"),TBBP[[#This Row],[Coluna58]],SUM(AU220:BF220))</f>
        <v>-2347975.3600000003</v>
      </c>
      <c r="BH220" s="4">
        <v>-211758.78</v>
      </c>
      <c r="BI220" s="4">
        <v>-456213.47</v>
      </c>
      <c r="BJ220" s="4">
        <v>-258948.49</v>
      </c>
      <c r="BK220" s="4">
        <v>-215361.77</v>
      </c>
      <c r="BL220" s="4">
        <v>-200932.04</v>
      </c>
      <c r="BM220" s="4">
        <v>-227454.45</v>
      </c>
      <c r="BN220" s="4">
        <v>-148523.13</v>
      </c>
      <c r="BO220" s="4">
        <v>-167578.91</v>
      </c>
      <c r="BP220" s="4">
        <v>-178612.24</v>
      </c>
      <c r="BQ220" s="4">
        <v>-190992.93</v>
      </c>
      <c r="BR220" s="4">
        <v>-146710.82999999999</v>
      </c>
      <c r="BS220" s="4">
        <v>-206902.57</v>
      </c>
      <c r="BT220" s="4">
        <f>IF(OR(MID(TBBP[[#This Row],[Coluna1]],1,1)="1",MID(TBBP[[#This Row],[Coluna1]],1,1)="2"),TBBP[[#This Row],[Coluna127]],SUM(BH220:BS220))</f>
        <v>-2609989.61</v>
      </c>
      <c r="BU220" s="4">
        <v>-267521.3</v>
      </c>
      <c r="BV220" s="4">
        <v>-199317.79</v>
      </c>
      <c r="BW220" s="4">
        <v>-188973.07</v>
      </c>
      <c r="BX220" s="4">
        <v>-150942.85999999999</v>
      </c>
      <c r="BY220" s="4">
        <v>-163309.04</v>
      </c>
      <c r="BZ220" s="4">
        <v>-207625.57</v>
      </c>
      <c r="CA220" s="4">
        <v>-227538.54</v>
      </c>
      <c r="CB220" s="4">
        <v>-203099.22</v>
      </c>
      <c r="CC220" s="4">
        <v>-200288.59</v>
      </c>
      <c r="CD220" s="4">
        <v>-211120.21</v>
      </c>
      <c r="CE220" s="4">
        <v>-178087.03</v>
      </c>
      <c r="CF220" s="4">
        <v>-192535.55</v>
      </c>
      <c r="CG220" s="4">
        <f>IF(OR(MID(TBBP[[#This Row],[Coluna1]],1,1)="1",MID(TBBP[[#This Row],[Coluna1]],1,1)="2"),CF220,SUM(BU220:CF220))</f>
        <v>-2390358.7699999996</v>
      </c>
      <c r="CH220" s="4">
        <v>-185767.17</v>
      </c>
      <c r="CI220" s="4">
        <v>-177593.45</v>
      </c>
      <c r="CJ220" s="4">
        <v>-188391.17</v>
      </c>
      <c r="CK220" s="4">
        <v>-193850.28</v>
      </c>
      <c r="CL220" s="4">
        <v>-299792.88</v>
      </c>
      <c r="CM220" s="4">
        <v>-283587</v>
      </c>
      <c r="CN220" s="4">
        <v>-236931.94</v>
      </c>
      <c r="CO220" s="4">
        <v>-280527.13</v>
      </c>
      <c r="CP220" s="4">
        <v>-288608.40999999997</v>
      </c>
      <c r="CQ220" s="4">
        <v>-328368.25</v>
      </c>
      <c r="CR220" s="4">
        <v>-360524.11</v>
      </c>
      <c r="CS220" s="4">
        <v>-244150.75</v>
      </c>
      <c r="CT220" s="4">
        <f>IF(OR(MID(TBBP[[#This Row],[Coluna1]],1,1)="1",MID(TBBP[[#This Row],[Coluna1]],1,1)="2"),CS220,SUM(CH220:CS220))</f>
        <v>-3068092.54</v>
      </c>
      <c r="CU220" s="255">
        <v>-286357.34000000003</v>
      </c>
      <c r="CV220" s="255">
        <v>-219316</v>
      </c>
      <c r="CW220" s="255">
        <v>-318772.45</v>
      </c>
      <c r="CX220" s="255">
        <v>-253416.26</v>
      </c>
      <c r="CY220" s="255">
        <v>-323664.68</v>
      </c>
      <c r="CZ220" s="255">
        <v>-469511.75</v>
      </c>
      <c r="DA220" s="255">
        <v>-281499.7</v>
      </c>
      <c r="DB220" s="255">
        <v>-342031.46</v>
      </c>
      <c r="DC220" s="255">
        <v>-212965.98</v>
      </c>
      <c r="DD220" s="255">
        <v>-277716.84000000003</v>
      </c>
      <c r="DE220" s="255">
        <v>-266472.21000000002</v>
      </c>
      <c r="DF220" s="255">
        <v>-223304.53</v>
      </c>
      <c r="DG220" s="255">
        <f>SUM(TBBP[[#This Row],[Coluna287]:[Coluna298]])</f>
        <v>-3475029.1999999997</v>
      </c>
      <c r="DH220" s="255">
        <v>-272632.11</v>
      </c>
      <c r="DI220" s="255">
        <v>-284375.95</v>
      </c>
      <c r="DJ220" s="255">
        <v>-227427.35</v>
      </c>
      <c r="DK220" s="255">
        <v>-258207.76</v>
      </c>
      <c r="DL220" s="255">
        <v>-243738.77</v>
      </c>
      <c r="DM220" s="255">
        <v>-248381.24</v>
      </c>
      <c r="DP220" s="30">
        <f>IF(OR(MID(TBBP[[#This Row],[Coluna1]],1,1)="1",MID(TBBP[[#This Row],[Coluna1]],1,1)="2"),"-",SUMIFS(220:220,listaPeriodos,$DR$1,listaPeriodos,$DR$2))</f>
        <v>-1534763.18</v>
      </c>
      <c r="DQ220" s="30"/>
      <c r="DR220" s="30">
        <f t="shared" si="180"/>
        <v>0</v>
      </c>
      <c r="DS220" s="30"/>
      <c r="DT220" s="30"/>
      <c r="DU220"/>
    </row>
    <row r="221" spans="1:125" x14ac:dyDescent="0.3">
      <c r="A221" s="7" t="s">
        <v>406</v>
      </c>
      <c r="B221" t="s">
        <v>551</v>
      </c>
      <c r="C221" s="4">
        <v>0</v>
      </c>
      <c r="D221" s="4">
        <v>0</v>
      </c>
      <c r="E221" s="4">
        <v>0</v>
      </c>
      <c r="F221" s="4">
        <v>0</v>
      </c>
      <c r="G221" s="4">
        <v>-186262.36</v>
      </c>
      <c r="H221" s="4">
        <v>-3335.78</v>
      </c>
      <c r="I221" s="4">
        <v>-550.26</v>
      </c>
      <c r="J221" s="4">
        <v>-602</v>
      </c>
      <c r="K221" s="4">
        <v>-1238.01</v>
      </c>
      <c r="L221" s="4">
        <v>-7824.78</v>
      </c>
      <c r="M221" s="4">
        <v>-97874.34</v>
      </c>
      <c r="N221" s="4">
        <v>-26673.56</v>
      </c>
      <c r="O221" s="4">
        <v>-12060.42</v>
      </c>
      <c r="P221" s="4">
        <v>-37707.629999999997</v>
      </c>
      <c r="Q221" s="4">
        <v>-6045</v>
      </c>
      <c r="R221" s="4">
        <v>-37196.67</v>
      </c>
      <c r="S221" s="4">
        <v>-163398.49</v>
      </c>
      <c r="T221" s="4">
        <f>IF(OR(MID(TBBP[[#This Row],[Coluna1]],1,1)="1",MID(TBBP[[#This Row],[Coluna1]],1,1)="2"),TBBP[[#This Row],[Coluna19]],SUM(H221:S221))</f>
        <v>-394506.94</v>
      </c>
      <c r="U221" s="4">
        <v>-12036</v>
      </c>
      <c r="V221" s="4">
        <v>-69836</v>
      </c>
      <c r="W221" s="4">
        <v>-8287.2000000000007</v>
      </c>
      <c r="X221" s="4">
        <v>-9105</v>
      </c>
      <c r="Y221" s="4">
        <v>0</v>
      </c>
      <c r="Z221" s="4">
        <v>-13154</v>
      </c>
      <c r="AA221" s="4">
        <v>-12723.2</v>
      </c>
      <c r="AB221" s="4">
        <v>-65287.25</v>
      </c>
      <c r="AC221" s="4">
        <v>-84004.93</v>
      </c>
      <c r="AD221" s="4">
        <v>-14626.64</v>
      </c>
      <c r="AE221" s="4">
        <v>-36088.589999999997</v>
      </c>
      <c r="AF221" s="4">
        <v>-12844.91</v>
      </c>
      <c r="AG221" s="4">
        <f>IF(OR(MID(TBBP[[#This Row],[Coluna1]],1,1)="1",MID(TBBP[[#This Row],[Coluna1]],1,1)="2"),TBBP[[#This Row],[Coluna32]],SUM(U221:AF221))</f>
        <v>-337993.71999999991</v>
      </c>
      <c r="AH221" s="4">
        <v>-13652.58</v>
      </c>
      <c r="AI221" s="4">
        <v>-172713.47</v>
      </c>
      <c r="AJ221" s="4">
        <v>-11290.62</v>
      </c>
      <c r="AK221" s="4">
        <v>-2213.9</v>
      </c>
      <c r="AL221" s="4">
        <v>0</v>
      </c>
      <c r="AM221" s="4">
        <v>-1717.46</v>
      </c>
      <c r="AN221" s="4">
        <v>-5620.69</v>
      </c>
      <c r="AO221" s="4">
        <v>-126</v>
      </c>
      <c r="AP221" s="4">
        <v>-6000</v>
      </c>
      <c r="AQ221" s="4">
        <v>-7581.58</v>
      </c>
      <c r="AR221" s="4">
        <v>-6508.35</v>
      </c>
      <c r="AS221" s="4">
        <v>-5017.3599999999997</v>
      </c>
      <c r="AT221" s="4">
        <f>IF(OR(MID(TBBP[[#This Row],[Coluna1]],1,1)="1",MID(TBBP[[#This Row],[Coluna1]],1,1)="2"),TBBP[[#This Row],[Coluna45]],SUM(AH221:AS221))</f>
        <v>-232442.00999999995</v>
      </c>
      <c r="AU221" s="4">
        <v>-5132.6499999999996</v>
      </c>
      <c r="AV221" s="4">
        <v>0</v>
      </c>
      <c r="AW221" s="4">
        <v>-967.78</v>
      </c>
      <c r="AX221" s="4">
        <v>-14123.95</v>
      </c>
      <c r="AY221" s="4">
        <v>-15790.09</v>
      </c>
      <c r="AZ221" s="4">
        <v>-21546.33</v>
      </c>
      <c r="BA221" s="4">
        <v>-20487.38</v>
      </c>
      <c r="BB221" s="4">
        <v>-19663.97</v>
      </c>
      <c r="BC221" s="4">
        <v>-13738.17</v>
      </c>
      <c r="BD221" s="4">
        <v>-16460.990000000002</v>
      </c>
      <c r="BE221" s="4">
        <v>-46312.800000000003</v>
      </c>
      <c r="BF221" s="4">
        <v>-17461.86</v>
      </c>
      <c r="BG221" s="4">
        <f>IF(OR(MID(TBBP[[#This Row],[Coluna1]],1,1)="1",MID(TBBP[[#This Row],[Coluna1]],1,1)="2"),TBBP[[#This Row],[Coluna58]],SUM(AU221:BF221))</f>
        <v>-191685.97000000003</v>
      </c>
      <c r="BH221" s="4">
        <v>-1411.96</v>
      </c>
      <c r="BI221" s="4">
        <v>0</v>
      </c>
      <c r="BJ221" s="4">
        <v>-44600</v>
      </c>
      <c r="BK221" s="4">
        <v>-869.5</v>
      </c>
      <c r="BL221" s="4">
        <v>-61438.09</v>
      </c>
      <c r="BM221" s="4">
        <v>-35</v>
      </c>
      <c r="BN221" s="4">
        <v>-11000</v>
      </c>
      <c r="BO221" s="4">
        <v>-16887.48</v>
      </c>
      <c r="BP221" s="4">
        <v>-312915.32</v>
      </c>
      <c r="BQ221" s="4">
        <v>-67341.19</v>
      </c>
      <c r="BR221" s="4">
        <v>-35280.080000000002</v>
      </c>
      <c r="BS221" s="4">
        <v>-9911.68</v>
      </c>
      <c r="BT221" s="4">
        <f>IF(OR(MID(TBBP[[#This Row],[Coluna1]],1,1)="1",MID(TBBP[[#This Row],[Coluna1]],1,1)="2"),TBBP[[#This Row],[Coluna127]],SUM(BH221:BS221))</f>
        <v>-561690.30000000005</v>
      </c>
      <c r="BU221" s="4">
        <v>-11735</v>
      </c>
      <c r="BV221" s="4">
        <v>-75644.23</v>
      </c>
      <c r="BW221" s="4">
        <v>-258487.6</v>
      </c>
      <c r="BX221" s="4">
        <v>-13830.9</v>
      </c>
      <c r="BY221" s="4">
        <v>-796.69</v>
      </c>
      <c r="BZ221" s="4">
        <v>-74155.47</v>
      </c>
      <c r="CA221" s="4">
        <v>-98812.160000000003</v>
      </c>
      <c r="CB221" s="4">
        <v>-191029</v>
      </c>
      <c r="CC221" s="4">
        <v>-376011.28</v>
      </c>
      <c r="CD221" s="4">
        <v>-105249.23</v>
      </c>
      <c r="CE221" s="4">
        <v>-18458.990000000002</v>
      </c>
      <c r="CF221" s="4">
        <v>-6294.98</v>
      </c>
      <c r="CG221" s="4">
        <f>IF(OR(MID(TBBP[[#This Row],[Coluna1]],1,1)="1",MID(TBBP[[#This Row],[Coluna1]],1,1)="2"),CF221,SUM(BU221:CF221))</f>
        <v>-1230505.53</v>
      </c>
      <c r="CH221" s="4">
        <v>-53217.29</v>
      </c>
      <c r="CI221" s="4">
        <v>-342068</v>
      </c>
      <c r="CJ221" s="4">
        <v>-51515.11</v>
      </c>
      <c r="CK221" s="4">
        <v>-128964.79</v>
      </c>
      <c r="CL221" s="4">
        <v>-373030.7</v>
      </c>
      <c r="CM221" s="4">
        <v>-5100</v>
      </c>
      <c r="CN221" s="4">
        <v>-140214.73000000001</v>
      </c>
      <c r="CO221" s="4">
        <v>-333677.99</v>
      </c>
      <c r="CP221" s="4">
        <v>-209141.59</v>
      </c>
      <c r="CQ221" s="4">
        <v>-158559.64000000001</v>
      </c>
      <c r="CR221" s="4">
        <v>-156621.63</v>
      </c>
      <c r="CS221" s="4">
        <v>-21309.15</v>
      </c>
      <c r="CT221" s="4">
        <f>IF(OR(MID(TBBP[[#This Row],[Coluna1]],1,1)="1",MID(TBBP[[#This Row],[Coluna1]],1,1)="2"),CS221,SUM(CH221:CS221))</f>
        <v>-1973420.6199999996</v>
      </c>
      <c r="CU221" s="255">
        <v>-12007.09</v>
      </c>
      <c r="CV221" s="255">
        <v>-19979.490000000002</v>
      </c>
      <c r="CW221" s="255">
        <v>-201832.76</v>
      </c>
      <c r="CX221" s="255">
        <v>-65400</v>
      </c>
      <c r="CY221" s="255">
        <v>-152793.37</v>
      </c>
      <c r="CZ221" s="255">
        <v>-139159.44</v>
      </c>
      <c r="DA221" s="255">
        <v>-32064.84</v>
      </c>
      <c r="DB221" s="255">
        <v>-100230.47</v>
      </c>
      <c r="DC221" s="255">
        <v>-519227.52</v>
      </c>
      <c r="DD221" s="255">
        <v>-79832.070000000007</v>
      </c>
      <c r="DE221" s="255">
        <v>-64799.5</v>
      </c>
      <c r="DF221" s="255">
        <v>-36321.39</v>
      </c>
      <c r="DG221" s="255">
        <f>SUM(TBBP[[#This Row],[Coluna287]:[Coluna298]])</f>
        <v>-1423647.94</v>
      </c>
      <c r="DH221" s="255">
        <v>-37420</v>
      </c>
      <c r="DI221" s="255">
        <v>-48151.86</v>
      </c>
      <c r="DJ221" s="255">
        <v>-208403.77</v>
      </c>
      <c r="DK221" s="255">
        <v>-7583.05</v>
      </c>
      <c r="DL221" s="255">
        <v>-230984</v>
      </c>
      <c r="DM221" s="255">
        <v>-88839.46</v>
      </c>
      <c r="DO221" t="s">
        <v>406</v>
      </c>
      <c r="DP221" s="30">
        <f>IF(OR(MID(TBBP[[#This Row],[Coluna1]],1,1)="1",MID(TBBP[[#This Row],[Coluna1]],1,1)="2"),"-",SUMIFS(221:221,listaPeriodos,$DR$1,listaPeriodos,$DR$2))</f>
        <v>-621382.1399999999</v>
      </c>
      <c r="DQ221" s="30">
        <v>-333403.78999999998</v>
      </c>
      <c r="DR221" s="30">
        <f t="shared" si="180"/>
        <v>-2000422.7399999998</v>
      </c>
      <c r="DS221" s="30"/>
      <c r="DT221" s="30"/>
      <c r="DU221"/>
    </row>
    <row r="222" spans="1:125" x14ac:dyDescent="0.3">
      <c r="A222" s="7" t="s">
        <v>407</v>
      </c>
      <c r="B222" t="s">
        <v>552</v>
      </c>
      <c r="C222" s="4">
        <v>0</v>
      </c>
      <c r="D222" s="4">
        <v>0</v>
      </c>
      <c r="E222" s="4">
        <v>0</v>
      </c>
      <c r="F222" s="4">
        <v>0</v>
      </c>
      <c r="G222" s="4">
        <v>-16314.77</v>
      </c>
      <c r="H222" s="4">
        <v>-1600.78</v>
      </c>
      <c r="I222" s="4">
        <v>-550.26</v>
      </c>
      <c r="J222" s="4">
        <v>-602</v>
      </c>
      <c r="K222" s="4">
        <v>-1062.77</v>
      </c>
      <c r="L222" s="4">
        <v>-7824.78</v>
      </c>
      <c r="M222" s="4">
        <v>-9912.34</v>
      </c>
      <c r="N222" s="4">
        <v>-185.06</v>
      </c>
      <c r="O222" s="4">
        <v>-2640.82</v>
      </c>
      <c r="P222" s="4">
        <v>-3714.02</v>
      </c>
      <c r="Q222" s="4">
        <v>-2200</v>
      </c>
      <c r="R222" s="4">
        <v>-3833.07</v>
      </c>
      <c r="S222" s="4">
        <v>-5191.46</v>
      </c>
      <c r="T222" s="4">
        <f>IF(OR(MID(TBBP[[#This Row],[Coluna1]],1,1)="1",MID(TBBP[[#This Row],[Coluna1]],1,1)="2"),TBBP[[#This Row],[Coluna19]],SUM(H222:S222))</f>
        <v>-39317.360000000001</v>
      </c>
      <c r="U222" s="4">
        <v>-2200</v>
      </c>
      <c r="V222" s="4">
        <v>-8580</v>
      </c>
      <c r="W222" s="4">
        <v>-8280</v>
      </c>
      <c r="X222" s="4">
        <v>-4200</v>
      </c>
      <c r="Y222" s="4">
        <v>0</v>
      </c>
      <c r="Z222" s="4">
        <v>-2200</v>
      </c>
      <c r="AA222" s="4">
        <v>-6760</v>
      </c>
      <c r="AB222" s="4">
        <v>-3590</v>
      </c>
      <c r="AC222" s="4">
        <v>-14400</v>
      </c>
      <c r="AD222" s="4">
        <v>-2463.15</v>
      </c>
      <c r="AE222" s="4">
        <v>-3346.09</v>
      </c>
      <c r="AF222" s="4">
        <v>-3053.91</v>
      </c>
      <c r="AG222" s="4">
        <f>IF(OR(MID(TBBP[[#This Row],[Coluna1]],1,1)="1",MID(TBBP[[#This Row],[Coluna1]],1,1)="2"),TBBP[[#This Row],[Coluna32]],SUM(U222:AF222))</f>
        <v>-59073.150000000009</v>
      </c>
      <c r="AH222" s="4">
        <v>-3846.42</v>
      </c>
      <c r="AI222" s="4">
        <v>-2553.4699999999998</v>
      </c>
      <c r="AJ222" s="4">
        <v>-2200</v>
      </c>
      <c r="AK222" s="4">
        <v>-2213.9</v>
      </c>
      <c r="AL222" s="4">
        <v>0</v>
      </c>
      <c r="AM222" s="4">
        <v>-1717.46</v>
      </c>
      <c r="AN222" s="4">
        <v>-3282.75</v>
      </c>
      <c r="AO222" s="4">
        <v>-126</v>
      </c>
      <c r="AP222" s="4">
        <v>-6000</v>
      </c>
      <c r="AQ222" s="4">
        <v>-5999.88</v>
      </c>
      <c r="AR222" s="4">
        <v>-6496.85</v>
      </c>
      <c r="AS222" s="4">
        <v>-4867.3599999999997</v>
      </c>
      <c r="AT222" s="4">
        <f>IF(OR(MID(TBBP[[#This Row],[Coluna1]],1,1)="1",MID(TBBP[[#This Row],[Coluna1]],1,1)="2"),TBBP[[#This Row],[Coluna45]],SUM(AH222:AS222))</f>
        <v>-39304.090000000004</v>
      </c>
      <c r="AU222" s="4">
        <v>-5132.6499999999996</v>
      </c>
      <c r="AV222" s="4">
        <v>0</v>
      </c>
      <c r="AW222" s="4">
        <v>-189.19</v>
      </c>
      <c r="AX222" s="4">
        <v>-14123.95</v>
      </c>
      <c r="AY222" s="4">
        <v>-15712.09</v>
      </c>
      <c r="AZ222" s="4">
        <v>-18238.330000000002</v>
      </c>
      <c r="BA222" s="4">
        <v>-20359.900000000001</v>
      </c>
      <c r="BB222" s="4">
        <v>-19663.97</v>
      </c>
      <c r="BC222" s="4">
        <v>-12360.37</v>
      </c>
      <c r="BD222" s="4">
        <v>-2704.38</v>
      </c>
      <c r="BE222" s="4">
        <v>0</v>
      </c>
      <c r="BF222" s="4">
        <v>0</v>
      </c>
      <c r="BG222" s="4">
        <f>IF(OR(MID(TBBP[[#This Row],[Coluna1]],1,1)="1",MID(TBBP[[#This Row],[Coluna1]],1,1)="2"),TBBP[[#This Row],[Coluna58]],SUM(AU222:BF222))</f>
        <v>-108484.83000000002</v>
      </c>
      <c r="BH222" s="4">
        <v>0</v>
      </c>
      <c r="BI222" s="4">
        <v>0</v>
      </c>
      <c r="BJ222" s="4">
        <v>0</v>
      </c>
      <c r="BK222" s="4">
        <v>0</v>
      </c>
      <c r="BL222" s="4">
        <v>-815.09</v>
      </c>
      <c r="BM222" s="4">
        <v>0</v>
      </c>
      <c r="BN222" s="4">
        <v>-2000</v>
      </c>
      <c r="BO222" s="4">
        <v>0</v>
      </c>
      <c r="BP222" s="4">
        <v>-169.84</v>
      </c>
      <c r="BQ222" s="4">
        <v>0</v>
      </c>
      <c r="BR222" s="4">
        <v>-727.65</v>
      </c>
      <c r="BS222" s="4">
        <v>0</v>
      </c>
      <c r="BT222" s="4">
        <f>IF(OR(MID(TBBP[[#This Row],[Coluna1]],1,1)="1",MID(TBBP[[#This Row],[Coluna1]],1,1)="2"),TBBP[[#This Row],[Coluna127]],SUM(BH222:BS222))</f>
        <v>-3712.5800000000004</v>
      </c>
      <c r="BU222" s="4">
        <v>0</v>
      </c>
      <c r="BV222" s="4">
        <v>-476.23</v>
      </c>
      <c r="BW222" s="4">
        <v>-507.6</v>
      </c>
      <c r="BX222" s="4">
        <v>-504.55</v>
      </c>
      <c r="BY222" s="4">
        <v>-487.62</v>
      </c>
      <c r="BZ222" s="4">
        <v>-510.21</v>
      </c>
      <c r="CA222" s="4">
        <v>-513.52</v>
      </c>
      <c r="CB222" s="4">
        <v>0</v>
      </c>
      <c r="CC222" s="4">
        <v>-5000</v>
      </c>
      <c r="CD222" s="4">
        <v>-1100</v>
      </c>
      <c r="CE222" s="4">
        <v>0</v>
      </c>
      <c r="CF222" s="4">
        <v>-2320.98</v>
      </c>
      <c r="CG222" s="4">
        <f>IF(OR(MID(TBBP[[#This Row],[Coluna1]],1,1)="1",MID(TBBP[[#This Row],[Coluna1]],1,1)="2"),CF222,SUM(BU222:CF222))</f>
        <v>-11420.71</v>
      </c>
      <c r="CH222" s="4">
        <v>-2700</v>
      </c>
      <c r="CI222" s="4">
        <v>-15340</v>
      </c>
      <c r="CJ222" s="4">
        <v>-146.56</v>
      </c>
      <c r="CK222" s="4">
        <v>-172.99</v>
      </c>
      <c r="CL222" s="4">
        <v>0</v>
      </c>
      <c r="CM222" s="4">
        <v>-2100</v>
      </c>
      <c r="CN222" s="4">
        <v>0</v>
      </c>
      <c r="CO222" s="4">
        <v>0</v>
      </c>
      <c r="CP222" s="4">
        <v>-10779.9</v>
      </c>
      <c r="CQ222" s="4">
        <v>0</v>
      </c>
      <c r="CR222" s="4">
        <v>-730.86</v>
      </c>
      <c r="CS222" s="4">
        <v>0</v>
      </c>
      <c r="CT222" s="4">
        <f>IF(OR(MID(TBBP[[#This Row],[Coluna1]],1,1)="1",MID(TBBP[[#This Row],[Coluna1]],1,1)="2"),CS222,SUM(CH222:CS222))</f>
        <v>-31970.310000000005</v>
      </c>
      <c r="CU222" s="255">
        <v>0</v>
      </c>
      <c r="CV222" s="255">
        <v>-5226.1000000000004</v>
      </c>
      <c r="CW222" s="255">
        <v>0</v>
      </c>
      <c r="CX222" s="255">
        <v>0</v>
      </c>
      <c r="CY222" s="255">
        <v>0</v>
      </c>
      <c r="CZ222" s="255">
        <v>-620.29</v>
      </c>
      <c r="DA222" s="255">
        <v>0</v>
      </c>
      <c r="DB222" s="255">
        <v>-250</v>
      </c>
      <c r="DC222" s="255">
        <v>-2400</v>
      </c>
      <c r="DD222" s="255">
        <v>0</v>
      </c>
      <c r="DE222" s="255">
        <v>0</v>
      </c>
      <c r="DF222" s="255">
        <v>0</v>
      </c>
      <c r="DG222" s="255">
        <f>SUM(TBBP[[#This Row],[Coluna287]:[Coluna298]])</f>
        <v>-8496.39</v>
      </c>
      <c r="DH222" s="255">
        <v>0</v>
      </c>
      <c r="DI222" s="255">
        <v>-107.32</v>
      </c>
      <c r="DJ222" s="255">
        <v>0</v>
      </c>
      <c r="DK222" s="255">
        <v>-3198.05</v>
      </c>
      <c r="DL222" s="255">
        <v>0</v>
      </c>
      <c r="DM222" s="255">
        <v>0</v>
      </c>
      <c r="DP222" s="30">
        <f>IF(OR(MID(TBBP[[#This Row],[Coluna1]],1,1)="1",MID(TBBP[[#This Row],[Coluna1]],1,1)="2"),"-",SUMIFS(222:222,listaPeriodos,$DR$1,listaPeriodos,$DR$2))</f>
        <v>-3305.3700000000003</v>
      </c>
      <c r="DQ222" s="30"/>
      <c r="DR222" s="30">
        <f t="shared" si="180"/>
        <v>0</v>
      </c>
      <c r="DS222" s="30"/>
      <c r="DT222" s="30"/>
      <c r="DU222"/>
    </row>
    <row r="223" spans="1:125" x14ac:dyDescent="0.3">
      <c r="A223" s="7" t="s">
        <v>408</v>
      </c>
      <c r="B223" t="s">
        <v>553</v>
      </c>
      <c r="C223" s="4">
        <v>0</v>
      </c>
      <c r="D223" s="4">
        <v>0</v>
      </c>
      <c r="E223" s="4">
        <v>0</v>
      </c>
      <c r="F223" s="4">
        <v>0</v>
      </c>
      <c r="G223" s="4">
        <v>-162603.6</v>
      </c>
      <c r="H223" s="4">
        <v>-1735</v>
      </c>
      <c r="I223" s="4">
        <v>0</v>
      </c>
      <c r="J223" s="4">
        <v>0</v>
      </c>
      <c r="K223" s="4">
        <v>-175.24</v>
      </c>
      <c r="L223" s="4">
        <v>0</v>
      </c>
      <c r="M223" s="4">
        <v>-86160</v>
      </c>
      <c r="N223" s="4">
        <v>-26488.5</v>
      </c>
      <c r="O223" s="4">
        <v>-9419.6</v>
      </c>
      <c r="P223" s="4">
        <v>-33645.71</v>
      </c>
      <c r="Q223" s="4">
        <v>-3845</v>
      </c>
      <c r="R223" s="4">
        <v>-30129.4</v>
      </c>
      <c r="S223" s="4">
        <v>-158207.03</v>
      </c>
      <c r="T223" s="4">
        <f>IF(OR(MID(TBBP[[#This Row],[Coluna1]],1,1)="1",MID(TBBP[[#This Row],[Coluna1]],1,1)="2"),TBBP[[#This Row],[Coluna19]],SUM(H223:S223))</f>
        <v>-349805.48</v>
      </c>
      <c r="U223" s="4">
        <v>-9836</v>
      </c>
      <c r="V223" s="4">
        <v>-61256</v>
      </c>
      <c r="W223" s="4">
        <v>0</v>
      </c>
      <c r="X223" s="4">
        <v>-4905</v>
      </c>
      <c r="Y223" s="4">
        <v>0</v>
      </c>
      <c r="Z223" s="4">
        <v>-10954</v>
      </c>
      <c r="AA223" s="4">
        <v>-5963.2</v>
      </c>
      <c r="AB223" s="4">
        <v>-61200</v>
      </c>
      <c r="AC223" s="4">
        <v>-69604.929999999993</v>
      </c>
      <c r="AD223" s="4">
        <v>-12163.49</v>
      </c>
      <c r="AE223" s="4">
        <v>-30742.5</v>
      </c>
      <c r="AF223" s="4">
        <v>-9791</v>
      </c>
      <c r="AG223" s="4">
        <f>IF(OR(MID(TBBP[[#This Row],[Coluna1]],1,1)="1",MID(TBBP[[#This Row],[Coluna1]],1,1)="2"),TBBP[[#This Row],[Coluna32]],SUM(U223:AF223))</f>
        <v>-276416.12</v>
      </c>
      <c r="AH223" s="4">
        <v>-9806.16</v>
      </c>
      <c r="AI223" s="4">
        <v>-170160</v>
      </c>
      <c r="AJ223" s="4">
        <v>-9070</v>
      </c>
      <c r="AK223" s="4">
        <v>0</v>
      </c>
      <c r="AL223" s="4">
        <v>0</v>
      </c>
      <c r="AM223" s="4">
        <v>0</v>
      </c>
      <c r="AN223" s="4">
        <v>-2337.94</v>
      </c>
      <c r="AO223" s="4">
        <v>0</v>
      </c>
      <c r="AP223" s="4">
        <v>0</v>
      </c>
      <c r="AQ223" s="4">
        <v>-1581.7</v>
      </c>
      <c r="AR223" s="4">
        <v>-11.5</v>
      </c>
      <c r="AS223" s="4">
        <v>-150</v>
      </c>
      <c r="AT223" s="4">
        <f>IF(OR(MID(TBBP[[#This Row],[Coluna1]],1,1)="1",MID(TBBP[[#This Row],[Coluna1]],1,1)="2"),TBBP[[#This Row],[Coluna45]],SUM(AH223:AS223))</f>
        <v>-193117.30000000002</v>
      </c>
      <c r="AU223" s="4">
        <v>0</v>
      </c>
      <c r="AV223" s="4">
        <v>0</v>
      </c>
      <c r="AW223" s="4">
        <v>-778.59</v>
      </c>
      <c r="AX223" s="4">
        <v>0</v>
      </c>
      <c r="AY223" s="4">
        <v>-78</v>
      </c>
      <c r="AZ223" s="4">
        <v>-3308</v>
      </c>
      <c r="BA223" s="4">
        <v>-127.48</v>
      </c>
      <c r="BB223" s="4">
        <v>0</v>
      </c>
      <c r="BC223" s="4">
        <v>-1377.8</v>
      </c>
      <c r="BD223" s="4">
        <v>-13756.61</v>
      </c>
      <c r="BE223" s="4">
        <v>-46312.800000000003</v>
      </c>
      <c r="BF223" s="4">
        <v>-17461.86</v>
      </c>
      <c r="BG223" s="4">
        <f>IF(OR(MID(TBBP[[#This Row],[Coluna1]],1,1)="1",MID(TBBP[[#This Row],[Coluna1]],1,1)="2"),TBBP[[#This Row],[Coluna58]],SUM(AU223:BF223))</f>
        <v>-83201.14</v>
      </c>
      <c r="BH223" s="4">
        <v>-1411.96</v>
      </c>
      <c r="BI223" s="4">
        <v>0</v>
      </c>
      <c r="BJ223" s="4">
        <v>-44600</v>
      </c>
      <c r="BK223" s="4">
        <v>-869.5</v>
      </c>
      <c r="BL223" s="4">
        <v>-60623</v>
      </c>
      <c r="BM223" s="4">
        <v>-35</v>
      </c>
      <c r="BN223" s="4">
        <v>-9000</v>
      </c>
      <c r="BO223" s="4">
        <v>-16887.48</v>
      </c>
      <c r="BP223" s="4">
        <v>-312745.48</v>
      </c>
      <c r="BQ223" s="4">
        <v>-67341.19</v>
      </c>
      <c r="BR223" s="4">
        <v>-34552.43</v>
      </c>
      <c r="BS223" s="4">
        <v>-9740</v>
      </c>
      <c r="BT223" s="4">
        <f>IF(OR(MID(TBBP[[#This Row],[Coluna1]],1,1)="1",MID(TBBP[[#This Row],[Coluna1]],1,1)="2"),TBBP[[#This Row],[Coluna127]],SUM(BH223:BS223))</f>
        <v>-557806.04</v>
      </c>
      <c r="BU223" s="4">
        <v>-11735</v>
      </c>
      <c r="BV223" s="4">
        <v>-75168</v>
      </c>
      <c r="BW223" s="4">
        <v>-257980</v>
      </c>
      <c r="BX223" s="4">
        <v>-13326.35</v>
      </c>
      <c r="BY223" s="4">
        <v>-309.07</v>
      </c>
      <c r="BZ223" s="4">
        <v>-72921.8</v>
      </c>
      <c r="CA223" s="4">
        <v>-97580.98</v>
      </c>
      <c r="CB223" s="4">
        <v>-191029</v>
      </c>
      <c r="CC223" s="4">
        <v>-371011.28</v>
      </c>
      <c r="CD223" s="4">
        <v>-104149.23</v>
      </c>
      <c r="CE223" s="4">
        <v>-18338.990000000002</v>
      </c>
      <c r="CF223" s="4">
        <v>-3974</v>
      </c>
      <c r="CG223" s="4">
        <f>IF(OR(MID(TBBP[[#This Row],[Coluna1]],1,1)="1",MID(TBBP[[#This Row],[Coluna1]],1,1)="2"),CF223,SUM(BU223:CF223))</f>
        <v>-1217523.7</v>
      </c>
      <c r="CH223" s="4">
        <v>-50517.29</v>
      </c>
      <c r="CI223" s="4">
        <v>-326728</v>
      </c>
      <c r="CJ223" s="4">
        <v>-51368.55</v>
      </c>
      <c r="CK223" s="4">
        <v>-128791.8</v>
      </c>
      <c r="CL223" s="4">
        <v>-370585.7</v>
      </c>
      <c r="CM223" s="4">
        <v>-3000</v>
      </c>
      <c r="CN223" s="4">
        <v>-124789.28</v>
      </c>
      <c r="CO223" s="4">
        <v>-333677.99</v>
      </c>
      <c r="CP223" s="4">
        <v>-198218.9</v>
      </c>
      <c r="CQ223" s="4">
        <v>-158559.64000000001</v>
      </c>
      <c r="CR223" s="4">
        <v>-155890.76999999999</v>
      </c>
      <c r="CS223" s="4">
        <v>-16212.15</v>
      </c>
      <c r="CT223" s="4">
        <f>IF(OR(MID(TBBP[[#This Row],[Coluna1]],1,1)="1",MID(TBBP[[#This Row],[Coluna1]],1,1)="2"),CS223,SUM(CH223:CS223))</f>
        <v>-1918340.0699999998</v>
      </c>
      <c r="CU223" s="255">
        <v>-12007.09</v>
      </c>
      <c r="CV223" s="255">
        <v>-14753.39</v>
      </c>
      <c r="CW223" s="255">
        <v>-201832.76</v>
      </c>
      <c r="CX223" s="255">
        <v>-65400</v>
      </c>
      <c r="CY223" s="255">
        <v>-152793.37</v>
      </c>
      <c r="CZ223" s="255">
        <v>-138539.15</v>
      </c>
      <c r="DA223" s="255">
        <v>-32064.84</v>
      </c>
      <c r="DB223" s="255">
        <v>-99980.47</v>
      </c>
      <c r="DC223" s="255">
        <v>-516827.52</v>
      </c>
      <c r="DD223" s="255">
        <v>-79832.070000000007</v>
      </c>
      <c r="DE223" s="255">
        <v>-64799.5</v>
      </c>
      <c r="DF223" s="255">
        <v>-36321.39</v>
      </c>
      <c r="DG223" s="255">
        <f>SUM(TBBP[[#This Row],[Coluna287]:[Coluna298]])</f>
        <v>-1415151.5499999998</v>
      </c>
      <c r="DH223" s="255">
        <v>-37420</v>
      </c>
      <c r="DI223" s="255">
        <v>-33141.64</v>
      </c>
      <c r="DJ223" s="255">
        <v>-208403.77</v>
      </c>
      <c r="DK223" s="255">
        <v>-4385</v>
      </c>
      <c r="DL223" s="255">
        <v>-230984</v>
      </c>
      <c r="DM223" s="255">
        <v>-88839.46</v>
      </c>
      <c r="DP223" s="30">
        <f>IF(OR(MID(TBBP[[#This Row],[Coluna1]],1,1)="1",MID(TBBP[[#This Row],[Coluna1]],1,1)="2"),"-",SUMIFS(223:223,listaPeriodos,$DR$1,listaPeriodos,$DR$2))</f>
        <v>-603173.87</v>
      </c>
      <c r="DQ223" s="30"/>
      <c r="DR223" s="30">
        <f t="shared" si="180"/>
        <v>0</v>
      </c>
      <c r="DS223" s="30"/>
      <c r="DT223" s="30"/>
      <c r="DU223"/>
    </row>
    <row r="224" spans="1:125" x14ac:dyDescent="0.3">
      <c r="A224" s="7" t="s">
        <v>409</v>
      </c>
      <c r="B224" t="s">
        <v>554</v>
      </c>
      <c r="C224" s="4">
        <v>0</v>
      </c>
      <c r="D224" s="4">
        <v>0</v>
      </c>
      <c r="E224" s="4">
        <v>0</v>
      </c>
      <c r="F224" s="4">
        <v>0</v>
      </c>
      <c r="G224" s="4">
        <v>-6875.74</v>
      </c>
      <c r="H224" s="4">
        <v>0</v>
      </c>
      <c r="I224" s="4">
        <v>0</v>
      </c>
      <c r="J224" s="4">
        <v>0</v>
      </c>
      <c r="K224" s="4">
        <v>0</v>
      </c>
      <c r="L224" s="4">
        <v>0</v>
      </c>
      <c r="M224" s="4">
        <v>-1802</v>
      </c>
      <c r="N224" s="4">
        <v>0</v>
      </c>
      <c r="O224" s="4">
        <v>0</v>
      </c>
      <c r="P224" s="4">
        <v>0</v>
      </c>
      <c r="Q224" s="4">
        <v>0</v>
      </c>
      <c r="R224" s="4">
        <v>-3234.2</v>
      </c>
      <c r="S224" s="4">
        <v>0</v>
      </c>
      <c r="T224" s="4">
        <f>IF(OR(MID(TBBP[[#This Row],[Coluna1]],1,1)="1",MID(TBBP[[#This Row],[Coluna1]],1,1)="2"),TBBP[[#This Row],[Coluna19]],SUM(H224:S224))</f>
        <v>-5036.2</v>
      </c>
      <c r="U224" s="4">
        <v>0</v>
      </c>
      <c r="V224" s="4">
        <v>0</v>
      </c>
      <c r="W224" s="4">
        <v>-7.2</v>
      </c>
      <c r="X224" s="4">
        <v>0</v>
      </c>
      <c r="Y224" s="4">
        <v>0</v>
      </c>
      <c r="Z224" s="4">
        <v>0</v>
      </c>
      <c r="AA224" s="4">
        <v>0</v>
      </c>
      <c r="AB224" s="4">
        <v>-497.25</v>
      </c>
      <c r="AC224" s="4">
        <v>0</v>
      </c>
      <c r="AD224" s="4">
        <v>0</v>
      </c>
      <c r="AE224" s="4">
        <v>-2000</v>
      </c>
      <c r="AF224" s="4">
        <v>0</v>
      </c>
      <c r="AG224" s="4">
        <f>IF(OR(MID(TBBP[[#This Row],[Coluna1]],1,1)="1",MID(TBBP[[#This Row],[Coluna1]],1,1)="2"),TBBP[[#This Row],[Coluna32]],SUM(U224:AF224))</f>
        <v>-2504.4499999999998</v>
      </c>
      <c r="AH224" s="4">
        <v>0</v>
      </c>
      <c r="AI224" s="4">
        <v>0</v>
      </c>
      <c r="AJ224" s="4">
        <v>-20.62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0</v>
      </c>
      <c r="AT224" s="4">
        <f>IF(OR(MID(TBBP[[#This Row],[Coluna1]],1,1)="1",MID(TBBP[[#This Row],[Coluna1]],1,1)="2"),TBBP[[#This Row],[Coluna45]],SUM(AH224:AS224))</f>
        <v>-20.62</v>
      </c>
      <c r="AU224" s="4">
        <v>0</v>
      </c>
      <c r="AV224" s="4">
        <v>0</v>
      </c>
      <c r="AW224" s="4">
        <v>0</v>
      </c>
      <c r="AX224" s="4">
        <v>0</v>
      </c>
      <c r="AY224" s="4">
        <v>0</v>
      </c>
      <c r="AZ224" s="4">
        <v>0</v>
      </c>
      <c r="BA224" s="4">
        <v>0</v>
      </c>
      <c r="BB224" s="4">
        <v>0</v>
      </c>
      <c r="BC224" s="4">
        <v>0</v>
      </c>
      <c r="BD224" s="4">
        <v>0</v>
      </c>
      <c r="BE224" s="4">
        <v>0</v>
      </c>
      <c r="BF224" s="4">
        <v>0</v>
      </c>
      <c r="BG224" s="4">
        <f>IF(OR(MID(TBBP[[#This Row],[Coluna1]],1,1)="1",MID(TBBP[[#This Row],[Coluna1]],1,1)="2"),TBBP[[#This Row],[Coluna58]],SUM(AU224:BF224))</f>
        <v>0</v>
      </c>
      <c r="BH224" s="4">
        <v>0</v>
      </c>
      <c r="BI224" s="4">
        <v>0</v>
      </c>
      <c r="BJ224" s="4">
        <v>0</v>
      </c>
      <c r="BK224" s="4">
        <v>0</v>
      </c>
      <c r="BL224" s="4">
        <v>0</v>
      </c>
      <c r="BM224" s="4">
        <v>0</v>
      </c>
      <c r="BN224" s="4">
        <v>0</v>
      </c>
      <c r="BO224" s="4">
        <v>0</v>
      </c>
      <c r="BP224" s="4">
        <v>0</v>
      </c>
      <c r="BQ224" s="4">
        <v>0</v>
      </c>
      <c r="BR224" s="4">
        <v>0</v>
      </c>
      <c r="BS224" s="4">
        <v>-171.68</v>
      </c>
      <c r="BT224" s="4">
        <f>IF(OR(MID(TBBP[[#This Row],[Coluna1]],1,1)="1",MID(TBBP[[#This Row],[Coluna1]],1,1)="2"),TBBP[[#This Row],[Coluna127]],SUM(BH224:BS224))</f>
        <v>-171.68</v>
      </c>
      <c r="BU224" s="4">
        <v>0</v>
      </c>
      <c r="BV224" s="4">
        <v>0</v>
      </c>
      <c r="BW224" s="4">
        <v>0</v>
      </c>
      <c r="BX224" s="4">
        <v>0</v>
      </c>
      <c r="BY224" s="4">
        <v>0</v>
      </c>
      <c r="BZ224" s="4">
        <v>-723.46</v>
      </c>
      <c r="CA224" s="4">
        <v>-717.66</v>
      </c>
      <c r="CB224" s="4">
        <v>0</v>
      </c>
      <c r="CC224" s="4">
        <v>0</v>
      </c>
      <c r="CD224" s="4">
        <v>0</v>
      </c>
      <c r="CE224" s="4">
        <v>-120</v>
      </c>
      <c r="CF224" s="4">
        <v>0</v>
      </c>
      <c r="CG224" s="4">
        <f>IF(OR(MID(TBBP[[#This Row],[Coluna1]],1,1)="1",MID(TBBP[[#This Row],[Coluna1]],1,1)="2"),CF224,SUM(BU224:CF224))</f>
        <v>-1561.12</v>
      </c>
      <c r="CH224" s="4">
        <v>0</v>
      </c>
      <c r="CI224" s="4">
        <v>0</v>
      </c>
      <c r="CJ224" s="4">
        <v>0</v>
      </c>
      <c r="CK224" s="4" t="s">
        <v>1134</v>
      </c>
      <c r="CL224" s="4">
        <v>-2445</v>
      </c>
      <c r="CM224" s="4">
        <v>0</v>
      </c>
      <c r="CN224" s="4">
        <v>-15425.45</v>
      </c>
      <c r="CO224" s="4">
        <v>0</v>
      </c>
      <c r="CP224" s="4">
        <v>-142.79</v>
      </c>
      <c r="CQ224" s="4">
        <v>0</v>
      </c>
      <c r="CR224" s="4">
        <v>0</v>
      </c>
      <c r="CS224" s="4">
        <v>-5097</v>
      </c>
      <c r="CT224" s="4">
        <f>IF(OR(MID(TBBP[[#This Row],[Coluna1]],1,1)="1",MID(TBBP[[#This Row],[Coluna1]],1,1)="2"),CS224,SUM(CH224:CS224))</f>
        <v>-23110.240000000002</v>
      </c>
      <c r="CU224" s="255">
        <v>0</v>
      </c>
      <c r="CV224" s="255">
        <v>0</v>
      </c>
      <c r="CW224" s="255">
        <v>0</v>
      </c>
      <c r="CX224" s="255">
        <v>0</v>
      </c>
      <c r="CY224" s="255">
        <v>0</v>
      </c>
      <c r="CZ224" s="255">
        <v>0</v>
      </c>
      <c r="DA224" s="255">
        <v>0</v>
      </c>
      <c r="DB224" s="255">
        <v>0</v>
      </c>
      <c r="DC224" s="255">
        <v>0</v>
      </c>
      <c r="DD224" s="255">
        <v>0</v>
      </c>
      <c r="DE224" s="255"/>
      <c r="DF224" s="255">
        <v>0</v>
      </c>
      <c r="DG224" s="255">
        <f>SUM(TBBP[[#This Row],[Coluna287]:[Coluna298]])</f>
        <v>0</v>
      </c>
      <c r="DH224" s="255">
        <v>0</v>
      </c>
      <c r="DI224" s="255">
        <v>-14902.9</v>
      </c>
      <c r="DJ224" s="255">
        <v>0</v>
      </c>
      <c r="DK224" s="255">
        <v>0</v>
      </c>
      <c r="DL224" s="255">
        <v>0</v>
      </c>
      <c r="DM224" s="255">
        <v>0</v>
      </c>
      <c r="DP224" s="30">
        <f>IF(OR(MID(TBBP[[#This Row],[Coluna1]],1,1)="1",MID(TBBP[[#This Row],[Coluna1]],1,1)="2"),"-",SUMIFS(224:224,listaPeriodos,$DR$1,listaPeriodos,$DR$2))</f>
        <v>-14902.9</v>
      </c>
      <c r="DQ224" s="30"/>
      <c r="DR224" s="30">
        <f t="shared" si="180"/>
        <v>0</v>
      </c>
      <c r="DS224" s="30"/>
      <c r="DT224" s="30"/>
      <c r="DU224"/>
    </row>
    <row r="225" spans="1:125" x14ac:dyDescent="0.3">
      <c r="A225" s="7" t="s">
        <v>410</v>
      </c>
      <c r="B225" t="s">
        <v>511</v>
      </c>
      <c r="C225" s="4">
        <v>0</v>
      </c>
      <c r="D225" s="4">
        <v>0</v>
      </c>
      <c r="E225" s="4">
        <v>0</v>
      </c>
      <c r="F225" s="4">
        <v>0</v>
      </c>
      <c r="G225" s="4">
        <v>-429906.55</v>
      </c>
      <c r="H225" s="4">
        <v>-21964.2</v>
      </c>
      <c r="I225" s="4">
        <v>-27646.37</v>
      </c>
      <c r="J225" s="4">
        <v>-28748.99</v>
      </c>
      <c r="K225" s="4">
        <v>-35787.730000000003</v>
      </c>
      <c r="L225" s="4">
        <v>-30456.400000000001</v>
      </c>
      <c r="M225" s="4">
        <v>-35906.449999999997</v>
      </c>
      <c r="N225" s="4">
        <v>-25541.83</v>
      </c>
      <c r="O225" s="4">
        <v>-53889.79</v>
      </c>
      <c r="P225" s="4">
        <v>-35377.11</v>
      </c>
      <c r="Q225" s="4">
        <v>-45305.93</v>
      </c>
      <c r="R225" s="4">
        <v>-43998.28</v>
      </c>
      <c r="S225" s="4">
        <v>-37916.67</v>
      </c>
      <c r="T225" s="4">
        <f>IF(OR(MID(TBBP[[#This Row],[Coluna1]],1,1)="1",MID(TBBP[[#This Row],[Coluna1]],1,1)="2"),TBBP[[#This Row],[Coluna19]],SUM(H225:S225))</f>
        <v>-422539.75000000006</v>
      </c>
      <c r="U225" s="4">
        <v>-33808.230000000003</v>
      </c>
      <c r="V225" s="4">
        <v>-30256.82</v>
      </c>
      <c r="W225" s="4">
        <v>-46097.279999999999</v>
      </c>
      <c r="X225" s="4">
        <v>-33683.449999999997</v>
      </c>
      <c r="Y225" s="4">
        <v>-60702.39</v>
      </c>
      <c r="Z225" s="4">
        <v>-37665.81</v>
      </c>
      <c r="AA225" s="4">
        <v>-26327.48</v>
      </c>
      <c r="AB225" s="4">
        <v>-32540.61</v>
      </c>
      <c r="AC225" s="4">
        <v>-49808.79</v>
      </c>
      <c r="AD225" s="4">
        <v>-57390.99</v>
      </c>
      <c r="AE225" s="4">
        <v>-50268.58</v>
      </c>
      <c r="AF225" s="4">
        <v>-46782.89</v>
      </c>
      <c r="AG225" s="4">
        <f>IF(OR(MID(TBBP[[#This Row],[Coluna1]],1,1)="1",MID(TBBP[[#This Row],[Coluna1]],1,1)="2"),TBBP[[#This Row],[Coluna32]],SUM(U225:AF225))</f>
        <v>-505333.31999999995</v>
      </c>
      <c r="AH225" s="4">
        <v>-42709.4</v>
      </c>
      <c r="AI225" s="4">
        <v>-18532.509999999998</v>
      </c>
      <c r="AJ225" s="4">
        <v>-37010.36</v>
      </c>
      <c r="AK225" s="4">
        <v>-28554.2</v>
      </c>
      <c r="AL225" s="4">
        <v>-48418.25</v>
      </c>
      <c r="AM225" s="4">
        <v>-31615.08</v>
      </c>
      <c r="AN225" s="4">
        <v>-25769.1</v>
      </c>
      <c r="AO225" s="4">
        <v>-17326.330000000002</v>
      </c>
      <c r="AP225" s="4">
        <v>-22469.03</v>
      </c>
      <c r="AQ225" s="4">
        <v>-33308.35</v>
      </c>
      <c r="AR225" s="4">
        <v>-14588.91</v>
      </c>
      <c r="AS225" s="4">
        <v>-31943.54</v>
      </c>
      <c r="AT225" s="4">
        <f>IF(OR(MID(TBBP[[#This Row],[Coluna1]],1,1)="1",MID(TBBP[[#This Row],[Coluna1]],1,1)="2"),TBBP[[#This Row],[Coluna45]],SUM(AH225:AS225))</f>
        <v>-352245.05999999994</v>
      </c>
      <c r="AU225" s="4">
        <v>-21871.62</v>
      </c>
      <c r="AV225" s="4">
        <v>-29509.51</v>
      </c>
      <c r="AW225" s="4">
        <v>-22530.83</v>
      </c>
      <c r="AX225" s="4">
        <v>-14024.89</v>
      </c>
      <c r="AY225" s="4">
        <v>-7696.46</v>
      </c>
      <c r="AZ225" s="4">
        <v>-24689.7</v>
      </c>
      <c r="BA225" s="4">
        <v>-19146.54</v>
      </c>
      <c r="BB225" s="4">
        <v>-49692.25</v>
      </c>
      <c r="BC225" s="4">
        <v>-50196.5</v>
      </c>
      <c r="BD225" s="4">
        <v>-69097.259999999995</v>
      </c>
      <c r="BE225" s="4">
        <v>-108880.37</v>
      </c>
      <c r="BF225" s="4">
        <v>-48232.71</v>
      </c>
      <c r="BG225" s="4">
        <f>IF(OR(MID(TBBP[[#This Row],[Coluna1]],1,1)="1",MID(TBBP[[#This Row],[Coluna1]],1,1)="2"),TBBP[[#This Row],[Coluna58]],SUM(AU225:BF225))</f>
        <v>-465568.64</v>
      </c>
      <c r="BH225" s="4">
        <v>-53033.34</v>
      </c>
      <c r="BI225" s="4">
        <v>-65797.39</v>
      </c>
      <c r="BJ225" s="4">
        <v>-66661.740000000005</v>
      </c>
      <c r="BK225" s="4">
        <v>-86863.89</v>
      </c>
      <c r="BL225" s="4">
        <v>-161524.38</v>
      </c>
      <c r="BM225" s="4">
        <v>-78776.509999999995</v>
      </c>
      <c r="BN225" s="4">
        <v>-80790.77</v>
      </c>
      <c r="BO225" s="4">
        <v>-69811.16</v>
      </c>
      <c r="BP225" s="4">
        <v>-69736.42</v>
      </c>
      <c r="BQ225" s="4">
        <v>-114005.81</v>
      </c>
      <c r="BR225" s="4">
        <v>-97178.35</v>
      </c>
      <c r="BS225" s="4">
        <v>-67700.55</v>
      </c>
      <c r="BT225" s="4">
        <f>IF(OR(MID(TBBP[[#This Row],[Coluna1]],1,1)="1",MID(TBBP[[#This Row],[Coluna1]],1,1)="2"),TBBP[[#This Row],[Coluna127]],SUM(BH225:BS225))</f>
        <v>-1011880.3100000002</v>
      </c>
      <c r="BU225" s="4">
        <v>-128160.66</v>
      </c>
      <c r="BV225" s="4">
        <v>-67002.720000000001</v>
      </c>
      <c r="BW225" s="4">
        <v>-66703</v>
      </c>
      <c r="BX225" s="4">
        <v>-48787.75</v>
      </c>
      <c r="BY225" s="4">
        <v>-57096.66</v>
      </c>
      <c r="BZ225" s="4">
        <v>-66793.179999999993</v>
      </c>
      <c r="CA225" s="4">
        <v>-70753.100000000006</v>
      </c>
      <c r="CB225" s="4">
        <v>-71815.649999999994</v>
      </c>
      <c r="CC225" s="4">
        <v>-42310.85</v>
      </c>
      <c r="CD225" s="4">
        <v>-150458.71</v>
      </c>
      <c r="CE225" s="4">
        <v>-73987.42</v>
      </c>
      <c r="CF225" s="4">
        <v>-82972.02</v>
      </c>
      <c r="CG225" s="4">
        <f>IF(OR(MID(TBBP[[#This Row],[Coluna1]],1,1)="1",MID(TBBP[[#This Row],[Coluna1]],1,1)="2"),CF225,SUM(BU225:CF225))</f>
        <v>-926841.72000000009</v>
      </c>
      <c r="CH225" s="4">
        <v>-133958.99</v>
      </c>
      <c r="CI225" s="4">
        <v>-100903.42</v>
      </c>
      <c r="CJ225" s="4">
        <v>-117689.68</v>
      </c>
      <c r="CK225" s="4">
        <v>-160655.51999999999</v>
      </c>
      <c r="CL225" s="4">
        <v>-156682.98000000001</v>
      </c>
      <c r="CM225" s="4">
        <v>-126772</v>
      </c>
      <c r="CN225" s="4">
        <v>-182507.17</v>
      </c>
      <c r="CO225" s="4">
        <v>-189430.23</v>
      </c>
      <c r="CP225" s="4">
        <v>-164906.45000000001</v>
      </c>
      <c r="CQ225" s="4">
        <v>-166866.56</v>
      </c>
      <c r="CR225" s="4">
        <v>-208317.87</v>
      </c>
      <c r="CS225" s="4">
        <v>-160602.6</v>
      </c>
      <c r="CT225" s="4">
        <f>IF(OR(MID(TBBP[[#This Row],[Coluna1]],1,1)="1",MID(TBBP[[#This Row],[Coluna1]],1,1)="2"),CS225,SUM(CH225:CS225))</f>
        <v>-1869293.4700000002</v>
      </c>
      <c r="CU225" s="255">
        <v>-118908.08</v>
      </c>
      <c r="CV225" s="255">
        <v>-152475.14000000001</v>
      </c>
      <c r="CW225" s="255">
        <v>-96605.119999999995</v>
      </c>
      <c r="CX225" s="255">
        <v>-201439.44</v>
      </c>
      <c r="CY225" s="255">
        <v>-165317.47</v>
      </c>
      <c r="CZ225" s="255">
        <v>-219057.05</v>
      </c>
      <c r="DA225" s="255">
        <v>-212194.08</v>
      </c>
      <c r="DB225" s="255">
        <v>-295438.59000000003</v>
      </c>
      <c r="DC225" s="255">
        <v>-191293.26</v>
      </c>
      <c r="DD225" s="255">
        <v>-176013.2</v>
      </c>
      <c r="DE225" s="255">
        <v>-262847.48</v>
      </c>
      <c r="DF225" s="255">
        <v>-160519.91</v>
      </c>
      <c r="DG225" s="255">
        <f>SUM(TBBP[[#This Row],[Coluna287]:[Coluna298]])</f>
        <v>-2252108.8200000003</v>
      </c>
      <c r="DH225" s="255">
        <v>-95282.61</v>
      </c>
      <c r="DI225" s="255">
        <v>-196359.55</v>
      </c>
      <c r="DJ225" s="255">
        <v>-192900.57</v>
      </c>
      <c r="DK225" s="255">
        <v>-154786.91</v>
      </c>
      <c r="DL225" s="255">
        <v>-175389.29</v>
      </c>
      <c r="DM225" s="255">
        <v>-290436.55</v>
      </c>
      <c r="DO225" t="s">
        <v>410</v>
      </c>
      <c r="DP225" s="30">
        <f>IF(OR(MID(TBBP[[#This Row],[Coluna1]],1,1)="1",MID(TBBP[[#This Row],[Coluna1]],1,1)="2"),"-",SUMIFS(225:225,listaPeriodos,$DR$1,listaPeriodos,$DR$2))</f>
        <v>-1105155.48</v>
      </c>
      <c r="DQ225" s="30">
        <v>-137178.29</v>
      </c>
      <c r="DR225" s="30">
        <f t="shared" si="180"/>
        <v>-823069.74</v>
      </c>
      <c r="DS225" s="30"/>
      <c r="DT225" s="30"/>
      <c r="DU225"/>
    </row>
    <row r="226" spans="1:125" x14ac:dyDescent="0.3">
      <c r="A226" s="7" t="s">
        <v>411</v>
      </c>
      <c r="B226" t="s">
        <v>512</v>
      </c>
      <c r="C226" s="4">
        <v>0</v>
      </c>
      <c r="D226" s="4">
        <v>0</v>
      </c>
      <c r="E226" s="4">
        <v>0</v>
      </c>
      <c r="F226" s="4">
        <v>0</v>
      </c>
      <c r="G226" s="4">
        <v>-23891.31</v>
      </c>
      <c r="H226" s="4">
        <v>-1230.1099999999999</v>
      </c>
      <c r="I226" s="4">
        <v>-329.89</v>
      </c>
      <c r="J226" s="4">
        <v>-935.2</v>
      </c>
      <c r="K226" s="4">
        <v>-348</v>
      </c>
      <c r="L226" s="4">
        <v>0</v>
      </c>
      <c r="M226" s="4">
        <v>-2726.55</v>
      </c>
      <c r="N226" s="4">
        <v>-336</v>
      </c>
      <c r="O226" s="4">
        <v>0</v>
      </c>
      <c r="P226" s="4">
        <v>-7796.73</v>
      </c>
      <c r="Q226" s="4">
        <v>-1816.12</v>
      </c>
      <c r="R226" s="4">
        <v>-1570.27</v>
      </c>
      <c r="S226" s="4">
        <v>-3641.89</v>
      </c>
      <c r="T226" s="4">
        <f>IF(OR(MID(TBBP[[#This Row],[Coluna1]],1,1)="1",MID(TBBP[[#This Row],[Coluna1]],1,1)="2"),TBBP[[#This Row],[Coluna19]],SUM(H226:S226))</f>
        <v>-20730.759999999998</v>
      </c>
      <c r="U226" s="4">
        <v>-1196</v>
      </c>
      <c r="V226" s="4">
        <v>-747.26</v>
      </c>
      <c r="W226" s="4">
        <v>-2512.94</v>
      </c>
      <c r="X226" s="4">
        <v>-3612.21</v>
      </c>
      <c r="Y226" s="4">
        <v>-2667.6</v>
      </c>
      <c r="Z226" s="4">
        <v>-1413.83</v>
      </c>
      <c r="AA226" s="4">
        <v>-3587.3</v>
      </c>
      <c r="AB226" s="4">
        <v>-3453.57</v>
      </c>
      <c r="AC226" s="4">
        <v>-1200.8599999999999</v>
      </c>
      <c r="AD226" s="4">
        <v>-2045.03</v>
      </c>
      <c r="AE226" s="4">
        <v>-6169.92</v>
      </c>
      <c r="AF226" s="4">
        <v>-101.9</v>
      </c>
      <c r="AG226" s="4">
        <f>IF(OR(MID(TBBP[[#This Row],[Coluna1]],1,1)="1",MID(TBBP[[#This Row],[Coluna1]],1,1)="2"),TBBP[[#This Row],[Coluna32]],SUM(U226:AF226))</f>
        <v>-28708.42</v>
      </c>
      <c r="AH226" s="4">
        <v>-1582.28</v>
      </c>
      <c r="AI226" s="4">
        <v>0</v>
      </c>
      <c r="AJ226" s="4">
        <v>-368.03</v>
      </c>
      <c r="AK226" s="4">
        <v>-368.03</v>
      </c>
      <c r="AL226" s="4">
        <v>0</v>
      </c>
      <c r="AM226" s="4">
        <v>0</v>
      </c>
      <c r="AN226" s="4">
        <v>0</v>
      </c>
      <c r="AO226" s="4">
        <v>0</v>
      </c>
      <c r="AP226" s="4">
        <v>-2899.03</v>
      </c>
      <c r="AQ226" s="4">
        <v>-1855.87</v>
      </c>
      <c r="AR226" s="4">
        <v>-2499.31</v>
      </c>
      <c r="AS226" s="4">
        <v>-3212.27</v>
      </c>
      <c r="AT226" s="4">
        <f>IF(OR(MID(TBBP[[#This Row],[Coluna1]],1,1)="1",MID(TBBP[[#This Row],[Coluna1]],1,1)="2"),TBBP[[#This Row],[Coluna45]],SUM(AH226:AS226))</f>
        <v>-12784.820000000002</v>
      </c>
      <c r="AU226" s="4">
        <v>-1461.5</v>
      </c>
      <c r="AV226" s="4">
        <v>0</v>
      </c>
      <c r="AW226" s="4">
        <v>-2385.54</v>
      </c>
      <c r="AX226" s="4">
        <v>-934.05</v>
      </c>
      <c r="AY226" s="4">
        <v>0</v>
      </c>
      <c r="AZ226" s="4">
        <v>-3093.39</v>
      </c>
      <c r="BA226" s="4">
        <v>-1316.67</v>
      </c>
      <c r="BB226" s="4">
        <v>-3077.08</v>
      </c>
      <c r="BC226" s="4">
        <v>-1795.21</v>
      </c>
      <c r="BD226" s="4">
        <v>-5247.39</v>
      </c>
      <c r="BE226" s="4">
        <v>-9102.2099999999991</v>
      </c>
      <c r="BF226" s="4">
        <v>-1949.76</v>
      </c>
      <c r="BG226" s="4">
        <f>IF(OR(MID(TBBP[[#This Row],[Coluna1]],1,1)="1",MID(TBBP[[#This Row],[Coluna1]],1,1)="2"),TBBP[[#This Row],[Coluna58]],SUM(AU226:BF226))</f>
        <v>-30362.799999999996</v>
      </c>
      <c r="BH226" s="4">
        <v>-10729.96</v>
      </c>
      <c r="BI226" s="4">
        <v>-8704.86</v>
      </c>
      <c r="BJ226" s="4">
        <v>-18136.650000000001</v>
      </c>
      <c r="BK226" s="4">
        <v>-6099.23</v>
      </c>
      <c r="BL226" s="4">
        <v>-4027.95</v>
      </c>
      <c r="BM226" s="4">
        <v>-17883</v>
      </c>
      <c r="BN226" s="4">
        <v>-18177.900000000001</v>
      </c>
      <c r="BO226" s="4">
        <v>-10154.65</v>
      </c>
      <c r="BP226" s="4">
        <v>-10112.620000000001</v>
      </c>
      <c r="BQ226" s="4">
        <v>-8001.53</v>
      </c>
      <c r="BR226" s="4">
        <v>-15845.34</v>
      </c>
      <c r="BS226" s="4">
        <v>-11504.84</v>
      </c>
      <c r="BT226" s="4">
        <f>IF(OR(MID(TBBP[[#This Row],[Coluna1]],1,1)="1",MID(TBBP[[#This Row],[Coluna1]],1,1)="2"),TBBP[[#This Row],[Coluna127]],SUM(BH226:BS226))</f>
        <v>-139378.52999999997</v>
      </c>
      <c r="BU226" s="4">
        <v>-23987.67</v>
      </c>
      <c r="BV226" s="4">
        <v>-11964.35</v>
      </c>
      <c r="BW226" s="4">
        <v>-15994.11</v>
      </c>
      <c r="BX226" s="4">
        <v>-8787.77</v>
      </c>
      <c r="BY226" s="4">
        <v>-14625.14</v>
      </c>
      <c r="BZ226" s="4">
        <v>-7356.86</v>
      </c>
      <c r="CA226" s="4">
        <v>-8660.4699999999993</v>
      </c>
      <c r="CB226" s="4">
        <v>-9535.0300000000007</v>
      </c>
      <c r="CC226" s="4">
        <v>-7800.77</v>
      </c>
      <c r="CD226" s="4">
        <v>-13031.28</v>
      </c>
      <c r="CE226" s="4">
        <v>-15445.23</v>
      </c>
      <c r="CF226" s="4">
        <v>-7978.2</v>
      </c>
      <c r="CG226" s="4">
        <f>IF(OR(MID(TBBP[[#This Row],[Coluna1]],1,1)="1",MID(TBBP[[#This Row],[Coluna1]],1,1)="2"),CF226,SUM(BU226:CF226))</f>
        <v>-145166.88</v>
      </c>
      <c r="CH226" s="4">
        <v>-17849.28</v>
      </c>
      <c r="CI226" s="4">
        <v>-13542.59</v>
      </c>
      <c r="CJ226" s="4">
        <v>-23378.639999999999</v>
      </c>
      <c r="CK226" s="4">
        <v>-14002.75</v>
      </c>
      <c r="CL226" s="4">
        <v>-8259.5300000000007</v>
      </c>
      <c r="CM226" s="4">
        <v>-13330.89</v>
      </c>
      <c r="CN226" s="4">
        <v>-16504.53</v>
      </c>
      <c r="CO226" s="4">
        <v>-13533.12</v>
      </c>
      <c r="CP226" s="4">
        <v>-17841.32</v>
      </c>
      <c r="CQ226" s="4">
        <v>-28803.01</v>
      </c>
      <c r="CR226" s="4">
        <v>-14620.01</v>
      </c>
      <c r="CS226" s="4">
        <v>-18730.13</v>
      </c>
      <c r="CT226" s="4">
        <f>IF(OR(MID(TBBP[[#This Row],[Coluna1]],1,1)="1",MID(TBBP[[#This Row],[Coluna1]],1,1)="2"),CS226,SUM(CH226:CS226))</f>
        <v>-200395.80000000002</v>
      </c>
      <c r="CU226" s="255">
        <v>-24098.880000000001</v>
      </c>
      <c r="CV226" s="255">
        <v>-20491.009999999998</v>
      </c>
      <c r="CW226" s="255">
        <v>-19381.68</v>
      </c>
      <c r="CX226" s="255">
        <v>-24118.35</v>
      </c>
      <c r="CY226" s="255">
        <v>-31806.03</v>
      </c>
      <c r="CZ226" s="255">
        <v>-14333.86</v>
      </c>
      <c r="DA226" s="255">
        <v>-18510.38</v>
      </c>
      <c r="DB226" s="255">
        <v>-29790.65</v>
      </c>
      <c r="DC226" s="255">
        <v>-15779.8</v>
      </c>
      <c r="DD226" s="255">
        <v>-20527.830000000002</v>
      </c>
      <c r="DE226" s="255">
        <v>-34017.31</v>
      </c>
      <c r="DF226" s="255">
        <v>-22519.41</v>
      </c>
      <c r="DG226" s="255">
        <f>SUM(TBBP[[#This Row],[Coluna287]:[Coluna298]])</f>
        <v>-275375.18999999994</v>
      </c>
      <c r="DH226" s="255">
        <v>-33367.599999999999</v>
      </c>
      <c r="DI226" s="255">
        <v>-21250.94</v>
      </c>
      <c r="DJ226" s="255">
        <v>-23788.34</v>
      </c>
      <c r="DK226" s="255">
        <v>-30415.19</v>
      </c>
      <c r="DL226" s="255">
        <v>-42189.84</v>
      </c>
      <c r="DM226" s="255">
        <v>-62810.03</v>
      </c>
      <c r="DP226" s="30">
        <f>IF(OR(MID(TBBP[[#This Row],[Coluna1]],1,1)="1",MID(TBBP[[#This Row],[Coluna1]],1,1)="2"),"-",SUMIFS(226:226,listaPeriodos,$DR$1,listaPeriodos,$DR$2))</f>
        <v>-213821.93999999997</v>
      </c>
      <c r="DQ226" s="30"/>
      <c r="DR226" s="30">
        <f t="shared" si="180"/>
        <v>0</v>
      </c>
      <c r="DS226" s="30"/>
      <c r="DT226" s="30"/>
      <c r="DU226"/>
    </row>
    <row r="227" spans="1:125" x14ac:dyDescent="0.3">
      <c r="A227" s="7" t="s">
        <v>412</v>
      </c>
      <c r="B227" t="s">
        <v>513</v>
      </c>
      <c r="C227" s="4">
        <v>0</v>
      </c>
      <c r="D227" s="4">
        <v>0</v>
      </c>
      <c r="E227" s="4">
        <v>0</v>
      </c>
      <c r="F227" s="4">
        <v>0</v>
      </c>
      <c r="G227" s="4">
        <v>-72016.28</v>
      </c>
      <c r="H227" s="4">
        <v>-2303.66</v>
      </c>
      <c r="I227" s="4">
        <v>-9311</v>
      </c>
      <c r="J227" s="4">
        <v>-5568.89</v>
      </c>
      <c r="K227" s="4">
        <v>-8784.74</v>
      </c>
      <c r="L227" s="4">
        <v>-7545.68</v>
      </c>
      <c r="M227" s="4">
        <v>-6282.25</v>
      </c>
      <c r="N227" s="4">
        <v>-8586.2800000000007</v>
      </c>
      <c r="O227" s="4">
        <v>-6496.45</v>
      </c>
      <c r="P227" s="4">
        <v>-6592.15</v>
      </c>
      <c r="Q227" s="4">
        <v>-7242.84</v>
      </c>
      <c r="R227" s="4">
        <v>-3401.31</v>
      </c>
      <c r="S227" s="4">
        <v>-4234.2</v>
      </c>
      <c r="T227" s="4">
        <f>IF(OR(MID(TBBP[[#This Row],[Coluna1]],1,1)="1",MID(TBBP[[#This Row],[Coluna1]],1,1)="2"),TBBP[[#This Row],[Coluna19]],SUM(H227:S227))</f>
        <v>-76349.45</v>
      </c>
      <c r="U227" s="4">
        <v>-7451.4</v>
      </c>
      <c r="V227" s="4">
        <v>-8467.17</v>
      </c>
      <c r="W227" s="4">
        <v>-5218.7</v>
      </c>
      <c r="X227" s="4">
        <v>-7831.09</v>
      </c>
      <c r="Y227" s="4">
        <v>-7052.21</v>
      </c>
      <c r="Z227" s="4">
        <v>-7676.22</v>
      </c>
      <c r="AA227" s="4">
        <v>-6014.56</v>
      </c>
      <c r="AB227" s="4">
        <v>-8498.01</v>
      </c>
      <c r="AC227" s="4">
        <v>-6287.82</v>
      </c>
      <c r="AD227" s="4">
        <v>-9604.49</v>
      </c>
      <c r="AE227" s="4">
        <v>-10127.56</v>
      </c>
      <c r="AF227" s="4">
        <v>-11160.31</v>
      </c>
      <c r="AG227" s="4">
        <f>IF(OR(MID(TBBP[[#This Row],[Coluna1]],1,1)="1",MID(TBBP[[#This Row],[Coluna1]],1,1)="2"),TBBP[[#This Row],[Coluna32]],SUM(U227:AF227))</f>
        <v>-95389.54</v>
      </c>
      <c r="AH227" s="4">
        <v>-4600.88</v>
      </c>
      <c r="AI227" s="4">
        <v>-10262.790000000001</v>
      </c>
      <c r="AJ227" s="4">
        <v>-12042.76</v>
      </c>
      <c r="AK227" s="4">
        <v>-5249.19</v>
      </c>
      <c r="AL227" s="4">
        <v>-5116.41</v>
      </c>
      <c r="AM227" s="4">
        <v>-5437.7</v>
      </c>
      <c r="AN227" s="4">
        <v>-9712.7900000000009</v>
      </c>
      <c r="AO227" s="4">
        <v>-10032.040000000001</v>
      </c>
      <c r="AP227" s="4">
        <v>-5164.1499999999996</v>
      </c>
      <c r="AQ227" s="4">
        <v>-6114.42</v>
      </c>
      <c r="AR227" s="4">
        <v>-5388.98</v>
      </c>
      <c r="AS227" s="4">
        <v>-6346.03</v>
      </c>
      <c r="AT227" s="4">
        <f>IF(OR(MID(TBBP[[#This Row],[Coluna1]],1,1)="1",MID(TBBP[[#This Row],[Coluna1]],1,1)="2"),TBBP[[#This Row],[Coluna45]],SUM(AH227:AS227))</f>
        <v>-85468.139999999985</v>
      </c>
      <c r="AU227" s="4">
        <v>-2789.34</v>
      </c>
      <c r="AV227" s="4">
        <v>-7967.74</v>
      </c>
      <c r="AW227" s="4">
        <v>-4026.67</v>
      </c>
      <c r="AX227" s="4">
        <v>-2942.73</v>
      </c>
      <c r="AY227" s="4">
        <v>-4654.55</v>
      </c>
      <c r="AZ227" s="4">
        <v>-7845.69</v>
      </c>
      <c r="BA227" s="4">
        <v>-8827.4699999999993</v>
      </c>
      <c r="BB227" s="4">
        <v>-7144.94</v>
      </c>
      <c r="BC227" s="4">
        <v>-8044.09</v>
      </c>
      <c r="BD227" s="4">
        <v>-7252.16</v>
      </c>
      <c r="BE227" s="4">
        <v>-9775.86</v>
      </c>
      <c r="BF227" s="4">
        <v>-4894.43</v>
      </c>
      <c r="BG227" s="4">
        <f>IF(OR(MID(TBBP[[#This Row],[Coluna1]],1,1)="1",MID(TBBP[[#This Row],[Coluna1]],1,1)="2"),TBBP[[#This Row],[Coluna58]],SUM(AU227:BF227))</f>
        <v>-76165.670000000013</v>
      </c>
      <c r="BH227" s="4">
        <v>-4665.97</v>
      </c>
      <c r="BI227" s="4">
        <v>-12062.85</v>
      </c>
      <c r="BJ227" s="4">
        <v>-5189.72</v>
      </c>
      <c r="BK227" s="4">
        <v>-15664.51</v>
      </c>
      <c r="BL227" s="4">
        <v>-16196.47</v>
      </c>
      <c r="BM227" s="4">
        <v>-10874.05</v>
      </c>
      <c r="BN227" s="4">
        <v>-10019.120000000001</v>
      </c>
      <c r="BO227" s="4">
        <v>-12394.6</v>
      </c>
      <c r="BP227" s="4">
        <v>-8574.39</v>
      </c>
      <c r="BQ227" s="4">
        <v>-7983.82</v>
      </c>
      <c r="BR227" s="4">
        <v>-12086.28</v>
      </c>
      <c r="BS227" s="4">
        <v>-11022.17</v>
      </c>
      <c r="BT227" s="4">
        <f>IF(OR(MID(TBBP[[#This Row],[Coluna1]],1,1)="1",MID(TBBP[[#This Row],[Coluna1]],1,1)="2"),TBBP[[#This Row],[Coluna127]],SUM(BH227:BS227))</f>
        <v>-126733.95</v>
      </c>
      <c r="BU227" s="4">
        <v>-4460.3500000000004</v>
      </c>
      <c r="BV227" s="4">
        <v>-13272.68</v>
      </c>
      <c r="BW227" s="4">
        <v>-26788.97</v>
      </c>
      <c r="BX227" s="4">
        <v>-9317.7999999999993</v>
      </c>
      <c r="BY227" s="4">
        <v>-10306.370000000001</v>
      </c>
      <c r="BZ227" s="4">
        <v>-10799.77</v>
      </c>
      <c r="CA227" s="4">
        <v>-15808.44</v>
      </c>
      <c r="CB227" s="4">
        <v>-8717.77</v>
      </c>
      <c r="CC227" s="4">
        <v>-12709.98</v>
      </c>
      <c r="CD227" s="4">
        <v>-9610.6200000000008</v>
      </c>
      <c r="CE227" s="4">
        <v>-16308</v>
      </c>
      <c r="CF227" s="4">
        <v>-13070.01</v>
      </c>
      <c r="CG227" s="4">
        <f>IF(OR(MID(TBBP[[#This Row],[Coluna1]],1,1)="1",MID(TBBP[[#This Row],[Coluna1]],1,1)="2"),CF227,SUM(BU227:CF227))</f>
        <v>-151170.76</v>
      </c>
      <c r="CH227" s="4">
        <v>-10515.44</v>
      </c>
      <c r="CI227" s="4">
        <v>-14918.85</v>
      </c>
      <c r="CJ227" s="4">
        <v>-26695.06</v>
      </c>
      <c r="CK227" s="4">
        <v>-10318.129999999999</v>
      </c>
      <c r="CL227" s="4">
        <v>-20603.849999999999</v>
      </c>
      <c r="CM227" s="4">
        <v>-35624.269999999997</v>
      </c>
      <c r="CN227" s="4">
        <v>-49644.82</v>
      </c>
      <c r="CO227" s="4">
        <v>-52896.800000000003</v>
      </c>
      <c r="CP227" s="4">
        <v>-32713.14</v>
      </c>
      <c r="CQ227" s="4">
        <v>-22123.26</v>
      </c>
      <c r="CR227" s="4">
        <v>-35396.339999999997</v>
      </c>
      <c r="CS227" s="4">
        <v>-48542.09</v>
      </c>
      <c r="CT227" s="4">
        <f>IF(OR(MID(TBBP[[#This Row],[Coluna1]],1,1)="1",MID(TBBP[[#This Row],[Coluna1]],1,1)="2"),CS227,SUM(CH227:CS227))</f>
        <v>-359992.05000000005</v>
      </c>
      <c r="CU227" s="255">
        <v>-27067.65</v>
      </c>
      <c r="CV227" s="255">
        <v>-46590.54</v>
      </c>
      <c r="CW227" s="255">
        <v>-17748.830000000002</v>
      </c>
      <c r="CX227" s="255">
        <v>-61556.77</v>
      </c>
      <c r="CY227" s="255">
        <v>-32660.66</v>
      </c>
      <c r="CZ227" s="255">
        <v>-94114.47</v>
      </c>
      <c r="DA227" s="255">
        <v>-76247.53</v>
      </c>
      <c r="DB227" s="255">
        <v>-74154.44</v>
      </c>
      <c r="DC227" s="255">
        <v>-48091.71</v>
      </c>
      <c r="DD227" s="255">
        <v>-42539.87</v>
      </c>
      <c r="DE227" s="255">
        <v>-62016.71</v>
      </c>
      <c r="DF227" s="255">
        <v>-54996.02</v>
      </c>
      <c r="DG227" s="255">
        <f>SUM(TBBP[[#This Row],[Coluna287]:[Coluna298]])</f>
        <v>-637785.20000000007</v>
      </c>
      <c r="DH227" s="255">
        <v>-25647.05</v>
      </c>
      <c r="DI227" s="255">
        <v>-65426.64</v>
      </c>
      <c r="DJ227" s="255">
        <v>-75841.06</v>
      </c>
      <c r="DK227" s="255">
        <v>-52128.43</v>
      </c>
      <c r="DL227" s="255">
        <v>-53209.52</v>
      </c>
      <c r="DM227" s="255">
        <v>-75624.91</v>
      </c>
      <c r="DP227" s="30">
        <f>IF(OR(MID(TBBP[[#This Row],[Coluna1]],1,1)="1",MID(TBBP[[#This Row],[Coluna1]],1,1)="2"),"-",SUMIFS(227:227,listaPeriodos,$DR$1,listaPeriodos,$DR$2))</f>
        <v>-347877.61</v>
      </c>
      <c r="DQ227" s="30"/>
      <c r="DR227" s="30">
        <f t="shared" si="180"/>
        <v>0</v>
      </c>
      <c r="DS227" s="30"/>
      <c r="DT227" s="30"/>
      <c r="DU227"/>
    </row>
    <row r="228" spans="1:125" x14ac:dyDescent="0.3">
      <c r="A228" s="7" t="s">
        <v>413</v>
      </c>
      <c r="B228" t="s">
        <v>514</v>
      </c>
      <c r="C228" s="4">
        <v>0</v>
      </c>
      <c r="D228" s="4">
        <v>0</v>
      </c>
      <c r="E228" s="4">
        <v>0</v>
      </c>
      <c r="F228" s="4">
        <v>0</v>
      </c>
      <c r="G228" s="4">
        <v>-247780.53</v>
      </c>
      <c r="H228" s="4">
        <v>-14149.49</v>
      </c>
      <c r="I228" s="4">
        <v>-10264.290000000001</v>
      </c>
      <c r="J228" s="4">
        <v>-20544.84</v>
      </c>
      <c r="K228" s="4">
        <v>-14793.84</v>
      </c>
      <c r="L228" s="4">
        <v>-14379.49</v>
      </c>
      <c r="M228" s="4">
        <v>-22894.54</v>
      </c>
      <c r="N228" s="4">
        <v>-6129.37</v>
      </c>
      <c r="O228" s="4">
        <v>-36637.64</v>
      </c>
      <c r="P228" s="4">
        <v>-19005.47</v>
      </c>
      <c r="Q228" s="4">
        <v>-33126.269999999997</v>
      </c>
      <c r="R228" s="4">
        <v>-34091.879999999997</v>
      </c>
      <c r="S228" s="4">
        <v>-27468.2</v>
      </c>
      <c r="T228" s="4">
        <f>IF(OR(MID(TBBP[[#This Row],[Coluna1]],1,1)="1",MID(TBBP[[#This Row],[Coluna1]],1,1)="2"),TBBP[[#This Row],[Coluna19]],SUM(H228:S228))</f>
        <v>-253485.32</v>
      </c>
      <c r="U228" s="4">
        <v>-21867.98</v>
      </c>
      <c r="V228" s="4">
        <v>-8834.48</v>
      </c>
      <c r="W228" s="4">
        <v>-35854.44</v>
      </c>
      <c r="X228" s="4">
        <v>-21229.96</v>
      </c>
      <c r="Y228" s="4">
        <v>-44104.99</v>
      </c>
      <c r="Z228" s="4">
        <v>-18274.79</v>
      </c>
      <c r="AA228" s="4">
        <v>-13230.57</v>
      </c>
      <c r="AB228" s="4">
        <v>-14681.64</v>
      </c>
      <c r="AC228" s="4">
        <v>-35573.21</v>
      </c>
      <c r="AD228" s="4">
        <v>-37825.54</v>
      </c>
      <c r="AE228" s="4">
        <v>-28122.080000000002</v>
      </c>
      <c r="AF228" s="4">
        <v>-32658.560000000001</v>
      </c>
      <c r="AG228" s="4">
        <f>IF(OR(MID(TBBP[[#This Row],[Coluna1]],1,1)="1",MID(TBBP[[#This Row],[Coluna1]],1,1)="2"),TBBP[[#This Row],[Coluna32]],SUM(U228:AF228))</f>
        <v>-312258.24</v>
      </c>
      <c r="AH228" s="4">
        <v>-33835.699999999997</v>
      </c>
      <c r="AI228" s="4">
        <v>-6981.15</v>
      </c>
      <c r="AJ228" s="4">
        <v>-19916.22</v>
      </c>
      <c r="AK228" s="4">
        <v>-22936.98</v>
      </c>
      <c r="AL228" s="4">
        <v>-42328.160000000003</v>
      </c>
      <c r="AM228" s="4">
        <v>-24796.880000000001</v>
      </c>
      <c r="AN228" s="4">
        <v>-13582.83</v>
      </c>
      <c r="AO228" s="4">
        <v>-4713.54</v>
      </c>
      <c r="AP228" s="4">
        <v>-10251.6</v>
      </c>
      <c r="AQ228" s="4">
        <v>-22918.23</v>
      </c>
      <c r="AR228" s="4">
        <v>-2032.5</v>
      </c>
      <c r="AS228" s="4">
        <v>-20148.53</v>
      </c>
      <c r="AT228" s="4">
        <f>IF(OR(MID(TBBP[[#This Row],[Coluna1]],1,1)="1",MID(TBBP[[#This Row],[Coluna1]],1,1)="2"),TBBP[[#This Row],[Coluna45]],SUM(AH228:AS228))</f>
        <v>-224442.32</v>
      </c>
      <c r="AU228" s="4">
        <v>-12433.38</v>
      </c>
      <c r="AV228" s="4">
        <v>-19830.29</v>
      </c>
      <c r="AW228" s="4">
        <v>-14718.77</v>
      </c>
      <c r="AX228" s="4">
        <v>-8283.9599999999991</v>
      </c>
      <c r="AY228" s="4">
        <v>-1478.94</v>
      </c>
      <c r="AZ228" s="4">
        <v>-12120.08</v>
      </c>
      <c r="BA228" s="4">
        <v>-1657.23</v>
      </c>
      <c r="BB228" s="4">
        <v>-35512.080000000002</v>
      </c>
      <c r="BC228" s="4">
        <v>-31241.26</v>
      </c>
      <c r="BD228" s="4">
        <v>-52551.32</v>
      </c>
      <c r="BE228" s="4">
        <v>-73852.91</v>
      </c>
      <c r="BF228" s="4">
        <v>-41388.519999999997</v>
      </c>
      <c r="BG228" s="4">
        <f>IF(OR(MID(TBBP[[#This Row],[Coluna1]],1,1)="1",MID(TBBP[[#This Row],[Coluna1]],1,1)="2"),TBBP[[#This Row],[Coluna58]],SUM(AU228:BF228))</f>
        <v>-305068.74</v>
      </c>
      <c r="BH228" s="4">
        <v>-18896.009999999998</v>
      </c>
      <c r="BI228" s="4">
        <v>-38141.51</v>
      </c>
      <c r="BJ228" s="4">
        <v>-32073.55</v>
      </c>
      <c r="BK228" s="4">
        <v>-39030.54</v>
      </c>
      <c r="BL228" s="4">
        <v>-130562.94</v>
      </c>
      <c r="BM228" s="4">
        <v>-41582.15</v>
      </c>
      <c r="BN228" s="4">
        <v>-40043.42</v>
      </c>
      <c r="BO228" s="4">
        <v>-31831.02</v>
      </c>
      <c r="BP228" s="4">
        <v>-45190.55</v>
      </c>
      <c r="BQ228" s="4">
        <v>-76686.19</v>
      </c>
      <c r="BR228" s="4">
        <v>-64956.06</v>
      </c>
      <c r="BS228" s="4">
        <v>-38946.58</v>
      </c>
      <c r="BT228" s="4">
        <f>IF(OR(MID(TBBP[[#This Row],[Coluna1]],1,1)="1",MID(TBBP[[#This Row],[Coluna1]],1,1)="2"),TBBP[[#This Row],[Coluna127]],SUM(BH228:BS228))</f>
        <v>-597940.5199999999</v>
      </c>
      <c r="BU228" s="4">
        <v>-89476.84</v>
      </c>
      <c r="BV228" s="4">
        <v>-30105.14</v>
      </c>
      <c r="BW228" s="4">
        <v>-21075.29</v>
      </c>
      <c r="BX228" s="4">
        <v>-21672.53</v>
      </c>
      <c r="BY228" s="4">
        <v>-23267.75</v>
      </c>
      <c r="BZ228" s="4">
        <v>-40955.43</v>
      </c>
      <c r="CA228" s="4">
        <v>-29106.97</v>
      </c>
      <c r="CB228" s="4">
        <v>-39353.129999999997</v>
      </c>
      <c r="CC228" s="4">
        <v>-12199.01</v>
      </c>
      <c r="CD228" s="4">
        <v>-117224.09</v>
      </c>
      <c r="CE228" s="4">
        <v>-35508.949999999997</v>
      </c>
      <c r="CF228" s="4">
        <v>-51049.58</v>
      </c>
      <c r="CG228" s="4">
        <f>IF(OR(MID(TBBP[[#This Row],[Coluna1]],1,1)="1",MID(TBBP[[#This Row],[Coluna1]],1,1)="2"),CF228,SUM(BU228:CF228))</f>
        <v>-510994.70999999996</v>
      </c>
      <c r="CH228" s="4">
        <v>-86883.82</v>
      </c>
      <c r="CI228" s="4">
        <v>-65376.25</v>
      </c>
      <c r="CJ228" s="4">
        <v>-43107.33</v>
      </c>
      <c r="CK228" s="4">
        <v>-114051.88</v>
      </c>
      <c r="CL228" s="4">
        <v>-104679.62</v>
      </c>
      <c r="CM228" s="4">
        <v>-52219.21</v>
      </c>
      <c r="CN228" s="4">
        <v>-74175.72</v>
      </c>
      <c r="CO228" s="4">
        <v>-101656.61</v>
      </c>
      <c r="CP228" s="4">
        <v>-65544.83</v>
      </c>
      <c r="CQ228" s="4">
        <v>-110318.21</v>
      </c>
      <c r="CR228" s="4">
        <v>-141241.70000000001</v>
      </c>
      <c r="CS228" s="4">
        <v>-90451.22</v>
      </c>
      <c r="CT228" s="4">
        <f>IF(OR(MID(TBBP[[#This Row],[Coluna1]],1,1)="1",MID(TBBP[[#This Row],[Coluna1]],1,1)="2"),CS228,SUM(CH228:CS228))</f>
        <v>-1049706.3999999999</v>
      </c>
      <c r="CU228" s="255">
        <v>-63161.91</v>
      </c>
      <c r="CV228" s="255">
        <v>-81972.179999999993</v>
      </c>
      <c r="CW228" s="255">
        <v>-56881.8</v>
      </c>
      <c r="CX228" s="255">
        <v>-97305.26</v>
      </c>
      <c r="CY228" s="255">
        <v>-59645.1</v>
      </c>
      <c r="CZ228" s="255">
        <v>-100071.87</v>
      </c>
      <c r="DA228" s="255">
        <v>-98395.18</v>
      </c>
      <c r="DB228" s="255">
        <v>-117963.18</v>
      </c>
      <c r="DC228" s="255">
        <v>-118282.39</v>
      </c>
      <c r="DD228" s="255">
        <v>-108033.05</v>
      </c>
      <c r="DE228" s="255">
        <v>-157411.41</v>
      </c>
      <c r="DF228" s="255">
        <v>-62719.65</v>
      </c>
      <c r="DG228" s="255">
        <f>SUM(TBBP[[#This Row],[Coluna287]:[Coluna298]])</f>
        <v>-1121842.98</v>
      </c>
      <c r="DH228" s="255">
        <v>-33977.699999999997</v>
      </c>
      <c r="DI228" s="255">
        <v>-92729.94</v>
      </c>
      <c r="DJ228" s="255">
        <v>-85358.28</v>
      </c>
      <c r="DK228" s="255">
        <v>-58795.01</v>
      </c>
      <c r="DL228" s="255">
        <v>-70261.22</v>
      </c>
      <c r="DM228" s="255">
        <v>-135517.34</v>
      </c>
      <c r="DP228" s="30">
        <f>IF(OR(MID(TBBP[[#This Row],[Coluna1]],1,1)="1",MID(TBBP[[#This Row],[Coluna1]],1,1)="2"),"-",SUMIFS(228:228,listaPeriodos,$DR$1,listaPeriodos,$DR$2))</f>
        <v>-476639.49</v>
      </c>
      <c r="DQ228" s="30"/>
      <c r="DR228" s="30">
        <f t="shared" si="180"/>
        <v>0</v>
      </c>
      <c r="DS228" s="30"/>
      <c r="DT228" s="30"/>
      <c r="DU228"/>
    </row>
    <row r="229" spans="1:125" x14ac:dyDescent="0.3">
      <c r="A229" s="7" t="s">
        <v>414</v>
      </c>
      <c r="B229" t="s">
        <v>515</v>
      </c>
      <c r="C229" s="4">
        <v>0</v>
      </c>
      <c r="D229" s="4">
        <v>0</v>
      </c>
      <c r="E229" s="4">
        <v>0</v>
      </c>
      <c r="F229" s="4">
        <v>0</v>
      </c>
      <c r="G229" s="4">
        <v>-70129.240000000005</v>
      </c>
      <c r="H229" s="4">
        <v>-2953.39</v>
      </c>
      <c r="I229" s="4">
        <v>-4971.29</v>
      </c>
      <c r="J229" s="4">
        <v>-1700.06</v>
      </c>
      <c r="K229" s="4">
        <v>-10261.969999999999</v>
      </c>
      <c r="L229" s="4">
        <v>-5603.58</v>
      </c>
      <c r="M229" s="4">
        <v>-4003.11</v>
      </c>
      <c r="N229" s="4">
        <v>-9352.35</v>
      </c>
      <c r="O229" s="4">
        <v>-9385.75</v>
      </c>
      <c r="P229" s="4">
        <v>0</v>
      </c>
      <c r="Q229" s="4">
        <v>0</v>
      </c>
      <c r="R229" s="4">
        <v>-4714.82</v>
      </c>
      <c r="S229" s="4">
        <v>-805.71</v>
      </c>
      <c r="T229" s="4">
        <f>IF(OR(MID(TBBP[[#This Row],[Coluna1]],1,1)="1",MID(TBBP[[#This Row],[Coluna1]],1,1)="2"),TBBP[[#This Row],[Coluna19]],SUM(H229:S229))</f>
        <v>-53752.03</v>
      </c>
      <c r="U229" s="4">
        <v>-2065.66</v>
      </c>
      <c r="V229" s="4">
        <v>-11031.26</v>
      </c>
      <c r="W229" s="4">
        <v>-1352.19</v>
      </c>
      <c r="X229" s="4">
        <v>0</v>
      </c>
      <c r="Y229" s="4">
        <v>-5490.17</v>
      </c>
      <c r="Z229" s="4">
        <v>-8646.18</v>
      </c>
      <c r="AA229" s="4">
        <v>-2530.7600000000002</v>
      </c>
      <c r="AB229" s="4">
        <v>-4363.1099999999997</v>
      </c>
      <c r="AC229" s="4">
        <v>-5232.71</v>
      </c>
      <c r="AD229" s="4">
        <v>-6512.03</v>
      </c>
      <c r="AE229" s="4">
        <v>-4506.4799999999996</v>
      </c>
      <c r="AF229" s="4">
        <v>-925.53</v>
      </c>
      <c r="AG229" s="4">
        <f>IF(OR(MID(TBBP[[#This Row],[Coluna1]],1,1)="1",MID(TBBP[[#This Row],[Coluna1]],1,1)="2"),TBBP[[#This Row],[Coluna32]],SUM(U229:AF229))</f>
        <v>-52656.08</v>
      </c>
      <c r="AH229" s="4">
        <v>-1628.28</v>
      </c>
      <c r="AI229" s="4">
        <v>0</v>
      </c>
      <c r="AJ229" s="4">
        <v>-2014.91</v>
      </c>
      <c r="AK229" s="4">
        <v>0</v>
      </c>
      <c r="AL229" s="4">
        <v>0</v>
      </c>
      <c r="AM229" s="4">
        <v>0</v>
      </c>
      <c r="AN229" s="4">
        <v>-1449.95</v>
      </c>
      <c r="AO229" s="4">
        <v>-747.65</v>
      </c>
      <c r="AP229" s="4">
        <v>-684.36</v>
      </c>
      <c r="AQ229" s="4">
        <v>-2419.83</v>
      </c>
      <c r="AR229" s="4">
        <v>-3033.2</v>
      </c>
      <c r="AS229" s="4">
        <v>-639.54999999999995</v>
      </c>
      <c r="AT229" s="4">
        <f>IF(OR(MID(TBBP[[#This Row],[Coluna1]],1,1)="1",MID(TBBP[[#This Row],[Coluna1]],1,1)="2"),TBBP[[#This Row],[Coluna45]],SUM(AH229:AS229))</f>
        <v>-12617.73</v>
      </c>
      <c r="AU229" s="4">
        <v>-4200.0600000000004</v>
      </c>
      <c r="AV229" s="4">
        <v>0</v>
      </c>
      <c r="AW229" s="4">
        <v>0</v>
      </c>
      <c r="AX229" s="4">
        <v>0</v>
      </c>
      <c r="AY229" s="4">
        <v>0</v>
      </c>
      <c r="AZ229" s="4">
        <v>0</v>
      </c>
      <c r="BA229" s="4">
        <v>-7345.17</v>
      </c>
      <c r="BB229" s="4">
        <v>0</v>
      </c>
      <c r="BC229" s="4">
        <v>-7288.15</v>
      </c>
      <c r="BD229" s="4">
        <v>-4046.39</v>
      </c>
      <c r="BE229" s="4">
        <v>-12249.75</v>
      </c>
      <c r="BF229" s="4">
        <v>0</v>
      </c>
      <c r="BG229" s="4">
        <f>IF(OR(MID(TBBP[[#This Row],[Coluna1]],1,1)="1",MID(TBBP[[#This Row],[Coluna1]],1,1)="2"),TBBP[[#This Row],[Coluna58]],SUM(AU229:BF229))</f>
        <v>-35129.519999999997</v>
      </c>
      <c r="BH229" s="4">
        <v>-17550.46</v>
      </c>
      <c r="BI229" s="4">
        <v>-6067.97</v>
      </c>
      <c r="BJ229" s="4">
        <v>-9309.41</v>
      </c>
      <c r="BK229" s="4">
        <v>-21921.91</v>
      </c>
      <c r="BL229" s="4">
        <v>-8191.26</v>
      </c>
      <c r="BM229" s="4">
        <v>-6278.7</v>
      </c>
      <c r="BN229" s="4">
        <v>-9995.34</v>
      </c>
      <c r="BO229" s="4">
        <v>-13043.32</v>
      </c>
      <c r="BP229" s="4">
        <v>-4128.1499999999996</v>
      </c>
      <c r="BQ229" s="4">
        <v>-21334.27</v>
      </c>
      <c r="BR229" s="4">
        <v>-1636.52</v>
      </c>
      <c r="BS229" s="4">
        <v>-4438.88</v>
      </c>
      <c r="BT229" s="4">
        <f>IF(OR(MID(TBBP[[#This Row],[Coluna1]],1,1)="1",MID(TBBP[[#This Row],[Coluna1]],1,1)="2"),TBBP[[#This Row],[Coluna127]],SUM(BH229:BS229))</f>
        <v>-123896.19</v>
      </c>
      <c r="BU229" s="4">
        <v>-7601.05</v>
      </c>
      <c r="BV229" s="4">
        <v>-9225.34</v>
      </c>
      <c r="BW229" s="4">
        <v>-2844.63</v>
      </c>
      <c r="BX229" s="4">
        <v>-5965.47</v>
      </c>
      <c r="BY229" s="4">
        <v>-4423.17</v>
      </c>
      <c r="BZ229" s="4">
        <v>-7681.12</v>
      </c>
      <c r="CA229" s="4">
        <v>-15289.99</v>
      </c>
      <c r="CB229" s="4">
        <v>-11885.06</v>
      </c>
      <c r="CC229" s="4">
        <v>-7430.63</v>
      </c>
      <c r="CD229" s="4">
        <v>-9575.07</v>
      </c>
      <c r="CE229" s="4">
        <v>-4770.12</v>
      </c>
      <c r="CF229" s="4">
        <v>-8711.75</v>
      </c>
      <c r="CG229" s="4">
        <f>IF(OR(MID(TBBP[[#This Row],[Coluna1]],1,1)="1",MID(TBBP[[#This Row],[Coluna1]],1,1)="2"),CF229,SUM(BU229:CF229))</f>
        <v>-95403.4</v>
      </c>
      <c r="CH229" s="4">
        <v>-16718.900000000001</v>
      </c>
      <c r="CI229" s="4">
        <v>-5904.19</v>
      </c>
      <c r="CJ229" s="4">
        <v>-22555.040000000001</v>
      </c>
      <c r="CK229" s="4">
        <v>-20208.02</v>
      </c>
      <c r="CL229" s="4">
        <v>-21344.2</v>
      </c>
      <c r="CM229" s="4">
        <v>-22324.93</v>
      </c>
      <c r="CN229" s="4">
        <v>-39244.870000000003</v>
      </c>
      <c r="CO229" s="4">
        <v>-18233.669999999998</v>
      </c>
      <c r="CP229" s="4">
        <v>-45542.21</v>
      </c>
      <c r="CQ229" s="4">
        <v>-1219.03</v>
      </c>
      <c r="CR229" s="4">
        <v>-17059.82</v>
      </c>
      <c r="CS229" s="4">
        <v>-1090.06</v>
      </c>
      <c r="CT229" s="4">
        <f>IF(OR(MID(TBBP[[#This Row],[Coluna1]],1,1)="1",MID(TBBP[[#This Row],[Coluna1]],1,1)="2"),CS229,SUM(CH229:CS229))</f>
        <v>-231444.94</v>
      </c>
      <c r="CU229" s="255">
        <v>-2681.29</v>
      </c>
      <c r="CV229" s="255">
        <v>-1339.87</v>
      </c>
      <c r="CW229" s="255">
        <v>0</v>
      </c>
      <c r="CX229" s="255">
        <v>-15673.25</v>
      </c>
      <c r="CY229" s="255">
        <v>-38697.72</v>
      </c>
      <c r="CZ229" s="255">
        <v>-7317.76</v>
      </c>
      <c r="DA229" s="255">
        <v>-15784.31</v>
      </c>
      <c r="DB229" s="255">
        <v>-69998.259999999995</v>
      </c>
      <c r="DC229" s="255">
        <v>-3710.14</v>
      </c>
      <c r="DD229" s="255">
        <v>0</v>
      </c>
      <c r="DE229" s="255">
        <v>-4761.29</v>
      </c>
      <c r="DF229" s="255">
        <v>-16847.150000000001</v>
      </c>
      <c r="DG229" s="255">
        <f>SUM(TBBP[[#This Row],[Coluna287]:[Coluna298]])</f>
        <v>-176811.04</v>
      </c>
      <c r="DH229" s="255">
        <v>-2290.2600000000002</v>
      </c>
      <c r="DI229" s="255">
        <v>-11059.61</v>
      </c>
      <c r="DJ229" s="255">
        <v>-3937.07</v>
      </c>
      <c r="DK229" s="255">
        <v>-9087.83</v>
      </c>
      <c r="DL229" s="255">
        <v>-5104.84</v>
      </c>
      <c r="DM229" s="255">
        <v>-13129.85</v>
      </c>
      <c r="DP229" s="30">
        <f>IF(OR(MID(TBBP[[#This Row],[Coluna1]],1,1)="1",MID(TBBP[[#This Row],[Coluna1]],1,1)="2"),"-",SUMIFS(229:229,listaPeriodos,$DR$1,listaPeriodos,$DR$2))</f>
        <v>-44609.460000000006</v>
      </c>
      <c r="DQ229" s="30"/>
      <c r="DR229" s="30">
        <f t="shared" si="180"/>
        <v>0</v>
      </c>
      <c r="DS229" s="30"/>
      <c r="DT229" s="30"/>
      <c r="DU229"/>
    </row>
    <row r="230" spans="1:125" x14ac:dyDescent="0.3">
      <c r="A230" s="7" t="s">
        <v>415</v>
      </c>
      <c r="B230" t="s">
        <v>516</v>
      </c>
      <c r="C230" s="4">
        <v>0</v>
      </c>
      <c r="D230" s="4">
        <v>0</v>
      </c>
      <c r="E230" s="4">
        <v>0</v>
      </c>
      <c r="F230" s="4">
        <v>0</v>
      </c>
      <c r="G230" s="4">
        <v>-16089.19</v>
      </c>
      <c r="H230" s="4">
        <v>-1327.55</v>
      </c>
      <c r="I230" s="4">
        <v>-2769.9</v>
      </c>
      <c r="J230" s="4">
        <v>0</v>
      </c>
      <c r="K230" s="4">
        <v>-1599.18</v>
      </c>
      <c r="L230" s="4">
        <v>-2927.65</v>
      </c>
      <c r="M230" s="4">
        <v>0</v>
      </c>
      <c r="N230" s="4">
        <v>-1137.83</v>
      </c>
      <c r="O230" s="4">
        <v>-1369.95</v>
      </c>
      <c r="P230" s="4">
        <v>-1982.76</v>
      </c>
      <c r="Q230" s="4">
        <v>-3120.7</v>
      </c>
      <c r="R230" s="4">
        <v>-220</v>
      </c>
      <c r="S230" s="4">
        <v>-1766.67</v>
      </c>
      <c r="T230" s="4">
        <f>IF(OR(MID(TBBP[[#This Row],[Coluna1]],1,1)="1",MID(TBBP[[#This Row],[Coluna1]],1,1)="2"),TBBP[[#This Row],[Coluna19]],SUM(H230:S230))</f>
        <v>-18222.190000000002</v>
      </c>
      <c r="U230" s="4">
        <v>-1227.19</v>
      </c>
      <c r="V230" s="4">
        <v>-1176.6500000000001</v>
      </c>
      <c r="W230" s="4">
        <v>-1159.01</v>
      </c>
      <c r="X230" s="4">
        <v>-1010.19</v>
      </c>
      <c r="Y230" s="4">
        <v>-1387.42</v>
      </c>
      <c r="Z230" s="4">
        <v>-1654.79</v>
      </c>
      <c r="AA230" s="4">
        <v>-964.29</v>
      </c>
      <c r="AB230" s="4">
        <v>-1544.28</v>
      </c>
      <c r="AC230" s="4">
        <v>-1514.19</v>
      </c>
      <c r="AD230" s="4">
        <v>-1403.9</v>
      </c>
      <c r="AE230" s="4">
        <v>-1342.54</v>
      </c>
      <c r="AF230" s="4">
        <v>-1936.59</v>
      </c>
      <c r="AG230" s="4">
        <f>IF(OR(MID(TBBP[[#This Row],[Coluna1]],1,1)="1",MID(TBBP[[#This Row],[Coluna1]],1,1)="2"),TBBP[[#This Row],[Coluna32]],SUM(U230:AF230))</f>
        <v>-16321.04</v>
      </c>
      <c r="AH230" s="4">
        <v>-1062.26</v>
      </c>
      <c r="AI230" s="4">
        <v>-1288.57</v>
      </c>
      <c r="AJ230" s="4">
        <v>-2668.44</v>
      </c>
      <c r="AK230" s="4">
        <v>0</v>
      </c>
      <c r="AL230" s="4">
        <v>-973.68</v>
      </c>
      <c r="AM230" s="4">
        <v>-1380.5</v>
      </c>
      <c r="AN230" s="4">
        <v>-1023.53</v>
      </c>
      <c r="AO230" s="4">
        <v>-1833.1</v>
      </c>
      <c r="AP230" s="4">
        <v>-3469.89</v>
      </c>
      <c r="AQ230" s="4">
        <v>0</v>
      </c>
      <c r="AR230" s="4">
        <v>-1634.92</v>
      </c>
      <c r="AS230" s="4">
        <v>-1597.16</v>
      </c>
      <c r="AT230" s="4">
        <f>IF(OR(MID(TBBP[[#This Row],[Coluna1]],1,1)="1",MID(TBBP[[#This Row],[Coluna1]],1,1)="2"),TBBP[[#This Row],[Coluna45]],SUM(AH230:AS230))</f>
        <v>-16932.050000000003</v>
      </c>
      <c r="AU230" s="4">
        <v>-987.34</v>
      </c>
      <c r="AV230" s="4">
        <v>-1711.48</v>
      </c>
      <c r="AW230" s="4">
        <v>-1399.85</v>
      </c>
      <c r="AX230" s="4">
        <v>-1864.15</v>
      </c>
      <c r="AY230" s="4">
        <v>-1562.97</v>
      </c>
      <c r="AZ230" s="4">
        <v>-1630.54</v>
      </c>
      <c r="BA230" s="4">
        <v>0</v>
      </c>
      <c r="BB230" s="4">
        <v>-3958.15</v>
      </c>
      <c r="BC230" s="4">
        <v>-1827.79</v>
      </c>
      <c r="BD230" s="4">
        <v>0</v>
      </c>
      <c r="BE230" s="4">
        <v>-3899.64</v>
      </c>
      <c r="BF230" s="4">
        <v>0</v>
      </c>
      <c r="BG230" s="4">
        <f>IF(OR(MID(TBBP[[#This Row],[Coluna1]],1,1)="1",MID(TBBP[[#This Row],[Coluna1]],1,1)="2"),TBBP[[#This Row],[Coluna58]],SUM(AU230:BF230))</f>
        <v>-18841.91</v>
      </c>
      <c r="BH230" s="4">
        <v>-1190.94</v>
      </c>
      <c r="BI230" s="4">
        <v>-820.2</v>
      </c>
      <c r="BJ230" s="4">
        <v>-1952.41</v>
      </c>
      <c r="BK230" s="4">
        <v>-4147.7</v>
      </c>
      <c r="BL230" s="4">
        <v>-2545.7600000000002</v>
      </c>
      <c r="BM230" s="4">
        <v>-2158.61</v>
      </c>
      <c r="BN230" s="4">
        <v>-2554.9899999999998</v>
      </c>
      <c r="BO230" s="4">
        <v>-2387.5700000000002</v>
      </c>
      <c r="BP230" s="4">
        <v>-1730.71</v>
      </c>
      <c r="BQ230" s="4">
        <v>0</v>
      </c>
      <c r="BR230" s="4">
        <v>-2654.15</v>
      </c>
      <c r="BS230" s="4">
        <v>-1788.08</v>
      </c>
      <c r="BT230" s="4">
        <f>IF(OR(MID(TBBP[[#This Row],[Coluna1]],1,1)="1",MID(TBBP[[#This Row],[Coluna1]],1,1)="2"),TBBP[[#This Row],[Coluna127]],SUM(BH230:BS230))</f>
        <v>-23931.120000000003</v>
      </c>
      <c r="BU230" s="4">
        <v>-2634.75</v>
      </c>
      <c r="BV230" s="4">
        <v>-2435.21</v>
      </c>
      <c r="BW230" s="4">
        <v>0</v>
      </c>
      <c r="BX230" s="4">
        <v>-3044.18</v>
      </c>
      <c r="BY230" s="4">
        <v>-4474.2299999999996</v>
      </c>
      <c r="BZ230" s="4">
        <v>0</v>
      </c>
      <c r="CA230" s="4">
        <v>-1887.23</v>
      </c>
      <c r="CB230" s="4">
        <v>-2324.66</v>
      </c>
      <c r="CC230" s="4">
        <v>-2170.46</v>
      </c>
      <c r="CD230" s="4">
        <v>-1017.65</v>
      </c>
      <c r="CE230" s="4">
        <v>-1955.12</v>
      </c>
      <c r="CF230" s="4">
        <v>-2162.48</v>
      </c>
      <c r="CG230" s="4">
        <f>IF(OR(MID(TBBP[[#This Row],[Coluna1]],1,1)="1",MID(TBBP[[#This Row],[Coluna1]],1,1)="2"),CF230,SUM(BU230:CF230))</f>
        <v>-24105.969999999998</v>
      </c>
      <c r="CH230" s="4">
        <v>-1991.55</v>
      </c>
      <c r="CI230" s="4">
        <v>-1161.54</v>
      </c>
      <c r="CJ230" s="4">
        <v>-1953.61</v>
      </c>
      <c r="CK230" s="4">
        <v>-2074.7399999999998</v>
      </c>
      <c r="CL230" s="4">
        <v>-1795.78</v>
      </c>
      <c r="CM230" s="4">
        <v>-3272.7</v>
      </c>
      <c r="CN230" s="4">
        <v>-2937.23</v>
      </c>
      <c r="CO230" s="4">
        <v>-3110.03</v>
      </c>
      <c r="CP230" s="4">
        <v>-3264.95</v>
      </c>
      <c r="CQ230" s="4">
        <v>-4403.05</v>
      </c>
      <c r="CR230" s="4">
        <v>0</v>
      </c>
      <c r="CS230" s="4">
        <v>-1789.1</v>
      </c>
      <c r="CT230" s="4">
        <f>IF(OR(MID(TBBP[[#This Row],[Coluna1]],1,1)="1",MID(TBBP[[#This Row],[Coluna1]],1,1)="2"),CS230,SUM(CH230:CS230))</f>
        <v>-27754.279999999995</v>
      </c>
      <c r="CU230" s="255">
        <v>-1898.35</v>
      </c>
      <c r="CV230" s="255">
        <v>-2081.54</v>
      </c>
      <c r="CW230" s="255">
        <v>-2592.81</v>
      </c>
      <c r="CX230" s="255">
        <v>-2785.81</v>
      </c>
      <c r="CY230" s="255">
        <v>-2507.96</v>
      </c>
      <c r="CZ230" s="255">
        <v>-3219.09</v>
      </c>
      <c r="DA230" s="255">
        <v>-3256.68</v>
      </c>
      <c r="DB230" s="255">
        <v>-3532.06</v>
      </c>
      <c r="DC230" s="255">
        <v>-5429.22</v>
      </c>
      <c r="DD230" s="255">
        <v>-4912.45</v>
      </c>
      <c r="DE230" s="255">
        <v>-4640.76</v>
      </c>
      <c r="DF230" s="255">
        <v>-3437.68</v>
      </c>
      <c r="DG230" s="255">
        <f>SUM(TBBP[[#This Row],[Coluna287]:[Coluna298]])</f>
        <v>-40294.410000000003</v>
      </c>
      <c r="DH230" s="255">
        <v>0</v>
      </c>
      <c r="DI230" s="255">
        <v>-5892.42</v>
      </c>
      <c r="DJ230" s="255">
        <v>-3975.82</v>
      </c>
      <c r="DK230" s="255">
        <v>-4360.45</v>
      </c>
      <c r="DL230" s="255">
        <v>-4623.87</v>
      </c>
      <c r="DM230" s="255">
        <v>-3354.42</v>
      </c>
      <c r="DP230" s="30">
        <f>IF(OR(MID(TBBP[[#This Row],[Coluna1]],1,1)="1",MID(TBBP[[#This Row],[Coluna1]],1,1)="2"),"-",SUMIFS(230:230,listaPeriodos,$DR$1,listaPeriodos,$DR$2))</f>
        <v>-22206.979999999996</v>
      </c>
      <c r="DQ230" s="30"/>
      <c r="DR230" s="30">
        <f t="shared" si="180"/>
        <v>0</v>
      </c>
      <c r="DS230" s="30"/>
      <c r="DT230" s="30"/>
      <c r="DU230"/>
    </row>
    <row r="231" spans="1:125" x14ac:dyDescent="0.3">
      <c r="A231" s="7" t="s">
        <v>416</v>
      </c>
      <c r="B231" t="s">
        <v>517</v>
      </c>
      <c r="C231" s="4">
        <v>0</v>
      </c>
      <c r="D231" s="4">
        <v>0</v>
      </c>
      <c r="E231" s="4">
        <v>0</v>
      </c>
      <c r="F231" s="4">
        <v>0</v>
      </c>
      <c r="G231" s="4">
        <v>-53363.62</v>
      </c>
      <c r="H231" s="4">
        <v>-3158.7</v>
      </c>
      <c r="I231" s="4">
        <v>-4607.59</v>
      </c>
      <c r="J231" s="4">
        <v>-16541.439999999999</v>
      </c>
      <c r="K231" s="4">
        <v>-2013.73</v>
      </c>
      <c r="L231" s="4">
        <v>-3307.88</v>
      </c>
      <c r="M231" s="4">
        <v>-11008.24</v>
      </c>
      <c r="N231" s="4">
        <v>-2685.42</v>
      </c>
      <c r="O231" s="4">
        <v>-11308.27</v>
      </c>
      <c r="P231" s="4">
        <v>-4157.57</v>
      </c>
      <c r="Q231" s="4">
        <v>-4264.8900000000003</v>
      </c>
      <c r="R231" s="4">
        <v>-3203.2</v>
      </c>
      <c r="S231" s="4">
        <v>-4400.8999999999996</v>
      </c>
      <c r="T231" s="4">
        <f>IF(OR(MID(TBBP[[#This Row],[Coluna1]],1,1)="1",MID(TBBP[[#This Row],[Coluna1]],1,1)="2"),TBBP[[#This Row],[Coluna19]],SUM(H231:S231))</f>
        <v>-70657.83</v>
      </c>
      <c r="U231" s="4">
        <v>-2055.5700000000002</v>
      </c>
      <c r="V231" s="4">
        <v>-5828.7</v>
      </c>
      <c r="W231" s="4">
        <v>-9675.67</v>
      </c>
      <c r="X231" s="4">
        <v>-7956.7</v>
      </c>
      <c r="Y231" s="4">
        <v>-4063.98</v>
      </c>
      <c r="Z231" s="4">
        <v>-4863</v>
      </c>
      <c r="AA231" s="4">
        <v>-8704.6200000000008</v>
      </c>
      <c r="AB231" s="4">
        <v>-3100.26</v>
      </c>
      <c r="AC231" s="4">
        <v>-5942.07</v>
      </c>
      <c r="AD231" s="4">
        <v>-5068.1000000000004</v>
      </c>
      <c r="AE231" s="4">
        <v>-4485.16</v>
      </c>
      <c r="AF231" s="4">
        <v>-2904.72</v>
      </c>
      <c r="AG231" s="4">
        <f>IF(OR(MID(TBBP[[#This Row],[Coluna1]],1,1)="1",MID(TBBP[[#This Row],[Coluna1]],1,1)="2"),TBBP[[#This Row],[Coluna32]],SUM(U231:AF231))</f>
        <v>-64648.55</v>
      </c>
      <c r="AH231" s="4">
        <v>-9250.4699999999993</v>
      </c>
      <c r="AI231" s="4">
        <v>-3901</v>
      </c>
      <c r="AJ231" s="4">
        <v>-8183.95</v>
      </c>
      <c r="AK231" s="4">
        <v>-2258.31</v>
      </c>
      <c r="AL231" s="4">
        <v>-4173.22</v>
      </c>
      <c r="AM231" s="4">
        <v>-3074.0600000000004</v>
      </c>
      <c r="AN231" s="4">
        <v>-4814.67</v>
      </c>
      <c r="AO231" s="4">
        <v>-7705.8</v>
      </c>
      <c r="AP231" s="4">
        <v>-4087.6800000000003</v>
      </c>
      <c r="AQ231" s="4">
        <v>-10091.77</v>
      </c>
      <c r="AR231" s="4">
        <v>-1678.3</v>
      </c>
      <c r="AS231" s="4">
        <v>-1765.92</v>
      </c>
      <c r="AT231" s="4">
        <f>IF(OR(MID(TBBP[[#This Row],[Coluna1]],1,1)="1",MID(TBBP[[#This Row],[Coluna1]],1,1)="2"),TBBP[[#This Row],[Coluna45]],SUM(AH231:AS231))</f>
        <v>-60985.150000000009</v>
      </c>
      <c r="AU231" s="4">
        <v>-2064.61</v>
      </c>
      <c r="AV231" s="4">
        <v>-3214.26</v>
      </c>
      <c r="AW231" s="4">
        <v>-1089.98</v>
      </c>
      <c r="AX231" s="4">
        <v>-1621.74</v>
      </c>
      <c r="AY231" s="4">
        <v>-1208</v>
      </c>
      <c r="AZ231" s="4">
        <v>-5088.46</v>
      </c>
      <c r="BA231" s="4">
        <v>-2808.18</v>
      </c>
      <c r="BB231" s="4">
        <v>-1679.57</v>
      </c>
      <c r="BC231" s="4">
        <v>-9154.2699999999986</v>
      </c>
      <c r="BD231" s="4">
        <v>-4308.7299999999996</v>
      </c>
      <c r="BE231" s="4">
        <v>-2308.63</v>
      </c>
      <c r="BF231" s="4">
        <v>-802.74</v>
      </c>
      <c r="BG231" s="4">
        <f>IF(OR(MID(TBBP[[#This Row],[Coluna1]],1,1)="1",MID(TBBP[[#This Row],[Coluna1]],1,1)="2"),TBBP[[#This Row],[Coluna58]],SUM(AU231:BF231))</f>
        <v>-35349.17</v>
      </c>
      <c r="BH231" s="4">
        <v>-2413.27</v>
      </c>
      <c r="BI231" s="4">
        <v>-1854.04</v>
      </c>
      <c r="BJ231" s="4">
        <v>-1855.76</v>
      </c>
      <c r="BK231" s="4">
        <v>-1233.02</v>
      </c>
      <c r="BL231" s="4">
        <v>-4746.8</v>
      </c>
      <c r="BM231" s="4">
        <v>-3833.03</v>
      </c>
      <c r="BN231" s="4">
        <v>-3056.94</v>
      </c>
      <c r="BO231" s="4">
        <v>-4176.45</v>
      </c>
      <c r="BP231" s="4">
        <v>-3442.43</v>
      </c>
      <c r="BQ231" s="4">
        <v>-3340.82</v>
      </c>
      <c r="BR231" s="4">
        <v>-3305.76</v>
      </c>
      <c r="BS231" s="4">
        <v>-4606.03</v>
      </c>
      <c r="BT231" s="4">
        <f>IF(OR(MID(TBBP[[#This Row],[Coluna1]],1,1)="1",MID(TBBP[[#This Row],[Coluna1]],1,1)="2"),TBBP[[#This Row],[Coluna127]],SUM(BH231:BS231))</f>
        <v>-37864.35</v>
      </c>
      <c r="BU231" s="4">
        <v>-5479.21</v>
      </c>
      <c r="BV231" s="4">
        <v>-3154.54</v>
      </c>
      <c r="BW231" s="4">
        <v>-6542.33</v>
      </c>
      <c r="BX231" s="4">
        <v>-3070.81</v>
      </c>
      <c r="BY231" s="4">
        <v>-2313.04</v>
      </c>
      <c r="BZ231" s="4">
        <v>-5233.62</v>
      </c>
      <c r="CA231" s="4">
        <v>-8394.64</v>
      </c>
      <c r="CB231" s="4">
        <v>-1155.53</v>
      </c>
      <c r="CC231" s="4">
        <v>573.6099999999999</v>
      </c>
      <c r="CD231" s="4">
        <v>-1622.3200000000002</v>
      </c>
      <c r="CE231" s="4">
        <v>-1961</v>
      </c>
      <c r="CF231" s="4">
        <v>-2050.14</v>
      </c>
      <c r="CG231" s="4">
        <f>IF(OR(MID(TBBP[[#This Row],[Coluna1]],1,1)="1",MID(TBBP[[#This Row],[Coluna1]],1,1)="2"),CF231,SUM(BU231:CF231))</f>
        <v>-40403.57</v>
      </c>
      <c r="CH231" s="4">
        <v>-3574.87</v>
      </c>
      <c r="CI231" s="4">
        <v>-4431.1299999999992</v>
      </c>
      <c r="CJ231" s="4">
        <v>-4656.67</v>
      </c>
      <c r="CK231" s="4">
        <v>-4097.0300000000007</v>
      </c>
      <c r="CL231" s="4">
        <v>-11339.05</v>
      </c>
      <c r="CM231" s="4">
        <v>-50537.920000000006</v>
      </c>
      <c r="CN231" s="4">
        <v>-45818.47</v>
      </c>
      <c r="CO231" s="4">
        <v>-59726.85</v>
      </c>
      <c r="CP231" s="4">
        <v>-9402.2000000000007</v>
      </c>
      <c r="CQ231" s="4">
        <v>-12028.02</v>
      </c>
      <c r="CR231" s="4">
        <v>-8755.31</v>
      </c>
      <c r="CS231" s="4">
        <v>-7056.47</v>
      </c>
      <c r="CT231" s="4">
        <f>IF(OR(MID(TBBP[[#This Row],[Coluna1]],1,1)="1",MID(TBBP[[#This Row],[Coluna1]],1,1)="2"),CS231,SUM(CH231:CS231))</f>
        <v>-221423.99</v>
      </c>
      <c r="CU231" s="255">
        <v>-7736.78</v>
      </c>
      <c r="CV231" s="255">
        <v>-134153.44</v>
      </c>
      <c r="CW231" s="255">
        <v>-23774.36</v>
      </c>
      <c r="CX231" s="255">
        <v>-8207.1299999999992</v>
      </c>
      <c r="CY231" s="255">
        <v>-3618.71</v>
      </c>
      <c r="CZ231" s="255">
        <v>-32971.42</v>
      </c>
      <c r="DA231" s="255">
        <v>-11667.06</v>
      </c>
      <c r="DB231" s="255">
        <v>-13649.77</v>
      </c>
      <c r="DC231" s="255">
        <v>-42212.01</v>
      </c>
      <c r="DD231" s="255">
        <v>-24778.39</v>
      </c>
      <c r="DE231" s="255">
        <v>-18017.22</v>
      </c>
      <c r="DF231" s="255">
        <v>-24731.34</v>
      </c>
      <c r="DG231" s="255">
        <f>SUM(TBBP[[#This Row],[Coluna287]:[Coluna298]])</f>
        <v>-345517.63000000006</v>
      </c>
      <c r="DH231" s="255">
        <v>-16158.77</v>
      </c>
      <c r="DI231" s="255">
        <v>-33932.22</v>
      </c>
      <c r="DJ231" s="255">
        <v>-12742.31</v>
      </c>
      <c r="DK231" s="255">
        <v>-8563.44</v>
      </c>
      <c r="DL231" s="255">
        <v>-26398.52</v>
      </c>
      <c r="DM231" s="255">
        <v>-10212.51</v>
      </c>
      <c r="DO231" t="s">
        <v>416</v>
      </c>
      <c r="DP231" s="30">
        <f>IF(OR(MID(TBBP[[#This Row],[Coluna1]],1,1)="1",MID(TBBP[[#This Row],[Coluna1]],1,1)="2"),"-",SUMIFS(231:231,listaPeriodos,$DR$1,listaPeriodos,$DR$2))</f>
        <v>-108007.77</v>
      </c>
      <c r="DQ231" s="30">
        <v>-4872.79</v>
      </c>
      <c r="DR231" s="30">
        <f t="shared" si="180"/>
        <v>-29236.739999999998</v>
      </c>
      <c r="DS231" s="30"/>
      <c r="DT231" s="30"/>
      <c r="DU231"/>
    </row>
    <row r="232" spans="1:125" x14ac:dyDescent="0.3">
      <c r="A232" s="7" t="s">
        <v>417</v>
      </c>
      <c r="B232" t="s">
        <v>518</v>
      </c>
      <c r="C232" s="4">
        <v>0</v>
      </c>
      <c r="D232" s="4">
        <v>0</v>
      </c>
      <c r="E232" s="4">
        <v>0</v>
      </c>
      <c r="F232" s="4">
        <v>0</v>
      </c>
      <c r="G232" s="4">
        <v>-15050.2</v>
      </c>
      <c r="H232" s="4">
        <v>-750</v>
      </c>
      <c r="I232" s="4">
        <v>-1590</v>
      </c>
      <c r="J232" s="4">
        <v>-710</v>
      </c>
      <c r="K232" s="4">
        <v>-50</v>
      </c>
      <c r="L232" s="4">
        <v>-667</v>
      </c>
      <c r="M232" s="4">
        <v>-290</v>
      </c>
      <c r="N232" s="4">
        <v>-230</v>
      </c>
      <c r="O232" s="4">
        <v>-424</v>
      </c>
      <c r="P232" s="4">
        <v>-190</v>
      </c>
      <c r="Q232" s="4">
        <v>-1325</v>
      </c>
      <c r="R232" s="4">
        <v>-1830</v>
      </c>
      <c r="S232" s="4">
        <v>-1430</v>
      </c>
      <c r="T232" s="4">
        <f>IF(OR(MID(TBBP[[#This Row],[Coluna1]],1,1)="1",MID(TBBP[[#This Row],[Coluna1]],1,1)="2"),TBBP[[#This Row],[Coluna19]],SUM(H232:S232))</f>
        <v>-9486</v>
      </c>
      <c r="U232" s="4">
        <v>-355</v>
      </c>
      <c r="V232" s="4">
        <v>-1146.58</v>
      </c>
      <c r="W232" s="4">
        <v>-670.34</v>
      </c>
      <c r="X232" s="4">
        <v>-1292</v>
      </c>
      <c r="Y232" s="4">
        <v>2235.0500000000002</v>
      </c>
      <c r="Z232" s="4">
        <v>-1533.8</v>
      </c>
      <c r="AA232" s="4">
        <v>-2327.13</v>
      </c>
      <c r="AB232" s="4">
        <v>-367.99</v>
      </c>
      <c r="AC232" s="4">
        <v>-971.07</v>
      </c>
      <c r="AD232" s="4">
        <v>-1004</v>
      </c>
      <c r="AE232" s="4">
        <v>-206.06</v>
      </c>
      <c r="AF232" s="4">
        <v>-578.02</v>
      </c>
      <c r="AG232" s="4">
        <f>IF(OR(MID(TBBP[[#This Row],[Coluna1]],1,1)="1",MID(TBBP[[#This Row],[Coluna1]],1,1)="2"),TBBP[[#This Row],[Coluna32]],SUM(U232:AF232))</f>
        <v>-8216.94</v>
      </c>
      <c r="AH232" s="4">
        <v>-1081</v>
      </c>
      <c r="AI232" s="4">
        <v>-866.88</v>
      </c>
      <c r="AJ232" s="4">
        <v>-538</v>
      </c>
      <c r="AK232" s="4">
        <v>-758.01</v>
      </c>
      <c r="AL232" s="4">
        <v>-2175.9</v>
      </c>
      <c r="AM232" s="4">
        <v>-85</v>
      </c>
      <c r="AN232" s="4">
        <v>-613.65</v>
      </c>
      <c r="AO232" s="4">
        <v>-1923.13</v>
      </c>
      <c r="AP232" s="4">
        <v>-2215.35</v>
      </c>
      <c r="AQ232" s="4">
        <v>-5923</v>
      </c>
      <c r="AR232" s="4">
        <v>-480</v>
      </c>
      <c r="AS232" s="4">
        <v>-435</v>
      </c>
      <c r="AT232" s="4">
        <f>IF(OR(MID(TBBP[[#This Row],[Coluna1]],1,1)="1",MID(TBBP[[#This Row],[Coluna1]],1,1)="2"),TBBP[[#This Row],[Coluna45]],SUM(AH232:AS232))</f>
        <v>-17094.919999999998</v>
      </c>
      <c r="AU232" s="4">
        <v>-1220</v>
      </c>
      <c r="AV232" s="4">
        <v>-1258.29</v>
      </c>
      <c r="AW232" s="4">
        <v>0</v>
      </c>
      <c r="AX232" s="4">
        <v>-680</v>
      </c>
      <c r="AY232" s="4">
        <v>0</v>
      </c>
      <c r="AZ232" s="4">
        <v>-2678.24</v>
      </c>
      <c r="BA232" s="4">
        <v>-130</v>
      </c>
      <c r="BB232" s="4">
        <v>-652.70000000000005</v>
      </c>
      <c r="BC232" s="4">
        <v>-7410</v>
      </c>
      <c r="BD232" s="4">
        <v>-730.41</v>
      </c>
      <c r="BE232" s="4">
        <v>-1610.02</v>
      </c>
      <c r="BF232" s="4">
        <v>0</v>
      </c>
      <c r="BG232" s="4">
        <f>IF(OR(MID(TBBP[[#This Row],[Coluna1]],1,1)="1",MID(TBBP[[#This Row],[Coluna1]],1,1)="2"),TBBP[[#This Row],[Coluna58]],SUM(AU232:BF232))</f>
        <v>-16369.66</v>
      </c>
      <c r="BH232" s="4">
        <v>-1375.2</v>
      </c>
      <c r="BI232" s="4">
        <v>-220</v>
      </c>
      <c r="BJ232" s="4">
        <v>-490</v>
      </c>
      <c r="BK232" s="4">
        <v>0</v>
      </c>
      <c r="BL232" s="4">
        <v>-219</v>
      </c>
      <c r="BM232" s="4">
        <v>-60</v>
      </c>
      <c r="BN232" s="4">
        <v>-645.28</v>
      </c>
      <c r="BO232" s="4">
        <v>-815.45</v>
      </c>
      <c r="BP232" s="4">
        <v>-1033.04</v>
      </c>
      <c r="BQ232" s="4">
        <v>-1069</v>
      </c>
      <c r="BR232" s="4">
        <v>0</v>
      </c>
      <c r="BS232" s="4">
        <v>-3547.5</v>
      </c>
      <c r="BT232" s="4">
        <f>IF(OR(MID(TBBP[[#This Row],[Coluna1]],1,1)="1",MID(TBBP[[#This Row],[Coluna1]],1,1)="2"),TBBP[[#This Row],[Coluna127]],SUM(BH232:BS232))</f>
        <v>-9474.4699999999993</v>
      </c>
      <c r="BU232" s="4">
        <v>-2498.62</v>
      </c>
      <c r="BV232" s="4">
        <v>-703.68</v>
      </c>
      <c r="BW232" s="4">
        <v>-3797.53</v>
      </c>
      <c r="BX232" s="4">
        <v>-2587.67</v>
      </c>
      <c r="BY232" s="4">
        <v>-1829.9</v>
      </c>
      <c r="BZ232" s="4">
        <v>-4750.4799999999996</v>
      </c>
      <c r="CA232" s="4">
        <v>-6529.37</v>
      </c>
      <c r="CB232" s="4">
        <v>-360</v>
      </c>
      <c r="CC232" s="4">
        <v>1865</v>
      </c>
      <c r="CD232" s="4">
        <v>605.43000000000006</v>
      </c>
      <c r="CE232" s="4">
        <v>-603.41999999999996</v>
      </c>
      <c r="CF232" s="4">
        <v>-754</v>
      </c>
      <c r="CG232" s="4">
        <f>IF(OR(MID(TBBP[[#This Row],[Coluna1]],1,1)="1",MID(TBBP[[#This Row],[Coluna1]],1,1)="2"),CF232,SUM(BU232:CF232))</f>
        <v>-21944.239999999998</v>
      </c>
      <c r="CH232" s="4">
        <v>-663.61</v>
      </c>
      <c r="CI232" s="4">
        <v>-506.68</v>
      </c>
      <c r="CJ232" s="4">
        <v>-435</v>
      </c>
      <c r="CK232" s="4">
        <v>-1277.5</v>
      </c>
      <c r="CL232" s="4">
        <v>-420</v>
      </c>
      <c r="CM232" s="4">
        <v>-41644.26</v>
      </c>
      <c r="CN232" s="4">
        <v>-31683.96</v>
      </c>
      <c r="CO232" s="4">
        <v>-13824.47</v>
      </c>
      <c r="CP232" s="4">
        <v>-950</v>
      </c>
      <c r="CQ232" s="4">
        <v>-6340</v>
      </c>
      <c r="CR232" s="4">
        <v>-4755.93</v>
      </c>
      <c r="CS232" s="4">
        <v>-1785.9</v>
      </c>
      <c r="CT232" s="4">
        <f>IF(OR(MID(TBBP[[#This Row],[Coluna1]],1,1)="1",MID(TBBP[[#This Row],[Coluna1]],1,1)="2"),CS232,SUM(CH232:CS232))</f>
        <v>-104287.31</v>
      </c>
      <c r="CU232" s="255">
        <v>-1177</v>
      </c>
      <c r="CV232" s="255">
        <v>-66519.199999999997</v>
      </c>
      <c r="CW232" s="255">
        <v>-16518.080000000002</v>
      </c>
      <c r="CX232" s="255">
        <v>-2373.96</v>
      </c>
      <c r="CY232" s="255">
        <v>-1471.6</v>
      </c>
      <c r="CZ232" s="255">
        <v>-14372.94</v>
      </c>
      <c r="DA232" s="255">
        <v>-6727.79</v>
      </c>
      <c r="DB232" s="255">
        <v>-5994.72</v>
      </c>
      <c r="DC232" s="255">
        <v>-18739.95</v>
      </c>
      <c r="DD232" s="255">
        <v>-6722.58</v>
      </c>
      <c r="DE232" s="255">
        <v>-8497.1299999999992</v>
      </c>
      <c r="DF232" s="255">
        <v>-10779</v>
      </c>
      <c r="DG232" s="255">
        <f>SUM(TBBP[[#This Row],[Coluna287]:[Coluna298]])</f>
        <v>-159893.95000000001</v>
      </c>
      <c r="DH232" s="255">
        <v>-2410.81</v>
      </c>
      <c r="DI232" s="255">
        <v>-3860.58</v>
      </c>
      <c r="DJ232" s="255">
        <v>-2873.98</v>
      </c>
      <c r="DK232" s="255">
        <v>-3253.34</v>
      </c>
      <c r="DL232" s="255">
        <v>-9118</v>
      </c>
      <c r="DM232" s="255">
        <v>-5431.22</v>
      </c>
      <c r="DP232" s="30">
        <f>IF(OR(MID(TBBP[[#This Row],[Coluna1]],1,1)="1",MID(TBBP[[#This Row],[Coluna1]],1,1)="2"),"-",SUMIFS(232:232,listaPeriodos,$DR$1,listaPeriodos,$DR$2))</f>
        <v>-26947.93</v>
      </c>
      <c r="DQ232" s="30"/>
      <c r="DR232" s="30">
        <f t="shared" si="180"/>
        <v>0</v>
      </c>
      <c r="DS232" s="30"/>
      <c r="DT232" s="30"/>
      <c r="DU232"/>
    </row>
    <row r="233" spans="1:125" x14ac:dyDescent="0.3">
      <c r="A233" s="7" t="s">
        <v>418</v>
      </c>
      <c r="B233" t="s">
        <v>519</v>
      </c>
      <c r="C233" s="4">
        <v>0</v>
      </c>
      <c r="D233" s="4">
        <v>0</v>
      </c>
      <c r="E233" s="4">
        <v>0</v>
      </c>
      <c r="F233" s="4">
        <v>0</v>
      </c>
      <c r="G233" s="4">
        <v>-16029.92</v>
      </c>
      <c r="H233" s="4">
        <v>-1537.15</v>
      </c>
      <c r="I233" s="4">
        <v>-2068.17</v>
      </c>
      <c r="J233" s="4">
        <v>-13453.97</v>
      </c>
      <c r="K233" s="4">
        <v>-736</v>
      </c>
      <c r="L233" s="4">
        <v>-743.18</v>
      </c>
      <c r="M233" s="4">
        <v>-1167.93</v>
      </c>
      <c r="N233" s="4">
        <v>-1688</v>
      </c>
      <c r="O233" s="4">
        <v>-9069.77</v>
      </c>
      <c r="P233" s="4">
        <v>-428.5</v>
      </c>
      <c r="Q233" s="4">
        <v>-1819.1</v>
      </c>
      <c r="R233" s="4">
        <v>-918.16</v>
      </c>
      <c r="S233" s="4">
        <v>-2307.6</v>
      </c>
      <c r="T233" s="4">
        <f>IF(OR(MID(TBBP[[#This Row],[Coluna1]],1,1)="1",MID(TBBP[[#This Row],[Coluna1]],1,1)="2"),TBBP[[#This Row],[Coluna19]],SUM(H233:S233))</f>
        <v>-35937.53</v>
      </c>
      <c r="U233" s="4">
        <v>-319.8</v>
      </c>
      <c r="V233" s="4">
        <v>-2848.35</v>
      </c>
      <c r="W233" s="4">
        <v>-3290.85</v>
      </c>
      <c r="X233" s="4">
        <v>-3715.71</v>
      </c>
      <c r="Y233" s="4">
        <v>-61</v>
      </c>
      <c r="Z233" s="4">
        <v>-2138.9</v>
      </c>
      <c r="AA233" s="4">
        <v>-3092.35</v>
      </c>
      <c r="AB233" s="4">
        <v>-1221.31</v>
      </c>
      <c r="AC233" s="4">
        <v>-1733.78</v>
      </c>
      <c r="AD233" s="4">
        <v>-1531.5</v>
      </c>
      <c r="AE233" s="4">
        <v>-1717.5</v>
      </c>
      <c r="AF233" s="4">
        <v>-1544.65</v>
      </c>
      <c r="AG233" s="4">
        <f>IF(OR(MID(TBBP[[#This Row],[Coluna1]],1,1)="1",MID(TBBP[[#This Row],[Coluna1]],1,1)="2"),TBBP[[#This Row],[Coluna32]],SUM(U233:AF233))</f>
        <v>-23215.7</v>
      </c>
      <c r="AH233" s="4">
        <v>-1612.65</v>
      </c>
      <c r="AI233" s="4">
        <v>-1445.05</v>
      </c>
      <c r="AJ233" s="4">
        <v>-2480.8000000000002</v>
      </c>
      <c r="AK233" s="4">
        <v>-360</v>
      </c>
      <c r="AL233" s="4">
        <v>-50</v>
      </c>
      <c r="AM233" s="4">
        <v>-1320.11</v>
      </c>
      <c r="AN233" s="4">
        <v>-812.36</v>
      </c>
      <c r="AO233" s="4">
        <v>-2811.6099999999997</v>
      </c>
      <c r="AP233" s="4">
        <v>-1163.8699999999999</v>
      </c>
      <c r="AQ233" s="4">
        <v>-2999</v>
      </c>
      <c r="AR233" s="4">
        <v>-620</v>
      </c>
      <c r="AS233" s="4">
        <v>155</v>
      </c>
      <c r="AT233" s="4">
        <f>IF(OR(MID(TBBP[[#This Row],[Coluna1]],1,1)="1",MID(TBBP[[#This Row],[Coluna1]],1,1)="2"),TBBP[[#This Row],[Coluna45]],SUM(AH233:AS233))</f>
        <v>-15520.449999999997</v>
      </c>
      <c r="AU233" s="4">
        <v>-396</v>
      </c>
      <c r="AV233" s="4">
        <v>-1195</v>
      </c>
      <c r="AW233" s="4">
        <v>0</v>
      </c>
      <c r="AX233" s="4">
        <v>-389</v>
      </c>
      <c r="AY233" s="4">
        <v>0</v>
      </c>
      <c r="AZ233" s="4">
        <v>-424.7</v>
      </c>
      <c r="BA233" s="4">
        <v>-1511</v>
      </c>
      <c r="BB233" s="4">
        <v>-328.26</v>
      </c>
      <c r="BC233" s="4">
        <v>-276</v>
      </c>
      <c r="BD233" s="4">
        <v>-222</v>
      </c>
      <c r="BE233" s="4">
        <v>0</v>
      </c>
      <c r="BF233" s="4">
        <v>0</v>
      </c>
      <c r="BG233" s="4">
        <f>IF(OR(MID(TBBP[[#This Row],[Coluna1]],1,1)="1",MID(TBBP[[#This Row],[Coluna1]],1,1)="2"),TBBP[[#This Row],[Coluna58]],SUM(AU233:BF233))</f>
        <v>-4741.96</v>
      </c>
      <c r="BH233" s="4">
        <v>0</v>
      </c>
      <c r="BI233" s="4">
        <v>0</v>
      </c>
      <c r="BJ233" s="4">
        <v>0</v>
      </c>
      <c r="BK233" s="4">
        <v>0</v>
      </c>
      <c r="BL233" s="4">
        <v>-580</v>
      </c>
      <c r="BM233" s="4">
        <v>-630.09</v>
      </c>
      <c r="BN233" s="4">
        <v>-110.89</v>
      </c>
      <c r="BO233" s="4">
        <v>-1800</v>
      </c>
      <c r="BP233" s="4">
        <v>0</v>
      </c>
      <c r="BQ233" s="4">
        <v>0</v>
      </c>
      <c r="BR233" s="4">
        <v>0</v>
      </c>
      <c r="BS233" s="4">
        <v>0</v>
      </c>
      <c r="BT233" s="4">
        <f>IF(OR(MID(TBBP[[#This Row],[Coluna1]],1,1)="1",MID(TBBP[[#This Row],[Coluna1]],1,1)="2"),TBBP[[#This Row],[Coluna127]],SUM(BH233:BS233))</f>
        <v>-3120.9800000000005</v>
      </c>
      <c r="BU233" s="4">
        <v>-480</v>
      </c>
      <c r="BV233" s="4">
        <v>0</v>
      </c>
      <c r="BW233" s="4">
        <v>-970.4</v>
      </c>
      <c r="BX233" s="4">
        <v>0</v>
      </c>
      <c r="BY233" s="4">
        <v>0</v>
      </c>
      <c r="BZ233" s="4">
        <v>0</v>
      </c>
      <c r="CA233" s="4">
        <v>0</v>
      </c>
      <c r="CB233" s="4">
        <v>0</v>
      </c>
      <c r="CC233" s="4">
        <v>-600</v>
      </c>
      <c r="CD233" s="4">
        <v>-328.5</v>
      </c>
      <c r="CE233" s="4">
        <v>-759.9</v>
      </c>
      <c r="CF233" s="4">
        <v>-365.26</v>
      </c>
      <c r="CG233" s="4">
        <f>IF(OR(MID(TBBP[[#This Row],[Coluna1]],1,1)="1",MID(TBBP[[#This Row],[Coluna1]],1,1)="2"),CF233,SUM(BU233:CF233))</f>
        <v>-3504.0600000000004</v>
      </c>
      <c r="CH233" s="4">
        <v>0</v>
      </c>
      <c r="CI233" s="4">
        <v>-1620.34</v>
      </c>
      <c r="CJ233" s="4">
        <v>-1631.22</v>
      </c>
      <c r="CK233" s="4">
        <v>0</v>
      </c>
      <c r="CL233" s="4">
        <v>-7572.64</v>
      </c>
      <c r="CM233" s="4">
        <v>-5615.97</v>
      </c>
      <c r="CN233" s="4">
        <v>-8993.6299999999992</v>
      </c>
      <c r="CO233" s="4">
        <v>-42494.52</v>
      </c>
      <c r="CP233" s="4">
        <v>0</v>
      </c>
      <c r="CQ233" s="4">
        <v>-2944.02</v>
      </c>
      <c r="CR233" s="4">
        <v>-2310.44</v>
      </c>
      <c r="CS233" s="4">
        <v>-2200</v>
      </c>
      <c r="CT233" s="4">
        <f>IF(OR(MID(TBBP[[#This Row],[Coluna1]],1,1)="1",MID(TBBP[[#This Row],[Coluna1]],1,1)="2"),CS233,SUM(CH233:CS233))</f>
        <v>-75382.780000000013</v>
      </c>
      <c r="CU233" s="255">
        <v>-3600</v>
      </c>
      <c r="CV233" s="255">
        <v>-65372.58</v>
      </c>
      <c r="CW233" s="255">
        <v>-4994.66</v>
      </c>
      <c r="CX233" s="255">
        <v>-2360.98</v>
      </c>
      <c r="CY233" s="255">
        <v>0</v>
      </c>
      <c r="CZ233" s="255">
        <v>-15618.33</v>
      </c>
      <c r="DA233" s="255">
        <v>-1773.81</v>
      </c>
      <c r="DB233" s="255">
        <v>-1296.6099999999999</v>
      </c>
      <c r="DC233" s="255">
        <v>-19322.03</v>
      </c>
      <c r="DD233" s="255">
        <v>-15414.08</v>
      </c>
      <c r="DE233" s="255">
        <v>-5994.7</v>
      </c>
      <c r="DF233" s="255">
        <v>-11259</v>
      </c>
      <c r="DG233" s="255">
        <f>SUM(TBBP[[#This Row],[Coluna287]:[Coluna298]])</f>
        <v>-147006.78</v>
      </c>
      <c r="DH233" s="255">
        <v>-3473.14</v>
      </c>
      <c r="DI233" s="255">
        <v>-26556</v>
      </c>
      <c r="DJ233" s="255">
        <v>-4908.01</v>
      </c>
      <c r="DK233" s="255">
        <v>-1437.85</v>
      </c>
      <c r="DL233" s="255">
        <v>-12192.03</v>
      </c>
      <c r="DM233" s="255">
        <v>-988.62</v>
      </c>
      <c r="DP233" s="30">
        <f>IF(OR(MID(TBBP[[#This Row],[Coluna1]],1,1)="1",MID(TBBP[[#This Row],[Coluna1]],1,1)="2"),"-",SUMIFS(233:233,listaPeriodos,$DR$1,listaPeriodos,$DR$2))</f>
        <v>-49555.65</v>
      </c>
      <c r="DQ233" s="30"/>
      <c r="DR233" s="30">
        <f t="shared" si="180"/>
        <v>0</v>
      </c>
      <c r="DS233" s="30"/>
      <c r="DT233" s="30"/>
      <c r="DU233"/>
    </row>
    <row r="234" spans="1:125" x14ac:dyDescent="0.3">
      <c r="A234" s="7" t="s">
        <v>419</v>
      </c>
      <c r="B234" t="s">
        <v>522</v>
      </c>
      <c r="C234" s="4">
        <v>0</v>
      </c>
      <c r="D234" s="4">
        <v>0</v>
      </c>
      <c r="E234" s="4">
        <v>0</v>
      </c>
      <c r="F234" s="4">
        <v>0</v>
      </c>
      <c r="G234" s="4">
        <v>-4792.63</v>
      </c>
      <c r="H234" s="4">
        <v>-416.51</v>
      </c>
      <c r="I234" s="4">
        <v>-394.38</v>
      </c>
      <c r="J234" s="4">
        <v>-609.04999999999995</v>
      </c>
      <c r="K234" s="4">
        <v>-572.69000000000005</v>
      </c>
      <c r="L234" s="4">
        <v>-526.24</v>
      </c>
      <c r="M234" s="4">
        <v>-930.23</v>
      </c>
      <c r="N234" s="4">
        <v>-312.38</v>
      </c>
      <c r="O234" s="4">
        <v>-728.88</v>
      </c>
      <c r="P234" s="4">
        <v>-1052.01</v>
      </c>
      <c r="Q234" s="4">
        <v>665.75</v>
      </c>
      <c r="R234" s="4">
        <v>0</v>
      </c>
      <c r="S234" s="4">
        <v>-208.26</v>
      </c>
      <c r="T234" s="4">
        <f>IF(OR(MID(TBBP[[#This Row],[Coluna1]],1,1)="1",MID(TBBP[[#This Row],[Coluna1]],1,1)="2"),TBBP[[#This Row],[Coluna19]],SUM(H234:S234))</f>
        <v>-5084.88</v>
      </c>
      <c r="U234" s="4">
        <v>-598.72</v>
      </c>
      <c r="V234" s="4">
        <v>-1051.72</v>
      </c>
      <c r="W234" s="4">
        <v>-3388.64</v>
      </c>
      <c r="X234" s="4">
        <v>-932.44</v>
      </c>
      <c r="Y234" s="4">
        <v>-468.56</v>
      </c>
      <c r="Z234" s="4">
        <v>-208.25</v>
      </c>
      <c r="AA234" s="4">
        <v>-2163.09</v>
      </c>
      <c r="AB234" s="4">
        <v>-728.91</v>
      </c>
      <c r="AC234" s="4">
        <v>-1825.17</v>
      </c>
      <c r="AD234" s="4">
        <v>-827.79</v>
      </c>
      <c r="AE234" s="4">
        <v>-624.78</v>
      </c>
      <c r="AF234" s="4">
        <v>0</v>
      </c>
      <c r="AG234" s="4">
        <f>IF(OR(MID(TBBP[[#This Row],[Coluna1]],1,1)="1",MID(TBBP[[#This Row],[Coluna1]],1,1)="2"),TBBP[[#This Row],[Coluna32]],SUM(U234:AF234))</f>
        <v>-12818.070000000002</v>
      </c>
      <c r="AH234" s="4">
        <v>-2355.83</v>
      </c>
      <c r="AI234" s="4">
        <v>0</v>
      </c>
      <c r="AJ234" s="4">
        <v>-1065.8499999999999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119.84</v>
      </c>
      <c r="AQ234" s="4">
        <v>250</v>
      </c>
      <c r="AR234" s="4">
        <v>250</v>
      </c>
      <c r="AS234" s="4">
        <v>-209.8</v>
      </c>
      <c r="AT234" s="4">
        <f>IF(OR(MID(TBBP[[#This Row],[Coluna1]],1,1)="1",MID(TBBP[[#This Row],[Coluna1]],1,1)="2"),TBBP[[#This Row],[Coluna45]],SUM(AH234:AS234))</f>
        <v>-3011.64</v>
      </c>
      <c r="AU234" s="4">
        <v>250</v>
      </c>
      <c r="AV234" s="4">
        <v>-62.360000000000014</v>
      </c>
      <c r="AW234" s="4">
        <v>-62.379999999999995</v>
      </c>
      <c r="AX234" s="4">
        <v>145.87</v>
      </c>
      <c r="AY234" s="4">
        <v>-312.39</v>
      </c>
      <c r="AZ234" s="4">
        <v>-1286.9100000000001</v>
      </c>
      <c r="BA234" s="4">
        <v>-468.57000000000005</v>
      </c>
      <c r="BB234" s="4">
        <v>0</v>
      </c>
      <c r="BC234" s="4">
        <v>-769.65999999999985</v>
      </c>
      <c r="BD234" s="4">
        <v>-2657.71</v>
      </c>
      <c r="BE234" s="4">
        <v>0</v>
      </c>
      <c r="BF234" s="4">
        <v>-104.13</v>
      </c>
      <c r="BG234" s="4">
        <f>IF(OR(MID(TBBP[[#This Row],[Coluna1]],1,1)="1",MID(TBBP[[#This Row],[Coluna1]],1,1)="2"),TBBP[[#This Row],[Coluna58]],SUM(AU234:BF234))</f>
        <v>-5328.2400000000007</v>
      </c>
      <c r="BH234" s="4">
        <v>-339.46</v>
      </c>
      <c r="BI234" s="4">
        <v>-723.82</v>
      </c>
      <c r="BJ234" s="4">
        <v>-455.54</v>
      </c>
      <c r="BK234" s="4">
        <v>-322.8</v>
      </c>
      <c r="BL234" s="4">
        <v>0</v>
      </c>
      <c r="BM234" s="4">
        <v>-1128.51</v>
      </c>
      <c r="BN234" s="4">
        <v>-286.33999999999997</v>
      </c>
      <c r="BO234" s="4">
        <v>0</v>
      </c>
      <c r="BP234" s="4">
        <v>-114.54</v>
      </c>
      <c r="BQ234" s="4">
        <v>-782.6</v>
      </c>
      <c r="BR234" s="4">
        <v>-1385.86</v>
      </c>
      <c r="BS234" s="4">
        <v>0</v>
      </c>
      <c r="BT234" s="4">
        <f>IF(OR(MID(TBBP[[#This Row],[Coluna1]],1,1)="1",MID(TBBP[[#This Row],[Coluna1]],1,1)="2"),TBBP[[#This Row],[Coluna127]],SUM(BH234:BS234))</f>
        <v>-5539.47</v>
      </c>
      <c r="BU234" s="4">
        <v>-1068.22</v>
      </c>
      <c r="BV234" s="4">
        <v>-708.03</v>
      </c>
      <c r="BW234" s="4">
        <v>-1291.26</v>
      </c>
      <c r="BX234" s="4">
        <v>0</v>
      </c>
      <c r="BY234" s="4">
        <v>0</v>
      </c>
      <c r="BZ234" s="4">
        <v>0</v>
      </c>
      <c r="CA234" s="4">
        <v>-1382.13</v>
      </c>
      <c r="CB234" s="4">
        <v>-312.39</v>
      </c>
      <c r="CC234" s="4">
        <v>-208.25</v>
      </c>
      <c r="CD234" s="4">
        <v>-1416.11</v>
      </c>
      <c r="CE234" s="4">
        <v>-114.54</v>
      </c>
      <c r="CF234" s="4">
        <v>-447.74</v>
      </c>
      <c r="CG234" s="4">
        <f>IF(OR(MID(TBBP[[#This Row],[Coluna1]],1,1)="1",MID(TBBP[[#This Row],[Coluna1]],1,1)="2"),CF234,SUM(BU234:CF234))</f>
        <v>-6948.67</v>
      </c>
      <c r="CH234" s="4">
        <v>-716.01</v>
      </c>
      <c r="CI234" s="4">
        <v>-108.85999999999999</v>
      </c>
      <c r="CJ234" s="4">
        <v>-395.20000000000005</v>
      </c>
      <c r="CK234" s="4">
        <v>-624.28</v>
      </c>
      <c r="CL234" s="4">
        <v>-1151.1600000000001</v>
      </c>
      <c r="CM234" s="4">
        <v>-1082.44</v>
      </c>
      <c r="CN234" s="4">
        <v>-848.6</v>
      </c>
      <c r="CO234" s="4">
        <v>-1326.65</v>
      </c>
      <c r="CP234" s="4">
        <v>-1291.1500000000001</v>
      </c>
      <c r="CQ234" s="4">
        <v>-1055.0600000000002</v>
      </c>
      <c r="CR234" s="4">
        <v>0</v>
      </c>
      <c r="CS234" s="4">
        <v>-609.14</v>
      </c>
      <c r="CT234" s="4">
        <f>IF(OR(MID(TBBP[[#This Row],[Coluna1]],1,1)="1",MID(TBBP[[#This Row],[Coluna1]],1,1)="2"),CS234,SUM(CH234:CS234))</f>
        <v>-9208.5499999999993</v>
      </c>
      <c r="CU234" s="255">
        <v>-1270.8399999999999</v>
      </c>
      <c r="CV234" s="255">
        <v>-572.72</v>
      </c>
      <c r="CW234" s="255">
        <v>-572.67999999999995</v>
      </c>
      <c r="CX234" s="255">
        <v>-1783.25</v>
      </c>
      <c r="CY234" s="255">
        <v>-458.17</v>
      </c>
      <c r="CZ234" s="255">
        <v>-1291.21</v>
      </c>
      <c r="DA234" s="255">
        <v>-1426.52</v>
      </c>
      <c r="DB234" s="255">
        <v>-2151.1999999999998</v>
      </c>
      <c r="DC234" s="255">
        <v>-2461.09</v>
      </c>
      <c r="DD234" s="255">
        <v>-952.79</v>
      </c>
      <c r="DE234" s="255">
        <v>-1786.45</v>
      </c>
      <c r="DF234" s="255">
        <v>-1004.4</v>
      </c>
      <c r="DG234" s="255">
        <f>SUM(TBBP[[#This Row],[Coluna287]:[Coluna298]])</f>
        <v>-15731.320000000002</v>
      </c>
      <c r="DH234" s="255">
        <v>-4758.59</v>
      </c>
      <c r="DI234" s="255">
        <v>-1202.01</v>
      </c>
      <c r="DJ234" s="255">
        <v>-1922</v>
      </c>
      <c r="DK234" s="255">
        <v>-1963.31</v>
      </c>
      <c r="DL234" s="255">
        <v>-3399.55</v>
      </c>
      <c r="DM234" s="255">
        <v>-2003.73</v>
      </c>
      <c r="DP234" s="30">
        <f>IF(OR(MID(TBBP[[#This Row],[Coluna1]],1,1)="1",MID(TBBP[[#This Row],[Coluna1]],1,1)="2"),"-",SUMIFS(234:234,listaPeriodos,$DR$1,listaPeriodos,$DR$2))</f>
        <v>-15249.189999999999</v>
      </c>
      <c r="DQ234" s="30"/>
      <c r="DR234" s="30">
        <f t="shared" si="180"/>
        <v>0</v>
      </c>
      <c r="DS234" s="30"/>
      <c r="DT234" s="30"/>
      <c r="DU234"/>
    </row>
    <row r="235" spans="1:125" x14ac:dyDescent="0.3">
      <c r="A235" s="7" t="s">
        <v>420</v>
      </c>
      <c r="B235" t="s">
        <v>555</v>
      </c>
      <c r="C235" s="4">
        <v>0</v>
      </c>
      <c r="D235" s="4">
        <v>0</v>
      </c>
      <c r="E235" s="4">
        <v>0</v>
      </c>
      <c r="F235" s="4">
        <v>0</v>
      </c>
      <c r="G235" s="4">
        <v>-72032.67</v>
      </c>
      <c r="H235" s="4">
        <v>-677.81</v>
      </c>
      <c r="I235" s="4">
        <v>-1060.3499999999999</v>
      </c>
      <c r="J235" s="4">
        <v>-2397.02</v>
      </c>
      <c r="K235" s="4">
        <v>-4206.24</v>
      </c>
      <c r="L235" s="4">
        <v>43104.15</v>
      </c>
      <c r="M235" s="4">
        <v>-3603.64</v>
      </c>
      <c r="N235" s="4">
        <v>952.02</v>
      </c>
      <c r="O235" s="4">
        <v>-1998.5</v>
      </c>
      <c r="P235" s="4">
        <v>-41375.11</v>
      </c>
      <c r="Q235" s="4">
        <v>-29574.71</v>
      </c>
      <c r="R235" s="4">
        <v>-37520.49</v>
      </c>
      <c r="S235" s="4">
        <v>-33403.440000000002</v>
      </c>
      <c r="T235" s="4">
        <f>IF(OR(MID(TBBP[[#This Row],[Coluna1]],1,1)="1",MID(TBBP[[#This Row],[Coluna1]],1,1)="2"),TBBP[[#This Row],[Coluna19]],SUM(H235:S235))</f>
        <v>-111761.13999999998</v>
      </c>
      <c r="U235" s="4">
        <v>-44106.05</v>
      </c>
      <c r="V235" s="4">
        <v>-35581.870000000003</v>
      </c>
      <c r="W235" s="4">
        <v>-35635.019999999997</v>
      </c>
      <c r="X235" s="4">
        <v>-40224.86</v>
      </c>
      <c r="Y235" s="4">
        <v>-35152.39</v>
      </c>
      <c r="Z235" s="4">
        <v>-39594.82</v>
      </c>
      <c r="AA235" s="4">
        <v>-40686.300000000003</v>
      </c>
      <c r="AB235" s="4">
        <v>5498.49</v>
      </c>
      <c r="AC235" s="4">
        <v>-11700.88</v>
      </c>
      <c r="AD235" s="4">
        <v>-10928.21</v>
      </c>
      <c r="AE235" s="4">
        <v>-18657.59</v>
      </c>
      <c r="AF235" s="4">
        <v>-3780.41</v>
      </c>
      <c r="AG235" s="4">
        <f>IF(OR(MID(TBBP[[#This Row],[Coluna1]],1,1)="1",MID(TBBP[[#This Row],[Coluna1]],1,1)="2"),TBBP[[#This Row],[Coluna32]],SUM(U235:AF235))</f>
        <v>-310549.91000000003</v>
      </c>
      <c r="AH235" s="4">
        <v>-10173.52</v>
      </c>
      <c r="AI235" s="4">
        <v>-8217.25</v>
      </c>
      <c r="AJ235" s="4">
        <v>-7861.73</v>
      </c>
      <c r="AK235" s="4">
        <v>-3772.02</v>
      </c>
      <c r="AL235" s="4">
        <v>-9294.2900000000009</v>
      </c>
      <c r="AM235" s="4">
        <v>-12807.82</v>
      </c>
      <c r="AN235" s="4">
        <v>-6904.4</v>
      </c>
      <c r="AO235" s="4">
        <v>-7435.41</v>
      </c>
      <c r="AP235" s="4">
        <v>-17151.060000000001</v>
      </c>
      <c r="AQ235" s="4">
        <v>-25318.12</v>
      </c>
      <c r="AR235" s="4">
        <v>-30032.42</v>
      </c>
      <c r="AS235" s="4">
        <v>-4183.5600000000004</v>
      </c>
      <c r="AT235" s="4">
        <f>IF(OR(MID(TBBP[[#This Row],[Coluna1]],1,1)="1",MID(TBBP[[#This Row],[Coluna1]],1,1)="2"),TBBP[[#This Row],[Coluna45]],SUM(AH235:AS235))</f>
        <v>-143151.59999999998</v>
      </c>
      <c r="AU235" s="4">
        <v>-4115.6400000000003</v>
      </c>
      <c r="AV235" s="4">
        <v>-2791.79</v>
      </c>
      <c r="AW235" s="4">
        <v>-22037.75</v>
      </c>
      <c r="AX235" s="4">
        <v>-2890.02</v>
      </c>
      <c r="AY235" s="4">
        <v>-6584.34</v>
      </c>
      <c r="AZ235" s="4">
        <v>-3541.44</v>
      </c>
      <c r="BA235" s="4">
        <v>-9953.4500000000007</v>
      </c>
      <c r="BB235" s="4">
        <v>-2839.54</v>
      </c>
      <c r="BC235" s="4">
        <v>-10922.12</v>
      </c>
      <c r="BD235" s="4">
        <v>-8469.2099999999991</v>
      </c>
      <c r="BE235" s="4">
        <v>-18207.18</v>
      </c>
      <c r="BF235" s="4">
        <v>-4401.66</v>
      </c>
      <c r="BG235" s="4">
        <f>IF(OR(MID(TBBP[[#This Row],[Coluna1]],1,1)="1",MID(TBBP[[#This Row],[Coluna1]],1,1)="2"),TBBP[[#This Row],[Coluna58]],SUM(AU235:BF235))</f>
        <v>-96754.140000000014</v>
      </c>
      <c r="BH235" s="4">
        <v>-66566.789999999994</v>
      </c>
      <c r="BI235" s="4">
        <v>-58191.45</v>
      </c>
      <c r="BJ235" s="4">
        <v>-77668.990000000005</v>
      </c>
      <c r="BK235" s="4">
        <v>-89663.07</v>
      </c>
      <c r="BL235" s="4">
        <v>-117127.46</v>
      </c>
      <c r="BM235" s="4">
        <v>-119398.08</v>
      </c>
      <c r="BN235" s="4">
        <v>-104041.56</v>
      </c>
      <c r="BO235" s="4">
        <v>-117576.96000000001</v>
      </c>
      <c r="BP235" s="4">
        <v>-83122.179999999993</v>
      </c>
      <c r="BQ235" s="4">
        <v>-83117.17</v>
      </c>
      <c r="BR235" s="4">
        <v>-94170.35</v>
      </c>
      <c r="BS235" s="4">
        <v>-170211.82</v>
      </c>
      <c r="BT235" s="4">
        <f>IF(OR(MID(TBBP[[#This Row],[Coluna1]],1,1)="1",MID(TBBP[[#This Row],[Coluna1]],1,1)="2"),TBBP[[#This Row],[Coluna127]],SUM(BH235:BS235))</f>
        <v>-1180855.8799999999</v>
      </c>
      <c r="BU235" s="4">
        <v>-37836.31</v>
      </c>
      <c r="BV235" s="4">
        <v>-183012.93</v>
      </c>
      <c r="BW235" s="4">
        <v>-62539.02</v>
      </c>
      <c r="BX235" s="4">
        <v>-79169.090000000011</v>
      </c>
      <c r="BY235" s="4">
        <v>-77190.48</v>
      </c>
      <c r="BZ235" s="4">
        <v>-100761.66</v>
      </c>
      <c r="CA235" s="4">
        <v>-167226.1</v>
      </c>
      <c r="CB235" s="4">
        <v>-70887.520000000004</v>
      </c>
      <c r="CC235" s="4">
        <v>-60090.400000000001</v>
      </c>
      <c r="CD235" s="4">
        <v>-161352.79999999999</v>
      </c>
      <c r="CE235" s="4">
        <v>-159870.14000000001</v>
      </c>
      <c r="CF235" s="4">
        <v>-94142.47</v>
      </c>
      <c r="CG235" s="4">
        <f>IF(OR(MID(TBBP[[#This Row],[Coluna1]],1,1)="1",MID(TBBP[[#This Row],[Coluna1]],1,1)="2"),CF235,SUM(BU235:CF235))</f>
        <v>-1254078.9200000002</v>
      </c>
      <c r="CH235" s="4">
        <v>-190496.21</v>
      </c>
      <c r="CI235" s="4">
        <v>-148908.92000000001</v>
      </c>
      <c r="CJ235" s="4">
        <v>-95237.35</v>
      </c>
      <c r="CK235" s="4">
        <v>-119683.23999999999</v>
      </c>
      <c r="CL235" s="4">
        <v>-140951.23000000001</v>
      </c>
      <c r="CM235" s="4">
        <v>-107156.9</v>
      </c>
      <c r="CN235" s="4">
        <v>-147713.44</v>
      </c>
      <c r="CO235" s="4">
        <v>-137377.54</v>
      </c>
      <c r="CP235" s="4">
        <v>-118643.04</v>
      </c>
      <c r="CQ235" s="4">
        <v>-167419.79</v>
      </c>
      <c r="CR235" s="4">
        <v>-113181.26</v>
      </c>
      <c r="CS235" s="4">
        <v>-197321.2</v>
      </c>
      <c r="CT235" s="4">
        <f>IF(OR(MID(TBBP[[#This Row],[Coluna1]],1,1)="1",MID(TBBP[[#This Row],[Coluna1]],1,1)="2"),CS235,SUM(CH235:CS235))</f>
        <v>-1684090.12</v>
      </c>
      <c r="CU235" s="255">
        <v>-203783.36</v>
      </c>
      <c r="CV235" s="255">
        <v>-269834.59999999998</v>
      </c>
      <c r="CW235" s="255">
        <v>-123683.18</v>
      </c>
      <c r="CX235" s="255">
        <v>-99923.07</v>
      </c>
      <c r="CY235" s="255">
        <v>-123703.22</v>
      </c>
      <c r="CZ235" s="255">
        <v>-142389.95000000001</v>
      </c>
      <c r="DA235" s="255">
        <v>-127077.20999999999</v>
      </c>
      <c r="DB235" s="255">
        <v>-166294.22</v>
      </c>
      <c r="DC235" s="255">
        <v>-167646.53</v>
      </c>
      <c r="DD235" s="255">
        <v>-198090.08</v>
      </c>
      <c r="DE235" s="255">
        <v>-132621.64000000001</v>
      </c>
      <c r="DF235" s="255">
        <v>-253747.75</v>
      </c>
      <c r="DG235" s="255">
        <f>SUM(TBBP[[#This Row],[Coluna287]:[Coluna298]])</f>
        <v>-2008794.81</v>
      </c>
      <c r="DH235" s="255">
        <v>-223677.74</v>
      </c>
      <c r="DI235" s="255">
        <v>-145818.12</v>
      </c>
      <c r="DJ235" s="255">
        <v>-144459.82999999999</v>
      </c>
      <c r="DK235" s="255">
        <v>-138215.29</v>
      </c>
      <c r="DL235" s="255">
        <v>-142036.32</v>
      </c>
      <c r="DM235" s="255">
        <v>-185735</v>
      </c>
      <c r="DP235" s="30">
        <f>IF(OR(MID(TBBP[[#This Row],[Coluna1]],1,1)="1",MID(TBBP[[#This Row],[Coluna1]],1,1)="2"),"-",SUMIFS(235:235,listaPeriodos,$DR$1,listaPeriodos,$DR$2))</f>
        <v>-979942.3</v>
      </c>
      <c r="DQ235" s="30"/>
      <c r="DR235" s="30">
        <f t="shared" si="180"/>
        <v>0</v>
      </c>
      <c r="DS235" s="30"/>
      <c r="DT235" s="30"/>
      <c r="DU235"/>
    </row>
    <row r="236" spans="1:125" x14ac:dyDescent="0.3">
      <c r="A236" s="7" t="s">
        <v>421</v>
      </c>
      <c r="B236" t="s">
        <v>556</v>
      </c>
      <c r="C236" s="4">
        <v>0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f>IF(OR(MID(TBBP[[#This Row],[Coluna1]],1,1)="1",MID(TBBP[[#This Row],[Coluna1]],1,1)="2"),TBBP[[#This Row],[Coluna19]],SUM(H236:S236))</f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f>IF(OR(MID(TBBP[[#This Row],[Coluna1]],1,1)="1",MID(TBBP[[#This Row],[Coluna1]],1,1)="2"),TBBP[[#This Row],[Coluna32]],SUM(U236:AF236))</f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f>IF(OR(MID(TBBP[[#This Row],[Coluna1]],1,1)="1",MID(TBBP[[#This Row],[Coluna1]],1,1)="2"),TBBP[[#This Row],[Coluna45]],SUM(AH236:AS236))</f>
        <v>0</v>
      </c>
      <c r="AU236" s="4">
        <v>0</v>
      </c>
      <c r="AV236" s="4">
        <v>0</v>
      </c>
      <c r="AW236" s="4">
        <v>0</v>
      </c>
      <c r="AX236" s="4">
        <v>0</v>
      </c>
      <c r="AY236" s="4">
        <v>0</v>
      </c>
      <c r="AZ236" s="4">
        <v>0</v>
      </c>
      <c r="BA236" s="4">
        <v>0</v>
      </c>
      <c r="BB236" s="4">
        <v>0</v>
      </c>
      <c r="BC236" s="4">
        <v>0</v>
      </c>
      <c r="BD236" s="4">
        <v>0</v>
      </c>
      <c r="BE236" s="4">
        <v>0</v>
      </c>
      <c r="BF236" s="4">
        <v>0</v>
      </c>
      <c r="BG236" s="4">
        <f>IF(OR(MID(TBBP[[#This Row],[Coluna1]],1,1)="1",MID(TBBP[[#This Row],[Coluna1]],1,1)="2"),TBBP[[#This Row],[Coluna58]],SUM(AU236:BF236))</f>
        <v>0</v>
      </c>
      <c r="BH236" s="4">
        <v>0</v>
      </c>
      <c r="BI236" s="4">
        <v>0</v>
      </c>
      <c r="BJ236" s="4">
        <v>0</v>
      </c>
      <c r="BK236" s="4">
        <v>0</v>
      </c>
      <c r="BL236" s="4">
        <v>0</v>
      </c>
      <c r="BM236" s="4">
        <v>0</v>
      </c>
      <c r="BN236" s="4">
        <v>0</v>
      </c>
      <c r="BO236" s="4">
        <v>0</v>
      </c>
      <c r="BP236" s="4">
        <v>0</v>
      </c>
      <c r="BQ236" s="4">
        <v>0</v>
      </c>
      <c r="BR236" s="4">
        <v>0</v>
      </c>
      <c r="BS236" s="4">
        <v>0</v>
      </c>
      <c r="BT236" s="4">
        <f>IF(OR(MID(TBBP[[#This Row],[Coluna1]],1,1)="1",MID(TBBP[[#This Row],[Coluna1]],1,1)="2"),TBBP[[#This Row],[Coluna127]],SUM(BH236:BS236))</f>
        <v>0</v>
      </c>
      <c r="BU236" s="4">
        <v>0</v>
      </c>
      <c r="BV236" s="4">
        <v>0</v>
      </c>
      <c r="BW236" s="4">
        <v>0</v>
      </c>
      <c r="BX236" s="4">
        <v>0</v>
      </c>
      <c r="BY236" s="4">
        <v>0</v>
      </c>
      <c r="BZ236" s="4">
        <v>-29000</v>
      </c>
      <c r="CA236" s="4">
        <v>0</v>
      </c>
      <c r="CB236" s="4">
        <v>0</v>
      </c>
      <c r="CC236" s="4">
        <v>0</v>
      </c>
      <c r="CD236" s="4">
        <v>0</v>
      </c>
      <c r="CE236" s="4">
        <v>0</v>
      </c>
      <c r="CF236" s="4">
        <v>0</v>
      </c>
      <c r="CG236" s="4">
        <f>IF(OR(MID(TBBP[[#This Row],[Coluna1]],1,1)="1",MID(TBBP[[#This Row],[Coluna1]],1,1)="2"),CF236,SUM(BU236:CF236))</f>
        <v>-29000</v>
      </c>
      <c r="CH236" s="4">
        <v>0</v>
      </c>
      <c r="CI236" s="4">
        <v>0</v>
      </c>
      <c r="CJ236" s="4">
        <v>0</v>
      </c>
      <c r="CK236" s="4" t="s">
        <v>1134</v>
      </c>
      <c r="CL236" s="4">
        <v>0</v>
      </c>
      <c r="CM236" s="4">
        <v>-1194.6300000000001</v>
      </c>
      <c r="CN236" s="4">
        <v>0</v>
      </c>
      <c r="CO236" s="4">
        <v>0</v>
      </c>
      <c r="CP236" s="4">
        <v>0</v>
      </c>
      <c r="CQ236" s="4">
        <v>0</v>
      </c>
      <c r="CR236" s="4">
        <v>0</v>
      </c>
      <c r="CS236" s="4">
        <v>0</v>
      </c>
      <c r="CT236" s="4">
        <f>IF(OR(MID(TBBP[[#This Row],[Coluna1]],1,1)="1",MID(TBBP[[#This Row],[Coluna1]],1,1)="2"),CS236,SUM(CH236:CS236))</f>
        <v>-1194.6300000000001</v>
      </c>
      <c r="CU236" s="255">
        <v>0</v>
      </c>
      <c r="CV236" s="255">
        <v>0</v>
      </c>
      <c r="CW236" s="255">
        <v>0</v>
      </c>
      <c r="CX236" s="255">
        <v>0</v>
      </c>
      <c r="CY236" s="255">
        <v>0</v>
      </c>
      <c r="CZ236" s="255">
        <v>0</v>
      </c>
      <c r="DA236" s="255">
        <v>0</v>
      </c>
      <c r="DB236" s="255">
        <v>0</v>
      </c>
      <c r="DC236" s="255">
        <v>0</v>
      </c>
      <c r="DD236" s="255">
        <v>0</v>
      </c>
      <c r="DE236" s="255"/>
      <c r="DF236" s="255">
        <v>0</v>
      </c>
      <c r="DG236" s="255">
        <f>SUM(TBBP[[#This Row],[Coluna287]:[Coluna298]])</f>
        <v>0</v>
      </c>
      <c r="DH236" s="255">
        <v>0</v>
      </c>
      <c r="DI236" s="255">
        <v>0</v>
      </c>
      <c r="DJ236" s="255">
        <v>0</v>
      </c>
      <c r="DK236" s="255">
        <v>0</v>
      </c>
      <c r="DL236" s="255">
        <v>0</v>
      </c>
      <c r="DM236" s="255">
        <v>0</v>
      </c>
      <c r="DO236" t="s">
        <v>421</v>
      </c>
      <c r="DP236" s="30">
        <f>IF(OR(MID(TBBP[[#This Row],[Coluna1]],1,1)="1",MID(TBBP[[#This Row],[Coluna1]],1,1)="2"),"-",SUMIFS(236:236,listaPeriodos,$DR$1,listaPeriodos,$DR$2))</f>
        <v>0</v>
      </c>
      <c r="DQ236" s="30">
        <v>0</v>
      </c>
      <c r="DR236" s="30">
        <f t="shared" si="180"/>
        <v>0</v>
      </c>
      <c r="DS236" s="30"/>
      <c r="DT236" s="30"/>
      <c r="DU236"/>
    </row>
    <row r="237" spans="1:125" x14ac:dyDescent="0.3">
      <c r="A237" s="7" t="s">
        <v>422</v>
      </c>
      <c r="B237" t="s">
        <v>557</v>
      </c>
      <c r="C237" s="4">
        <v>0</v>
      </c>
      <c r="D237" s="4">
        <v>0</v>
      </c>
      <c r="E237" s="4">
        <v>0</v>
      </c>
      <c r="F237" s="4">
        <v>0</v>
      </c>
      <c r="G237" s="4">
        <v>-14949.52</v>
      </c>
      <c r="H237" s="4">
        <v>-434.03</v>
      </c>
      <c r="I237" s="4">
        <v>-426.9</v>
      </c>
      <c r="J237" s="4">
        <v>0</v>
      </c>
      <c r="K237" s="4">
        <v>-1250.0899999999999</v>
      </c>
      <c r="L237" s="4">
        <v>-1981.79</v>
      </c>
      <c r="M237" s="4">
        <v>-1171.6500000000001</v>
      </c>
      <c r="N237" s="4">
        <v>-657.98</v>
      </c>
      <c r="O237" s="4">
        <v>-672.78</v>
      </c>
      <c r="P237" s="4">
        <v>-7482.69</v>
      </c>
      <c r="Q237" s="4">
        <v>-8159.72</v>
      </c>
      <c r="R237" s="4">
        <v>-4602.76</v>
      </c>
      <c r="S237" s="4">
        <v>-933.5</v>
      </c>
      <c r="T237" s="4">
        <f>IF(OR(MID(TBBP[[#This Row],[Coluna1]],1,1)="1",MID(TBBP[[#This Row],[Coluna1]],1,1)="2"),TBBP[[#This Row],[Coluna19]],SUM(H237:S237))</f>
        <v>-27773.89</v>
      </c>
      <c r="U237" s="4">
        <v>-11722.63</v>
      </c>
      <c r="V237" s="4">
        <v>-943.08</v>
      </c>
      <c r="W237" s="4">
        <v>-905</v>
      </c>
      <c r="X237" s="4">
        <v>-3549.7</v>
      </c>
      <c r="Y237" s="4">
        <v>-560</v>
      </c>
      <c r="Z237" s="4">
        <v>-7007.96</v>
      </c>
      <c r="AA237" s="4">
        <v>-2905</v>
      </c>
      <c r="AB237" s="4">
        <v>-2777.96</v>
      </c>
      <c r="AC237" s="4">
        <v>-10800</v>
      </c>
      <c r="AD237" s="4">
        <v>-5577.46</v>
      </c>
      <c r="AE237" s="4">
        <v>-3997.47</v>
      </c>
      <c r="AF237" s="4">
        <v>-1232.6099999999999</v>
      </c>
      <c r="AG237" s="4">
        <f>IF(OR(MID(TBBP[[#This Row],[Coluna1]],1,1)="1",MID(TBBP[[#This Row],[Coluna1]],1,1)="2"),TBBP[[#This Row],[Coluna32]],SUM(U237:AF237))</f>
        <v>-51978.87</v>
      </c>
      <c r="AH237" s="4">
        <v>-4648.45</v>
      </c>
      <c r="AI237" s="4">
        <v>-3728.16</v>
      </c>
      <c r="AJ237" s="4">
        <v>-6167.73</v>
      </c>
      <c r="AK237" s="4">
        <v>-3040</v>
      </c>
      <c r="AL237" s="4">
        <v>-4453.16</v>
      </c>
      <c r="AM237" s="4">
        <v>-6455.38</v>
      </c>
      <c r="AN237" s="4">
        <v>-5130.01</v>
      </c>
      <c r="AO237" s="4">
        <v>-1814.19</v>
      </c>
      <c r="AP237" s="4">
        <v>-6955.62</v>
      </c>
      <c r="AQ237" s="4">
        <v>-22278.41</v>
      </c>
      <c r="AR237" s="4">
        <v>-17646.490000000002</v>
      </c>
      <c r="AS237" s="4">
        <v>-1302.57</v>
      </c>
      <c r="AT237" s="4">
        <f>IF(OR(MID(TBBP[[#This Row],[Coluna1]],1,1)="1",MID(TBBP[[#This Row],[Coluna1]],1,1)="2"),TBBP[[#This Row],[Coluna45]],SUM(AH237:AS237))</f>
        <v>-83620.170000000013</v>
      </c>
      <c r="AU237" s="4">
        <v>-1169.1199999999999</v>
      </c>
      <c r="AV237" s="4">
        <v>-1769.45</v>
      </c>
      <c r="AW237" s="4">
        <v>-2745.28</v>
      </c>
      <c r="AX237" s="4">
        <v>-1130.2</v>
      </c>
      <c r="AY237" s="4">
        <v>-5640</v>
      </c>
      <c r="AZ237" s="4">
        <v>-903.28</v>
      </c>
      <c r="BA237" s="4">
        <v>-3733.28</v>
      </c>
      <c r="BB237" s="4">
        <v>-1153.28</v>
      </c>
      <c r="BC237" s="4">
        <v>-4282.59</v>
      </c>
      <c r="BD237" s="4">
        <v>-2460.61</v>
      </c>
      <c r="BE237" s="4">
        <v>-7254.04</v>
      </c>
      <c r="BF237" s="4">
        <v>-1693.78</v>
      </c>
      <c r="BG237" s="4">
        <f>IF(OR(MID(TBBP[[#This Row],[Coluna1]],1,1)="1",MID(TBBP[[#This Row],[Coluna1]],1,1)="2"),TBBP[[#This Row],[Coluna58]],SUM(AU237:BF237))</f>
        <v>-33934.910000000003</v>
      </c>
      <c r="BH237" s="4">
        <v>-65337.78</v>
      </c>
      <c r="BI237" s="4">
        <v>-52631.21</v>
      </c>
      <c r="BJ237" s="4">
        <v>-71790</v>
      </c>
      <c r="BK237" s="4">
        <v>-79472.77</v>
      </c>
      <c r="BL237" s="4">
        <v>-114352.8</v>
      </c>
      <c r="BM237" s="4">
        <v>-116389.65</v>
      </c>
      <c r="BN237" s="4">
        <v>-75425.100000000006</v>
      </c>
      <c r="BO237" s="4">
        <v>-114449.92</v>
      </c>
      <c r="BP237" s="4">
        <v>-74298.14</v>
      </c>
      <c r="BQ237" s="4">
        <v>-77617.440000000002</v>
      </c>
      <c r="BR237" s="4">
        <v>-91165.56</v>
      </c>
      <c r="BS237" s="4">
        <v>-164402.16</v>
      </c>
      <c r="BT237" s="4">
        <f>IF(OR(MID(TBBP[[#This Row],[Coluna1]],1,1)="1",MID(TBBP[[#This Row],[Coluna1]],1,1)="2"),TBBP[[#This Row],[Coluna127]],SUM(BH237:BS237))</f>
        <v>-1097332.53</v>
      </c>
      <c r="BU237" s="4">
        <v>-31635.19</v>
      </c>
      <c r="BV237" s="4">
        <v>-176510.34</v>
      </c>
      <c r="BW237" s="4">
        <v>-56553.120000000003</v>
      </c>
      <c r="BX237" s="4">
        <v>-70589.47</v>
      </c>
      <c r="BY237" s="4">
        <v>-58309.65</v>
      </c>
      <c r="BZ237" s="4">
        <v>-51619.12</v>
      </c>
      <c r="CA237" s="4">
        <v>-141532.54999999999</v>
      </c>
      <c r="CB237" s="4">
        <v>-62968.27</v>
      </c>
      <c r="CC237" s="4">
        <v>-53978.41</v>
      </c>
      <c r="CD237" s="4">
        <v>-129863.46</v>
      </c>
      <c r="CE237" s="4">
        <v>-128877.86</v>
      </c>
      <c r="CF237" s="4">
        <v>-76184.639999999999</v>
      </c>
      <c r="CG237" s="4">
        <f>IF(OR(MID(TBBP[[#This Row],[Coluna1]],1,1)="1",MID(TBBP[[#This Row],[Coluna1]],1,1)="2"),CF237,SUM(BU237:CF237))</f>
        <v>-1038622.08</v>
      </c>
      <c r="CH237" s="4">
        <v>-158431.21</v>
      </c>
      <c r="CI237" s="4">
        <v>-136423.65</v>
      </c>
      <c r="CJ237" s="4">
        <v>-69205.69</v>
      </c>
      <c r="CK237" s="4">
        <v>-92915.76</v>
      </c>
      <c r="CL237" s="4">
        <v>-120343.03999999999</v>
      </c>
      <c r="CM237" s="4">
        <v>-84584.8</v>
      </c>
      <c r="CN237" s="4">
        <v>-125483.33</v>
      </c>
      <c r="CO237" s="4">
        <v>-107177.87</v>
      </c>
      <c r="CP237" s="4">
        <v>-86601.01</v>
      </c>
      <c r="CQ237" s="4">
        <v>-108184.59</v>
      </c>
      <c r="CR237" s="4">
        <v>-97711.7</v>
      </c>
      <c r="CS237" s="4">
        <v>-174414.98</v>
      </c>
      <c r="CT237" s="4">
        <f>IF(OR(MID(TBBP[[#This Row],[Coluna1]],1,1)="1",MID(TBBP[[#This Row],[Coluna1]],1,1)="2"),CS237,SUM(CH237:CS237))</f>
        <v>-1361477.63</v>
      </c>
      <c r="CU237" s="255">
        <v>-192454.45</v>
      </c>
      <c r="CV237" s="255">
        <v>-236311.19</v>
      </c>
      <c r="CW237" s="255">
        <v>-95547.72</v>
      </c>
      <c r="CX237" s="255">
        <v>-84549.23</v>
      </c>
      <c r="CY237" s="255">
        <v>-111149.66</v>
      </c>
      <c r="CZ237" s="255">
        <v>-130040.13</v>
      </c>
      <c r="DA237" s="255">
        <v>-108804.02</v>
      </c>
      <c r="DB237" s="255">
        <v>-129665.28</v>
      </c>
      <c r="DC237" s="255">
        <v>-156871.60999999999</v>
      </c>
      <c r="DD237" s="255">
        <v>-156759.23000000001</v>
      </c>
      <c r="DE237" s="255">
        <v>-128016.87</v>
      </c>
      <c r="DF237" s="255">
        <v>-233731.55</v>
      </c>
      <c r="DG237" s="255">
        <f>SUM(TBBP[[#This Row],[Coluna287]:[Coluna298]])</f>
        <v>-1763900.9400000002</v>
      </c>
      <c r="DH237" s="255">
        <v>-190800.84</v>
      </c>
      <c r="DI237" s="255">
        <v>-143461.35</v>
      </c>
      <c r="DJ237" s="255">
        <v>-133338.79</v>
      </c>
      <c r="DK237" s="255">
        <v>-126676.46</v>
      </c>
      <c r="DL237" s="255">
        <v>-138626.97</v>
      </c>
      <c r="DM237" s="255">
        <v>-181715.98</v>
      </c>
      <c r="DO237" t="s">
        <v>422</v>
      </c>
      <c r="DP237" s="30">
        <f>IF(OR(MID(TBBP[[#This Row],[Coluna1]],1,1)="1",MID(TBBP[[#This Row],[Coluna1]],1,1)="2"),"-",SUMIFS(237:237,listaPeriodos,$DR$1,listaPeriodos,$DR$2))</f>
        <v>-914620.3899999999</v>
      </c>
      <c r="DQ237" s="30">
        <v>-107120.55</v>
      </c>
      <c r="DR237" s="30">
        <f t="shared" si="180"/>
        <v>-642723.30000000005</v>
      </c>
      <c r="DS237" s="30"/>
      <c r="DT237" s="30"/>
      <c r="DU237"/>
    </row>
    <row r="238" spans="1:125" x14ac:dyDescent="0.3">
      <c r="A238" s="7" t="s">
        <v>423</v>
      </c>
      <c r="B238" t="s">
        <v>558</v>
      </c>
      <c r="C238" s="4">
        <v>0</v>
      </c>
      <c r="D238" s="4">
        <v>0</v>
      </c>
      <c r="E238" s="4">
        <v>0</v>
      </c>
      <c r="F238" s="4">
        <v>0</v>
      </c>
      <c r="G238" s="4">
        <v>-7348.84</v>
      </c>
      <c r="H238" s="4">
        <v>-243.78</v>
      </c>
      <c r="I238" s="4">
        <v>-633.45000000000005</v>
      </c>
      <c r="J238" s="4">
        <v>-2397.02</v>
      </c>
      <c r="K238" s="4">
        <v>-2956.15</v>
      </c>
      <c r="L238" s="4">
        <v>-2504.67</v>
      </c>
      <c r="M238" s="4">
        <v>-2431.9899999999998</v>
      </c>
      <c r="N238" s="4">
        <v>-294.04000000000002</v>
      </c>
      <c r="O238" s="4">
        <v>-1325.72</v>
      </c>
      <c r="P238" s="4">
        <v>-3135.78</v>
      </c>
      <c r="Q238" s="4">
        <v>-4768.93</v>
      </c>
      <c r="R238" s="4">
        <v>-593.25</v>
      </c>
      <c r="S238" s="4">
        <v>-145.46</v>
      </c>
      <c r="T238" s="4">
        <f>IF(OR(MID(TBBP[[#This Row],[Coluna1]],1,1)="1",MID(TBBP[[#This Row],[Coluna1]],1,1)="2"),TBBP[[#This Row],[Coluna19]],SUM(H238:S238))</f>
        <v>-21430.239999999998</v>
      </c>
      <c r="U238" s="4">
        <v>-58.94</v>
      </c>
      <c r="V238" s="4">
        <v>-2314.31</v>
      </c>
      <c r="W238" s="4">
        <v>-2405.54</v>
      </c>
      <c r="X238" s="4">
        <v>-4350.68</v>
      </c>
      <c r="Y238" s="4">
        <v>-2267.91</v>
      </c>
      <c r="Z238" s="4">
        <v>-262.38</v>
      </c>
      <c r="AA238" s="4">
        <v>-5456.82</v>
      </c>
      <c r="AB238" s="4">
        <v>-2720.55</v>
      </c>
      <c r="AC238" s="4">
        <v>-900.88</v>
      </c>
      <c r="AD238" s="4">
        <v>-5350.75</v>
      </c>
      <c r="AE238" s="4">
        <v>-14660.12</v>
      </c>
      <c r="AF238" s="4">
        <v>-2547.8000000000002</v>
      </c>
      <c r="AG238" s="4">
        <f>IF(OR(MID(TBBP[[#This Row],[Coluna1]],1,1)="1",MID(TBBP[[#This Row],[Coluna1]],1,1)="2"),TBBP[[#This Row],[Coluna32]],SUM(U238:AF238))</f>
        <v>-43296.680000000008</v>
      </c>
      <c r="AH238" s="4">
        <v>-5525.07</v>
      </c>
      <c r="AI238" s="4">
        <v>-4489.09</v>
      </c>
      <c r="AJ238" s="4">
        <v>-1694</v>
      </c>
      <c r="AK238" s="4">
        <v>-732.02</v>
      </c>
      <c r="AL238" s="4">
        <v>-4841.13</v>
      </c>
      <c r="AM238" s="4">
        <v>-6352.44</v>
      </c>
      <c r="AN238" s="4">
        <v>-1774.39</v>
      </c>
      <c r="AO238" s="4">
        <v>-5621.22</v>
      </c>
      <c r="AP238" s="4">
        <v>-10195.44</v>
      </c>
      <c r="AQ238" s="4">
        <v>-3039.71</v>
      </c>
      <c r="AR238" s="4">
        <v>-12385.93</v>
      </c>
      <c r="AS238" s="4">
        <v>-2880.99</v>
      </c>
      <c r="AT238" s="4">
        <f>IF(OR(MID(TBBP[[#This Row],[Coluna1]],1,1)="1",MID(TBBP[[#This Row],[Coluna1]],1,1)="2"),TBBP[[#This Row],[Coluna45]],SUM(AH238:AS238))</f>
        <v>-59531.43</v>
      </c>
      <c r="AU238" s="4">
        <v>-2946.52</v>
      </c>
      <c r="AV238" s="4">
        <v>-1022.34</v>
      </c>
      <c r="AW238" s="4">
        <v>-4142.3999999999996</v>
      </c>
      <c r="AX238" s="4">
        <v>-1759.82</v>
      </c>
      <c r="AY238" s="4">
        <v>-944.34</v>
      </c>
      <c r="AZ238" s="4">
        <v>-2638.16</v>
      </c>
      <c r="BA238" s="4">
        <v>-6220.17</v>
      </c>
      <c r="BB238" s="4">
        <v>-1686.26</v>
      </c>
      <c r="BC238" s="4">
        <v>-6639.53</v>
      </c>
      <c r="BD238" s="4">
        <v>-6008.6</v>
      </c>
      <c r="BE238" s="4">
        <v>-10953.14</v>
      </c>
      <c r="BF238" s="4">
        <v>-2707.88</v>
      </c>
      <c r="BG238" s="4">
        <f>IF(OR(MID(TBBP[[#This Row],[Coluna1]],1,1)="1",MID(TBBP[[#This Row],[Coluna1]],1,1)="2"),TBBP[[#This Row],[Coluna58]],SUM(AU238:BF238))</f>
        <v>-47669.159999999996</v>
      </c>
      <c r="BH238" s="4">
        <v>-1229.01</v>
      </c>
      <c r="BI238" s="4">
        <v>-5560.24</v>
      </c>
      <c r="BJ238" s="4">
        <v>-5878.99</v>
      </c>
      <c r="BK238" s="4">
        <v>-10190.299999999999</v>
      </c>
      <c r="BL238" s="4">
        <v>-2774.66</v>
      </c>
      <c r="BM238" s="4">
        <v>-3008.43</v>
      </c>
      <c r="BN238" s="4">
        <v>-28616.46</v>
      </c>
      <c r="BO238" s="4">
        <v>-3127.04</v>
      </c>
      <c r="BP238" s="4">
        <v>-8824.0400000000009</v>
      </c>
      <c r="BQ238" s="4">
        <v>-5499.73</v>
      </c>
      <c r="BR238" s="4">
        <v>-3004.79</v>
      </c>
      <c r="BS238" s="4">
        <v>-5809.66</v>
      </c>
      <c r="BT238" s="4">
        <f>IF(OR(MID(TBBP[[#This Row],[Coluna1]],1,1)="1",MID(TBBP[[#This Row],[Coluna1]],1,1)="2"),TBBP[[#This Row],[Coluna127]],SUM(BH238:BS238))</f>
        <v>-83523.349999999991</v>
      </c>
      <c r="BU238" s="4">
        <v>-6201.12</v>
      </c>
      <c r="BV238" s="4">
        <v>-6502.59</v>
      </c>
      <c r="BW238" s="4">
        <v>-5985.9</v>
      </c>
      <c r="BX238" s="4">
        <v>-8579.619999999999</v>
      </c>
      <c r="BY238" s="4">
        <v>-4043.98</v>
      </c>
      <c r="BZ238" s="4">
        <v>-5305.69</v>
      </c>
      <c r="CA238" s="4">
        <v>-7315.56</v>
      </c>
      <c r="CB238" s="4">
        <v>-7918.25</v>
      </c>
      <c r="CC238" s="4">
        <v>-6110.99</v>
      </c>
      <c r="CD238" s="4">
        <v>-31488.34</v>
      </c>
      <c r="CE238" s="4">
        <v>-30991.279999999999</v>
      </c>
      <c r="CF238" s="4">
        <v>-17956.829999999998</v>
      </c>
      <c r="CG238" s="4">
        <f>IF(OR(MID(TBBP[[#This Row],[Coluna1]],1,1)="1",MID(TBBP[[#This Row],[Coluna1]],1,1)="2"),CF238,SUM(BU238:CF238))</f>
        <v>-138400.15</v>
      </c>
      <c r="CH238" s="4">
        <v>-32064</v>
      </c>
      <c r="CI238" s="4">
        <v>-12484.27</v>
      </c>
      <c r="CJ238" s="4">
        <v>-26030.66</v>
      </c>
      <c r="CK238" s="4">
        <v>-26766.48</v>
      </c>
      <c r="CL238" s="4">
        <v>-20607.189999999999</v>
      </c>
      <c r="CM238" s="4">
        <v>-21376.47</v>
      </c>
      <c r="CN238" s="4">
        <v>-22229.11</v>
      </c>
      <c r="CO238" s="4">
        <v>-30198.67</v>
      </c>
      <c r="CP238" s="4">
        <v>-32041.03</v>
      </c>
      <c r="CQ238" s="4">
        <v>-59234.2</v>
      </c>
      <c r="CR238" s="4">
        <v>-15468.56</v>
      </c>
      <c r="CS238" s="4">
        <v>-22905.22</v>
      </c>
      <c r="CT238" s="4">
        <f>IF(OR(MID(TBBP[[#This Row],[Coluna1]],1,1)="1",MID(TBBP[[#This Row],[Coluna1]],1,1)="2"),CS238,SUM(CH238:CS238))</f>
        <v>-321405.86</v>
      </c>
      <c r="CU238" s="255">
        <v>-11327.91</v>
      </c>
      <c r="CV238" s="255">
        <v>-33522.410000000003</v>
      </c>
      <c r="CW238" s="255">
        <v>-28134.46</v>
      </c>
      <c r="CX238" s="255">
        <v>-15372.84</v>
      </c>
      <c r="CY238" s="255">
        <v>-12552.56</v>
      </c>
      <c r="CZ238" s="255">
        <v>-12348.82</v>
      </c>
      <c r="DA238" s="255">
        <v>-18272.189999999999</v>
      </c>
      <c r="DB238" s="255">
        <v>-36627.939999999995</v>
      </c>
      <c r="DC238" s="255">
        <v>-10773.92</v>
      </c>
      <c r="DD238" s="255">
        <v>-41329.85</v>
      </c>
      <c r="DE238" s="255">
        <v>-4603.7700000000004</v>
      </c>
      <c r="DF238" s="255">
        <v>-20015.2</v>
      </c>
      <c r="DG238" s="255">
        <f>SUM(TBBP[[#This Row],[Coluna287]:[Coluna298]])</f>
        <v>-244881.87000000002</v>
      </c>
      <c r="DH238" s="255">
        <v>-32875.9</v>
      </c>
      <c r="DI238" s="255">
        <v>-2355.77</v>
      </c>
      <c r="DJ238" s="255">
        <v>-11120.04</v>
      </c>
      <c r="DK238" s="255">
        <v>-11537.83</v>
      </c>
      <c r="DL238" s="255">
        <v>-3408.35</v>
      </c>
      <c r="DM238" s="255">
        <v>-4018.02</v>
      </c>
      <c r="DO238" t="s">
        <v>423</v>
      </c>
      <c r="DP238" s="30">
        <f>IF(OR(MID(TBBP[[#This Row],[Coluna1]],1,1)="1",MID(TBBP[[#This Row],[Coluna1]],1,1)="2"),"-",SUMIFS(238:238,listaPeriodos,$DR$1,listaPeriodos,$DR$2))</f>
        <v>-65315.909999999996</v>
      </c>
      <c r="DQ238" s="30">
        <v>-18343.009999999998</v>
      </c>
      <c r="DR238" s="30">
        <f t="shared" si="180"/>
        <v>-110058.06</v>
      </c>
      <c r="DS238" s="30"/>
      <c r="DT238" s="30"/>
      <c r="DU238"/>
    </row>
    <row r="239" spans="1:125" x14ac:dyDescent="0.3">
      <c r="A239" s="7" t="s">
        <v>424</v>
      </c>
      <c r="B239" t="s">
        <v>559</v>
      </c>
      <c r="C239" s="4">
        <v>0</v>
      </c>
      <c r="D239" s="4">
        <v>0</v>
      </c>
      <c r="E239" s="4">
        <v>0</v>
      </c>
      <c r="F239" s="4">
        <v>0</v>
      </c>
      <c r="G239" s="4">
        <v>-49734.31</v>
      </c>
      <c r="H239" s="4">
        <v>0</v>
      </c>
      <c r="I239" s="4">
        <v>0</v>
      </c>
      <c r="J239" s="4">
        <v>0</v>
      </c>
      <c r="K239" s="4">
        <v>0</v>
      </c>
      <c r="L239" s="4">
        <v>47590.61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f>IF(OR(MID(TBBP[[#This Row],[Coluna1]],1,1)="1",MID(TBBP[[#This Row],[Coluna1]],1,1)="2"),TBBP[[#This Row],[Coluna19]],SUM(H239:S239))</f>
        <v>47590.61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f>IF(OR(MID(TBBP[[#This Row],[Coluna1]],1,1)="1",MID(TBBP[[#This Row],[Coluna1]],1,1)="2"),TBBP[[#This Row],[Coluna32]],SUM(U239:AF239))</f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f>IF(OR(MID(TBBP[[#This Row],[Coluna1]],1,1)="1",MID(TBBP[[#This Row],[Coluna1]],1,1)="2"),TBBP[[#This Row],[Coluna45]],SUM(AH239:AS239))</f>
        <v>0</v>
      </c>
      <c r="AU239" s="4">
        <v>0</v>
      </c>
      <c r="AV239" s="4">
        <v>0</v>
      </c>
      <c r="AW239" s="4">
        <v>0</v>
      </c>
      <c r="AX239" s="4">
        <v>0</v>
      </c>
      <c r="AY239" s="4">
        <v>0</v>
      </c>
      <c r="AZ239" s="4">
        <v>0</v>
      </c>
      <c r="BA239" s="4">
        <v>0</v>
      </c>
      <c r="BB239" s="4">
        <v>0</v>
      </c>
      <c r="BC239" s="4">
        <v>0</v>
      </c>
      <c r="BD239" s="4">
        <v>0</v>
      </c>
      <c r="BE239" s="4">
        <v>0</v>
      </c>
      <c r="BF239" s="4">
        <v>0</v>
      </c>
      <c r="BG239" s="4">
        <f>IF(OR(MID(TBBP[[#This Row],[Coluna1]],1,1)="1",MID(TBBP[[#This Row],[Coluna1]],1,1)="2"),TBBP[[#This Row],[Coluna58]],SUM(AU239:BF239))</f>
        <v>0</v>
      </c>
      <c r="BH239" s="4">
        <v>0</v>
      </c>
      <c r="BI239" s="4">
        <v>0</v>
      </c>
      <c r="BJ239" s="4">
        <v>0</v>
      </c>
      <c r="BK239" s="4">
        <v>0</v>
      </c>
      <c r="BL239" s="4">
        <v>0</v>
      </c>
      <c r="BM239" s="4">
        <v>0</v>
      </c>
      <c r="BN239" s="4">
        <v>0</v>
      </c>
      <c r="BO239" s="4">
        <v>0</v>
      </c>
      <c r="BP239" s="4">
        <v>0</v>
      </c>
      <c r="BQ239" s="4">
        <v>0</v>
      </c>
      <c r="BR239" s="4">
        <v>0</v>
      </c>
      <c r="BS239" s="4">
        <v>0</v>
      </c>
      <c r="BT239" s="4">
        <f>IF(OR(MID(TBBP[[#This Row],[Coluna1]],1,1)="1",MID(TBBP[[#This Row],[Coluna1]],1,1)="2"),TBBP[[#This Row],[Coluna127]],SUM(BH239:BS239))</f>
        <v>0</v>
      </c>
      <c r="BU239" s="4">
        <v>0</v>
      </c>
      <c r="BV239" s="4">
        <v>0</v>
      </c>
      <c r="BW239" s="4">
        <v>0</v>
      </c>
      <c r="BX239" s="4">
        <v>0</v>
      </c>
      <c r="BY239" s="4">
        <v>-14836.85</v>
      </c>
      <c r="BZ239" s="4">
        <v>-14836.85</v>
      </c>
      <c r="CA239" s="4">
        <v>-18377.990000000002</v>
      </c>
      <c r="CB239" s="4">
        <v>-1</v>
      </c>
      <c r="CC239" s="4">
        <v>-1</v>
      </c>
      <c r="CD239" s="4">
        <v>-1</v>
      </c>
      <c r="CE239" s="4">
        <v>-1</v>
      </c>
      <c r="CF239" s="4">
        <v>-1</v>
      </c>
      <c r="CG239" s="4">
        <f>IF(OR(MID(TBBP[[#This Row],[Coluna1]],1,1)="1",MID(TBBP[[#This Row],[Coluna1]],1,1)="2"),CF239,SUM(BU239:CF239))</f>
        <v>-48056.69</v>
      </c>
      <c r="CH239" s="4">
        <v>-1</v>
      </c>
      <c r="CI239" s="4">
        <v>-1</v>
      </c>
      <c r="CJ239" s="4">
        <v>-1</v>
      </c>
      <c r="CK239" s="4">
        <v>-1</v>
      </c>
      <c r="CL239" s="4">
        <v>-1</v>
      </c>
      <c r="CM239" s="4">
        <v>-1</v>
      </c>
      <c r="CN239" s="4">
        <v>-1</v>
      </c>
      <c r="CO239" s="4">
        <v>-1</v>
      </c>
      <c r="CP239" s="4">
        <v>-1</v>
      </c>
      <c r="CQ239" s="4">
        <v>-1</v>
      </c>
      <c r="CR239" s="4">
        <v>-1</v>
      </c>
      <c r="CS239" s="4">
        <v>-1</v>
      </c>
      <c r="CT239" s="4">
        <f>IF(OR(MID(TBBP[[#This Row],[Coluna1]],1,1)="1",MID(TBBP[[#This Row],[Coluna1]],1,1)="2"),CS239,SUM(CH239:CS239))</f>
        <v>-12</v>
      </c>
      <c r="CU239" s="255">
        <v>-1</v>
      </c>
      <c r="CV239" s="255">
        <v>-1</v>
      </c>
      <c r="CW239" s="255">
        <v>-1</v>
      </c>
      <c r="CX239" s="255">
        <v>-1</v>
      </c>
      <c r="CY239" s="255">
        <v>-1</v>
      </c>
      <c r="CZ239" s="255">
        <v>-1</v>
      </c>
      <c r="DA239" s="255">
        <v>-1</v>
      </c>
      <c r="DB239" s="255">
        <v>-1</v>
      </c>
      <c r="DC239" s="255">
        <v>-1</v>
      </c>
      <c r="DD239" s="255">
        <v>-1</v>
      </c>
      <c r="DE239" s="255">
        <v>-1</v>
      </c>
      <c r="DF239" s="255">
        <v>-1</v>
      </c>
      <c r="DG239" s="255">
        <f>SUM(TBBP[[#This Row],[Coluna287]:[Coluna298]])</f>
        <v>-12</v>
      </c>
      <c r="DH239" s="255">
        <v>-1</v>
      </c>
      <c r="DI239" s="255">
        <v>-1</v>
      </c>
      <c r="DJ239" s="255">
        <v>-1</v>
      </c>
      <c r="DK239" s="255">
        <v>-1</v>
      </c>
      <c r="DL239" s="255">
        <v>-1</v>
      </c>
      <c r="DM239" s="255">
        <v>-1</v>
      </c>
      <c r="DO239" t="s">
        <v>424</v>
      </c>
      <c r="DP239" s="30">
        <f>IF(OR(MID(TBBP[[#This Row],[Coluna1]],1,1)="1",MID(TBBP[[#This Row],[Coluna1]],1,1)="2"),"-",SUMIFS(239:239,listaPeriodos,$DR$1,listaPeriodos,$DR$2))</f>
        <v>-6</v>
      </c>
      <c r="DQ239" s="30">
        <v>-0.89</v>
      </c>
      <c r="DR239" s="30">
        <f t="shared" si="180"/>
        <v>-5.34</v>
      </c>
      <c r="DS239" s="30"/>
      <c r="DT239" s="30"/>
      <c r="DU239"/>
    </row>
    <row r="240" spans="1:125" x14ac:dyDescent="0.3">
      <c r="A240" s="7" t="s">
        <v>425</v>
      </c>
      <c r="B240" t="s">
        <v>560</v>
      </c>
      <c r="C240" s="4">
        <v>0</v>
      </c>
      <c r="D240" s="4">
        <v>0</v>
      </c>
      <c r="E240" s="4">
        <v>0</v>
      </c>
      <c r="F240" s="4">
        <v>0</v>
      </c>
      <c r="G240" s="4">
        <v>-1682562.53</v>
      </c>
      <c r="H240" s="4">
        <v>-152661.78</v>
      </c>
      <c r="I240" s="4">
        <v>-172964.87</v>
      </c>
      <c r="J240" s="4">
        <v>-162194.81</v>
      </c>
      <c r="K240" s="4">
        <v>-168228.46</v>
      </c>
      <c r="L240" s="4">
        <v>-193780.33</v>
      </c>
      <c r="M240" s="4">
        <v>-170981.97</v>
      </c>
      <c r="N240" s="4">
        <v>-245099.99</v>
      </c>
      <c r="O240" s="4">
        <v>-162039.26999999999</v>
      </c>
      <c r="P240" s="4">
        <v>-196102.71</v>
      </c>
      <c r="Q240" s="4">
        <v>-178817.78</v>
      </c>
      <c r="R240" s="4">
        <v>-187308.85</v>
      </c>
      <c r="S240" s="4">
        <v>-181926.69</v>
      </c>
      <c r="T240" s="4">
        <f>IF(OR(MID(TBBP[[#This Row],[Coluna1]],1,1)="1",MID(TBBP[[#This Row],[Coluna1]],1,1)="2"),TBBP[[#This Row],[Coluna19]],SUM(H240:S240))</f>
        <v>-2172107.5100000002</v>
      </c>
      <c r="U240" s="4">
        <v>-182892.15</v>
      </c>
      <c r="V240" s="4">
        <v>-193059.65</v>
      </c>
      <c r="W240" s="4">
        <v>-188799.37</v>
      </c>
      <c r="X240" s="4">
        <v>-170723.75</v>
      </c>
      <c r="Y240" s="4">
        <v>-183017.73</v>
      </c>
      <c r="Z240" s="4">
        <v>-178279.02</v>
      </c>
      <c r="AA240" s="4">
        <v>-204243.33</v>
      </c>
      <c r="AB240" s="4">
        <v>-168764.09</v>
      </c>
      <c r="AC240" s="4">
        <v>-194776.93</v>
      </c>
      <c r="AD240" s="4">
        <v>-192140.06</v>
      </c>
      <c r="AE240" s="4">
        <v>-183020.22</v>
      </c>
      <c r="AF240" s="4">
        <v>-171202.09999999998</v>
      </c>
      <c r="AG240" s="4">
        <f>IF(OR(MID(TBBP[[#This Row],[Coluna1]],1,1)="1",MID(TBBP[[#This Row],[Coluna1]],1,1)="2"),TBBP[[#This Row],[Coluna32]],SUM(U240:AF240))</f>
        <v>-2210918.3999999999</v>
      </c>
      <c r="AH240" s="4">
        <v>-190426.2</v>
      </c>
      <c r="AI240" s="4">
        <v>-173025.44</v>
      </c>
      <c r="AJ240" s="4">
        <v>-211541.11000000002</v>
      </c>
      <c r="AK240" s="4">
        <v>-147303.45000000001</v>
      </c>
      <c r="AL240" s="4">
        <v>-152871.18</v>
      </c>
      <c r="AM240" s="4">
        <v>-200193.30000000002</v>
      </c>
      <c r="AN240" s="4">
        <v>-195040.27000000002</v>
      </c>
      <c r="AO240" s="4">
        <v>-208075.04</v>
      </c>
      <c r="AP240" s="4">
        <v>-232615.76</v>
      </c>
      <c r="AQ240" s="4">
        <v>-206294.89</v>
      </c>
      <c r="AR240" s="4">
        <v>-230605.9</v>
      </c>
      <c r="AS240" s="4">
        <v>-246998.16999999998</v>
      </c>
      <c r="AT240" s="4">
        <f>IF(OR(MID(TBBP[[#This Row],[Coluna1]],1,1)="1",MID(TBBP[[#This Row],[Coluna1]],1,1)="2"),TBBP[[#This Row],[Coluna45]],SUM(AH240:AS240))</f>
        <v>-2394990.71</v>
      </c>
      <c r="AU240" s="4">
        <v>-226677.62</v>
      </c>
      <c r="AV240" s="4">
        <v>-301131.44</v>
      </c>
      <c r="AW240" s="4">
        <v>-196780.42</v>
      </c>
      <c r="AX240" s="4">
        <v>-228920.22</v>
      </c>
      <c r="AY240" s="4">
        <v>-264164.51</v>
      </c>
      <c r="AZ240" s="4">
        <v>-316569.94999999995</v>
      </c>
      <c r="BA240" s="4">
        <v>-313758.08999999997</v>
      </c>
      <c r="BB240" s="4">
        <v>-303382.01</v>
      </c>
      <c r="BC240" s="4">
        <v>-272669.55</v>
      </c>
      <c r="BD240" s="4">
        <v>-391133.56</v>
      </c>
      <c r="BE240" s="4">
        <v>-353367.87</v>
      </c>
      <c r="BF240" s="4">
        <v>18873.849999999977</v>
      </c>
      <c r="BG240" s="4">
        <f>IF(OR(MID(TBBP[[#This Row],[Coluna1]],1,1)="1",MID(TBBP[[#This Row],[Coluna1]],1,1)="2"),TBBP[[#This Row],[Coluna58]],SUM(AU240:BF240))</f>
        <v>-3149681.3899999997</v>
      </c>
      <c r="BH240" s="4">
        <v>-279782.26</v>
      </c>
      <c r="BI240" s="4">
        <v>-386330.66000000003</v>
      </c>
      <c r="BJ240" s="4">
        <v>-332514.40999999997</v>
      </c>
      <c r="BK240" s="4">
        <v>-348232.69</v>
      </c>
      <c r="BL240" s="4">
        <v>-352915.18</v>
      </c>
      <c r="BM240" s="4">
        <v>-377121.65</v>
      </c>
      <c r="BN240" s="4">
        <v>-337772.11</v>
      </c>
      <c r="BO240" s="4">
        <v>-382550.49</v>
      </c>
      <c r="BP240" s="4">
        <v>-428226.55</v>
      </c>
      <c r="BQ240" s="4">
        <v>-383221.7</v>
      </c>
      <c r="BR240" s="4">
        <v>-332465.10000000003</v>
      </c>
      <c r="BS240" s="4">
        <v>-345237.75</v>
      </c>
      <c r="BT240" s="4">
        <f>IF(OR(MID(TBBP[[#This Row],[Coluna1]],1,1)="1",MID(TBBP[[#This Row],[Coluna1]],1,1)="2"),TBBP[[#This Row],[Coluna127]],SUM(BH240:BS240))</f>
        <v>-4286370.5500000007</v>
      </c>
      <c r="BU240" s="4">
        <v>-423173.7</v>
      </c>
      <c r="BV240" s="4">
        <v>-406130.13</v>
      </c>
      <c r="BW240" s="4">
        <v>-365750.95999999996</v>
      </c>
      <c r="BX240" s="4">
        <v>-379426.23</v>
      </c>
      <c r="BY240" s="4">
        <v>-471609.36000000004</v>
      </c>
      <c r="BZ240" s="4">
        <v>-359052.81</v>
      </c>
      <c r="CA240" s="4">
        <v>-403397.23</v>
      </c>
      <c r="CB240" s="4">
        <v>-531934.59</v>
      </c>
      <c r="CC240" s="4">
        <v>-455619.92</v>
      </c>
      <c r="CD240" s="4">
        <v>-480328.85</v>
      </c>
      <c r="CE240" s="4">
        <v>-442406.95</v>
      </c>
      <c r="CF240" s="4">
        <v>-576412.03</v>
      </c>
      <c r="CG240" s="4">
        <f>IF(OR(MID(TBBP[[#This Row],[Coluna1]],1,1)="1",MID(TBBP[[#This Row],[Coluna1]],1,1)="2"),CF240,SUM(BU240:CF240))</f>
        <v>-5295242.76</v>
      </c>
      <c r="CH240" s="4">
        <v>-482904.47000000003</v>
      </c>
      <c r="CI240" s="4">
        <v>-520057.71</v>
      </c>
      <c r="CJ240" s="4">
        <v>-561433.30000000005</v>
      </c>
      <c r="CK240" s="4">
        <v>-434900.89</v>
      </c>
      <c r="CL240" s="4">
        <v>-549194.01</v>
      </c>
      <c r="CM240" s="4">
        <v>-625838.77</v>
      </c>
      <c r="CN240" s="4">
        <v>-700805.37</v>
      </c>
      <c r="CO240" s="4">
        <v>-739206.61</v>
      </c>
      <c r="CP240" s="4">
        <v>-710221.32000000007</v>
      </c>
      <c r="CQ240" s="4">
        <v>-685226.22</v>
      </c>
      <c r="CR240" s="4">
        <v>-654614.92000000004</v>
      </c>
      <c r="CS240" s="4">
        <v>-851414.80999999994</v>
      </c>
      <c r="CT240" s="4">
        <f>IF(OR(MID(TBBP[[#This Row],[Coluna1]],1,1)="1",MID(TBBP[[#This Row],[Coluna1]],1,1)="2"),CS240,SUM(CH240:CS240))</f>
        <v>-7515818.3999999994</v>
      </c>
      <c r="CU240" s="255">
        <v>-812746.8</v>
      </c>
      <c r="CV240" s="255">
        <v>-897737.58</v>
      </c>
      <c r="CW240" s="255">
        <v>-744039.28</v>
      </c>
      <c r="CX240" s="255">
        <v>-796017.9800000001</v>
      </c>
      <c r="CY240" s="255">
        <v>-730425.53</v>
      </c>
      <c r="CZ240" s="255">
        <v>-1292584.27</v>
      </c>
      <c r="DA240" s="255">
        <v>-812408.52</v>
      </c>
      <c r="DB240" s="255">
        <v>-787601.08</v>
      </c>
      <c r="DC240" s="255">
        <v>-886645.63</v>
      </c>
      <c r="DD240" s="255">
        <v>-773313.08000000007</v>
      </c>
      <c r="DE240" s="255">
        <v>-712261.32000000007</v>
      </c>
      <c r="DF240" s="255">
        <v>-1066838.28</v>
      </c>
      <c r="DG240" s="255">
        <f>SUM(TBBP[[#This Row],[Coluna287]:[Coluna298]])</f>
        <v>-10312619.35</v>
      </c>
      <c r="DH240" s="255">
        <v>-787612.24</v>
      </c>
      <c r="DI240" s="255">
        <v>-746364.65999999992</v>
      </c>
      <c r="DJ240" s="255">
        <v>-840464.28999999992</v>
      </c>
      <c r="DK240" s="255">
        <v>-875254.42</v>
      </c>
      <c r="DL240" s="255">
        <v>-821148.16000000003</v>
      </c>
      <c r="DM240" s="255">
        <v>-714950.29999999993</v>
      </c>
      <c r="DO240" t="s">
        <v>425</v>
      </c>
      <c r="DP240" s="30">
        <f>IF(OR(MID(TBBP[[#This Row],[Coluna1]],1,1)="1",MID(TBBP[[#This Row],[Coluna1]],1,1)="2"),"-",SUMIFS(240:240,listaPeriodos,$DR$1,listaPeriodos,$DR$2))</f>
        <v>-4785794.07</v>
      </c>
      <c r="DQ240" s="30">
        <v>-915948.37</v>
      </c>
      <c r="DR240" s="30">
        <f t="shared" si="180"/>
        <v>-5495690.2199999997</v>
      </c>
      <c r="DS240" s="30"/>
      <c r="DT240" s="30"/>
      <c r="DU240"/>
    </row>
    <row r="241" spans="1:125" x14ac:dyDescent="0.3">
      <c r="A241" s="7" t="s">
        <v>426</v>
      </c>
      <c r="B241" t="s">
        <v>547</v>
      </c>
      <c r="C241" s="4">
        <v>0</v>
      </c>
      <c r="D241" s="4">
        <v>0</v>
      </c>
      <c r="E241" s="4">
        <v>0</v>
      </c>
      <c r="F241" s="4">
        <v>0</v>
      </c>
      <c r="G241" s="4">
        <v>-197698.61</v>
      </c>
      <c r="H241" s="4">
        <v>-29364.639999999999</v>
      </c>
      <c r="I241" s="4">
        <v>-39098.86</v>
      </c>
      <c r="J241" s="4">
        <v>-37405.550000000003</v>
      </c>
      <c r="K241" s="4">
        <v>-37179.99</v>
      </c>
      <c r="L241" s="4">
        <v>-39418.490000000005</v>
      </c>
      <c r="M241" s="4">
        <v>-40795.990000000005</v>
      </c>
      <c r="N241" s="4">
        <v>-61023.93</v>
      </c>
      <c r="O241" s="4">
        <v>-33421.29</v>
      </c>
      <c r="P241" s="4">
        <v>-41328.33</v>
      </c>
      <c r="Q241" s="4">
        <v>-40692.31</v>
      </c>
      <c r="R241" s="4">
        <v>-45975.09</v>
      </c>
      <c r="S241" s="4">
        <v>-20727.509999999998</v>
      </c>
      <c r="T241" s="4">
        <f>IF(OR(MID(TBBP[[#This Row],[Coluna1]],1,1)="1",MID(TBBP[[#This Row],[Coluna1]],1,1)="2"),TBBP[[#This Row],[Coluna19]],SUM(H241:S241))</f>
        <v>-466431.98</v>
      </c>
      <c r="U241" s="4">
        <v>-53822.59</v>
      </c>
      <c r="V241" s="4">
        <v>-53218.47</v>
      </c>
      <c r="W241" s="4">
        <v>-41811.51</v>
      </c>
      <c r="X241" s="4">
        <v>-42550.09</v>
      </c>
      <c r="Y241" s="4">
        <v>-38524.51</v>
      </c>
      <c r="Z241" s="4">
        <v>-37509.32</v>
      </c>
      <c r="AA241" s="4">
        <v>-43079.31</v>
      </c>
      <c r="AB241" s="4">
        <v>-33376.730000000003</v>
      </c>
      <c r="AC241" s="4">
        <v>-47713.8</v>
      </c>
      <c r="AD241" s="4">
        <v>-21592.639999999999</v>
      </c>
      <c r="AE241" s="4">
        <v>-26279.31</v>
      </c>
      <c r="AF241" s="4">
        <v>-23158.129999999997</v>
      </c>
      <c r="AG241" s="4">
        <f>IF(OR(MID(TBBP[[#This Row],[Coluna1]],1,1)="1",MID(TBBP[[#This Row],[Coluna1]],1,1)="2"),TBBP[[#This Row],[Coluna32]],SUM(U241:AF241))</f>
        <v>-462636.41</v>
      </c>
      <c r="AH241" s="4">
        <v>-31537.18</v>
      </c>
      <c r="AI241" s="4">
        <v>-25834.880000000001</v>
      </c>
      <c r="AJ241" s="4">
        <v>-25037.65</v>
      </c>
      <c r="AK241" s="4">
        <v>-18928.620000000003</v>
      </c>
      <c r="AL241" s="4">
        <v>-18742.810000000001</v>
      </c>
      <c r="AM241" s="4">
        <v>-35542.170000000006</v>
      </c>
      <c r="AN241" s="4">
        <v>-30360.07</v>
      </c>
      <c r="AO241" s="4">
        <v>-35531.81</v>
      </c>
      <c r="AP241" s="4">
        <v>-29452.799999999999</v>
      </c>
      <c r="AQ241" s="4">
        <v>-39683.86</v>
      </c>
      <c r="AR241" s="4">
        <v>-35757.269999999997</v>
      </c>
      <c r="AS241" s="4">
        <v>-50051.37</v>
      </c>
      <c r="AT241" s="4">
        <f>IF(OR(MID(TBBP[[#This Row],[Coluna1]],1,1)="1",MID(TBBP[[#This Row],[Coluna1]],1,1)="2"),TBBP[[#This Row],[Coluna45]],SUM(AH241:AS241))</f>
        <v>-376460.49</v>
      </c>
      <c r="AU241" s="4">
        <v>-40309.850000000006</v>
      </c>
      <c r="AV241" s="4">
        <v>-25967.48</v>
      </c>
      <c r="AW241" s="4">
        <v>-34000.239999999998</v>
      </c>
      <c r="AX241" s="4">
        <v>-38998.46</v>
      </c>
      <c r="AY241" s="4">
        <v>-48720.52</v>
      </c>
      <c r="AZ241" s="4">
        <v>-66059.430000000008</v>
      </c>
      <c r="BA241" s="4">
        <v>-39769.31</v>
      </c>
      <c r="BB241" s="4">
        <v>-40182.5</v>
      </c>
      <c r="BC241" s="4">
        <v>-45946.649999999994</v>
      </c>
      <c r="BD241" s="4">
        <v>-54251.39</v>
      </c>
      <c r="BE241" s="4">
        <v>-57687.1</v>
      </c>
      <c r="BF241" s="4">
        <v>-36701.409999999996</v>
      </c>
      <c r="BG241" s="4">
        <f>IF(OR(MID(TBBP[[#This Row],[Coluna1]],1,1)="1",MID(TBBP[[#This Row],[Coluna1]],1,1)="2"),TBBP[[#This Row],[Coluna58]],SUM(AU241:BF241))</f>
        <v>-528594.34</v>
      </c>
      <c r="BH241" s="4">
        <v>-56541.94</v>
      </c>
      <c r="BI241" s="4">
        <v>-74649.090000000011</v>
      </c>
      <c r="BJ241" s="4">
        <v>-69238.759999999995</v>
      </c>
      <c r="BK241" s="4">
        <v>-63976.08</v>
      </c>
      <c r="BL241" s="4">
        <v>-83783.759999999995</v>
      </c>
      <c r="BM241" s="4">
        <v>-72886.59</v>
      </c>
      <c r="BN241" s="4">
        <v>-71761.459999999992</v>
      </c>
      <c r="BO241" s="4">
        <v>-72409.62999999999</v>
      </c>
      <c r="BP241" s="4">
        <v>-75628.200000000012</v>
      </c>
      <c r="BQ241" s="4">
        <v>-74482.59</v>
      </c>
      <c r="BR241" s="4">
        <v>-63843.89</v>
      </c>
      <c r="BS241" s="4">
        <v>-61242.55</v>
      </c>
      <c r="BT241" s="4">
        <f>IF(OR(MID(TBBP[[#This Row],[Coluna1]],1,1)="1",MID(TBBP[[#This Row],[Coluna1]],1,1)="2"),TBBP[[#This Row],[Coluna127]],SUM(BH241:BS241))</f>
        <v>-840444.54</v>
      </c>
      <c r="BU241" s="4">
        <v>-70152.91</v>
      </c>
      <c r="BV241" s="4">
        <v>-71469.42</v>
      </c>
      <c r="BW241" s="4">
        <v>-75695.89</v>
      </c>
      <c r="BX241" s="4">
        <v>-63662.3</v>
      </c>
      <c r="BY241" s="4">
        <v>-87946.76</v>
      </c>
      <c r="BZ241" s="4">
        <v>-72850.53</v>
      </c>
      <c r="CA241" s="4">
        <v>-81223.070000000007</v>
      </c>
      <c r="CB241" s="4">
        <v>-77246.7</v>
      </c>
      <c r="CC241" s="4">
        <v>-77721.679999999993</v>
      </c>
      <c r="CD241" s="4">
        <v>-78940.55</v>
      </c>
      <c r="CE241" s="4">
        <v>-88512.79</v>
      </c>
      <c r="CF241" s="4">
        <v>-85941.16</v>
      </c>
      <c r="CG241" s="4">
        <f>IF(OR(MID(TBBP[[#This Row],[Coluna1]],1,1)="1",MID(TBBP[[#This Row],[Coluna1]],1,1)="2"),CF241,SUM(BU241:CF241))</f>
        <v>-931363.76000000013</v>
      </c>
      <c r="CH241" s="4">
        <v>-79081.740000000005</v>
      </c>
      <c r="CI241" s="4">
        <v>-79487.5</v>
      </c>
      <c r="CJ241" s="4">
        <v>-80956.390000000014</v>
      </c>
      <c r="CK241" s="4">
        <v>-84711.319999999992</v>
      </c>
      <c r="CL241" s="4">
        <v>-83597.509999999995</v>
      </c>
      <c r="CM241" s="4">
        <v>-89962.97</v>
      </c>
      <c r="CN241" s="4">
        <v>-100275.45</v>
      </c>
      <c r="CO241" s="4">
        <v>-89720.29</v>
      </c>
      <c r="CP241" s="4">
        <v>-85251.810000000012</v>
      </c>
      <c r="CQ241" s="4">
        <v>-93430.42</v>
      </c>
      <c r="CR241" s="4">
        <v>-88574.399999999994</v>
      </c>
      <c r="CS241" s="4">
        <v>-80982.509999999995</v>
      </c>
      <c r="CT241" s="4">
        <f>IF(OR(MID(TBBP[[#This Row],[Coluna1]],1,1)="1",MID(TBBP[[#This Row],[Coluna1]],1,1)="2"),CS241,SUM(CH241:CS241))</f>
        <v>-1036032.3100000002</v>
      </c>
      <c r="CU241" s="255">
        <v>-145870.03999999998</v>
      </c>
      <c r="CV241" s="255">
        <v>-137622.16</v>
      </c>
      <c r="CW241" s="255">
        <v>-133133.31</v>
      </c>
      <c r="CX241" s="255">
        <v>-135571.78</v>
      </c>
      <c r="CY241" s="255">
        <v>-104493.37</v>
      </c>
      <c r="CZ241" s="255">
        <v>-159453.74000000002</v>
      </c>
      <c r="DA241" s="255">
        <v>-144666.72</v>
      </c>
      <c r="DB241" s="255">
        <v>-161998.60999999999</v>
      </c>
      <c r="DC241" s="255">
        <v>-163885.68000000002</v>
      </c>
      <c r="DD241" s="255">
        <v>-166084.12000000002</v>
      </c>
      <c r="DE241" s="255">
        <v>-139567.21</v>
      </c>
      <c r="DF241" s="255">
        <v>-156617.49000000002</v>
      </c>
      <c r="DG241" s="255">
        <f>SUM(TBBP[[#This Row],[Coluna287]:[Coluna298]])</f>
        <v>-1748964.23</v>
      </c>
      <c r="DH241" s="255">
        <v>-146047.00999999998</v>
      </c>
      <c r="DI241" s="255">
        <v>-142545.57</v>
      </c>
      <c r="DJ241" s="255">
        <v>-193381.19</v>
      </c>
      <c r="DK241" s="255">
        <v>-181887.58</v>
      </c>
      <c r="DL241" s="255">
        <v>-153958.21</v>
      </c>
      <c r="DM241" s="255">
        <v>-70572.58</v>
      </c>
      <c r="DO241" t="s">
        <v>426</v>
      </c>
      <c r="DP241" s="30">
        <f>IF(OR(MID(TBBP[[#This Row],[Coluna1]],1,1)="1",MID(TBBP[[#This Row],[Coluna1]],1,1)="2"),"-",SUMIFS(241:241,listaPeriodos,$DR$1,listaPeriodos,$DR$2))</f>
        <v>-888392.1399999999</v>
      </c>
      <c r="DQ241" s="30">
        <v>-181292.11</v>
      </c>
      <c r="DR241" s="30">
        <f t="shared" si="180"/>
        <v>-1087752.6599999999</v>
      </c>
      <c r="DS241" s="30"/>
      <c r="DT241" s="30"/>
      <c r="DU241"/>
    </row>
    <row r="242" spans="1:125" x14ac:dyDescent="0.3">
      <c r="A242" s="7" t="s">
        <v>427</v>
      </c>
      <c r="B242" t="s">
        <v>505</v>
      </c>
      <c r="C242" s="4">
        <v>0</v>
      </c>
      <c r="D242" s="4">
        <v>0</v>
      </c>
      <c r="E242" s="4">
        <v>0</v>
      </c>
      <c r="F242" s="4">
        <v>0</v>
      </c>
      <c r="G242" s="4">
        <v>-8294.4599999999991</v>
      </c>
      <c r="H242" s="4">
        <v>0</v>
      </c>
      <c r="I242" s="4">
        <v>-715.81</v>
      </c>
      <c r="J242" s="4">
        <v>-715.81</v>
      </c>
      <c r="K242" s="4">
        <v>-715.81</v>
      </c>
      <c r="L242" s="4">
        <v>-1260.81</v>
      </c>
      <c r="M242" s="4">
        <v>-715.81</v>
      </c>
      <c r="N242" s="4">
        <v>-1539.18</v>
      </c>
      <c r="O242" s="4">
        <v>-1260.81</v>
      </c>
      <c r="P242" s="4">
        <v>-825.18</v>
      </c>
      <c r="Q242" s="4">
        <v>-1372.03</v>
      </c>
      <c r="R242" s="4">
        <v>-715.81</v>
      </c>
      <c r="S242" s="4">
        <v>-1043.92</v>
      </c>
      <c r="T242" s="4">
        <f>IF(OR(MID(TBBP[[#This Row],[Coluna1]],1,1)="1",MID(TBBP[[#This Row],[Coluna1]],1,1)="2"),TBBP[[#This Row],[Coluna19]],SUM(H242:S242))</f>
        <v>-10880.98</v>
      </c>
      <c r="U242" s="4">
        <v>-994.18</v>
      </c>
      <c r="V242" s="4">
        <v>-947.64</v>
      </c>
      <c r="W242" s="4">
        <v>-1142.01</v>
      </c>
      <c r="X242" s="4">
        <v>-770.86</v>
      </c>
      <c r="Y242" s="4">
        <v>-800.24</v>
      </c>
      <c r="Z242" s="4">
        <v>0</v>
      </c>
      <c r="AA242" s="4">
        <v>-1236.7</v>
      </c>
      <c r="AB242" s="4">
        <v>-367.41</v>
      </c>
      <c r="AC242" s="4">
        <v>0</v>
      </c>
      <c r="AD242" s="4">
        <v>-1429.03</v>
      </c>
      <c r="AE242" s="4">
        <v>-1049.25</v>
      </c>
      <c r="AF242" s="4">
        <v>-489.89</v>
      </c>
      <c r="AG242" s="4">
        <f>IF(OR(MID(TBBP[[#This Row],[Coluna1]],1,1)="1",MID(TBBP[[#This Row],[Coluna1]],1,1)="2"),TBBP[[#This Row],[Coluna32]],SUM(U242:AF242))</f>
        <v>-9227.2099999999991</v>
      </c>
      <c r="AH242" s="4">
        <v>-600</v>
      </c>
      <c r="AI242" s="4">
        <v>-819.45</v>
      </c>
      <c r="AJ242" s="4">
        <v>-479.2</v>
      </c>
      <c r="AK242" s="4">
        <v>0</v>
      </c>
      <c r="AL242" s="4">
        <v>0</v>
      </c>
      <c r="AM242" s="4">
        <v>0</v>
      </c>
      <c r="AN242" s="4">
        <v>0</v>
      </c>
      <c r="AO242" s="4">
        <v>0</v>
      </c>
      <c r="AP242" s="4">
        <v>0</v>
      </c>
      <c r="AQ242" s="4">
        <v>0</v>
      </c>
      <c r="AR242" s="4">
        <v>0</v>
      </c>
      <c r="AS242" s="4">
        <v>0</v>
      </c>
      <c r="AT242" s="4">
        <f>IF(OR(MID(TBBP[[#This Row],[Coluna1]],1,1)="1",MID(TBBP[[#This Row],[Coluna1]],1,1)="2"),TBBP[[#This Row],[Coluna45]],SUM(AH242:AS242))</f>
        <v>-1898.65</v>
      </c>
      <c r="AU242" s="4">
        <v>0</v>
      </c>
      <c r="AV242" s="4">
        <v>0</v>
      </c>
      <c r="AW242" s="4">
        <v>0</v>
      </c>
      <c r="AX242" s="4">
        <v>0</v>
      </c>
      <c r="AY242" s="4">
        <v>0</v>
      </c>
      <c r="AZ242" s="4">
        <v>0</v>
      </c>
      <c r="BA242" s="4">
        <v>0</v>
      </c>
      <c r="BB242" s="4">
        <v>0</v>
      </c>
      <c r="BC242" s="4">
        <v>0</v>
      </c>
      <c r="BD242" s="4">
        <v>0</v>
      </c>
      <c r="BE242" s="4">
        <v>0</v>
      </c>
      <c r="BF242" s="4">
        <v>0</v>
      </c>
      <c r="BG242" s="4">
        <f>IF(OR(MID(TBBP[[#This Row],[Coluna1]],1,1)="1",MID(TBBP[[#This Row],[Coluna1]],1,1)="2"),TBBP[[#This Row],[Coluna58]],SUM(AU242:BF242))</f>
        <v>0</v>
      </c>
      <c r="BH242" s="4">
        <v>0</v>
      </c>
      <c r="BI242" s="4">
        <v>0</v>
      </c>
      <c r="BJ242" s="4">
        <v>0</v>
      </c>
      <c r="BK242" s="4">
        <v>0</v>
      </c>
      <c r="BL242" s="4">
        <v>0</v>
      </c>
      <c r="BM242" s="4">
        <v>0</v>
      </c>
      <c r="BN242" s="4">
        <v>0</v>
      </c>
      <c r="BO242" s="4">
        <v>0</v>
      </c>
      <c r="BP242" s="4">
        <v>0</v>
      </c>
      <c r="BQ242" s="4">
        <v>0</v>
      </c>
      <c r="BR242" s="4">
        <v>0</v>
      </c>
      <c r="BS242" s="4">
        <v>0</v>
      </c>
      <c r="BT242" s="4">
        <f>IF(OR(MID(TBBP[[#This Row],[Coluna1]],1,1)="1",MID(TBBP[[#This Row],[Coluna1]],1,1)="2"),TBBP[[#This Row],[Coluna127]],SUM(BH242:BS242))</f>
        <v>0</v>
      </c>
      <c r="BU242" s="4">
        <v>-396</v>
      </c>
      <c r="BV242" s="4">
        <v>-396</v>
      </c>
      <c r="BW242" s="4">
        <v>-396</v>
      </c>
      <c r="BX242" s="4">
        <v>-396</v>
      </c>
      <c r="BY242" s="4">
        <v>-396</v>
      </c>
      <c r="BZ242" s="4">
        <v>-396</v>
      </c>
      <c r="CA242" s="4">
        <v>-440</v>
      </c>
      <c r="CB242" s="4">
        <v>-440</v>
      </c>
      <c r="CC242" s="4">
        <v>-440</v>
      </c>
      <c r="CD242" s="4">
        <v>-396</v>
      </c>
      <c r="CE242" s="4">
        <v>-396</v>
      </c>
      <c r="CF242" s="4">
        <v>-396</v>
      </c>
      <c r="CG242" s="4">
        <f>IF(OR(MID(TBBP[[#This Row],[Coluna1]],1,1)="1",MID(TBBP[[#This Row],[Coluna1]],1,1)="2"),CF242,SUM(BU242:CF242))</f>
        <v>-4884</v>
      </c>
      <c r="CH242" s="4">
        <v>-1880</v>
      </c>
      <c r="CI242" s="4">
        <v>-140</v>
      </c>
      <c r="CJ242" s="4">
        <v>-317.19</v>
      </c>
      <c r="CK242" s="4">
        <v>-679.73</v>
      </c>
      <c r="CL242" s="4">
        <v>-140</v>
      </c>
      <c r="CM242" s="4">
        <v>-140</v>
      </c>
      <c r="CN242" s="4">
        <v>-140</v>
      </c>
      <c r="CO242" s="4">
        <v>-140</v>
      </c>
      <c r="CP242" s="4">
        <v>-140</v>
      </c>
      <c r="CQ242" s="4">
        <v>-140</v>
      </c>
      <c r="CR242" s="4">
        <v>-538.5</v>
      </c>
      <c r="CS242" s="4">
        <v>-140</v>
      </c>
      <c r="CT242" s="4">
        <f>IF(OR(MID(TBBP[[#This Row],[Coluna1]],1,1)="1",MID(TBBP[[#This Row],[Coluna1]],1,1)="2"),CS242,SUM(CH242:CS242))</f>
        <v>-4535.42</v>
      </c>
      <c r="CU242" s="255">
        <v>0</v>
      </c>
      <c r="CV242" s="255">
        <v>-291.67</v>
      </c>
      <c r="CW242" s="255">
        <v>0</v>
      </c>
      <c r="CX242" s="255">
        <v>0</v>
      </c>
      <c r="CY242" s="255">
        <v>0</v>
      </c>
      <c r="CZ242" s="255">
        <v>0</v>
      </c>
      <c r="DA242" s="255">
        <v>0</v>
      </c>
      <c r="DB242" s="255">
        <v>0</v>
      </c>
      <c r="DC242" s="255">
        <v>0</v>
      </c>
      <c r="DD242" s="255">
        <v>0</v>
      </c>
      <c r="DE242" s="255">
        <v>0</v>
      </c>
      <c r="DF242" s="255">
        <v>0</v>
      </c>
      <c r="DG242" s="255">
        <f>SUM(TBBP[[#This Row],[Coluna287]:[Coluna298]])</f>
        <v>-291.67</v>
      </c>
      <c r="DH242" s="255">
        <v>0</v>
      </c>
      <c r="DI242" s="255">
        <v>0</v>
      </c>
      <c r="DJ242" s="255">
        <v>0</v>
      </c>
      <c r="DK242" s="255">
        <v>0</v>
      </c>
      <c r="DL242" s="255">
        <v>0</v>
      </c>
      <c r="DM242" s="255">
        <v>0</v>
      </c>
      <c r="DP242" s="30">
        <f>IF(OR(MID(TBBP[[#This Row],[Coluna1]],1,1)="1",MID(TBBP[[#This Row],[Coluna1]],1,1)="2"),"-",SUMIFS(242:242,listaPeriodos,$DR$1,listaPeriodos,$DR$2))</f>
        <v>0</v>
      </c>
      <c r="DQ242" s="30"/>
      <c r="DR242" s="30">
        <f t="shared" si="180"/>
        <v>0</v>
      </c>
      <c r="DS242" s="30"/>
      <c r="DT242" s="30"/>
      <c r="DU242"/>
    </row>
    <row r="243" spans="1:125" x14ac:dyDescent="0.3">
      <c r="A243" s="7" t="s">
        <v>428</v>
      </c>
      <c r="B243" t="s">
        <v>561</v>
      </c>
      <c r="C243" s="4">
        <v>0</v>
      </c>
      <c r="D243" s="4">
        <v>0</v>
      </c>
      <c r="E243" s="4">
        <v>0</v>
      </c>
      <c r="F243" s="4">
        <v>0</v>
      </c>
      <c r="G243" s="4">
        <v>-338234.96</v>
      </c>
      <c r="H243" s="4">
        <v>-32894.69</v>
      </c>
      <c r="I243" s="4">
        <v>-38467.99</v>
      </c>
      <c r="J243" s="4">
        <v>-30620.2</v>
      </c>
      <c r="K243" s="4">
        <v>-32200.859999999997</v>
      </c>
      <c r="L243" s="4">
        <v>-35783.25</v>
      </c>
      <c r="M243" s="4">
        <v>-33649.97</v>
      </c>
      <c r="N243" s="4">
        <v>-50930.83</v>
      </c>
      <c r="O243" s="4">
        <v>-33536.04</v>
      </c>
      <c r="P243" s="4">
        <v>-46087.199999999997</v>
      </c>
      <c r="Q243" s="4">
        <v>-40430.04</v>
      </c>
      <c r="R243" s="4">
        <v>-35766.29</v>
      </c>
      <c r="S243" s="4">
        <v>-35811.81</v>
      </c>
      <c r="T243" s="4">
        <f>IF(OR(MID(TBBP[[#This Row],[Coluna1]],1,1)="1",MID(TBBP[[#This Row],[Coluna1]],1,1)="2"),TBBP[[#This Row],[Coluna19]],SUM(H243:S243))</f>
        <v>-446179.16999999993</v>
      </c>
      <c r="U243" s="4">
        <v>-27877.88</v>
      </c>
      <c r="V243" s="4">
        <v>-32895.83</v>
      </c>
      <c r="W243" s="4">
        <v>-23315.43</v>
      </c>
      <c r="X243" s="4">
        <v>-26744.03</v>
      </c>
      <c r="Y243" s="4">
        <v>-28364.74</v>
      </c>
      <c r="Z243" s="4">
        <v>-32727.08</v>
      </c>
      <c r="AA243" s="4">
        <v>-43431.26</v>
      </c>
      <c r="AB243" s="4">
        <v>-21184.39</v>
      </c>
      <c r="AC243" s="4">
        <v>-34823.760000000002</v>
      </c>
      <c r="AD243" s="4">
        <v>-38909.89</v>
      </c>
      <c r="AE243" s="4">
        <v>-41865.120000000003</v>
      </c>
      <c r="AF243" s="4">
        <v>-30429.86</v>
      </c>
      <c r="AG243" s="4">
        <f>IF(OR(MID(TBBP[[#This Row],[Coluna1]],1,1)="1",MID(TBBP[[#This Row],[Coluna1]],1,1)="2"),TBBP[[#This Row],[Coluna32]],SUM(U243:AF243))</f>
        <v>-382569.27</v>
      </c>
      <c r="AH243" s="4">
        <v>-41279.72</v>
      </c>
      <c r="AI243" s="4">
        <v>-26971.58</v>
      </c>
      <c r="AJ243" s="4">
        <v>-54362.67</v>
      </c>
      <c r="AK243" s="4">
        <v>-23732.22</v>
      </c>
      <c r="AL243" s="4">
        <v>-33356.39</v>
      </c>
      <c r="AM243" s="4">
        <v>-39580.559999999998</v>
      </c>
      <c r="AN243" s="4">
        <v>-40519.019999999997</v>
      </c>
      <c r="AO243" s="4">
        <v>-41526.01</v>
      </c>
      <c r="AP243" s="4">
        <v>-50058.74</v>
      </c>
      <c r="AQ243" s="4">
        <v>-34795.01</v>
      </c>
      <c r="AR243" s="4">
        <v>-53426.61</v>
      </c>
      <c r="AS243" s="4">
        <v>-49203.71</v>
      </c>
      <c r="AT243" s="4">
        <f>IF(OR(MID(TBBP[[#This Row],[Coluna1]],1,1)="1",MID(TBBP[[#This Row],[Coluna1]],1,1)="2"),TBBP[[#This Row],[Coluna45]],SUM(AH243:AS243))</f>
        <v>-488812.24</v>
      </c>
      <c r="AU243" s="4">
        <v>-46714</v>
      </c>
      <c r="AV243" s="4">
        <v>-122816.27</v>
      </c>
      <c r="AW243" s="4">
        <v>-30456.880000000001</v>
      </c>
      <c r="AX243" s="4">
        <v>-38441.550000000003</v>
      </c>
      <c r="AY243" s="4">
        <v>-33998.300000000003</v>
      </c>
      <c r="AZ243" s="4">
        <v>-58738.58</v>
      </c>
      <c r="BA243" s="4">
        <v>-60554.09</v>
      </c>
      <c r="BB243" s="4">
        <v>-66071.649999999994</v>
      </c>
      <c r="BC243" s="4">
        <v>-47378.99</v>
      </c>
      <c r="BD243" s="4">
        <v>-94441.21</v>
      </c>
      <c r="BE243" s="4">
        <v>-65569.55</v>
      </c>
      <c r="BF243" s="4">
        <v>-81344.820000000007</v>
      </c>
      <c r="BG243" s="4">
        <f>IF(OR(MID(TBBP[[#This Row],[Coluna1]],1,1)="1",MID(TBBP[[#This Row],[Coluna1]],1,1)="2"),TBBP[[#This Row],[Coluna58]],SUM(AU243:BF243))</f>
        <v>-746525.89000000013</v>
      </c>
      <c r="BH243" s="4">
        <v>-43723.27</v>
      </c>
      <c r="BI243" s="4">
        <v>-128172.74</v>
      </c>
      <c r="BJ243" s="4">
        <v>-84346.41</v>
      </c>
      <c r="BK243" s="4">
        <v>-81096.240000000005</v>
      </c>
      <c r="BL243" s="4">
        <v>-81283.42</v>
      </c>
      <c r="BM243" s="4">
        <v>-110663.67999999999</v>
      </c>
      <c r="BN243" s="4">
        <v>-74583.91</v>
      </c>
      <c r="BO243" s="4">
        <v>-121087.37</v>
      </c>
      <c r="BP243" s="4">
        <v>-93261.54</v>
      </c>
      <c r="BQ243" s="4">
        <v>-103167.1</v>
      </c>
      <c r="BR243" s="4">
        <v>-74899.149999999994</v>
      </c>
      <c r="BS243" s="4">
        <v>-78357.09</v>
      </c>
      <c r="BT243" s="4">
        <f>IF(OR(MID(TBBP[[#This Row],[Coluna1]],1,1)="1",MID(TBBP[[#This Row],[Coluna1]],1,1)="2"),TBBP[[#This Row],[Coluna127]],SUM(BH243:BS243))</f>
        <v>-1074641.9200000002</v>
      </c>
      <c r="BU243" s="4">
        <v>-130860.76</v>
      </c>
      <c r="BV243" s="4">
        <v>-106957.44</v>
      </c>
      <c r="BW243" s="4">
        <v>-90224.75</v>
      </c>
      <c r="BX243" s="4">
        <v>-73351.89</v>
      </c>
      <c r="BY243" s="4">
        <v>-90460.12</v>
      </c>
      <c r="BZ243" s="4">
        <v>-75786.84</v>
      </c>
      <c r="CA243" s="4">
        <v>-65057.56</v>
      </c>
      <c r="CB243" s="4">
        <v>-158338.69</v>
      </c>
      <c r="CC243" s="4">
        <v>-93548.35</v>
      </c>
      <c r="CD243" s="4">
        <v>-131135.32999999999</v>
      </c>
      <c r="CE243" s="4">
        <v>-98128.28</v>
      </c>
      <c r="CF243" s="4">
        <v>-120533.24</v>
      </c>
      <c r="CG243" s="4">
        <f>IF(OR(MID(TBBP[[#This Row],[Coluna1]],1,1)="1",MID(TBBP[[#This Row],[Coluna1]],1,1)="2"),CF243,SUM(BU243:CF243))</f>
        <v>-1234383.25</v>
      </c>
      <c r="CH243" s="4">
        <v>-141646.56</v>
      </c>
      <c r="CI243" s="4">
        <v>-126456.42</v>
      </c>
      <c r="CJ243" s="4">
        <v>-81417.440000000002</v>
      </c>
      <c r="CK243" s="4">
        <v>-88837.53</v>
      </c>
      <c r="CL243" s="4">
        <v>-94490.91</v>
      </c>
      <c r="CM243" s="4">
        <v>-85958.96</v>
      </c>
      <c r="CN243" s="4">
        <v>-93660.72</v>
      </c>
      <c r="CO243" s="4">
        <v>-108427.28</v>
      </c>
      <c r="CP243" s="4">
        <v>-83209.09</v>
      </c>
      <c r="CQ243" s="4">
        <v>-97687.12</v>
      </c>
      <c r="CR243" s="4">
        <v>-85581.32</v>
      </c>
      <c r="CS243" s="4">
        <v>-120199.71</v>
      </c>
      <c r="CT243" s="4">
        <f>IF(OR(MID(TBBP[[#This Row],[Coluna1]],1,1)="1",MID(TBBP[[#This Row],[Coluna1]],1,1)="2"),CS243,SUM(CH243:CS243))</f>
        <v>-1207573.0599999998</v>
      </c>
      <c r="CU243" s="255">
        <v>-151788.64000000001</v>
      </c>
      <c r="CV243" s="255">
        <v>-206343.13</v>
      </c>
      <c r="CW243" s="255">
        <v>-95858.33</v>
      </c>
      <c r="CX243" s="255">
        <v>-101278.89</v>
      </c>
      <c r="CY243" s="255">
        <v>-97287.61</v>
      </c>
      <c r="CZ243" s="255">
        <v>-99209.44</v>
      </c>
      <c r="DA243" s="255">
        <v>-122784.34</v>
      </c>
      <c r="DB243" s="255">
        <v>-123701.26</v>
      </c>
      <c r="DC243" s="255">
        <v>-97519.51</v>
      </c>
      <c r="DD243" s="255">
        <v>-75312.539999999994</v>
      </c>
      <c r="DE243" s="255">
        <v>-82348.479999999996</v>
      </c>
      <c r="DF243" s="255">
        <v>-94355.01</v>
      </c>
      <c r="DG243" s="255">
        <f>SUM(TBBP[[#This Row],[Coluna287]:[Coluna298]])</f>
        <v>-1347787.18</v>
      </c>
      <c r="DH243" s="255">
        <v>-105989.47</v>
      </c>
      <c r="DI243" s="255">
        <v>-96726.13</v>
      </c>
      <c r="DJ243" s="255">
        <v>-112236.15</v>
      </c>
      <c r="DK243" s="255">
        <v>-158959.59</v>
      </c>
      <c r="DL243" s="255">
        <v>-115433.43</v>
      </c>
      <c r="DM243" s="255">
        <v>-87867.95</v>
      </c>
      <c r="DO243" t="s">
        <v>428</v>
      </c>
      <c r="DP243" s="30">
        <f>IF(OR(MID(TBBP[[#This Row],[Coluna1]],1,1)="1",MID(TBBP[[#This Row],[Coluna1]],1,1)="2"),"-",SUMIFS(243:243,listaPeriodos,$DR$1,listaPeriodos,$DR$2))</f>
        <v>-677212.72</v>
      </c>
      <c r="DQ243" s="30">
        <v>-159415.57999999999</v>
      </c>
      <c r="DR243" s="30">
        <f t="shared" si="180"/>
        <v>-956493.48</v>
      </c>
      <c r="DS243" s="30"/>
      <c r="DT243" s="30"/>
      <c r="DU243"/>
    </row>
    <row r="244" spans="1:125" x14ac:dyDescent="0.3">
      <c r="A244" s="7" t="s">
        <v>429</v>
      </c>
      <c r="B244" t="s">
        <v>562</v>
      </c>
      <c r="C244" s="4">
        <v>0</v>
      </c>
      <c r="D244" s="4">
        <v>0</v>
      </c>
      <c r="E244" s="4">
        <v>0</v>
      </c>
      <c r="F244" s="4">
        <v>0</v>
      </c>
      <c r="G244" s="4">
        <v>-77761.05</v>
      </c>
      <c r="H244" s="4">
        <v>-3000</v>
      </c>
      <c r="I244" s="4">
        <v>-15446.12</v>
      </c>
      <c r="J244" s="4">
        <v>-12750</v>
      </c>
      <c r="K244" s="4">
        <v>-7764.69</v>
      </c>
      <c r="L244" s="4">
        <v>-10093.549999999999</v>
      </c>
      <c r="M244" s="4">
        <v>-3714.53</v>
      </c>
      <c r="N244" s="4">
        <v>-7000</v>
      </c>
      <c r="O244" s="4">
        <v>-3000</v>
      </c>
      <c r="P244" s="4">
        <v>-3000</v>
      </c>
      <c r="Q244" s="4">
        <v>-6000</v>
      </c>
      <c r="R244" s="4">
        <v>-4500</v>
      </c>
      <c r="S244" s="4">
        <v>-9842.07</v>
      </c>
      <c r="T244" s="4">
        <f>IF(OR(MID(TBBP[[#This Row],[Coluna1]],1,1)="1",MID(TBBP[[#This Row],[Coluna1]],1,1)="2"),TBBP[[#This Row],[Coluna19]],SUM(H244:S244))</f>
        <v>-86110.959999999992</v>
      </c>
      <c r="U244" s="4">
        <v>-4500</v>
      </c>
      <c r="V244" s="4">
        <v>0</v>
      </c>
      <c r="W244" s="4">
        <v>-4826.95</v>
      </c>
      <c r="X244" s="4">
        <v>-5074.2</v>
      </c>
      <c r="Y244" s="4">
        <v>-4500</v>
      </c>
      <c r="Z244" s="4">
        <v>-4500</v>
      </c>
      <c r="AA244" s="4">
        <v>-4837.3599999999997</v>
      </c>
      <c r="AB244" s="4">
        <v>-4726.97</v>
      </c>
      <c r="AC244" s="4">
        <v>-14500</v>
      </c>
      <c r="AD244" s="4">
        <v>-9500</v>
      </c>
      <c r="AE244" s="4">
        <v>-9500</v>
      </c>
      <c r="AF244" s="4">
        <v>-9000</v>
      </c>
      <c r="AG244" s="4">
        <f>IF(OR(MID(TBBP[[#This Row],[Coluna1]],1,1)="1",MID(TBBP[[#This Row],[Coluna1]],1,1)="2"),TBBP[[#This Row],[Coluna32]],SUM(U244:AF244))</f>
        <v>-75465.48000000001</v>
      </c>
      <c r="AH244" s="4">
        <v>-4500</v>
      </c>
      <c r="AI244" s="4">
        <v>0</v>
      </c>
      <c r="AJ244" s="4">
        <v>-9023.5499999999993</v>
      </c>
      <c r="AK244" s="4">
        <v>-4704.1000000000004</v>
      </c>
      <c r="AL244" s="4">
        <v>-4500</v>
      </c>
      <c r="AM244" s="4">
        <v>-4525.8</v>
      </c>
      <c r="AN244" s="4">
        <v>-4500</v>
      </c>
      <c r="AO244" s="4">
        <v>-4500</v>
      </c>
      <c r="AP244" s="4">
        <v>-4500</v>
      </c>
      <c r="AQ244" s="4">
        <v>0</v>
      </c>
      <c r="AR244" s="4">
        <v>-19000</v>
      </c>
      <c r="AS244" s="4">
        <v>-4694.12</v>
      </c>
      <c r="AT244" s="4">
        <f>IF(OR(MID(TBBP[[#This Row],[Coluna1]],1,1)="1",MID(TBBP[[#This Row],[Coluna1]],1,1)="2"),TBBP[[#This Row],[Coluna45]],SUM(AH244:AS244))</f>
        <v>-64447.57</v>
      </c>
      <c r="AU244" s="4">
        <v>-4589.7</v>
      </c>
      <c r="AV244" s="4">
        <v>-4500</v>
      </c>
      <c r="AW244" s="4">
        <v>-4500</v>
      </c>
      <c r="AX244" s="4">
        <v>-5090.62</v>
      </c>
      <c r="AY244" s="4">
        <v>-4500</v>
      </c>
      <c r="AZ244" s="4">
        <v>-18985.240000000002</v>
      </c>
      <c r="BA244" s="4">
        <v>-19184.330000000002</v>
      </c>
      <c r="BB244" s="4">
        <v>-7712.26</v>
      </c>
      <c r="BC244" s="4">
        <v>-4500</v>
      </c>
      <c r="BD244" s="4">
        <v>-4500</v>
      </c>
      <c r="BE244" s="4">
        <v>-4700</v>
      </c>
      <c r="BF244" s="4">
        <v>-4731.1000000000004</v>
      </c>
      <c r="BG244" s="4">
        <f>IF(OR(MID(TBBP[[#This Row],[Coluna1]],1,1)="1",MID(TBBP[[#This Row],[Coluna1]],1,1)="2"),TBBP[[#This Row],[Coluna58]],SUM(AU244:BF244))</f>
        <v>-87493.25</v>
      </c>
      <c r="BH244" s="4">
        <v>-3959.91</v>
      </c>
      <c r="BI244" s="4">
        <v>-7500</v>
      </c>
      <c r="BJ244" s="4">
        <v>-3783.65</v>
      </c>
      <c r="BK244" s="4">
        <v>-3500</v>
      </c>
      <c r="BL244" s="4">
        <v>-12054.07</v>
      </c>
      <c r="BM244" s="4">
        <v>-8000</v>
      </c>
      <c r="BN244" s="4">
        <v>-11500</v>
      </c>
      <c r="BO244" s="4">
        <v>-11533.6</v>
      </c>
      <c r="BP244" s="4">
        <v>-11500</v>
      </c>
      <c r="BQ244" s="4">
        <v>-11500</v>
      </c>
      <c r="BR244" s="4">
        <v>-3538.76</v>
      </c>
      <c r="BS244" s="4">
        <v>-11500</v>
      </c>
      <c r="BT244" s="4">
        <f>IF(OR(MID(TBBP[[#This Row],[Coluna1]],1,1)="1",MID(TBBP[[#This Row],[Coluna1]],1,1)="2"),TBBP[[#This Row],[Coluna127]],SUM(BH244:BS244))</f>
        <v>-99869.989999999991</v>
      </c>
      <c r="BU244" s="4">
        <v>-11500</v>
      </c>
      <c r="BV244" s="4">
        <v>-11500</v>
      </c>
      <c r="BW244" s="4">
        <v>-11500</v>
      </c>
      <c r="BX244" s="4">
        <v>-8000</v>
      </c>
      <c r="BY244" s="4">
        <v>-3500</v>
      </c>
      <c r="BZ244" s="4">
        <v>-4061.7</v>
      </c>
      <c r="CA244" s="4">
        <v>-3500</v>
      </c>
      <c r="CB244" s="4">
        <v>-3759.4</v>
      </c>
      <c r="CC244" s="4">
        <v>-3500</v>
      </c>
      <c r="CD244" s="4">
        <v>-3557.35</v>
      </c>
      <c r="CE244" s="4">
        <v>-3842.8</v>
      </c>
      <c r="CF244" s="4">
        <v>-3605.98</v>
      </c>
      <c r="CG244" s="4">
        <f>IF(OR(MID(TBBP[[#This Row],[Coluna1]],1,1)="1",MID(TBBP[[#This Row],[Coluna1]],1,1)="2"),CF244,SUM(BU244:CF244))</f>
        <v>-71827.23</v>
      </c>
      <c r="CH244" s="4">
        <v>-3800</v>
      </c>
      <c r="CI244" s="4">
        <v>-3500</v>
      </c>
      <c r="CJ244" s="4">
        <v>-3500</v>
      </c>
      <c r="CK244" s="4">
        <v>-3976.8</v>
      </c>
      <c r="CL244" s="4">
        <v>-3775.52</v>
      </c>
      <c r="CM244" s="4">
        <v>-3565.38</v>
      </c>
      <c r="CN244" s="4">
        <v>-3532.75</v>
      </c>
      <c r="CO244" s="4">
        <v>-3500</v>
      </c>
      <c r="CP244" s="4">
        <v>-3500</v>
      </c>
      <c r="CQ244" s="4">
        <v>-3500</v>
      </c>
      <c r="CR244" s="4">
        <v>-3500</v>
      </c>
      <c r="CS244" s="4">
        <v>-3500</v>
      </c>
      <c r="CT244" s="4">
        <f>IF(OR(MID(TBBP[[#This Row],[Coluna1]],1,1)="1",MID(TBBP[[#This Row],[Coluna1]],1,1)="2"),CS244,SUM(CH244:CS244))</f>
        <v>-43150.45</v>
      </c>
      <c r="CU244" s="255">
        <v>-3500</v>
      </c>
      <c r="CV244" s="255">
        <v>-4147.22</v>
      </c>
      <c r="CW244" s="255">
        <v>0</v>
      </c>
      <c r="CX244" s="255">
        <v>-3740</v>
      </c>
      <c r="CY244" s="255">
        <v>-3740</v>
      </c>
      <c r="CZ244" s="255">
        <v>-3740</v>
      </c>
      <c r="DA244" s="255">
        <v>-3740</v>
      </c>
      <c r="DB244" s="255">
        <v>-3740</v>
      </c>
      <c r="DC244" s="255">
        <v>-3740</v>
      </c>
      <c r="DD244" s="255">
        <v>-3740</v>
      </c>
      <c r="DE244" s="255">
        <v>-3740</v>
      </c>
      <c r="DF244" s="255">
        <v>-3740</v>
      </c>
      <c r="DG244" s="255">
        <f>SUM(TBBP[[#This Row],[Coluna287]:[Coluna298]])</f>
        <v>-41307.22</v>
      </c>
      <c r="DH244" s="255">
        <v>-3740</v>
      </c>
      <c r="DI244" s="255">
        <v>-3740</v>
      </c>
      <c r="DJ244" s="255">
        <v>-3740</v>
      </c>
      <c r="DK244" s="255">
        <v>-3740</v>
      </c>
      <c r="DL244" s="255">
        <v>-3740</v>
      </c>
      <c r="DM244" s="255">
        <v>-3740</v>
      </c>
      <c r="DP244" s="30">
        <f>IF(OR(MID(TBBP[[#This Row],[Coluna1]],1,1)="1",MID(TBBP[[#This Row],[Coluna1]],1,1)="2"),"-",SUMIFS(244:244,listaPeriodos,$DR$1,listaPeriodos,$DR$2))</f>
        <v>-22440</v>
      </c>
      <c r="DQ244" s="30"/>
      <c r="DR244" s="30">
        <f t="shared" si="180"/>
        <v>0</v>
      </c>
      <c r="DS244" s="30"/>
      <c r="DT244" s="30"/>
      <c r="DU244"/>
    </row>
    <row r="245" spans="1:125" x14ac:dyDescent="0.3">
      <c r="A245" s="7" t="s">
        <v>430</v>
      </c>
      <c r="B245" t="s">
        <v>563</v>
      </c>
      <c r="C245" s="4">
        <v>0</v>
      </c>
      <c r="D245" s="4">
        <v>0</v>
      </c>
      <c r="E245" s="4">
        <v>0</v>
      </c>
      <c r="F245" s="4">
        <v>0</v>
      </c>
      <c r="G245" s="4">
        <v>-65925</v>
      </c>
      <c r="H245" s="4">
        <v>-7060</v>
      </c>
      <c r="I245" s="4">
        <v>-560</v>
      </c>
      <c r="J245" s="4">
        <v>-7060</v>
      </c>
      <c r="K245" s="4">
        <v>-560</v>
      </c>
      <c r="L245" s="4">
        <v>-7060</v>
      </c>
      <c r="M245" s="4">
        <v>-560</v>
      </c>
      <c r="N245" s="4">
        <v>-560</v>
      </c>
      <c r="O245" s="4">
        <v>-560</v>
      </c>
      <c r="P245" s="4">
        <v>0</v>
      </c>
      <c r="Q245" s="4">
        <v>0</v>
      </c>
      <c r="R245" s="4">
        <v>0</v>
      </c>
      <c r="S245" s="4">
        <v>0</v>
      </c>
      <c r="T245" s="4">
        <f>IF(OR(MID(TBBP[[#This Row],[Coluna1]],1,1)="1",MID(TBBP[[#This Row],[Coluna1]],1,1)="2"),TBBP[[#This Row],[Coluna19]],SUM(H245:S245))</f>
        <v>-23980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f>IF(OR(MID(TBBP[[#This Row],[Coluna1]],1,1)="1",MID(TBBP[[#This Row],[Coluna1]],1,1)="2"),TBBP[[#This Row],[Coluna32]],SUM(U245:AF245))</f>
        <v>0</v>
      </c>
      <c r="AH245" s="4">
        <v>0</v>
      </c>
      <c r="AI245" s="4">
        <v>0</v>
      </c>
      <c r="AJ245" s="4">
        <v>0</v>
      </c>
      <c r="AK245" s="4">
        <v>0</v>
      </c>
      <c r="AL245" s="4">
        <v>0</v>
      </c>
      <c r="AM245" s="4">
        <v>0</v>
      </c>
      <c r="AN245" s="4">
        <v>0</v>
      </c>
      <c r="AO245" s="4">
        <v>0</v>
      </c>
      <c r="AP245" s="4">
        <v>0</v>
      </c>
      <c r="AQ245" s="4">
        <v>0</v>
      </c>
      <c r="AR245" s="4">
        <v>0</v>
      </c>
      <c r="AS245" s="4">
        <v>0</v>
      </c>
      <c r="AT245" s="4">
        <f>IF(OR(MID(TBBP[[#This Row],[Coluna1]],1,1)="1",MID(TBBP[[#This Row],[Coluna1]],1,1)="2"),TBBP[[#This Row],[Coluna45]],SUM(AH245:AS245))</f>
        <v>0</v>
      </c>
      <c r="AU245" s="4">
        <v>0</v>
      </c>
      <c r="AV245" s="4">
        <v>0</v>
      </c>
      <c r="AW245" s="4">
        <v>0</v>
      </c>
      <c r="AX245" s="4">
        <v>0</v>
      </c>
      <c r="AY245" s="4">
        <v>0</v>
      </c>
      <c r="AZ245" s="4">
        <v>-700</v>
      </c>
      <c r="BA245" s="4">
        <v>-700</v>
      </c>
      <c r="BB245" s="4">
        <v>-170</v>
      </c>
      <c r="BC245" s="4">
        <v>0</v>
      </c>
      <c r="BD245" s="4">
        <v>-450</v>
      </c>
      <c r="BE245" s="4">
        <v>-450</v>
      </c>
      <c r="BF245" s="4">
        <v>-450</v>
      </c>
      <c r="BG245" s="4">
        <f>IF(OR(MID(TBBP[[#This Row],[Coluna1]],1,1)="1",MID(TBBP[[#This Row],[Coluna1]],1,1)="2"),TBBP[[#This Row],[Coluna58]],SUM(AU245:BF245))</f>
        <v>-2920</v>
      </c>
      <c r="BH245" s="4">
        <v>-18150</v>
      </c>
      <c r="BI245" s="4">
        <v>-59880.6</v>
      </c>
      <c r="BJ245" s="4">
        <v>-13650</v>
      </c>
      <c r="BK245" s="4">
        <v>-17900</v>
      </c>
      <c r="BL245" s="4">
        <v>-16650</v>
      </c>
      <c r="BM245" s="4">
        <v>-30250</v>
      </c>
      <c r="BN245" s="4">
        <v>-15400</v>
      </c>
      <c r="BO245" s="4">
        <v>-15400</v>
      </c>
      <c r="BP245" s="4">
        <v>-15400</v>
      </c>
      <c r="BQ245" s="4">
        <v>-15400</v>
      </c>
      <c r="BR245" s="4">
        <v>-15400</v>
      </c>
      <c r="BS245" s="4">
        <v>-23294.74</v>
      </c>
      <c r="BT245" s="4">
        <f>IF(OR(MID(TBBP[[#This Row],[Coluna1]],1,1)="1",MID(TBBP[[#This Row],[Coluna1]],1,1)="2"),TBBP[[#This Row],[Coluna127]],SUM(BH245:BS245))</f>
        <v>-256775.34</v>
      </c>
      <c r="BU245" s="4">
        <v>-15467</v>
      </c>
      <c r="BV245" s="4">
        <v>-31256.47</v>
      </c>
      <c r="BW245" s="4">
        <v>-16769</v>
      </c>
      <c r="BX245" s="4">
        <v>-15467</v>
      </c>
      <c r="BY245" s="4">
        <v>-15481</v>
      </c>
      <c r="BZ245" s="4">
        <v>-15481</v>
      </c>
      <c r="CA245" s="4">
        <v>-15481</v>
      </c>
      <c r="CB245" s="4">
        <v>-16783</v>
      </c>
      <c r="CC245" s="4">
        <v>-14500</v>
      </c>
      <c r="CD245" s="4">
        <v>-16462</v>
      </c>
      <c r="CE245" s="4">
        <v>-15820</v>
      </c>
      <c r="CF245" s="4">
        <v>-21750</v>
      </c>
      <c r="CG245" s="4">
        <f>IF(OR(MID(TBBP[[#This Row],[Coluna1]],1,1)="1",MID(TBBP[[#This Row],[Coluna1]],1,1)="2"),CF245,SUM(BU245:CF245))</f>
        <v>-210717.47</v>
      </c>
      <c r="CH245" s="4">
        <v>-23116</v>
      </c>
      <c r="CI245" s="4">
        <v>-36744.46</v>
      </c>
      <c r="CJ245" s="4">
        <v>-14500</v>
      </c>
      <c r="CK245" s="4">
        <v>-15912</v>
      </c>
      <c r="CL245" s="4">
        <v>-14500</v>
      </c>
      <c r="CM245" s="4">
        <v>-14500</v>
      </c>
      <c r="CN245" s="4">
        <v>-16000</v>
      </c>
      <c r="CO245" s="4">
        <v>-16000</v>
      </c>
      <c r="CP245" s="4">
        <v>-16000</v>
      </c>
      <c r="CQ245" s="4">
        <v>-16000</v>
      </c>
      <c r="CR245" s="4">
        <v>-16000</v>
      </c>
      <c r="CS245" s="4">
        <v>-24000</v>
      </c>
      <c r="CT245" s="4">
        <f>IF(OR(MID(TBBP[[#This Row],[Coluna1]],1,1)="1",MID(TBBP[[#This Row],[Coluna1]],1,1)="2"),CS245,SUM(CH245:CS245))</f>
        <v>-223272.46</v>
      </c>
      <c r="CU245" s="255">
        <v>0</v>
      </c>
      <c r="CV245" s="255">
        <v>-33480.31</v>
      </c>
      <c r="CW245" s="255">
        <v>-16000</v>
      </c>
      <c r="CX245" s="255">
        <v>-16000</v>
      </c>
      <c r="CY245" s="255">
        <v>0</v>
      </c>
      <c r="CZ245" s="255">
        <v>0</v>
      </c>
      <c r="DA245" s="255">
        <v>0</v>
      </c>
      <c r="DB245" s="255">
        <v>0</v>
      </c>
      <c r="DC245" s="255">
        <v>0</v>
      </c>
      <c r="DD245" s="255">
        <v>0</v>
      </c>
      <c r="DE245" s="255">
        <v>0</v>
      </c>
      <c r="DF245" s="255">
        <v>0</v>
      </c>
      <c r="DG245" s="255">
        <f>SUM(TBBP[[#This Row],[Coluna287]:[Coluna298]])</f>
        <v>-65480.31</v>
      </c>
      <c r="DH245" s="255">
        <v>0</v>
      </c>
      <c r="DI245" s="255">
        <v>0</v>
      </c>
      <c r="DJ245" s="255">
        <v>0</v>
      </c>
      <c r="DK245" s="255">
        <v>0</v>
      </c>
      <c r="DL245" s="255">
        <v>0</v>
      </c>
      <c r="DM245" s="255">
        <v>0</v>
      </c>
      <c r="DP245" s="30">
        <f>IF(OR(MID(TBBP[[#This Row],[Coluna1]],1,1)="1",MID(TBBP[[#This Row],[Coluna1]],1,1)="2"),"-",SUMIFS(245:245,listaPeriodos,$DR$1,listaPeriodos,$DR$2))</f>
        <v>0</v>
      </c>
      <c r="DQ245" s="30"/>
      <c r="DR245" s="30">
        <f t="shared" si="180"/>
        <v>0</v>
      </c>
      <c r="DS245" s="30"/>
      <c r="DT245" s="30"/>
      <c r="DU245"/>
    </row>
    <row r="246" spans="1:125" x14ac:dyDescent="0.3">
      <c r="A246" s="7" t="s">
        <v>431</v>
      </c>
      <c r="B246" t="s">
        <v>564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f>IF(OR(MID(TBBP[[#This Row],[Coluna1]],1,1)="1",MID(TBBP[[#This Row],[Coluna1]],1,1)="2"),TBBP[[#This Row],[Coluna19]],SUM(H246:S246))</f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f>IF(OR(MID(TBBP[[#This Row],[Coluna1]],1,1)="1",MID(TBBP[[#This Row],[Coluna1]],1,1)="2"),TBBP[[#This Row],[Coluna32]],SUM(U246:AF246))</f>
        <v>0</v>
      </c>
      <c r="AH246" s="4">
        <v>0</v>
      </c>
      <c r="AI246" s="4">
        <v>0</v>
      </c>
      <c r="AJ246" s="4">
        <v>0</v>
      </c>
      <c r="AK246" s="4">
        <v>0</v>
      </c>
      <c r="AL246" s="4">
        <v>0</v>
      </c>
      <c r="AM246" s="4">
        <v>0</v>
      </c>
      <c r="AN246" s="4">
        <v>0</v>
      </c>
      <c r="AO246" s="4">
        <v>0</v>
      </c>
      <c r="AP246" s="4">
        <v>0</v>
      </c>
      <c r="AQ246" s="4">
        <v>0</v>
      </c>
      <c r="AR246" s="4">
        <v>0</v>
      </c>
      <c r="AS246" s="4">
        <v>0</v>
      </c>
      <c r="AT246" s="4">
        <f>IF(OR(MID(TBBP[[#This Row],[Coluna1]],1,1)="1",MID(TBBP[[#This Row],[Coluna1]],1,1)="2"),TBBP[[#This Row],[Coluna45]],SUM(AH246:AS246))</f>
        <v>0</v>
      </c>
      <c r="AU246" s="4">
        <v>0</v>
      </c>
      <c r="AV246" s="4">
        <v>0</v>
      </c>
      <c r="AW246" s="4">
        <v>0</v>
      </c>
      <c r="AX246" s="4">
        <v>0</v>
      </c>
      <c r="AY246" s="4">
        <v>0</v>
      </c>
      <c r="AZ246" s="4">
        <v>0</v>
      </c>
      <c r="BA246" s="4">
        <v>0</v>
      </c>
      <c r="BB246" s="4">
        <v>0</v>
      </c>
      <c r="BC246" s="4">
        <v>0</v>
      </c>
      <c r="BD246" s="4">
        <v>0</v>
      </c>
      <c r="BE246" s="4">
        <v>0</v>
      </c>
      <c r="BF246" s="4">
        <v>0</v>
      </c>
      <c r="BG246" s="4">
        <f>IF(OR(MID(TBBP[[#This Row],[Coluna1]],1,1)="1",MID(TBBP[[#This Row],[Coluna1]],1,1)="2"),TBBP[[#This Row],[Coluna58]],SUM(AU246:BF246))</f>
        <v>0</v>
      </c>
      <c r="BH246" s="4">
        <v>0</v>
      </c>
      <c r="BI246" s="4">
        <v>0</v>
      </c>
      <c r="BJ246" s="4">
        <v>0</v>
      </c>
      <c r="BK246" s="4">
        <v>0</v>
      </c>
      <c r="BL246" s="4">
        <v>0</v>
      </c>
      <c r="BM246" s="4">
        <v>0</v>
      </c>
      <c r="BN246" s="4">
        <v>0</v>
      </c>
      <c r="BO246" s="4">
        <v>0</v>
      </c>
      <c r="BP246" s="4">
        <v>0</v>
      </c>
      <c r="BQ246" s="4">
        <v>0</v>
      </c>
      <c r="BR246" s="4">
        <v>0</v>
      </c>
      <c r="BS246" s="4">
        <v>0</v>
      </c>
      <c r="BT246" s="4">
        <f>IF(OR(MID(TBBP[[#This Row],[Coluna1]],1,1)="1",MID(TBBP[[#This Row],[Coluna1]],1,1)="2"),TBBP[[#This Row],[Coluna127]],SUM(BH246:BS246))</f>
        <v>0</v>
      </c>
      <c r="BU246" s="4">
        <v>0</v>
      </c>
      <c r="BV246" s="4">
        <v>0</v>
      </c>
      <c r="BW246" s="4">
        <v>0</v>
      </c>
      <c r="BX246" s="4">
        <v>0</v>
      </c>
      <c r="BY246" s="4">
        <v>0</v>
      </c>
      <c r="BZ246" s="4">
        <v>0</v>
      </c>
      <c r="CA246" s="4">
        <v>0</v>
      </c>
      <c r="CB246" s="4">
        <v>0</v>
      </c>
      <c r="CC246" s="4">
        <v>0</v>
      </c>
      <c r="CD246" s="4">
        <v>0</v>
      </c>
      <c r="CE246" s="4">
        <v>0</v>
      </c>
      <c r="CF246" s="4">
        <v>0</v>
      </c>
      <c r="CG246" s="4">
        <f>IF(OR(MID(TBBP[[#This Row],[Coluna1]],1,1)="1",MID(TBBP[[#This Row],[Coluna1]],1,1)="2"),CF246,SUM(BU246:CF246))</f>
        <v>0</v>
      </c>
      <c r="CH246" s="4">
        <v>0</v>
      </c>
      <c r="CI246" s="4">
        <v>0</v>
      </c>
      <c r="CJ246" s="4">
        <v>0</v>
      </c>
      <c r="CK246" s="4" t="s">
        <v>1134</v>
      </c>
      <c r="CL246" s="4">
        <v>0</v>
      </c>
      <c r="CM246" s="4" t="s">
        <v>1134</v>
      </c>
      <c r="CN246" s="4">
        <v>0</v>
      </c>
      <c r="CO246" s="4">
        <v>0</v>
      </c>
      <c r="CP246" s="4">
        <v>0</v>
      </c>
      <c r="CQ246" s="4" t="s">
        <v>1134</v>
      </c>
      <c r="CR246" s="4" t="s">
        <v>1134</v>
      </c>
      <c r="CS246" s="4" t="s">
        <v>1134</v>
      </c>
      <c r="CT246" s="4">
        <f>IF(OR(MID(TBBP[[#This Row],[Coluna1]],1,1)="1",MID(TBBP[[#This Row],[Coluna1]],1,1)="2"),CS246,SUM(CH246:CS246))</f>
        <v>0</v>
      </c>
      <c r="CU246" s="255">
        <v>0</v>
      </c>
      <c r="CV246" s="255">
        <v>0</v>
      </c>
      <c r="CW246" s="255">
        <v>0</v>
      </c>
      <c r="CX246" s="255">
        <v>0</v>
      </c>
      <c r="CY246" s="255">
        <v>0</v>
      </c>
      <c r="CZ246" s="255">
        <v>0</v>
      </c>
      <c r="DA246" s="255">
        <v>0</v>
      </c>
      <c r="DB246" s="255">
        <v>0</v>
      </c>
      <c r="DC246" s="255">
        <v>0</v>
      </c>
      <c r="DD246" s="255">
        <v>0</v>
      </c>
      <c r="DE246" s="255"/>
      <c r="DF246" s="255">
        <v>0</v>
      </c>
      <c r="DG246" s="255">
        <f>SUM(TBBP[[#This Row],[Coluna287]:[Coluna298]])</f>
        <v>0</v>
      </c>
      <c r="DH246" s="255">
        <v>0</v>
      </c>
      <c r="DI246" s="255">
        <v>0</v>
      </c>
      <c r="DJ246" s="255">
        <v>0</v>
      </c>
      <c r="DK246" s="255">
        <v>0</v>
      </c>
      <c r="DL246" s="255">
        <v>0</v>
      </c>
      <c r="DM246" s="255">
        <v>0</v>
      </c>
      <c r="DP246" s="30">
        <f>IF(OR(MID(TBBP[[#This Row],[Coluna1]],1,1)="1",MID(TBBP[[#This Row],[Coluna1]],1,1)="2"),"-",SUMIFS(246:246,listaPeriodos,$DR$1,listaPeriodos,$DR$2))</f>
        <v>0</v>
      </c>
      <c r="DQ246" s="30"/>
      <c r="DR246" s="30">
        <f t="shared" si="180"/>
        <v>0</v>
      </c>
      <c r="DS246" s="30"/>
      <c r="DT246" s="30"/>
      <c r="DU246"/>
    </row>
    <row r="247" spans="1:125" x14ac:dyDescent="0.3">
      <c r="A247" s="7" t="s">
        <v>432</v>
      </c>
      <c r="B247" t="s">
        <v>565</v>
      </c>
      <c r="C247" s="4">
        <v>0</v>
      </c>
      <c r="D247" s="4">
        <v>0</v>
      </c>
      <c r="E247" s="4">
        <v>0</v>
      </c>
      <c r="F247" s="4">
        <v>0</v>
      </c>
      <c r="G247" s="4">
        <v>-644</v>
      </c>
      <c r="H247" s="4">
        <v>0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-30.62</v>
      </c>
      <c r="T247" s="4">
        <f>IF(OR(MID(TBBP[[#This Row],[Coluna1]],1,1)="1",MID(TBBP[[#This Row],[Coluna1]],1,1)="2"),TBBP[[#This Row],[Coluna19]],SUM(H247:S247))</f>
        <v>-30.62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-880</v>
      </c>
      <c r="AF247" s="4">
        <v>-1080.5</v>
      </c>
      <c r="AG247" s="4">
        <f>IF(OR(MID(TBBP[[#This Row],[Coluna1]],1,1)="1",MID(TBBP[[#This Row],[Coluna1]],1,1)="2"),TBBP[[#This Row],[Coluna32]],SUM(U247:AF247))</f>
        <v>-1960.5</v>
      </c>
      <c r="AH247" s="4">
        <v>0</v>
      </c>
      <c r="AI247" s="4">
        <v>0</v>
      </c>
      <c r="AJ247" s="4">
        <v>0</v>
      </c>
      <c r="AK247" s="4">
        <v>0</v>
      </c>
      <c r="AL247" s="4">
        <v>0</v>
      </c>
      <c r="AM247" s="4">
        <v>0</v>
      </c>
      <c r="AN247" s="4">
        <v>-98.25</v>
      </c>
      <c r="AO247" s="4">
        <v>0</v>
      </c>
      <c r="AP247" s="4">
        <v>0</v>
      </c>
      <c r="AQ247" s="4">
        <v>0</v>
      </c>
      <c r="AR247" s="4">
        <v>0</v>
      </c>
      <c r="AS247" s="4">
        <v>-353.32</v>
      </c>
      <c r="AT247" s="4">
        <f>IF(OR(MID(TBBP[[#This Row],[Coluna1]],1,1)="1",MID(TBBP[[#This Row],[Coluna1]],1,1)="2"),TBBP[[#This Row],[Coluna45]],SUM(AH247:AS247))</f>
        <v>-451.57</v>
      </c>
      <c r="AU247" s="4">
        <v>0</v>
      </c>
      <c r="AV247" s="4">
        <v>0</v>
      </c>
      <c r="AW247" s="4">
        <v>-250</v>
      </c>
      <c r="AX247" s="4">
        <v>0</v>
      </c>
      <c r="AY247" s="4">
        <v>-210</v>
      </c>
      <c r="AZ247" s="4">
        <v>0</v>
      </c>
      <c r="BA247" s="4">
        <v>0</v>
      </c>
      <c r="BB247" s="4">
        <v>0</v>
      </c>
      <c r="BC247" s="4">
        <v>0</v>
      </c>
      <c r="BD247" s="4">
        <v>0</v>
      </c>
      <c r="BE247" s="4">
        <v>0</v>
      </c>
      <c r="BF247" s="4">
        <v>0</v>
      </c>
      <c r="BG247" s="4">
        <f>IF(OR(MID(TBBP[[#This Row],[Coluna1]],1,1)="1",MID(TBBP[[#This Row],[Coluna1]],1,1)="2"),TBBP[[#This Row],[Coluna58]],SUM(AU247:BF247))</f>
        <v>-460</v>
      </c>
      <c r="BH247" s="4">
        <v>0</v>
      </c>
      <c r="BI247" s="4">
        <v>-115.63</v>
      </c>
      <c r="BJ247" s="4">
        <v>-75.180000000000007</v>
      </c>
      <c r="BK247" s="4">
        <v>-151.28</v>
      </c>
      <c r="BL247" s="4">
        <v>0</v>
      </c>
      <c r="BM247" s="4">
        <v>-3000</v>
      </c>
      <c r="BN247" s="4">
        <v>0</v>
      </c>
      <c r="BO247" s="4">
        <v>-1600</v>
      </c>
      <c r="BP247" s="4">
        <v>-11209.6</v>
      </c>
      <c r="BQ247" s="4">
        <v>-117.1</v>
      </c>
      <c r="BR247" s="4">
        <v>-129</v>
      </c>
      <c r="BS247" s="4">
        <v>0</v>
      </c>
      <c r="BT247" s="4">
        <f>IF(OR(MID(TBBP[[#This Row],[Coluna1]],1,1)="1",MID(TBBP[[#This Row],[Coluna1]],1,1)="2"),TBBP[[#This Row],[Coluna127]],SUM(BH247:BS247))</f>
        <v>-16397.79</v>
      </c>
      <c r="BU247" s="4">
        <v>-142.52000000000001</v>
      </c>
      <c r="BV247" s="4">
        <v>0</v>
      </c>
      <c r="BW247" s="4">
        <v>0</v>
      </c>
      <c r="BX247" s="4">
        <v>-144.25</v>
      </c>
      <c r="BY247" s="4">
        <v>0</v>
      </c>
      <c r="BZ247" s="4">
        <v>0</v>
      </c>
      <c r="CA247" s="4">
        <v>0</v>
      </c>
      <c r="CB247" s="4">
        <v>-607.94000000000005</v>
      </c>
      <c r="CC247" s="4">
        <v>-40</v>
      </c>
      <c r="CD247" s="4">
        <v>0</v>
      </c>
      <c r="CE247" s="4">
        <v>0</v>
      </c>
      <c r="CF247" s="4">
        <v>0</v>
      </c>
      <c r="CG247" s="4">
        <f>IF(OR(MID(TBBP[[#This Row],[Coluna1]],1,1)="1",MID(TBBP[[#This Row],[Coluna1]],1,1)="2"),CF247,SUM(BU247:CF247))</f>
        <v>-934.71</v>
      </c>
      <c r="CH247" s="4">
        <v>-119.89</v>
      </c>
      <c r="CI247" s="4">
        <v>0</v>
      </c>
      <c r="CJ247" s="4">
        <v>-193.46</v>
      </c>
      <c r="CK247" s="4">
        <v>0</v>
      </c>
      <c r="CL247" s="4">
        <v>0</v>
      </c>
      <c r="CM247" s="4">
        <v>0</v>
      </c>
      <c r="CN247" s="4">
        <v>0</v>
      </c>
      <c r="CO247" s="4">
        <v>0</v>
      </c>
      <c r="CP247" s="4">
        <v>0</v>
      </c>
      <c r="CQ247" s="4">
        <v>0</v>
      </c>
      <c r="CR247" s="4">
        <v>0</v>
      </c>
      <c r="CS247" s="4">
        <v>0</v>
      </c>
      <c r="CT247" s="4">
        <f>IF(OR(MID(TBBP[[#This Row],[Coluna1]],1,1)="1",MID(TBBP[[#This Row],[Coluna1]],1,1)="2"),CS247,SUM(CH247:CS247))</f>
        <v>-313.35000000000002</v>
      </c>
      <c r="CU247" s="255">
        <v>0</v>
      </c>
      <c r="CV247" s="255">
        <v>0</v>
      </c>
      <c r="CW247" s="255">
        <v>0</v>
      </c>
      <c r="CX247" s="255">
        <v>0</v>
      </c>
      <c r="CY247" s="255">
        <v>0</v>
      </c>
      <c r="CZ247" s="255">
        <v>0</v>
      </c>
      <c r="DA247" s="255">
        <v>0</v>
      </c>
      <c r="DB247" s="255">
        <v>0</v>
      </c>
      <c r="DC247" s="255">
        <v>0</v>
      </c>
      <c r="DD247" s="255">
        <v>0</v>
      </c>
      <c r="DE247" s="255"/>
      <c r="DF247" s="255">
        <v>0</v>
      </c>
      <c r="DG247" s="255">
        <f>SUM(TBBP[[#This Row],[Coluna287]:[Coluna298]])</f>
        <v>0</v>
      </c>
      <c r="DH247" s="255">
        <v>0</v>
      </c>
      <c r="DI247" s="255">
        <v>-572.1</v>
      </c>
      <c r="DJ247" s="255">
        <v>0</v>
      </c>
      <c r="DK247" s="255">
        <v>0</v>
      </c>
      <c r="DL247" s="255">
        <v>-4500</v>
      </c>
      <c r="DM247" s="255">
        <v>0</v>
      </c>
      <c r="DP247" s="30">
        <f>IF(OR(MID(TBBP[[#This Row],[Coluna1]],1,1)="1",MID(TBBP[[#This Row],[Coluna1]],1,1)="2"),"-",SUMIFS(247:247,listaPeriodos,$DR$1,listaPeriodos,$DR$2))</f>
        <v>-5072.1000000000004</v>
      </c>
      <c r="DQ247" s="30"/>
      <c r="DR247" s="30">
        <f t="shared" si="180"/>
        <v>0</v>
      </c>
      <c r="DS247" s="30"/>
      <c r="DT247" s="30"/>
      <c r="DU247"/>
    </row>
    <row r="248" spans="1:125" x14ac:dyDescent="0.3">
      <c r="A248" s="7" t="s">
        <v>433</v>
      </c>
      <c r="B248" t="s">
        <v>566</v>
      </c>
      <c r="C248" s="4">
        <v>0</v>
      </c>
      <c r="D248" s="4">
        <v>0</v>
      </c>
      <c r="E248" s="4">
        <v>0</v>
      </c>
      <c r="F248" s="4">
        <v>0</v>
      </c>
      <c r="G248" s="4">
        <v>-73926.37</v>
      </c>
      <c r="H248" s="4">
        <v>-10044.98</v>
      </c>
      <c r="I248" s="4">
        <v>-3748.76</v>
      </c>
      <c r="J248" s="4">
        <v>-4382.09</v>
      </c>
      <c r="K248" s="4">
        <v>-3908.76</v>
      </c>
      <c r="L248" s="4">
        <v>-4691.8900000000003</v>
      </c>
      <c r="M248" s="4">
        <v>-8616.83</v>
      </c>
      <c r="N248" s="4">
        <v>-9466.83</v>
      </c>
      <c r="O248" s="4">
        <v>-8616.83</v>
      </c>
      <c r="P248" s="4">
        <v>-9390.51</v>
      </c>
      <c r="Q248" s="4">
        <v>-8619.98</v>
      </c>
      <c r="R248" s="4">
        <v>-11211.9</v>
      </c>
      <c r="S248" s="4">
        <v>-10673.57</v>
      </c>
      <c r="T248" s="4">
        <f>IF(OR(MID(TBBP[[#This Row],[Coluna1]],1,1)="1",MID(TBBP[[#This Row],[Coluna1]],1,1)="2"),TBBP[[#This Row],[Coluna19]],SUM(H248:S248))</f>
        <v>-93372.93</v>
      </c>
      <c r="U248" s="4">
        <v>-8906.31</v>
      </c>
      <c r="V248" s="4">
        <v>-4392.62</v>
      </c>
      <c r="W248" s="4">
        <v>-3834.95</v>
      </c>
      <c r="X248" s="4">
        <v>-3834.95</v>
      </c>
      <c r="Y248" s="4">
        <v>-4215.8</v>
      </c>
      <c r="Z248" s="4">
        <v>-4279.1099999999997</v>
      </c>
      <c r="AA248" s="4">
        <v>-4169.1099999999997</v>
      </c>
      <c r="AB248" s="4">
        <v>-5429.11</v>
      </c>
      <c r="AC248" s="4">
        <v>-5429.11</v>
      </c>
      <c r="AD248" s="4">
        <v>-6366.67</v>
      </c>
      <c r="AE248" s="4">
        <v>-6366.67</v>
      </c>
      <c r="AF248" s="4">
        <v>-2156.06</v>
      </c>
      <c r="AG248" s="4">
        <f>IF(OR(MID(TBBP[[#This Row],[Coluna1]],1,1)="1",MID(TBBP[[#This Row],[Coluna1]],1,1)="2"),TBBP[[#This Row],[Coluna32]],SUM(U248:AF248))</f>
        <v>-59380.469999999994</v>
      </c>
      <c r="AH248" s="4">
        <v>-5945.2</v>
      </c>
      <c r="AI248" s="4">
        <v>-4127.55</v>
      </c>
      <c r="AJ248" s="4">
        <v>-4127.55</v>
      </c>
      <c r="AK248" s="4">
        <v>-1497.61</v>
      </c>
      <c r="AL248" s="4">
        <v>-5123.71</v>
      </c>
      <c r="AM248" s="4">
        <v>-4841.3599999999997</v>
      </c>
      <c r="AN248" s="4">
        <v>-4552.8599999999997</v>
      </c>
      <c r="AO248" s="4">
        <v>-4159.1099999999997</v>
      </c>
      <c r="AP248" s="4">
        <v>-7085.4</v>
      </c>
      <c r="AQ248" s="4">
        <v>-5442.87</v>
      </c>
      <c r="AR248" s="4">
        <v>-5064.08</v>
      </c>
      <c r="AS248" s="4">
        <v>-5332.53</v>
      </c>
      <c r="AT248" s="4">
        <f>IF(OR(MID(TBBP[[#This Row],[Coluna1]],1,1)="1",MID(TBBP[[#This Row],[Coluna1]],1,1)="2"),TBBP[[#This Row],[Coluna45]],SUM(AH248:AS248))</f>
        <v>-57299.83</v>
      </c>
      <c r="AU248" s="4">
        <v>-5178.84</v>
      </c>
      <c r="AV248" s="4">
        <v>-635.41999999999996</v>
      </c>
      <c r="AW248" s="4">
        <v>-5957.68</v>
      </c>
      <c r="AX248" s="4">
        <v>-3252.64</v>
      </c>
      <c r="AY248" s="4">
        <v>-5204.12</v>
      </c>
      <c r="AZ248" s="4">
        <v>-3965.76</v>
      </c>
      <c r="BA248" s="4">
        <v>-4285.47</v>
      </c>
      <c r="BB248" s="4">
        <v>-4825.47</v>
      </c>
      <c r="BC248" s="4">
        <v>-6301.43</v>
      </c>
      <c r="BD248" s="4">
        <v>-5169.6499999999996</v>
      </c>
      <c r="BE248" s="4">
        <v>-11169.65</v>
      </c>
      <c r="BF248" s="4">
        <v>-4994.43</v>
      </c>
      <c r="BG248" s="4">
        <f>IF(OR(MID(TBBP[[#This Row],[Coluna1]],1,1)="1",MID(TBBP[[#This Row],[Coluna1]],1,1)="2"),TBBP[[#This Row],[Coluna58]],SUM(AU248:BF248))</f>
        <v>-60940.560000000005</v>
      </c>
      <c r="BH248" s="4">
        <v>-6394.43</v>
      </c>
      <c r="BI248" s="4">
        <v>-5003.4799999999996</v>
      </c>
      <c r="BJ248" s="4">
        <v>-4365.88</v>
      </c>
      <c r="BK248" s="4">
        <v>-4435.88</v>
      </c>
      <c r="BL248" s="4">
        <v>-4909.95</v>
      </c>
      <c r="BM248" s="4">
        <v>-5165.95</v>
      </c>
      <c r="BN248" s="4">
        <v>-4836.55</v>
      </c>
      <c r="BO248" s="4">
        <v>-4942.55</v>
      </c>
      <c r="BP248" s="4">
        <v>-5482.55</v>
      </c>
      <c r="BQ248" s="4">
        <v>-10063.89</v>
      </c>
      <c r="BR248" s="4">
        <v>-5279.64</v>
      </c>
      <c r="BS248" s="4">
        <v>-5856.81</v>
      </c>
      <c r="BT248" s="4">
        <f>IF(OR(MID(TBBP[[#This Row],[Coluna1]],1,1)="1",MID(TBBP[[#This Row],[Coluna1]],1,1)="2"),TBBP[[#This Row],[Coluna127]],SUM(BH248:BS248))</f>
        <v>-66737.560000000012</v>
      </c>
      <c r="BU248" s="4">
        <v>-6895.53</v>
      </c>
      <c r="BV248" s="4">
        <v>-1963.88</v>
      </c>
      <c r="BW248" s="4">
        <v>-20461.82</v>
      </c>
      <c r="BX248" s="4">
        <v>-4822.71</v>
      </c>
      <c r="BY248" s="4">
        <v>-14959.66</v>
      </c>
      <c r="BZ248" s="4">
        <v>-5195.91</v>
      </c>
      <c r="CA248" s="4">
        <v>-10953</v>
      </c>
      <c r="CB248" s="4">
        <v>-8513.11</v>
      </c>
      <c r="CC248" s="4">
        <v>-3936.99</v>
      </c>
      <c r="CD248" s="4">
        <v>-20082.95</v>
      </c>
      <c r="CE248" s="4">
        <v>-4843.2700000000004</v>
      </c>
      <c r="CF248" s="4">
        <v>-10494.35</v>
      </c>
      <c r="CG248" s="4">
        <f>IF(OR(MID(TBBP[[#This Row],[Coluna1]],1,1)="1",MID(TBBP[[#This Row],[Coluna1]],1,1)="2"),CF248,SUM(BU248:CF248))</f>
        <v>-113123.18000000002</v>
      </c>
      <c r="CH248" s="4">
        <v>-12486.26</v>
      </c>
      <c r="CI248" s="4">
        <v>-6186.74</v>
      </c>
      <c r="CJ248" s="4">
        <v>-5128.7299999999996</v>
      </c>
      <c r="CK248" s="4">
        <v>-7725.71</v>
      </c>
      <c r="CL248" s="4">
        <v>-11178.36</v>
      </c>
      <c r="CM248" s="4">
        <v>-10201.08</v>
      </c>
      <c r="CN248" s="4">
        <v>-8096.27</v>
      </c>
      <c r="CO248" s="4">
        <v>-8148.36</v>
      </c>
      <c r="CP248" s="4">
        <v>-6609.94</v>
      </c>
      <c r="CQ248" s="4">
        <v>-19986.05</v>
      </c>
      <c r="CR248" s="4">
        <v>-5539.34</v>
      </c>
      <c r="CS248" s="4">
        <v>-9015.2199999999993</v>
      </c>
      <c r="CT248" s="4">
        <f>IF(OR(MID(TBBP[[#This Row],[Coluna1]],1,1)="1",MID(TBBP[[#This Row],[Coluna1]],1,1)="2"),CS248,SUM(CH248:CS248))</f>
        <v>-110302.06000000001</v>
      </c>
      <c r="CU248" s="255">
        <v>-11657.84</v>
      </c>
      <c r="CV248" s="255">
        <v>-9417.5</v>
      </c>
      <c r="CW248" s="255">
        <v>-20503.05</v>
      </c>
      <c r="CX248" s="255">
        <v>-22436.44</v>
      </c>
      <c r="CY248" s="255">
        <v>-15147.42</v>
      </c>
      <c r="CZ248" s="255">
        <v>-16499.96</v>
      </c>
      <c r="DA248" s="255">
        <v>-14419.85</v>
      </c>
      <c r="DB248" s="255">
        <v>-23512.99</v>
      </c>
      <c r="DC248" s="255">
        <v>-16436.169999999998</v>
      </c>
      <c r="DD248" s="255">
        <v>-21313.32</v>
      </c>
      <c r="DE248" s="255">
        <v>-15309.81</v>
      </c>
      <c r="DF248" s="255">
        <v>-12162.73</v>
      </c>
      <c r="DG248" s="255">
        <f>SUM(TBBP[[#This Row],[Coluna287]:[Coluna298]])</f>
        <v>-198817.08</v>
      </c>
      <c r="DH248" s="255">
        <v>-23622.46</v>
      </c>
      <c r="DI248" s="255">
        <v>-5452.54</v>
      </c>
      <c r="DJ248" s="255">
        <v>-26408.01</v>
      </c>
      <c r="DK248" s="255">
        <v>-24350.57</v>
      </c>
      <c r="DL248" s="255">
        <v>-23836.57</v>
      </c>
      <c r="DM248" s="255">
        <v>-16483.5</v>
      </c>
      <c r="DP248" s="30">
        <f>IF(OR(MID(TBBP[[#This Row],[Coluna1]],1,1)="1",MID(TBBP[[#This Row],[Coluna1]],1,1)="2"),"-",SUMIFS(248:248,listaPeriodos,$DR$1,listaPeriodos,$DR$2))</f>
        <v>-120153.65</v>
      </c>
      <c r="DQ248" s="30"/>
      <c r="DR248" s="30">
        <f t="shared" si="180"/>
        <v>0</v>
      </c>
      <c r="DS248" s="30"/>
      <c r="DT248" s="30"/>
      <c r="DU248"/>
    </row>
    <row r="249" spans="1:125" x14ac:dyDescent="0.3">
      <c r="A249" s="7" t="s">
        <v>434</v>
      </c>
      <c r="B249" t="s">
        <v>567</v>
      </c>
      <c r="C249" s="4">
        <v>0</v>
      </c>
      <c r="D249" s="4">
        <v>0</v>
      </c>
      <c r="E249" s="4">
        <v>0</v>
      </c>
      <c r="F249" s="4">
        <v>0</v>
      </c>
      <c r="G249" s="4">
        <v>-870</v>
      </c>
      <c r="H249" s="4">
        <v>0</v>
      </c>
      <c r="I249" s="4">
        <v>-333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f>IF(OR(MID(TBBP[[#This Row],[Coluna1]],1,1)="1",MID(TBBP[[#This Row],[Coluna1]],1,1)="2"),TBBP[[#This Row],[Coluna19]],SUM(H249:S249))</f>
        <v>-333</v>
      </c>
      <c r="U249" s="4">
        <v>0</v>
      </c>
      <c r="V249" s="4">
        <v>0</v>
      </c>
      <c r="W249" s="4">
        <v>-748.66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f>IF(OR(MID(TBBP[[#This Row],[Coluna1]],1,1)="1",MID(TBBP[[#This Row],[Coluna1]],1,1)="2"),TBBP[[#This Row],[Coluna32]],SUM(U249:AF249))</f>
        <v>-748.66</v>
      </c>
      <c r="AH249" s="4">
        <v>0</v>
      </c>
      <c r="AI249" s="4">
        <v>0</v>
      </c>
      <c r="AJ249" s="4">
        <v>0</v>
      </c>
      <c r="AK249" s="4">
        <v>0</v>
      </c>
      <c r="AL249" s="4">
        <v>0</v>
      </c>
      <c r="AM249" s="4">
        <v>0</v>
      </c>
      <c r="AN249" s="4">
        <v>0</v>
      </c>
      <c r="AO249" s="4">
        <v>0</v>
      </c>
      <c r="AP249" s="4">
        <v>0</v>
      </c>
      <c r="AQ249" s="4">
        <v>0</v>
      </c>
      <c r="AR249" s="4">
        <v>0</v>
      </c>
      <c r="AS249" s="4">
        <v>0</v>
      </c>
      <c r="AT249" s="4">
        <f>IF(OR(MID(TBBP[[#This Row],[Coluna1]],1,1)="1",MID(TBBP[[#This Row],[Coluna1]],1,1)="2"),TBBP[[#This Row],[Coluna45]],SUM(AH249:AS249))</f>
        <v>0</v>
      </c>
      <c r="AU249" s="4">
        <v>0</v>
      </c>
      <c r="AV249" s="4">
        <v>-70</v>
      </c>
      <c r="AW249" s="4">
        <v>-212.18</v>
      </c>
      <c r="AX249" s="4">
        <v>0</v>
      </c>
      <c r="AY249" s="4">
        <v>0</v>
      </c>
      <c r="AZ249" s="4">
        <v>0</v>
      </c>
      <c r="BA249" s="4">
        <v>0</v>
      </c>
      <c r="BB249" s="4">
        <v>0</v>
      </c>
      <c r="BC249" s="4">
        <v>0</v>
      </c>
      <c r="BD249" s="4">
        <v>-130</v>
      </c>
      <c r="BE249" s="4">
        <v>0</v>
      </c>
      <c r="BF249" s="4">
        <v>-150</v>
      </c>
      <c r="BG249" s="4">
        <f>IF(OR(MID(TBBP[[#This Row],[Coluna1]],1,1)="1",MID(TBBP[[#This Row],[Coluna1]],1,1)="2"),TBBP[[#This Row],[Coluna58]],SUM(AU249:BF249))</f>
        <v>-562.18000000000006</v>
      </c>
      <c r="BH249" s="4">
        <v>0</v>
      </c>
      <c r="BI249" s="4">
        <v>-24.5</v>
      </c>
      <c r="BJ249" s="4">
        <v>-21.09</v>
      </c>
      <c r="BK249" s="4">
        <v>0</v>
      </c>
      <c r="BL249" s="4">
        <v>-15.9</v>
      </c>
      <c r="BM249" s="4">
        <v>0</v>
      </c>
      <c r="BN249" s="4">
        <v>-3365.05</v>
      </c>
      <c r="BO249" s="4">
        <v>-315</v>
      </c>
      <c r="BP249" s="4">
        <v>0</v>
      </c>
      <c r="BQ249" s="4">
        <v>0</v>
      </c>
      <c r="BR249" s="4">
        <v>-1106.9000000000001</v>
      </c>
      <c r="BS249" s="4">
        <v>-115</v>
      </c>
      <c r="BT249" s="4">
        <f>IF(OR(MID(TBBP[[#This Row],[Coluna1]],1,1)="1",MID(TBBP[[#This Row],[Coluna1]],1,1)="2"),TBBP[[#This Row],[Coluna127]],SUM(BH249:BS249))</f>
        <v>-4963.4400000000005</v>
      </c>
      <c r="BU249" s="4">
        <v>-160</v>
      </c>
      <c r="BV249" s="4">
        <v>-94.52</v>
      </c>
      <c r="BW249" s="4">
        <v>0</v>
      </c>
      <c r="BX249" s="4">
        <v>0</v>
      </c>
      <c r="BY249" s="4">
        <v>0</v>
      </c>
      <c r="BZ249" s="4">
        <v>0</v>
      </c>
      <c r="CA249" s="4">
        <v>0</v>
      </c>
      <c r="CB249" s="4">
        <v>0</v>
      </c>
      <c r="CC249" s="4">
        <v>0</v>
      </c>
      <c r="CD249" s="4">
        <v>0</v>
      </c>
      <c r="CE249" s="4">
        <v>0</v>
      </c>
      <c r="CF249" s="4">
        <v>0</v>
      </c>
      <c r="CG249" s="4">
        <f>IF(OR(MID(TBBP[[#This Row],[Coluna1]],1,1)="1",MID(TBBP[[#This Row],[Coluna1]],1,1)="2"),CF249,SUM(BU249:CF249))</f>
        <v>-254.51999999999998</v>
      </c>
      <c r="CH249" s="4">
        <v>0</v>
      </c>
      <c r="CI249" s="4">
        <v>0</v>
      </c>
      <c r="CJ249" s="4">
        <v>0</v>
      </c>
      <c r="CK249" s="4" t="s">
        <v>1134</v>
      </c>
      <c r="CL249" s="4">
        <v>0</v>
      </c>
      <c r="CM249" s="4" t="s">
        <v>1134</v>
      </c>
      <c r="CN249" s="4">
        <v>0</v>
      </c>
      <c r="CO249" s="4">
        <v>0</v>
      </c>
      <c r="CP249" s="4">
        <v>0</v>
      </c>
      <c r="CQ249" s="4" t="s">
        <v>1134</v>
      </c>
      <c r="CR249" s="4" t="s">
        <v>1134</v>
      </c>
      <c r="CS249" s="4" t="s">
        <v>1134</v>
      </c>
      <c r="CT249" s="4">
        <f>IF(OR(MID(TBBP[[#This Row],[Coluna1]],1,1)="1",MID(TBBP[[#This Row],[Coluna1]],1,1)="2"),CS249,SUM(CH249:CS249))</f>
        <v>0</v>
      </c>
      <c r="CU249" s="255">
        <v>0</v>
      </c>
      <c r="CV249" s="255">
        <v>0</v>
      </c>
      <c r="CW249" s="255">
        <v>-3740</v>
      </c>
      <c r="CX249" s="255">
        <v>0</v>
      </c>
      <c r="CY249" s="255">
        <v>0</v>
      </c>
      <c r="CZ249" s="255">
        <v>0</v>
      </c>
      <c r="DA249" s="255">
        <v>0</v>
      </c>
      <c r="DB249" s="255">
        <v>0</v>
      </c>
      <c r="DC249" s="255">
        <v>0</v>
      </c>
      <c r="DD249" s="255">
        <v>0</v>
      </c>
      <c r="DE249" s="255">
        <v>0</v>
      </c>
      <c r="DF249" s="255">
        <v>0</v>
      </c>
      <c r="DG249" s="255">
        <f>SUM(TBBP[[#This Row],[Coluna287]:[Coluna298]])</f>
        <v>-3740</v>
      </c>
      <c r="DH249" s="255">
        <v>0</v>
      </c>
      <c r="DI249" s="255">
        <v>0</v>
      </c>
      <c r="DJ249" s="255">
        <v>0</v>
      </c>
      <c r="DK249" s="255">
        <v>0</v>
      </c>
      <c r="DL249" s="255">
        <v>0</v>
      </c>
      <c r="DM249" s="255">
        <v>0</v>
      </c>
      <c r="DP249" s="30">
        <f>IF(OR(MID(TBBP[[#This Row],[Coluna1]],1,1)="1",MID(TBBP[[#This Row],[Coluna1]],1,1)="2"),"-",SUMIFS(249:249,listaPeriodos,$DR$1,listaPeriodos,$DR$2))</f>
        <v>0</v>
      </c>
      <c r="DQ249" s="30"/>
      <c r="DR249" s="30">
        <f t="shared" si="180"/>
        <v>0</v>
      </c>
      <c r="DS249" s="30"/>
      <c r="DT249" s="30"/>
      <c r="DU249"/>
    </row>
    <row r="250" spans="1:125" x14ac:dyDescent="0.3">
      <c r="A250" s="7" t="s">
        <v>435</v>
      </c>
      <c r="B250" t="s">
        <v>568</v>
      </c>
      <c r="C250" s="4">
        <v>0</v>
      </c>
      <c r="D250" s="4">
        <v>0</v>
      </c>
      <c r="E250" s="4">
        <v>0</v>
      </c>
      <c r="F250" s="4">
        <v>0</v>
      </c>
      <c r="G250" s="4">
        <v>-3812.6</v>
      </c>
      <c r="H250" s="4">
        <v>-243</v>
      </c>
      <c r="I250" s="4">
        <v>-163</v>
      </c>
      <c r="J250" s="4">
        <v>-163</v>
      </c>
      <c r="K250" s="4">
        <v>-283</v>
      </c>
      <c r="L250" s="4">
        <v>-163</v>
      </c>
      <c r="M250" s="4">
        <v>-163</v>
      </c>
      <c r="N250" s="4">
        <v>-163</v>
      </c>
      <c r="O250" s="4">
        <v>-283</v>
      </c>
      <c r="P250" s="4">
        <v>-163</v>
      </c>
      <c r="Q250" s="4">
        <v>-163</v>
      </c>
      <c r="R250" s="4">
        <v>-353</v>
      </c>
      <c r="S250" s="4">
        <v>-163</v>
      </c>
      <c r="T250" s="4">
        <f>IF(OR(MID(TBBP[[#This Row],[Coluna1]],1,1)="1",MID(TBBP[[#This Row],[Coluna1]],1,1)="2"),TBBP[[#This Row],[Coluna19]],SUM(H250:S250))</f>
        <v>-2466</v>
      </c>
      <c r="U250" s="4">
        <v>-163</v>
      </c>
      <c r="V250" s="4">
        <v>-163</v>
      </c>
      <c r="W250" s="4">
        <v>-163</v>
      </c>
      <c r="X250" s="4">
        <v>-413</v>
      </c>
      <c r="Y250" s="4">
        <v>-163</v>
      </c>
      <c r="Z250" s="4">
        <v>-163</v>
      </c>
      <c r="AA250" s="4">
        <v>-163</v>
      </c>
      <c r="AB250" s="4">
        <v>-543</v>
      </c>
      <c r="AC250" s="4">
        <v>-163</v>
      </c>
      <c r="AD250" s="4">
        <v>-163</v>
      </c>
      <c r="AE250" s="4">
        <v>-163</v>
      </c>
      <c r="AF250" s="4">
        <v>-163</v>
      </c>
      <c r="AG250" s="4">
        <f>IF(OR(MID(TBBP[[#This Row],[Coluna1]],1,1)="1",MID(TBBP[[#This Row],[Coluna1]],1,1)="2"),TBBP[[#This Row],[Coluna32]],SUM(U250:AF250))</f>
        <v>-2586</v>
      </c>
      <c r="AH250" s="4">
        <v>-163</v>
      </c>
      <c r="AI250" s="4">
        <v>-163</v>
      </c>
      <c r="AJ250" s="4">
        <v>-163</v>
      </c>
      <c r="AK250" s="4">
        <v>-149</v>
      </c>
      <c r="AL250" s="4">
        <v>-179</v>
      </c>
      <c r="AM250" s="4">
        <v>-164</v>
      </c>
      <c r="AN250" s="4">
        <v>-644</v>
      </c>
      <c r="AO250" s="4">
        <v>-164</v>
      </c>
      <c r="AP250" s="4">
        <v>-164</v>
      </c>
      <c r="AQ250" s="4">
        <v>-164</v>
      </c>
      <c r="AR250" s="4">
        <v>-253.4</v>
      </c>
      <c r="AS250" s="4">
        <v>-834.76</v>
      </c>
      <c r="AT250" s="4">
        <f>IF(OR(MID(TBBP[[#This Row],[Coluna1]],1,1)="1",MID(TBBP[[#This Row],[Coluna1]],1,1)="2"),TBBP[[#This Row],[Coluna45]],SUM(AH250:AS250))</f>
        <v>-3205.16</v>
      </c>
      <c r="AU250" s="4">
        <v>-322.25</v>
      </c>
      <c r="AV250" s="4">
        <v>-322.20999999999998</v>
      </c>
      <c r="AW250" s="4">
        <v>-336.84</v>
      </c>
      <c r="AX250" s="4">
        <v>-341.78</v>
      </c>
      <c r="AY250" s="4">
        <v>-341.82</v>
      </c>
      <c r="AZ250" s="4">
        <v>-516.51</v>
      </c>
      <c r="BA250" s="4">
        <v>-1030.01</v>
      </c>
      <c r="BB250" s="4">
        <v>-3716.85</v>
      </c>
      <c r="BC250" s="4">
        <v>-517.12</v>
      </c>
      <c r="BD250" s="4">
        <v>-517.33000000000004</v>
      </c>
      <c r="BE250" s="4">
        <v>-1311.24</v>
      </c>
      <c r="BF250" s="4">
        <v>-717.34</v>
      </c>
      <c r="BG250" s="4">
        <f>IF(OR(MID(TBBP[[#This Row],[Coluna1]],1,1)="1",MID(TBBP[[#This Row],[Coluna1]],1,1)="2"),TBBP[[#This Row],[Coluna58]],SUM(AU250:BF250))</f>
        <v>-9991.3000000000011</v>
      </c>
      <c r="BH250" s="4">
        <v>-6773.36</v>
      </c>
      <c r="BI250" s="4">
        <v>-518.45000000000005</v>
      </c>
      <c r="BJ250" s="4">
        <v>-2048.38</v>
      </c>
      <c r="BK250" s="4">
        <v>-131.5</v>
      </c>
      <c r="BL250" s="4">
        <v>-615.08000000000004</v>
      </c>
      <c r="BM250" s="4">
        <v>-614.69000000000005</v>
      </c>
      <c r="BN250" s="4">
        <v>-614.51</v>
      </c>
      <c r="BO250" s="4">
        <v>-221.5</v>
      </c>
      <c r="BP250" s="4">
        <v>-614.76</v>
      </c>
      <c r="BQ250" s="4">
        <v>-614.52</v>
      </c>
      <c r="BR250" s="4">
        <v>-131.5</v>
      </c>
      <c r="BS250" s="4">
        <v>-517.58000000000004</v>
      </c>
      <c r="BT250" s="4">
        <f>IF(OR(MID(TBBP[[#This Row],[Coluna1]],1,1)="1",MID(TBBP[[#This Row],[Coluna1]],1,1)="2"),TBBP[[#This Row],[Coluna127]],SUM(BH250:BS250))</f>
        <v>-13415.83</v>
      </c>
      <c r="BU250" s="4">
        <v>-711.31</v>
      </c>
      <c r="BV250" s="4">
        <v>-579.19000000000005</v>
      </c>
      <c r="BW250" s="4">
        <v>-618.44000000000005</v>
      </c>
      <c r="BX250" s="4">
        <v>-2916.42</v>
      </c>
      <c r="BY250" s="4">
        <v>-2150.61</v>
      </c>
      <c r="BZ250" s="4">
        <v>-3541.85</v>
      </c>
      <c r="CA250" s="4">
        <v>-3148.92</v>
      </c>
      <c r="CB250" s="4">
        <v>-3149.25</v>
      </c>
      <c r="CC250" s="4">
        <v>-3735.79</v>
      </c>
      <c r="CD250" s="4">
        <v>-518.58000000000004</v>
      </c>
      <c r="CE250" s="4">
        <v>-5320.72</v>
      </c>
      <c r="CF250" s="4">
        <v>-579.63</v>
      </c>
      <c r="CG250" s="4">
        <f>IF(OR(MID(TBBP[[#This Row],[Coluna1]],1,1)="1",MID(TBBP[[#This Row],[Coluna1]],1,1)="2"),CF250,SUM(BU250:CF250))</f>
        <v>-26970.710000000006</v>
      </c>
      <c r="CH250" s="4">
        <v>-8908.7099999999991</v>
      </c>
      <c r="CI250" s="4">
        <v>-5164.8100000000004</v>
      </c>
      <c r="CJ250" s="4">
        <v>-518.30999999999995</v>
      </c>
      <c r="CK250" s="4">
        <v>-7462.83</v>
      </c>
      <c r="CL250" s="4">
        <v>-4203.33</v>
      </c>
      <c r="CM250" s="4">
        <v>-5461.99</v>
      </c>
      <c r="CN250" s="4">
        <v>-6667.67</v>
      </c>
      <c r="CO250" s="4">
        <v>-4347.8599999999997</v>
      </c>
      <c r="CP250" s="4">
        <v>-3885.39</v>
      </c>
      <c r="CQ250" s="4">
        <v>-3977.26</v>
      </c>
      <c r="CR250" s="4">
        <v>-13377.59</v>
      </c>
      <c r="CS250" s="4">
        <v>-1763.16</v>
      </c>
      <c r="CT250" s="4">
        <f>IF(OR(MID(TBBP[[#This Row],[Coluna1]],1,1)="1",MID(TBBP[[#This Row],[Coluna1]],1,1)="2"),CS250,SUM(CH250:CS250))</f>
        <v>-65738.91</v>
      </c>
      <c r="CU250" s="255">
        <v>-11494.27</v>
      </c>
      <c r="CV250" s="255">
        <v>-7480.15</v>
      </c>
      <c r="CW250" s="255">
        <v>-7548.65</v>
      </c>
      <c r="CX250" s="255">
        <v>-4125.75</v>
      </c>
      <c r="CY250" s="255">
        <v>-2929.48</v>
      </c>
      <c r="CZ250" s="255">
        <v>-928.93</v>
      </c>
      <c r="DA250" s="255">
        <v>-8006.08</v>
      </c>
      <c r="DB250" s="255">
        <v>-6310.16</v>
      </c>
      <c r="DC250" s="255">
        <v>-4448.8999999999996</v>
      </c>
      <c r="DD250" s="255">
        <v>-4813.99</v>
      </c>
      <c r="DE250" s="255">
        <v>-4481.82</v>
      </c>
      <c r="DF250" s="255">
        <v>-4481.5200000000004</v>
      </c>
      <c r="DG250" s="255">
        <f>SUM(TBBP[[#This Row],[Coluna287]:[Coluna298]])</f>
        <v>-67049.7</v>
      </c>
      <c r="DH250" s="255">
        <v>-12448.1</v>
      </c>
      <c r="DI250" s="255">
        <v>-3501.06</v>
      </c>
      <c r="DJ250" s="255">
        <v>-12961.75</v>
      </c>
      <c r="DK250" s="255">
        <v>-10915.46</v>
      </c>
      <c r="DL250" s="255">
        <v>-8245.58</v>
      </c>
      <c r="DM250" s="255">
        <v>-8054.59</v>
      </c>
      <c r="DP250" s="30">
        <f>IF(OR(MID(TBBP[[#This Row],[Coluna1]],1,1)="1",MID(TBBP[[#This Row],[Coluna1]],1,1)="2"),"-",SUMIFS(250:250,listaPeriodos,$DR$1,listaPeriodos,$DR$2))</f>
        <v>-56126.539999999994</v>
      </c>
      <c r="DQ250" s="30"/>
      <c r="DR250" s="30">
        <f t="shared" si="180"/>
        <v>0</v>
      </c>
      <c r="DS250" s="30"/>
      <c r="DT250" s="30"/>
      <c r="DU250"/>
    </row>
    <row r="251" spans="1:125" x14ac:dyDescent="0.3">
      <c r="A251" s="7" t="s">
        <v>436</v>
      </c>
      <c r="B251" t="s">
        <v>569</v>
      </c>
      <c r="C251" s="4">
        <v>0</v>
      </c>
      <c r="D251" s="4">
        <v>0</v>
      </c>
      <c r="E251" s="4">
        <v>0</v>
      </c>
      <c r="F251" s="4">
        <v>0</v>
      </c>
      <c r="G251" s="4">
        <v>-103201.43</v>
      </c>
      <c r="H251" s="4">
        <v>-10789.61</v>
      </c>
      <c r="I251" s="4">
        <v>-18217.11</v>
      </c>
      <c r="J251" s="4">
        <v>-6265.11</v>
      </c>
      <c r="K251" s="4">
        <v>-19684.41</v>
      </c>
      <c r="L251" s="4">
        <v>-10200.31</v>
      </c>
      <c r="M251" s="4">
        <v>-20595.61</v>
      </c>
      <c r="N251" s="4">
        <v>-31004</v>
      </c>
      <c r="O251" s="4">
        <v>-19708.509999999998</v>
      </c>
      <c r="P251" s="4">
        <v>-28401.81</v>
      </c>
      <c r="Q251" s="4">
        <v>-23066.74</v>
      </c>
      <c r="R251" s="4">
        <v>-19701.39</v>
      </c>
      <c r="S251" s="4">
        <v>-11125.03</v>
      </c>
      <c r="T251" s="4">
        <f>IF(OR(MID(TBBP[[#This Row],[Coluna1]],1,1)="1",MID(TBBP[[#This Row],[Coluna1]],1,1)="2"),TBBP[[#This Row],[Coluna19]],SUM(H251:S251))</f>
        <v>-218759.63999999998</v>
      </c>
      <c r="U251" s="4">
        <v>-10388.57</v>
      </c>
      <c r="V251" s="4">
        <v>-23035.77</v>
      </c>
      <c r="W251" s="4">
        <v>-13741.87</v>
      </c>
      <c r="X251" s="4">
        <v>-14726.52</v>
      </c>
      <c r="Y251" s="4">
        <v>-16790.580000000002</v>
      </c>
      <c r="Z251" s="4">
        <v>-20894.53</v>
      </c>
      <c r="AA251" s="4">
        <v>-31422.63</v>
      </c>
      <c r="AB251" s="4">
        <v>-7646.15</v>
      </c>
      <c r="AC251" s="4">
        <v>-11893.68</v>
      </c>
      <c r="AD251" s="4">
        <v>-20103.47</v>
      </c>
      <c r="AE251" s="4">
        <v>-17749.490000000002</v>
      </c>
      <c r="AF251" s="4">
        <v>-18030.3</v>
      </c>
      <c r="AG251" s="4">
        <f>IF(OR(MID(TBBP[[#This Row],[Coluna1]],1,1)="1",MID(TBBP[[#This Row],[Coluna1]],1,1)="2"),TBBP[[#This Row],[Coluna32]],SUM(U251:AF251))</f>
        <v>-206423.55999999997</v>
      </c>
      <c r="AH251" s="4">
        <v>-23411.81</v>
      </c>
      <c r="AI251" s="4">
        <v>-22681.03</v>
      </c>
      <c r="AJ251" s="4">
        <v>-35219.58</v>
      </c>
      <c r="AK251" s="4">
        <v>-14757.81</v>
      </c>
      <c r="AL251" s="4">
        <v>-23553.68</v>
      </c>
      <c r="AM251" s="4">
        <v>-25291.759999999998</v>
      </c>
      <c r="AN251" s="4">
        <v>-28130.82</v>
      </c>
      <c r="AO251" s="4">
        <v>-32702.9</v>
      </c>
      <c r="AP251" s="4">
        <v>-31839.360000000001</v>
      </c>
      <c r="AQ251" s="4">
        <v>-29188.14</v>
      </c>
      <c r="AR251" s="4">
        <v>-25539.64</v>
      </c>
      <c r="AS251" s="4">
        <v>-26597.53</v>
      </c>
      <c r="AT251" s="4">
        <f>IF(OR(MID(TBBP[[#This Row],[Coluna1]],1,1)="1",MID(TBBP[[#This Row],[Coluna1]],1,1)="2"),TBBP[[#This Row],[Coluna45]],SUM(AH251:AS251))</f>
        <v>-318914.06000000006</v>
      </c>
      <c r="AU251" s="4">
        <v>-36623.21</v>
      </c>
      <c r="AV251" s="4">
        <v>-109614.46</v>
      </c>
      <c r="AW251" s="4">
        <v>-19200.18</v>
      </c>
      <c r="AX251" s="4">
        <v>-21279.53</v>
      </c>
      <c r="AY251" s="4">
        <v>-23742.36</v>
      </c>
      <c r="AZ251" s="4">
        <v>-30131.88</v>
      </c>
      <c r="BA251" s="4">
        <v>-30614.04</v>
      </c>
      <c r="BB251" s="4">
        <v>-39768.639999999999</v>
      </c>
      <c r="BC251" s="4">
        <v>-36060.44</v>
      </c>
      <c r="BD251" s="4">
        <v>-78357.41</v>
      </c>
      <c r="BE251" s="4">
        <v>-42621.84</v>
      </c>
      <c r="BF251" s="4">
        <v>-54009.77</v>
      </c>
      <c r="BG251" s="4">
        <f>IF(OR(MID(TBBP[[#This Row],[Coluna1]],1,1)="1",MID(TBBP[[#This Row],[Coluna1]],1,1)="2"),TBBP[[#This Row],[Coluna58]],SUM(AU251:BF251))</f>
        <v>-522023.76</v>
      </c>
      <c r="BH251" s="4">
        <v>-8445.57</v>
      </c>
      <c r="BI251" s="4">
        <v>-49560.34</v>
      </c>
      <c r="BJ251" s="4">
        <v>-54860.29</v>
      </c>
      <c r="BK251" s="4">
        <v>-49279.74</v>
      </c>
      <c r="BL251" s="4">
        <v>-47038.42</v>
      </c>
      <c r="BM251" s="4">
        <v>-57935.199999999997</v>
      </c>
      <c r="BN251" s="4">
        <v>-27692.560000000001</v>
      </c>
      <c r="BO251" s="4">
        <v>-87074.72</v>
      </c>
      <c r="BP251" s="4">
        <v>-42954.52</v>
      </c>
      <c r="BQ251" s="4">
        <v>-52668.61</v>
      </c>
      <c r="BR251" s="4">
        <v>-39011.17</v>
      </c>
      <c r="BS251" s="4">
        <v>-37072.959999999999</v>
      </c>
      <c r="BT251" s="4">
        <f>IF(OR(MID(TBBP[[#This Row],[Coluna1]],1,1)="1",MID(TBBP[[#This Row],[Coluna1]],1,1)="2"),TBBP[[#This Row],[Coluna127]],SUM(BH251:BS251))</f>
        <v>-553594.1</v>
      </c>
      <c r="BU251" s="4">
        <v>-85196.95</v>
      </c>
      <c r="BV251" s="4">
        <v>-55453.43</v>
      </c>
      <c r="BW251" s="4">
        <v>-28635.91</v>
      </c>
      <c r="BX251" s="4">
        <v>-42001.51</v>
      </c>
      <c r="BY251" s="4">
        <v>-42331.47</v>
      </c>
      <c r="BZ251" s="4">
        <v>-41103.51</v>
      </c>
      <c r="CA251" s="4">
        <v>-31974.639999999999</v>
      </c>
      <c r="CB251" s="4">
        <v>-119173.7</v>
      </c>
      <c r="CC251" s="4">
        <v>-54388.26</v>
      </c>
      <c r="CD251" s="4">
        <v>-83518.64</v>
      </c>
      <c r="CE251" s="4">
        <v>-57435.43</v>
      </c>
      <c r="CF251" s="4">
        <v>-84103.28</v>
      </c>
      <c r="CG251" s="4">
        <f>IF(OR(MID(TBBP[[#This Row],[Coluna1]],1,1)="1",MID(TBBP[[#This Row],[Coluna1]],1,1)="2"),CF251,SUM(BU251:CF251))</f>
        <v>-725316.7300000001</v>
      </c>
      <c r="CH251" s="4">
        <v>-82422.080000000002</v>
      </c>
      <c r="CI251" s="4">
        <v>-67397.119999999995</v>
      </c>
      <c r="CJ251" s="4">
        <v>-49581.13</v>
      </c>
      <c r="CK251" s="4">
        <v>-45439.61</v>
      </c>
      <c r="CL251" s="4">
        <v>-52303.77</v>
      </c>
      <c r="CM251" s="4">
        <v>-43491.23</v>
      </c>
      <c r="CN251" s="4">
        <v>-50080.44</v>
      </c>
      <c r="CO251" s="4">
        <v>-66938.12</v>
      </c>
      <c r="CP251" s="4">
        <v>-53213.760000000002</v>
      </c>
      <c r="CQ251" s="4">
        <v>-54223.81</v>
      </c>
      <c r="CR251" s="4">
        <v>-47164.39</v>
      </c>
      <c r="CS251" s="4">
        <v>-81921.33</v>
      </c>
      <c r="CT251" s="4">
        <f>IF(OR(MID(TBBP[[#This Row],[Coluna1]],1,1)="1",MID(TBBP[[#This Row],[Coluna1]],1,1)="2"),CS251,SUM(CH251:CS251))</f>
        <v>-694176.79</v>
      </c>
      <c r="CU251" s="255">
        <v>-125136.53</v>
      </c>
      <c r="CV251" s="255">
        <v>-151817.95000000001</v>
      </c>
      <c r="CW251" s="255">
        <v>-48066.63</v>
      </c>
      <c r="CX251" s="255">
        <v>-54976.7</v>
      </c>
      <c r="CY251" s="255">
        <v>-75470.710000000006</v>
      </c>
      <c r="CZ251" s="255">
        <v>-78040.55</v>
      </c>
      <c r="DA251" s="255">
        <v>-96618.41</v>
      </c>
      <c r="DB251" s="255">
        <v>-90138.11</v>
      </c>
      <c r="DC251" s="255">
        <v>-72894.44</v>
      </c>
      <c r="DD251" s="255">
        <v>-45445.23</v>
      </c>
      <c r="DE251" s="255">
        <v>-58816.85</v>
      </c>
      <c r="DF251" s="255">
        <v>-73970.759999999995</v>
      </c>
      <c r="DG251" s="255">
        <f>SUM(TBBP[[#This Row],[Coluna287]:[Coluna298]])</f>
        <v>-971392.87</v>
      </c>
      <c r="DH251" s="255">
        <v>-66178.91</v>
      </c>
      <c r="DI251" s="255">
        <v>-83460.429999999993</v>
      </c>
      <c r="DJ251" s="255">
        <v>-69126.39</v>
      </c>
      <c r="DK251" s="255">
        <v>-119953.56</v>
      </c>
      <c r="DL251" s="255">
        <v>-75111.28</v>
      </c>
      <c r="DM251" s="255">
        <v>-59589.86</v>
      </c>
      <c r="DP251" s="30">
        <f>IF(OR(MID(TBBP[[#This Row],[Coluna1]],1,1)="1",MID(TBBP[[#This Row],[Coluna1]],1,1)="2"),"-",SUMIFS(251:251,listaPeriodos,$DR$1,listaPeriodos,$DR$2))</f>
        <v>-473420.42999999993</v>
      </c>
      <c r="DQ251" s="30"/>
      <c r="DR251" s="30">
        <f t="shared" si="180"/>
        <v>0</v>
      </c>
      <c r="DS251" s="30"/>
      <c r="DT251" s="30"/>
      <c r="DU251"/>
    </row>
    <row r="252" spans="1:125" x14ac:dyDescent="0.3">
      <c r="A252" s="7" t="s">
        <v>437</v>
      </c>
      <c r="B252" t="s">
        <v>570</v>
      </c>
      <c r="C252" s="4">
        <v>0</v>
      </c>
      <c r="D252" s="4">
        <v>0</v>
      </c>
      <c r="E252" s="4">
        <v>0</v>
      </c>
      <c r="F252" s="4">
        <v>0</v>
      </c>
      <c r="G252" s="4">
        <v>-323510.18</v>
      </c>
      <c r="H252" s="4">
        <v>-25162.5</v>
      </c>
      <c r="I252" s="4">
        <v>-25402.5</v>
      </c>
      <c r="J252" s="4">
        <v>-25522.5</v>
      </c>
      <c r="K252" s="4">
        <v>-25602.5</v>
      </c>
      <c r="L252" s="4">
        <v>-25802.5</v>
      </c>
      <c r="M252" s="4">
        <v>-25192.5</v>
      </c>
      <c r="N252" s="4">
        <v>-25802.5</v>
      </c>
      <c r="O252" s="4">
        <v>-25562.5</v>
      </c>
      <c r="P252" s="4">
        <v>-27131.96</v>
      </c>
      <c r="Q252" s="4">
        <v>-25382.84</v>
      </c>
      <c r="R252" s="4">
        <v>-25926.14</v>
      </c>
      <c r="S252" s="4">
        <v>-50598.46</v>
      </c>
      <c r="T252" s="4">
        <f>IF(OR(MID(TBBP[[#This Row],[Coluna1]],1,1)="1",MID(TBBP[[#This Row],[Coluna1]],1,1)="2"),TBBP[[#This Row],[Coluna19]],SUM(H252:S252))</f>
        <v>-333089.40000000002</v>
      </c>
      <c r="U252" s="4">
        <v>-27062.84</v>
      </c>
      <c r="V252" s="4">
        <v>-34110</v>
      </c>
      <c r="W252" s="4">
        <v>-34378.400000000001</v>
      </c>
      <c r="X252" s="4">
        <v>-18177.16</v>
      </c>
      <c r="Y252" s="4">
        <v>-32535</v>
      </c>
      <c r="Z252" s="4">
        <v>-32455</v>
      </c>
      <c r="AA252" s="4">
        <v>-32455</v>
      </c>
      <c r="AB252" s="4">
        <v>-32190</v>
      </c>
      <c r="AC252" s="4">
        <v>-34126.160000000003</v>
      </c>
      <c r="AD252" s="4">
        <v>-33187.75</v>
      </c>
      <c r="AE252" s="4">
        <v>-33457.599999999999</v>
      </c>
      <c r="AF252" s="4">
        <v>-33466.99</v>
      </c>
      <c r="AG252" s="4">
        <f>IF(OR(MID(TBBP[[#This Row],[Coluna1]],1,1)="1",MID(TBBP[[#This Row],[Coluna1]],1,1)="2"),TBBP[[#This Row],[Coluna32]],SUM(U252:AF252))</f>
        <v>-377601.89999999997</v>
      </c>
      <c r="AH252" s="4">
        <v>-33153.71</v>
      </c>
      <c r="AI252" s="4">
        <v>-32015.07</v>
      </c>
      <c r="AJ252" s="4">
        <v>-35535.07</v>
      </c>
      <c r="AK252" s="4">
        <v>-18771.37</v>
      </c>
      <c r="AL252" s="4">
        <v>-18690.990000000002</v>
      </c>
      <c r="AM252" s="4">
        <v>-19731.37</v>
      </c>
      <c r="AN252" s="4">
        <v>-31827.07</v>
      </c>
      <c r="AO252" s="4">
        <v>-33241.08</v>
      </c>
      <c r="AP252" s="4">
        <v>-33086.769999999997</v>
      </c>
      <c r="AQ252" s="4">
        <v>-32924.69</v>
      </c>
      <c r="AR252" s="4">
        <v>-32840.28</v>
      </c>
      <c r="AS252" s="4">
        <v>-37191</v>
      </c>
      <c r="AT252" s="4">
        <f>IF(OR(MID(TBBP[[#This Row],[Coluna1]],1,1)="1",MID(TBBP[[#This Row],[Coluna1]],1,1)="2"),TBBP[[#This Row],[Coluna45]],SUM(AH252:AS252))</f>
        <v>-359008.47</v>
      </c>
      <c r="AU252" s="4">
        <v>-32734.93</v>
      </c>
      <c r="AV252" s="4">
        <v>-33929.019999999997</v>
      </c>
      <c r="AW252" s="4">
        <v>-39224.730000000003</v>
      </c>
      <c r="AX252" s="4">
        <v>-39199.43</v>
      </c>
      <c r="AY252" s="4">
        <v>-54084.54</v>
      </c>
      <c r="AZ252" s="4">
        <v>-67533</v>
      </c>
      <c r="BA252" s="4">
        <v>-69043</v>
      </c>
      <c r="BB252" s="4">
        <v>-66589.399999999994</v>
      </c>
      <c r="BC252" s="4">
        <v>-71878.19</v>
      </c>
      <c r="BD252" s="4">
        <v>-74810.05</v>
      </c>
      <c r="BE252" s="4">
        <v>-71688.73</v>
      </c>
      <c r="BF252" s="4">
        <v>-82306.37</v>
      </c>
      <c r="BG252" s="4">
        <f>IF(OR(MID(TBBP[[#This Row],[Coluna1]],1,1)="1",MID(TBBP[[#This Row],[Coluna1]],1,1)="2"),TBBP[[#This Row],[Coluna58]],SUM(AU252:BF252))</f>
        <v>-703021.39</v>
      </c>
      <c r="BH252" s="4">
        <v>-67705.02</v>
      </c>
      <c r="BI252" s="4">
        <v>-71577.16</v>
      </c>
      <c r="BJ252" s="4">
        <v>-78102.66</v>
      </c>
      <c r="BK252" s="4">
        <v>-73113.5</v>
      </c>
      <c r="BL252" s="4">
        <v>-75378.87</v>
      </c>
      <c r="BM252" s="4">
        <v>-73228.41</v>
      </c>
      <c r="BN252" s="4">
        <v>-72710.820000000007</v>
      </c>
      <c r="BO252" s="4">
        <v>-74686.539999999994</v>
      </c>
      <c r="BP252" s="4">
        <v>-96498.31</v>
      </c>
      <c r="BQ252" s="4">
        <v>-75663.679999999993</v>
      </c>
      <c r="BR252" s="4">
        <v>-77686.929999999993</v>
      </c>
      <c r="BS252" s="4">
        <v>-81070.62</v>
      </c>
      <c r="BT252" s="4">
        <f>IF(OR(MID(TBBP[[#This Row],[Coluna1]],1,1)="1",MID(TBBP[[#This Row],[Coluna1]],1,1)="2"),TBBP[[#This Row],[Coluna127]],SUM(BH252:BS252))</f>
        <v>-917422.5199999999</v>
      </c>
      <c r="BU252" s="4">
        <v>-73956.56</v>
      </c>
      <c r="BV252" s="4">
        <v>-88981.7</v>
      </c>
      <c r="BW252" s="4">
        <v>-72430.240000000005</v>
      </c>
      <c r="BX252" s="4">
        <v>-78314.209999999992</v>
      </c>
      <c r="BY252" s="4">
        <v>-75617.27</v>
      </c>
      <c r="BZ252" s="4">
        <v>-71730.7</v>
      </c>
      <c r="CA252" s="4">
        <v>-71078.78</v>
      </c>
      <c r="CB252" s="4">
        <v>-86005.14</v>
      </c>
      <c r="CC252" s="4">
        <v>-81138.17</v>
      </c>
      <c r="CD252" s="4">
        <v>-73945.64</v>
      </c>
      <c r="CE252" s="4">
        <v>-78664.09</v>
      </c>
      <c r="CF252" s="4">
        <v>-81972.800000000003</v>
      </c>
      <c r="CG252" s="4">
        <f>IF(OR(MID(TBBP[[#This Row],[Coluna1]],1,1)="1",MID(TBBP[[#This Row],[Coluna1]],1,1)="2"),CF252,SUM(BU252:CF252))</f>
        <v>-933835.3</v>
      </c>
      <c r="CH252" s="4">
        <v>-75693.540000000008</v>
      </c>
      <c r="CI252" s="4">
        <v>-76993.930000000008</v>
      </c>
      <c r="CJ252" s="4">
        <v>-193624.01</v>
      </c>
      <c r="CK252" s="4">
        <v>-34993.589999999997</v>
      </c>
      <c r="CL252" s="4">
        <v>-140134.17000000001</v>
      </c>
      <c r="CM252" s="4">
        <v>-146306.01999999999</v>
      </c>
      <c r="CN252" s="4">
        <v>-162996.96000000002</v>
      </c>
      <c r="CO252" s="4">
        <v>-149837.65</v>
      </c>
      <c r="CP252" s="4">
        <v>-147602.91999999998</v>
      </c>
      <c r="CQ252" s="4">
        <v>-147043.71000000002</v>
      </c>
      <c r="CR252" s="4">
        <v>-150617.70000000001</v>
      </c>
      <c r="CS252" s="4">
        <v>-138152.21</v>
      </c>
      <c r="CT252" s="4">
        <f>IF(OR(MID(TBBP[[#This Row],[Coluna1]],1,1)="1",MID(TBBP[[#This Row],[Coluna1]],1,1)="2"),CS252,SUM(CH252:CS252))</f>
        <v>-1563996.4100000001</v>
      </c>
      <c r="CU252" s="255">
        <v>-148140.26999999999</v>
      </c>
      <c r="CV252" s="255">
        <v>-149461.44</v>
      </c>
      <c r="CW252" s="255">
        <v>-146398.6</v>
      </c>
      <c r="CX252" s="255">
        <v>-197014.5</v>
      </c>
      <c r="CY252" s="255">
        <v>-163397.25</v>
      </c>
      <c r="CZ252" s="255">
        <v>-184624.98</v>
      </c>
      <c r="DA252" s="255">
        <v>-169189.53</v>
      </c>
      <c r="DB252" s="255">
        <v>-169275.69</v>
      </c>
      <c r="DC252" s="255">
        <v>-170024.37</v>
      </c>
      <c r="DD252" s="255">
        <v>-170945.87</v>
      </c>
      <c r="DE252" s="255">
        <v>-163057.13</v>
      </c>
      <c r="DF252" s="255">
        <v>-167681.48000000001</v>
      </c>
      <c r="DG252" s="255">
        <f>SUM(TBBP[[#This Row],[Coluna287]:[Coluna298]])</f>
        <v>-1999211.1099999999</v>
      </c>
      <c r="DH252" s="255">
        <v>-199006.65000000002</v>
      </c>
      <c r="DI252" s="255">
        <v>-195686.37</v>
      </c>
      <c r="DJ252" s="255">
        <v>-225534.61</v>
      </c>
      <c r="DK252" s="255">
        <v>-209222.90999999997</v>
      </c>
      <c r="DL252" s="255">
        <v>-203353.37</v>
      </c>
      <c r="DM252" s="255">
        <v>-203845.87000000002</v>
      </c>
      <c r="DP252" s="30">
        <f>IF(OR(MID(TBBP[[#This Row],[Coluna1]],1,1)="1",MID(TBBP[[#This Row],[Coluna1]],1,1)="2"),"-",SUMIFS(252:252,listaPeriodos,$DR$1,listaPeriodos,$DR$2))</f>
        <v>-1236649.78</v>
      </c>
      <c r="DQ252" s="30"/>
      <c r="DR252" s="30">
        <f t="shared" si="180"/>
        <v>0</v>
      </c>
      <c r="DS252" s="30"/>
      <c r="DT252" s="30"/>
      <c r="DU252"/>
    </row>
    <row r="253" spans="1:125" x14ac:dyDescent="0.3">
      <c r="A253" s="7" t="s">
        <v>438</v>
      </c>
      <c r="B253" t="s">
        <v>571</v>
      </c>
      <c r="C253" s="4">
        <v>0</v>
      </c>
      <c r="D253" s="4">
        <v>0</v>
      </c>
      <c r="E253" s="4">
        <v>0</v>
      </c>
      <c r="F253" s="4">
        <v>0</v>
      </c>
      <c r="G253" s="4">
        <v>-287801.65000000002</v>
      </c>
      <c r="H253" s="4">
        <v>-24662.84</v>
      </c>
      <c r="I253" s="4">
        <v>-24662.84</v>
      </c>
      <c r="J253" s="4">
        <v>-24662.84</v>
      </c>
      <c r="K253" s="4">
        <v>-24662.84</v>
      </c>
      <c r="L253" s="4">
        <v>-24662.84</v>
      </c>
      <c r="M253" s="4">
        <v>-24662.84</v>
      </c>
      <c r="N253" s="4">
        <v>-24662.84</v>
      </c>
      <c r="O253" s="4">
        <v>-24662.84</v>
      </c>
      <c r="P253" s="4">
        <v>-24662.84</v>
      </c>
      <c r="Q253" s="4">
        <v>-24662.84</v>
      </c>
      <c r="R253" s="4">
        <v>-24662.84</v>
      </c>
      <c r="S253" s="4">
        <v>-49940.68</v>
      </c>
      <c r="T253" s="4">
        <f>IF(OR(MID(TBBP[[#This Row],[Coluna1]],1,1)="1",MID(TBBP[[#This Row],[Coluna1]],1,1)="2"),TBBP[[#This Row],[Coluna19]],SUM(H253:S253))</f>
        <v>-321231.92</v>
      </c>
      <c r="U253" s="4">
        <v>-25662.84</v>
      </c>
      <c r="V253" s="4">
        <v>-31635</v>
      </c>
      <c r="W253" s="4">
        <v>-33115</v>
      </c>
      <c r="X253" s="4">
        <v>-17452.16</v>
      </c>
      <c r="Y253" s="4">
        <v>-31730</v>
      </c>
      <c r="Z253" s="4">
        <v>-31730</v>
      </c>
      <c r="AA253" s="4">
        <v>-31730</v>
      </c>
      <c r="AB253" s="4">
        <v>-31730</v>
      </c>
      <c r="AC253" s="4">
        <v>-31730</v>
      </c>
      <c r="AD253" s="4">
        <v>-32382.75</v>
      </c>
      <c r="AE253" s="4">
        <v>-32382.75</v>
      </c>
      <c r="AF253" s="4">
        <v>-32382.75</v>
      </c>
      <c r="AG253" s="4">
        <f>IF(OR(MID(TBBP[[#This Row],[Coluna1]],1,1)="1",MID(TBBP[[#This Row],[Coluna1]],1,1)="2"),TBBP[[#This Row],[Coluna32]],SUM(U253:AF253))</f>
        <v>-363663.25</v>
      </c>
      <c r="AH253" s="4">
        <v>-32382.75</v>
      </c>
      <c r="AI253" s="4">
        <v>-31290.07</v>
      </c>
      <c r="AJ253" s="4">
        <v>-31410.07</v>
      </c>
      <c r="AK253" s="4">
        <v>-18126.37</v>
      </c>
      <c r="AL253" s="4">
        <v>-18126.37</v>
      </c>
      <c r="AM253" s="4">
        <v>-18926.37</v>
      </c>
      <c r="AN253" s="4">
        <v>-31410.07</v>
      </c>
      <c r="AO253" s="4">
        <v>-32396.080000000002</v>
      </c>
      <c r="AP253" s="4">
        <v>-32281.77</v>
      </c>
      <c r="AQ253" s="4">
        <v>-32281.77</v>
      </c>
      <c r="AR253" s="4">
        <v>-32281.77</v>
      </c>
      <c r="AS253" s="4">
        <v>-32281.77</v>
      </c>
      <c r="AT253" s="4">
        <f>IF(OR(MID(TBBP[[#This Row],[Coluna1]],1,1)="1",MID(TBBP[[#This Row],[Coluna1]],1,1)="2"),TBBP[[#This Row],[Coluna45]],SUM(AH253:AS253))</f>
        <v>-343195.23000000004</v>
      </c>
      <c r="AU253" s="4">
        <v>-32281.77</v>
      </c>
      <c r="AV253" s="4">
        <v>-33629.019999999997</v>
      </c>
      <c r="AW253" s="4">
        <v>-38500</v>
      </c>
      <c r="AX253" s="4">
        <v>-38500</v>
      </c>
      <c r="AY253" s="4">
        <v>-51511.5</v>
      </c>
      <c r="AZ253" s="4">
        <v>-64523</v>
      </c>
      <c r="BA253" s="4">
        <v>-64523</v>
      </c>
      <c r="BB253" s="4">
        <v>-64523</v>
      </c>
      <c r="BC253" s="4">
        <v>-68023</v>
      </c>
      <c r="BD253" s="4">
        <v>-68023</v>
      </c>
      <c r="BE253" s="4">
        <v>-68023</v>
      </c>
      <c r="BF253" s="4">
        <v>-64523</v>
      </c>
      <c r="BG253" s="4">
        <f>IF(OR(MID(TBBP[[#This Row],[Coluna1]],1,1)="1",MID(TBBP[[#This Row],[Coluna1]],1,1)="2"),TBBP[[#This Row],[Coluna58]],SUM(AU253:BF253))</f>
        <v>-656583.29</v>
      </c>
      <c r="BH253" s="4">
        <v>-64523</v>
      </c>
      <c r="BI253" s="4">
        <v>-65723</v>
      </c>
      <c r="BJ253" s="4">
        <v>-71723</v>
      </c>
      <c r="BK253" s="4">
        <v>-71693.06</v>
      </c>
      <c r="BL253" s="4">
        <v>-71693.06</v>
      </c>
      <c r="BM253" s="4">
        <v>-71693.06</v>
      </c>
      <c r="BN253" s="4">
        <v>-71693.06</v>
      </c>
      <c r="BO253" s="4">
        <v>-71693.06</v>
      </c>
      <c r="BP253" s="4">
        <v>-91998.95</v>
      </c>
      <c r="BQ253" s="4">
        <v>-75414.98</v>
      </c>
      <c r="BR253" s="4">
        <v>-73414.98</v>
      </c>
      <c r="BS253" s="4">
        <v>-73414.98</v>
      </c>
      <c r="BT253" s="4">
        <f>IF(OR(MID(TBBP[[#This Row],[Coluna1]],1,1)="1",MID(TBBP[[#This Row],[Coluna1]],1,1)="2"),TBBP[[#This Row],[Coluna127]],SUM(BH253:BS253))</f>
        <v>-874678.19</v>
      </c>
      <c r="BU253" s="4">
        <v>-66947.839999999997</v>
      </c>
      <c r="BV253" s="4">
        <v>-67148.070000000007</v>
      </c>
      <c r="BW253" s="4">
        <v>-66747.61</v>
      </c>
      <c r="BX253" s="4">
        <v>-69182.820000000007</v>
      </c>
      <c r="BY253" s="4">
        <v>-67522.080000000002</v>
      </c>
      <c r="BZ253" s="4">
        <v>-67522.080000000002</v>
      </c>
      <c r="CA253" s="4">
        <v>-67522.080000000002</v>
      </c>
      <c r="CB253" s="4">
        <v>-71786.47</v>
      </c>
      <c r="CC253" s="4">
        <v>-72936.239999999991</v>
      </c>
      <c r="CD253" s="4">
        <v>-72739.48</v>
      </c>
      <c r="CE253" s="4">
        <v>-73046.34</v>
      </c>
      <c r="CF253" s="4">
        <v>-77930.27</v>
      </c>
      <c r="CG253" s="4">
        <f>IF(OR(MID(TBBP[[#This Row],[Coluna1]],1,1)="1",MID(TBBP[[#This Row],[Coluna1]],1,1)="2"),CF253,SUM(BU253:CF253))</f>
        <v>-841031.38</v>
      </c>
      <c r="CH253" s="4">
        <v>-70554.67</v>
      </c>
      <c r="CI253" s="4">
        <v>-74347.899999999994</v>
      </c>
      <c r="CJ253" s="4">
        <v>-187363.38</v>
      </c>
      <c r="CK253" s="4">
        <v>-25095.43</v>
      </c>
      <c r="CL253" s="4">
        <v>-138033.05000000002</v>
      </c>
      <c r="CM253" s="4">
        <v>-141564.88</v>
      </c>
      <c r="CN253" s="4">
        <v>-146156</v>
      </c>
      <c r="CO253" s="4">
        <v>-141614.86000000002</v>
      </c>
      <c r="CP253" s="4">
        <v>-144097.9</v>
      </c>
      <c r="CQ253" s="4">
        <v>-141785.43000000002</v>
      </c>
      <c r="CR253" s="4">
        <v>-149918.38</v>
      </c>
      <c r="CS253" s="4">
        <v>-133822.47</v>
      </c>
      <c r="CT253" s="4">
        <f>IF(OR(MID(TBBP[[#This Row],[Coluna1]],1,1)="1",MID(TBBP[[#This Row],[Coluna1]],1,1)="2"),CS253,SUM(CH253:CS253))</f>
        <v>-1494354.3499999999</v>
      </c>
      <c r="CU253" s="255">
        <v>-141511.65</v>
      </c>
      <c r="CV253" s="255">
        <v>-148387.73000000001</v>
      </c>
      <c r="CW253" s="255">
        <v>-140169.82</v>
      </c>
      <c r="CX253" s="255">
        <v>-194832.12</v>
      </c>
      <c r="CY253" s="255">
        <v>-157905.60000000001</v>
      </c>
      <c r="CZ253" s="255">
        <v>-181721.83000000002</v>
      </c>
      <c r="DA253" s="255">
        <v>-167093.95000000001</v>
      </c>
      <c r="DB253" s="255">
        <v>-165272.63999999998</v>
      </c>
      <c r="DC253" s="255">
        <v>-165268.84</v>
      </c>
      <c r="DD253" s="255">
        <v>-169805.79</v>
      </c>
      <c r="DE253" s="255">
        <v>-161159.80000000002</v>
      </c>
      <c r="DF253" s="255">
        <v>-165784.15</v>
      </c>
      <c r="DG253" s="255">
        <f>SUM(TBBP[[#This Row],[Coluna287]:[Coluna298]])</f>
        <v>-1958913.92</v>
      </c>
      <c r="DH253" s="255">
        <v>-198116.57</v>
      </c>
      <c r="DI253" s="255">
        <v>-193611.29</v>
      </c>
      <c r="DJ253" s="255">
        <v>-213810.96000000002</v>
      </c>
      <c r="DK253" s="255">
        <v>-204082.83000000002</v>
      </c>
      <c r="DL253" s="255">
        <v>-202013.28999999998</v>
      </c>
      <c r="DM253" s="255">
        <v>-200664.36000000002</v>
      </c>
      <c r="DO253" t="s">
        <v>438</v>
      </c>
      <c r="DP253" s="30">
        <f>IF(OR(MID(TBBP[[#This Row],[Coluna1]],1,1)="1",MID(TBBP[[#This Row],[Coluna1]],1,1)="2"),"-",SUMIFS(253:253,listaPeriodos,$DR$1,listaPeriodos,$DR$2))</f>
        <v>-1212299.3000000003</v>
      </c>
      <c r="DQ253" s="30">
        <v>-206633.77</v>
      </c>
      <c r="DR253" s="30">
        <f t="shared" si="180"/>
        <v>-1239802.6199999999</v>
      </c>
      <c r="DS253" s="30"/>
      <c r="DT253" s="30"/>
      <c r="DU253"/>
    </row>
    <row r="254" spans="1:125" x14ac:dyDescent="0.3">
      <c r="A254" s="7" t="s">
        <v>439</v>
      </c>
      <c r="B254" t="s">
        <v>572</v>
      </c>
      <c r="C254" s="4">
        <v>0</v>
      </c>
      <c r="D254" s="4">
        <v>0</v>
      </c>
      <c r="E254" s="4">
        <v>0</v>
      </c>
      <c r="F254" s="4">
        <v>0</v>
      </c>
      <c r="G254" s="4">
        <v>-9630</v>
      </c>
      <c r="H254" s="4">
        <v>-400</v>
      </c>
      <c r="I254" s="4">
        <v>-640</v>
      </c>
      <c r="J254" s="4">
        <v>-720</v>
      </c>
      <c r="K254" s="4">
        <v>-720</v>
      </c>
      <c r="L254" s="4">
        <v>-1040</v>
      </c>
      <c r="M254" s="4">
        <v>-430</v>
      </c>
      <c r="N254" s="4">
        <v>-1040</v>
      </c>
      <c r="O254" s="4">
        <v>-800</v>
      </c>
      <c r="P254" s="4">
        <v>-870</v>
      </c>
      <c r="Q254" s="4">
        <v>-730</v>
      </c>
      <c r="R254" s="4">
        <v>-1000</v>
      </c>
      <c r="S254" s="4">
        <v>-560</v>
      </c>
      <c r="T254" s="4">
        <f>IF(OR(MID(TBBP[[#This Row],[Coluna1]],1,1)="1",MID(TBBP[[#This Row],[Coluna1]],1,1)="2"),TBBP[[#This Row],[Coluna19]],SUM(H254:S254))</f>
        <v>-8950</v>
      </c>
      <c r="U254" s="4">
        <v>-600</v>
      </c>
      <c r="V254" s="4">
        <v>-725</v>
      </c>
      <c r="W254" s="4">
        <v>-725</v>
      </c>
      <c r="X254" s="4">
        <v>-725</v>
      </c>
      <c r="Y254" s="4">
        <v>-805</v>
      </c>
      <c r="Z254" s="4">
        <v>-725</v>
      </c>
      <c r="AA254" s="4">
        <v>-725</v>
      </c>
      <c r="AB254" s="4">
        <v>-400</v>
      </c>
      <c r="AC254" s="4">
        <v>-965</v>
      </c>
      <c r="AD254" s="4">
        <v>-805</v>
      </c>
      <c r="AE254" s="4">
        <v>-725</v>
      </c>
      <c r="AF254" s="4">
        <v>-1065</v>
      </c>
      <c r="AG254" s="4">
        <f>IF(OR(MID(TBBP[[#This Row],[Coluna1]],1,1)="1",MID(TBBP[[#This Row],[Coluna1]],1,1)="2"),TBBP[[#This Row],[Coluna32]],SUM(U254:AF254))</f>
        <v>-8990</v>
      </c>
      <c r="AH254" s="4">
        <v>-518</v>
      </c>
      <c r="AI254" s="4">
        <v>-725</v>
      </c>
      <c r="AJ254" s="4">
        <v>-725</v>
      </c>
      <c r="AK254" s="4">
        <v>-645</v>
      </c>
      <c r="AL254" s="4">
        <v>-160</v>
      </c>
      <c r="AM254" s="4">
        <v>-805</v>
      </c>
      <c r="AN254" s="4">
        <v>-417</v>
      </c>
      <c r="AO254" s="4">
        <v>-845</v>
      </c>
      <c r="AP254" s="4">
        <v>-805</v>
      </c>
      <c r="AQ254" s="4">
        <v>-254</v>
      </c>
      <c r="AR254" s="4">
        <v>-320</v>
      </c>
      <c r="AS254" s="4">
        <v>-320</v>
      </c>
      <c r="AT254" s="4">
        <f>IF(OR(MID(TBBP[[#This Row],[Coluna1]],1,1)="1",MID(TBBP[[#This Row],[Coluna1]],1,1)="2"),TBBP[[#This Row],[Coluna45]],SUM(AH254:AS254))</f>
        <v>-6539</v>
      </c>
      <c r="AU254" s="4">
        <v>-400</v>
      </c>
      <c r="AV254" s="4">
        <v>-300</v>
      </c>
      <c r="AW254" s="4">
        <v>-600</v>
      </c>
      <c r="AX254" s="4">
        <v>-600</v>
      </c>
      <c r="AY254" s="4">
        <v>-100</v>
      </c>
      <c r="AZ254" s="4">
        <v>-700</v>
      </c>
      <c r="BA254" s="4">
        <v>-920</v>
      </c>
      <c r="BB254" s="4">
        <v>-800</v>
      </c>
      <c r="BC254" s="4">
        <v>0</v>
      </c>
      <c r="BD254" s="4">
        <v>-2310</v>
      </c>
      <c r="BE254" s="4">
        <v>-650</v>
      </c>
      <c r="BF254" s="4">
        <v>-580</v>
      </c>
      <c r="BG254" s="4">
        <f>IF(OR(MID(TBBP[[#This Row],[Coluna1]],1,1)="1",MID(TBBP[[#This Row],[Coluna1]],1,1)="2"),TBBP[[#This Row],[Coluna58]],SUM(AU254:BF254))</f>
        <v>-7960</v>
      </c>
      <c r="BH254" s="4">
        <v>-1428</v>
      </c>
      <c r="BI254" s="4">
        <v>-895</v>
      </c>
      <c r="BJ254" s="4">
        <v>-800</v>
      </c>
      <c r="BK254" s="4">
        <v>0</v>
      </c>
      <c r="BL254" s="4">
        <v>0</v>
      </c>
      <c r="BM254" s="4">
        <v>0</v>
      </c>
      <c r="BN254" s="4">
        <v>0</v>
      </c>
      <c r="BO254" s="4">
        <v>-1070</v>
      </c>
      <c r="BP254" s="4">
        <v>-2610</v>
      </c>
      <c r="BQ254" s="4">
        <v>0</v>
      </c>
      <c r="BR254" s="4">
        <v>-2380</v>
      </c>
      <c r="BS254" s="4">
        <v>-11</v>
      </c>
      <c r="BT254" s="4">
        <f>IF(OR(MID(TBBP[[#This Row],[Coluna1]],1,1)="1",MID(TBBP[[#This Row],[Coluna1]],1,1)="2"),TBBP[[#This Row],[Coluna127]],SUM(BH254:BS254))</f>
        <v>-9194</v>
      </c>
      <c r="BU254" s="4">
        <v>-1370</v>
      </c>
      <c r="BV254" s="4">
        <v>-4800</v>
      </c>
      <c r="BW254" s="4">
        <v>-2570</v>
      </c>
      <c r="BX254" s="4">
        <v>0</v>
      </c>
      <c r="BY254" s="4">
        <v>-1370</v>
      </c>
      <c r="BZ254" s="4">
        <v>-1509.6</v>
      </c>
      <c r="CA254" s="4">
        <v>0</v>
      </c>
      <c r="CB254" s="4">
        <v>0</v>
      </c>
      <c r="CC254" s="4">
        <v>-4580</v>
      </c>
      <c r="CD254" s="4">
        <v>0</v>
      </c>
      <c r="CE254" s="4">
        <v>-1370</v>
      </c>
      <c r="CF254" s="4">
        <v>-1100</v>
      </c>
      <c r="CG254" s="4">
        <f>IF(OR(MID(TBBP[[#This Row],[Coluna1]],1,1)="1",MID(TBBP[[#This Row],[Coluna1]],1,1)="2"),CF254,SUM(BU254:CF254))</f>
        <v>-18669.599999999999</v>
      </c>
      <c r="CH254" s="4">
        <v>-3160</v>
      </c>
      <c r="CI254" s="4">
        <v>-960</v>
      </c>
      <c r="CJ254" s="4">
        <v>-3360</v>
      </c>
      <c r="CK254" s="4">
        <v>-240</v>
      </c>
      <c r="CL254" s="4">
        <v>0</v>
      </c>
      <c r="CM254" s="4">
        <v>0</v>
      </c>
      <c r="CN254" s="4">
        <v>-200</v>
      </c>
      <c r="CO254" s="4">
        <v>0</v>
      </c>
      <c r="CP254" s="4">
        <v>0</v>
      </c>
      <c r="CQ254" s="4">
        <v>0</v>
      </c>
      <c r="CR254" s="4">
        <v>0</v>
      </c>
      <c r="CS254" s="4">
        <v>0</v>
      </c>
      <c r="CT254" s="4">
        <f>IF(OR(MID(TBBP[[#This Row],[Coluna1]],1,1)="1",MID(TBBP[[#This Row],[Coluna1]],1,1)="2"),CS254,SUM(CH254:CS254))</f>
        <v>-7920</v>
      </c>
      <c r="CU254" s="255">
        <v>0</v>
      </c>
      <c r="CV254" s="255">
        <v>-200</v>
      </c>
      <c r="CW254" s="255">
        <v>0</v>
      </c>
      <c r="CX254" s="255">
        <v>0</v>
      </c>
      <c r="CY254" s="255">
        <v>0</v>
      </c>
      <c r="CZ254" s="255">
        <v>-770</v>
      </c>
      <c r="DA254" s="255">
        <v>0</v>
      </c>
      <c r="DB254" s="255">
        <v>0</v>
      </c>
      <c r="DC254" s="255">
        <v>-3150</v>
      </c>
      <c r="DD254" s="255">
        <v>-1000</v>
      </c>
      <c r="DE254" s="255">
        <v>0</v>
      </c>
      <c r="DF254" s="255">
        <v>0</v>
      </c>
      <c r="DG254" s="255">
        <f>SUM(TBBP[[#This Row],[Coluna287]:[Coluna298]])</f>
        <v>-5120</v>
      </c>
      <c r="DH254" s="255">
        <v>0</v>
      </c>
      <c r="DI254" s="255">
        <v>0</v>
      </c>
      <c r="DJ254" s="255">
        <v>-7939.83</v>
      </c>
      <c r="DK254" s="255">
        <v>-1200</v>
      </c>
      <c r="DL254" s="255">
        <v>-1200</v>
      </c>
      <c r="DM254" s="255">
        <v>0</v>
      </c>
      <c r="DP254" s="30">
        <f>IF(OR(MID(TBBP[[#This Row],[Coluna1]],1,1)="1",MID(TBBP[[#This Row],[Coluna1]],1,1)="2"),"-",SUMIFS(254:254,listaPeriodos,$DR$1,listaPeriodos,$DR$2))</f>
        <v>-10339.83</v>
      </c>
      <c r="DQ254" s="30"/>
      <c r="DR254" s="30">
        <f t="shared" si="180"/>
        <v>0</v>
      </c>
      <c r="DS254" s="30"/>
      <c r="DT254" s="30"/>
      <c r="DU254"/>
    </row>
    <row r="255" spans="1:125" x14ac:dyDescent="0.3">
      <c r="A255" s="7" t="s">
        <v>440</v>
      </c>
      <c r="B255" t="s">
        <v>573</v>
      </c>
      <c r="C255" s="4">
        <v>0</v>
      </c>
      <c r="D255" s="4">
        <v>0</v>
      </c>
      <c r="E255" s="4">
        <v>0</v>
      </c>
      <c r="F255" s="4">
        <v>0</v>
      </c>
      <c r="G255" s="4">
        <v>-25682.49</v>
      </c>
      <c r="H255" s="4">
        <v>0</v>
      </c>
      <c r="I255" s="4">
        <v>0</v>
      </c>
      <c r="J255" s="4">
        <v>-40</v>
      </c>
      <c r="K255" s="4">
        <v>-120</v>
      </c>
      <c r="L255" s="4">
        <v>0</v>
      </c>
      <c r="M255" s="4">
        <v>0</v>
      </c>
      <c r="N255" s="4">
        <v>0</v>
      </c>
      <c r="O255" s="4">
        <v>0</v>
      </c>
      <c r="P255" s="4">
        <v>-189.2</v>
      </c>
      <c r="Q255" s="4">
        <v>0</v>
      </c>
      <c r="R255" s="4">
        <v>-263.3</v>
      </c>
      <c r="S255" s="4">
        <v>-97.78</v>
      </c>
      <c r="T255" s="4">
        <f>IF(OR(MID(TBBP[[#This Row],[Coluna1]],1,1)="1",MID(TBBP[[#This Row],[Coluna1]],1,1)="2"),TBBP[[#This Row],[Coluna19]],SUM(H255:S255))</f>
        <v>-710.28</v>
      </c>
      <c r="U255" s="4">
        <v>-1000</v>
      </c>
      <c r="V255" s="4">
        <v>-1750</v>
      </c>
      <c r="W255" s="4">
        <v>-538.4</v>
      </c>
      <c r="X255" s="4">
        <v>0</v>
      </c>
      <c r="Y255" s="4">
        <v>0</v>
      </c>
      <c r="Z255" s="4">
        <v>0</v>
      </c>
      <c r="AA255" s="4">
        <v>0</v>
      </c>
      <c r="AB255" s="4">
        <v>-60</v>
      </c>
      <c r="AC255" s="4">
        <v>0</v>
      </c>
      <c r="AD255" s="4">
        <v>0</v>
      </c>
      <c r="AE255" s="4">
        <v>-349.85</v>
      </c>
      <c r="AF255" s="4">
        <v>-19.239999999999998</v>
      </c>
      <c r="AG255" s="4">
        <f>IF(OR(MID(TBBP[[#This Row],[Coluna1]],1,1)="1",MID(TBBP[[#This Row],[Coluna1]],1,1)="2"),TBBP[[#This Row],[Coluna32]],SUM(U255:AF255))</f>
        <v>-3717.49</v>
      </c>
      <c r="AH255" s="4">
        <v>-252.96</v>
      </c>
      <c r="AI255" s="4">
        <v>0</v>
      </c>
      <c r="AJ255" s="4">
        <v>-3400</v>
      </c>
      <c r="AK255" s="4">
        <v>0</v>
      </c>
      <c r="AL255" s="4">
        <v>-404.62</v>
      </c>
      <c r="AM255" s="4">
        <v>0</v>
      </c>
      <c r="AN255" s="4">
        <v>0</v>
      </c>
      <c r="AO255" s="4">
        <v>0</v>
      </c>
      <c r="AP255" s="4">
        <v>0</v>
      </c>
      <c r="AQ255" s="4">
        <v>-388.92</v>
      </c>
      <c r="AR255" s="4">
        <v>-238.51</v>
      </c>
      <c r="AS255" s="4">
        <v>-4589.2299999999996</v>
      </c>
      <c r="AT255" s="4">
        <f>IF(OR(MID(TBBP[[#This Row],[Coluna1]],1,1)="1",MID(TBBP[[#This Row],[Coluna1]],1,1)="2"),TBBP[[#This Row],[Coluna45]],SUM(AH255:AS255))</f>
        <v>-9274.24</v>
      </c>
      <c r="AU255" s="4">
        <v>-53.16</v>
      </c>
      <c r="AV255" s="4">
        <v>0</v>
      </c>
      <c r="AW255" s="4">
        <v>-124.73</v>
      </c>
      <c r="AX255" s="4">
        <v>-99.43</v>
      </c>
      <c r="AY255" s="4">
        <v>-744.57</v>
      </c>
      <c r="AZ255" s="4">
        <v>-2310</v>
      </c>
      <c r="BA255" s="4">
        <v>-3600</v>
      </c>
      <c r="BB255" s="4">
        <v>-1266.4000000000001</v>
      </c>
      <c r="BC255" s="4">
        <v>-3855.1899999999996</v>
      </c>
      <c r="BD255" s="4">
        <v>-4477.05</v>
      </c>
      <c r="BE255" s="4">
        <v>-3015.73</v>
      </c>
      <c r="BF255" s="4">
        <v>-17203.37</v>
      </c>
      <c r="BG255" s="4">
        <f>IF(OR(MID(TBBP[[#This Row],[Coluna1]],1,1)="1",MID(TBBP[[#This Row],[Coluna1]],1,1)="2"),TBBP[[#This Row],[Coluna58]],SUM(AU255:BF255))</f>
        <v>-36749.629999999997</v>
      </c>
      <c r="BH255" s="4">
        <v>-1754.02</v>
      </c>
      <c r="BI255" s="4">
        <v>-4959.16</v>
      </c>
      <c r="BJ255" s="4">
        <v>-5579.66</v>
      </c>
      <c r="BK255" s="4">
        <v>-1420.44</v>
      </c>
      <c r="BL255" s="4">
        <v>-3685.81</v>
      </c>
      <c r="BM255" s="4">
        <v>-1535.35</v>
      </c>
      <c r="BN255" s="4">
        <v>-1017.76</v>
      </c>
      <c r="BO255" s="4">
        <v>-1923.48</v>
      </c>
      <c r="BP255" s="4">
        <v>-1889.36</v>
      </c>
      <c r="BQ255" s="4">
        <v>-248.7</v>
      </c>
      <c r="BR255" s="4">
        <v>-1891.95</v>
      </c>
      <c r="BS255" s="4">
        <v>-7644.64</v>
      </c>
      <c r="BT255" s="4">
        <f>IF(OR(MID(TBBP[[#This Row],[Coluna1]],1,1)="1",MID(TBBP[[#This Row],[Coluna1]],1,1)="2"),TBBP[[#This Row],[Coluna127]],SUM(BH255:BS255))</f>
        <v>-33550.33</v>
      </c>
      <c r="BU255" s="4">
        <v>-5638.72</v>
      </c>
      <c r="BV255" s="4">
        <v>-7292.73</v>
      </c>
      <c r="BW255" s="4">
        <v>-3112.63</v>
      </c>
      <c r="BX255" s="4">
        <v>-9131.39</v>
      </c>
      <c r="BY255" s="4">
        <v>-6725.19</v>
      </c>
      <c r="BZ255" s="4">
        <v>-2538.9</v>
      </c>
      <c r="CA255" s="4">
        <v>-3396.58</v>
      </c>
      <c r="CB255" s="4">
        <v>-14058.55</v>
      </c>
      <c r="CC255" s="4">
        <v>-3461.81</v>
      </c>
      <c r="CD255" s="4">
        <v>-1046.04</v>
      </c>
      <c r="CE255" s="4">
        <v>-4087.63</v>
      </c>
      <c r="CF255" s="4">
        <v>-2782.41</v>
      </c>
      <c r="CG255" s="4">
        <f>IF(OR(MID(TBBP[[#This Row],[Coluna1]],1,1)="1",MID(TBBP[[#This Row],[Coluna1]],1,1)="2"),CF255,SUM(BU255:CF255))</f>
        <v>-63272.58</v>
      </c>
      <c r="CH255" s="4">
        <v>-1818.75</v>
      </c>
      <c r="CI255" s="4">
        <v>-1525.91</v>
      </c>
      <c r="CJ255" s="4">
        <v>-2740.51</v>
      </c>
      <c r="CK255" s="4">
        <v>-9498.0400000000009</v>
      </c>
      <c r="CL255" s="4">
        <v>-1941</v>
      </c>
      <c r="CM255" s="4">
        <v>-4741.1099999999997</v>
      </c>
      <c r="CN255" s="4">
        <v>-16500.88</v>
      </c>
      <c r="CO255" s="4">
        <v>-8082.71</v>
      </c>
      <c r="CP255" s="4">
        <v>-3364.94</v>
      </c>
      <c r="CQ255" s="4">
        <v>-5118.2</v>
      </c>
      <c r="CR255" s="4">
        <v>-559.24</v>
      </c>
      <c r="CS255" s="4">
        <v>-4189.66</v>
      </c>
      <c r="CT255" s="4">
        <f>IF(OR(MID(TBBP[[#This Row],[Coluna1]],1,1)="1",MID(TBBP[[#This Row],[Coluna1]],1,1)="2"),CS255,SUM(CH255:CS255))</f>
        <v>-60080.95</v>
      </c>
      <c r="CU255" s="255">
        <v>-6488.54</v>
      </c>
      <c r="CV255" s="255">
        <v>-733.63</v>
      </c>
      <c r="CW255" s="255">
        <v>-809.7</v>
      </c>
      <c r="CX255" s="255">
        <v>-252.05</v>
      </c>
      <c r="CY255" s="255">
        <v>-5351.57</v>
      </c>
      <c r="CZ255" s="255">
        <v>-169.82</v>
      </c>
      <c r="DA255" s="255">
        <v>-132.25</v>
      </c>
      <c r="DB255" s="255">
        <v>-3862.97</v>
      </c>
      <c r="DC255" s="255">
        <v>-1465.45</v>
      </c>
      <c r="DD255" s="255">
        <v>0</v>
      </c>
      <c r="DE255" s="255">
        <v>0</v>
      </c>
      <c r="DF255" s="255">
        <v>0</v>
      </c>
      <c r="DG255" s="255">
        <f>SUM(TBBP[[#This Row],[Coluna287]:[Coluna298]])</f>
        <v>-19265.98</v>
      </c>
      <c r="DH255" s="255">
        <v>-750</v>
      </c>
      <c r="DI255" s="255">
        <v>-1935</v>
      </c>
      <c r="DJ255" s="255">
        <v>0</v>
      </c>
      <c r="DK255" s="255">
        <v>-3800</v>
      </c>
      <c r="DL255" s="255">
        <v>0</v>
      </c>
      <c r="DM255" s="255">
        <v>-3041.43</v>
      </c>
      <c r="DP255" s="30">
        <f>IF(OR(MID(TBBP[[#This Row],[Coluna1]],1,1)="1",MID(TBBP[[#This Row],[Coluna1]],1,1)="2"),"-",SUMIFS(255:255,listaPeriodos,$DR$1,listaPeriodos,$DR$2))</f>
        <v>-9526.43</v>
      </c>
      <c r="DQ255" s="30"/>
      <c r="DR255" s="30">
        <f t="shared" si="180"/>
        <v>0</v>
      </c>
      <c r="DS255" s="30"/>
      <c r="DT255" s="30"/>
      <c r="DU255"/>
    </row>
    <row r="256" spans="1:125" x14ac:dyDescent="0.3">
      <c r="A256" s="7" t="s">
        <v>441</v>
      </c>
      <c r="B256" t="s">
        <v>768</v>
      </c>
      <c r="C256" s="4">
        <v>0</v>
      </c>
      <c r="D256" s="4">
        <v>0</v>
      </c>
      <c r="E256" s="4">
        <v>0</v>
      </c>
      <c r="F256" s="4">
        <v>0</v>
      </c>
      <c r="G256" s="4">
        <v>-396.04</v>
      </c>
      <c r="H256" s="4">
        <v>-99.66</v>
      </c>
      <c r="I256" s="4">
        <v>-99.66</v>
      </c>
      <c r="J256" s="4">
        <v>-99.66</v>
      </c>
      <c r="K256" s="4">
        <v>-99.66</v>
      </c>
      <c r="L256" s="4">
        <v>-99.66</v>
      </c>
      <c r="M256" s="4">
        <v>-99.66</v>
      </c>
      <c r="N256" s="4">
        <v>-99.66</v>
      </c>
      <c r="O256" s="4">
        <v>-99.66</v>
      </c>
      <c r="P256" s="4">
        <v>-1409.92</v>
      </c>
      <c r="Q256" s="4">
        <v>0</v>
      </c>
      <c r="R256" s="4">
        <v>0</v>
      </c>
      <c r="S256" s="4">
        <v>0</v>
      </c>
      <c r="T256" s="4">
        <f>IF(OR(MID(TBBP[[#This Row],[Coluna1]],1,1)="1",MID(TBBP[[#This Row],[Coluna1]],1,1)="2"),TBBP[[#This Row],[Coluna19]],SUM(H256:S256))</f>
        <v>-2207.1999999999998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-1431.16</v>
      </c>
      <c r="AD256" s="4">
        <v>0</v>
      </c>
      <c r="AE256" s="4">
        <v>0</v>
      </c>
      <c r="AF256" s="4">
        <v>0</v>
      </c>
      <c r="AG256" s="4">
        <f>IF(OR(MID(TBBP[[#This Row],[Coluna1]],1,1)="1",MID(TBBP[[#This Row],[Coluna1]],1,1)="2"),TBBP[[#This Row],[Coluna32]],SUM(U256:AF256))</f>
        <v>-1431.16</v>
      </c>
      <c r="AH256" s="4">
        <v>0</v>
      </c>
      <c r="AI256" s="4">
        <v>0</v>
      </c>
      <c r="AJ256" s="4">
        <v>0</v>
      </c>
      <c r="AK256" s="4">
        <v>0</v>
      </c>
      <c r="AL256" s="4">
        <v>0</v>
      </c>
      <c r="AM256" s="4">
        <v>0</v>
      </c>
      <c r="AN256" s="4">
        <v>0</v>
      </c>
      <c r="AO256" s="4">
        <v>0</v>
      </c>
      <c r="AP256" s="4">
        <v>0</v>
      </c>
      <c r="AQ256" s="4">
        <v>0</v>
      </c>
      <c r="AR256" s="4">
        <v>0</v>
      </c>
      <c r="AS256" s="4">
        <v>0</v>
      </c>
      <c r="AT256" s="4">
        <f>IF(OR(MID(TBBP[[#This Row],[Coluna1]],1,1)="1",MID(TBBP[[#This Row],[Coluna1]],1,1)="2"),TBBP[[#This Row],[Coluna45]],SUM(AH256:AS256))</f>
        <v>0</v>
      </c>
      <c r="AU256" s="4">
        <v>0</v>
      </c>
      <c r="AV256" s="4">
        <v>0</v>
      </c>
      <c r="AW256" s="4">
        <v>0</v>
      </c>
      <c r="AX256" s="4">
        <v>0</v>
      </c>
      <c r="AY256" s="4">
        <v>-1728.47</v>
      </c>
      <c r="AZ256" s="4">
        <v>0</v>
      </c>
      <c r="BA256" s="4">
        <v>0</v>
      </c>
      <c r="BB256" s="4">
        <v>0</v>
      </c>
      <c r="BC256" s="4">
        <v>0</v>
      </c>
      <c r="BD256" s="4">
        <v>0</v>
      </c>
      <c r="BE256" s="4">
        <v>0</v>
      </c>
      <c r="BF256" s="4">
        <v>0</v>
      </c>
      <c r="BG256" s="4">
        <f>IF(OR(MID(TBBP[[#This Row],[Coluna1]],1,1)="1",MID(TBBP[[#This Row],[Coluna1]],1,1)="2"),TBBP[[#This Row],[Coluna58]],SUM(AU256:BF256))</f>
        <v>-1728.47</v>
      </c>
      <c r="BH256" s="4">
        <v>0</v>
      </c>
      <c r="BI256" s="4">
        <v>0</v>
      </c>
      <c r="BJ256" s="4">
        <v>0</v>
      </c>
      <c r="BK256" s="4">
        <v>0</v>
      </c>
      <c r="BL256" s="4">
        <v>0</v>
      </c>
      <c r="BM256" s="4">
        <v>0</v>
      </c>
      <c r="BN256" s="4">
        <v>0</v>
      </c>
      <c r="BO256" s="4">
        <v>0</v>
      </c>
      <c r="BP256" s="4">
        <v>0</v>
      </c>
      <c r="BQ256" s="4">
        <v>0</v>
      </c>
      <c r="BR256" s="4">
        <v>0</v>
      </c>
      <c r="BS256" s="4">
        <v>0</v>
      </c>
      <c r="BT256" s="4">
        <f>IF(OR(MID(TBBP[[#This Row],[Coluna1]],1,1)="1",MID(TBBP[[#This Row],[Coluna1]],1,1)="2"),TBBP[[#This Row],[Coluna127]],SUM(BH256:BS256))</f>
        <v>0</v>
      </c>
      <c r="BU256" s="4">
        <v>0</v>
      </c>
      <c r="BV256" s="4">
        <v>-9740.9</v>
      </c>
      <c r="BW256" s="4">
        <v>0</v>
      </c>
      <c r="BX256" s="4">
        <v>0</v>
      </c>
      <c r="BY256" s="4">
        <v>0</v>
      </c>
      <c r="BZ256" s="4">
        <v>-160.12</v>
      </c>
      <c r="CA256" s="4">
        <v>-160.12</v>
      </c>
      <c r="CB256" s="4">
        <v>-160.12</v>
      </c>
      <c r="CC256" s="4">
        <v>-160.12</v>
      </c>
      <c r="CD256" s="4">
        <v>-160.12</v>
      </c>
      <c r="CE256" s="4">
        <v>-160.12</v>
      </c>
      <c r="CF256" s="4">
        <v>-160.12</v>
      </c>
      <c r="CG256" s="4">
        <f>IF(OR(MID(TBBP[[#This Row],[Coluna1]],1,1)="1",MID(TBBP[[#This Row],[Coluna1]],1,1)="2"),CF256,SUM(BU256:CF256))</f>
        <v>-10861.740000000005</v>
      </c>
      <c r="CH256" s="4">
        <v>-160.12</v>
      </c>
      <c r="CI256" s="4">
        <v>-160.12</v>
      </c>
      <c r="CJ256" s="4">
        <v>-160.12</v>
      </c>
      <c r="CK256" s="4">
        <v>-160.12</v>
      </c>
      <c r="CL256" s="4">
        <v>-160.12</v>
      </c>
      <c r="CM256" s="4">
        <v>-0.03</v>
      </c>
      <c r="CN256" s="4">
        <v>-140.08000000000001</v>
      </c>
      <c r="CO256" s="4">
        <v>-140.08000000000001</v>
      </c>
      <c r="CP256" s="4">
        <v>-140.08000000000001</v>
      </c>
      <c r="CQ256" s="4">
        <v>-140.08000000000001</v>
      </c>
      <c r="CR256" s="4">
        <v>-140.08000000000001</v>
      </c>
      <c r="CS256" s="4">
        <v>-140.08000000000001</v>
      </c>
      <c r="CT256" s="4">
        <f>IF(OR(MID(TBBP[[#This Row],[Coluna1]],1,1)="1",MID(TBBP[[#This Row],[Coluna1]],1,1)="2"),CS256,SUM(CH256:CS256))</f>
        <v>-1641.1099999999997</v>
      </c>
      <c r="CU256" s="255">
        <v>-140.08000000000001</v>
      </c>
      <c r="CV256" s="255">
        <v>-140.08000000000001</v>
      </c>
      <c r="CW256" s="255">
        <v>-5419.08</v>
      </c>
      <c r="CX256" s="255">
        <v>-1930.33</v>
      </c>
      <c r="CY256" s="255">
        <v>-140.08000000000001</v>
      </c>
      <c r="CZ256" s="255">
        <v>-1963.33</v>
      </c>
      <c r="DA256" s="255">
        <v>-1963.33</v>
      </c>
      <c r="DB256" s="255">
        <v>-140.08000000000001</v>
      </c>
      <c r="DC256" s="255">
        <v>-140.08000000000001</v>
      </c>
      <c r="DD256" s="255">
        <v>-140.08000000000001</v>
      </c>
      <c r="DE256" s="255">
        <v>-1897.33</v>
      </c>
      <c r="DF256" s="255">
        <v>-1897.33</v>
      </c>
      <c r="DG256" s="255">
        <f>SUM(TBBP[[#This Row],[Coluna287]:[Coluna298]])</f>
        <v>-15911.21</v>
      </c>
      <c r="DH256" s="255">
        <v>-140.08000000000001</v>
      </c>
      <c r="DI256" s="255">
        <v>-140.08000000000001</v>
      </c>
      <c r="DJ256" s="255">
        <v>-3783.82</v>
      </c>
      <c r="DK256" s="255">
        <v>-140.08000000000001</v>
      </c>
      <c r="DL256" s="255">
        <v>-140.08000000000001</v>
      </c>
      <c r="DM256" s="255">
        <v>-140.08000000000001</v>
      </c>
      <c r="DP256" s="30">
        <f>IF(OR(MID(TBBP[[#This Row],[Coluna1]],1,1)="1",MID(TBBP[[#This Row],[Coluna1]],1,1)="2"),"-",SUMIFS(256:256,listaPeriodos,$DR$1,listaPeriodos,$DR$2))</f>
        <v>-4484.22</v>
      </c>
      <c r="DQ256" s="30"/>
      <c r="DR256" s="30">
        <f t="shared" si="180"/>
        <v>0</v>
      </c>
      <c r="DS256" s="30"/>
      <c r="DT256" s="30"/>
      <c r="DU256"/>
    </row>
    <row r="257" spans="1:125" x14ac:dyDescent="0.3">
      <c r="A257" s="7" t="s">
        <v>442</v>
      </c>
      <c r="B257" t="s">
        <v>574</v>
      </c>
      <c r="C257" s="4">
        <v>0</v>
      </c>
      <c r="D257" s="4">
        <v>0</v>
      </c>
      <c r="E257" s="4">
        <v>0</v>
      </c>
      <c r="F257" s="4">
        <v>0</v>
      </c>
      <c r="G257" s="4">
        <v>-136263.28</v>
      </c>
      <c r="H257" s="4">
        <v>-7275.06</v>
      </c>
      <c r="I257" s="4">
        <v>-11438.06</v>
      </c>
      <c r="J257" s="4">
        <v>-6903.5999999999995</v>
      </c>
      <c r="K257" s="4">
        <v>-13120.31</v>
      </c>
      <c r="L257" s="4">
        <v>-34200.589999999997</v>
      </c>
      <c r="M257" s="4">
        <v>-10266.07</v>
      </c>
      <c r="N257" s="4">
        <v>-11029.91</v>
      </c>
      <c r="O257" s="4">
        <v>-11578.76</v>
      </c>
      <c r="P257" s="4">
        <v>-13924.63</v>
      </c>
      <c r="Q257" s="4">
        <v>-13401.92</v>
      </c>
      <c r="R257" s="4">
        <v>-12182.2</v>
      </c>
      <c r="S257" s="4">
        <v>-12314.08</v>
      </c>
      <c r="T257" s="4">
        <f>IF(OR(MID(TBBP[[#This Row],[Coluna1]],1,1)="1",MID(TBBP[[#This Row],[Coluna1]],1,1)="2"),TBBP[[#This Row],[Coluna19]],SUM(H257:S257))</f>
        <v>-157635.19</v>
      </c>
      <c r="U257" s="4">
        <v>-9103.5300000000007</v>
      </c>
      <c r="V257" s="4">
        <v>-10931.42</v>
      </c>
      <c r="W257" s="4">
        <v>-12657.49</v>
      </c>
      <c r="X257" s="4">
        <v>-13760.63</v>
      </c>
      <c r="Y257" s="4">
        <v>-11627.74</v>
      </c>
      <c r="Z257" s="4">
        <v>-11968.36</v>
      </c>
      <c r="AA257" s="4">
        <v>-12738.2</v>
      </c>
      <c r="AB257" s="4">
        <v>-11279.5</v>
      </c>
      <c r="AC257" s="4">
        <v>-12617.19</v>
      </c>
      <c r="AD257" s="4">
        <v>-14050.480000000001</v>
      </c>
      <c r="AE257" s="4">
        <v>-13501.24</v>
      </c>
      <c r="AF257" s="4">
        <v>-11866.32</v>
      </c>
      <c r="AG257" s="4">
        <f>IF(OR(MID(TBBP[[#This Row],[Coluna1]],1,1)="1",MID(TBBP[[#This Row],[Coluna1]],1,1)="2"),TBBP[[#This Row],[Coluna32]],SUM(U257:AF257))</f>
        <v>-146102.1</v>
      </c>
      <c r="AH257" s="4">
        <v>-11140.76</v>
      </c>
      <c r="AI257" s="4">
        <v>-10655.71</v>
      </c>
      <c r="AJ257" s="4">
        <v>-11788.29</v>
      </c>
      <c r="AK257" s="4">
        <v>-9723.4699999999993</v>
      </c>
      <c r="AL257" s="4">
        <v>-10533.45</v>
      </c>
      <c r="AM257" s="4">
        <v>-8390.1</v>
      </c>
      <c r="AN257" s="4">
        <v>-11784.98</v>
      </c>
      <c r="AO257" s="4">
        <v>-13020.85</v>
      </c>
      <c r="AP257" s="4">
        <v>-13144.15</v>
      </c>
      <c r="AQ257" s="4">
        <v>-14748.06</v>
      </c>
      <c r="AR257" s="4">
        <v>-15718.93</v>
      </c>
      <c r="AS257" s="4">
        <v>-15005.57</v>
      </c>
      <c r="AT257" s="4">
        <f>IF(OR(MID(TBBP[[#This Row],[Coluna1]],1,1)="1",MID(TBBP[[#This Row],[Coluna1]],1,1)="2"),TBBP[[#This Row],[Coluna45]],SUM(AH257:AS257))</f>
        <v>-145654.32</v>
      </c>
      <c r="AU257" s="4">
        <v>-11672.14</v>
      </c>
      <c r="AV257" s="4">
        <v>-12414.03</v>
      </c>
      <c r="AW257" s="4">
        <v>-15187.970000000001</v>
      </c>
      <c r="AX257" s="4">
        <v>-14927.84</v>
      </c>
      <c r="AY257" s="4">
        <v>-15217.44</v>
      </c>
      <c r="AZ257" s="4">
        <v>-17851.71</v>
      </c>
      <c r="BA257" s="4">
        <v>-16707.04</v>
      </c>
      <c r="BB257" s="4">
        <v>-22170.83</v>
      </c>
      <c r="BC257" s="4">
        <v>-6167.43</v>
      </c>
      <c r="BD257" s="4">
        <v>-34257.089999999997</v>
      </c>
      <c r="BE257" s="4">
        <v>-22076.42</v>
      </c>
      <c r="BF257" s="4">
        <v>-21063.02</v>
      </c>
      <c r="BG257" s="4">
        <f>IF(OR(MID(TBBP[[#This Row],[Coluna1]],1,1)="1",MID(TBBP[[#This Row],[Coluna1]],1,1)="2"),TBBP[[#This Row],[Coluna58]],SUM(AU257:BF257))</f>
        <v>-209712.96</v>
      </c>
      <c r="BH257" s="4">
        <v>-15334.650000000001</v>
      </c>
      <c r="BI257" s="4">
        <v>-21692.77</v>
      </c>
      <c r="BJ257" s="4">
        <v>-20833.509999999998</v>
      </c>
      <c r="BK257" s="4">
        <v>-25989.35</v>
      </c>
      <c r="BL257" s="4">
        <v>-21171.489999999998</v>
      </c>
      <c r="BM257" s="4">
        <v>-20553.269999999997</v>
      </c>
      <c r="BN257" s="4">
        <v>-18097.82</v>
      </c>
      <c r="BO257" s="4">
        <v>-18067.240000000002</v>
      </c>
      <c r="BP257" s="4">
        <v>-19471.109999999997</v>
      </c>
      <c r="BQ257" s="4">
        <v>-22197.170000000002</v>
      </c>
      <c r="BR257" s="4">
        <v>-21604.09</v>
      </c>
      <c r="BS257" s="4">
        <v>-15929.369999999999</v>
      </c>
      <c r="BT257" s="4">
        <f>IF(OR(MID(TBBP[[#This Row],[Coluna1]],1,1)="1",MID(TBBP[[#This Row],[Coluna1]],1,1)="2"),TBBP[[#This Row],[Coluna127]],SUM(BH257:BS257))</f>
        <v>-240941.83999999997</v>
      </c>
      <c r="BU257" s="4">
        <v>-24233.809999999998</v>
      </c>
      <c r="BV257" s="4">
        <v>-22297.94</v>
      </c>
      <c r="BW257" s="4">
        <v>-22138.55</v>
      </c>
      <c r="BX257" s="4">
        <v>-24759.489999999998</v>
      </c>
      <c r="BY257" s="4">
        <v>-25380.15</v>
      </c>
      <c r="BZ257" s="4">
        <v>-27381.74</v>
      </c>
      <c r="CA257" s="4">
        <v>-20419.16</v>
      </c>
      <c r="CB257" s="4">
        <v>-28595.440000000002</v>
      </c>
      <c r="CC257" s="4">
        <v>-31835.870000000003</v>
      </c>
      <c r="CD257" s="4">
        <v>-27677.42</v>
      </c>
      <c r="CE257" s="4">
        <v>-26439.43</v>
      </c>
      <c r="CF257" s="4">
        <v>-21683.73</v>
      </c>
      <c r="CG257" s="4">
        <f>IF(OR(MID(TBBP[[#This Row],[Coluna1]],1,1)="1",MID(TBBP[[#This Row],[Coluna1]],1,1)="2"),CF257,SUM(BU257:CF257))</f>
        <v>-302842.73</v>
      </c>
      <c r="CH257" s="4">
        <v>-28067.02</v>
      </c>
      <c r="CI257" s="4">
        <v>-29438.39</v>
      </c>
      <c r="CJ257" s="4">
        <v>-35704.53</v>
      </c>
      <c r="CK257" s="4">
        <v>-47236.34</v>
      </c>
      <c r="CL257" s="4">
        <v>-41173.479999999996</v>
      </c>
      <c r="CM257" s="4">
        <v>-44439.89</v>
      </c>
      <c r="CN257" s="4">
        <v>-44734.240000000005</v>
      </c>
      <c r="CO257" s="4">
        <v>-63367.220000000008</v>
      </c>
      <c r="CP257" s="4">
        <v>-51198.71</v>
      </c>
      <c r="CQ257" s="4">
        <v>-55361.59</v>
      </c>
      <c r="CR257" s="4">
        <v>-30709.160000000003</v>
      </c>
      <c r="CS257" s="4">
        <v>-53751.14</v>
      </c>
      <c r="CT257" s="4">
        <f>IF(OR(MID(TBBP[[#This Row],[Coluna1]],1,1)="1",MID(TBBP[[#This Row],[Coluna1]],1,1)="2"),CS257,SUM(CH257:CS257))</f>
        <v>-525181.71000000008</v>
      </c>
      <c r="CU257" s="255">
        <v>-75063.88</v>
      </c>
      <c r="CV257" s="255">
        <v>-110285.97</v>
      </c>
      <c r="CW257" s="255">
        <v>-46338.259999999995</v>
      </c>
      <c r="CX257" s="255">
        <v>-53063.909999999996</v>
      </c>
      <c r="CY257" s="255">
        <v>-48990.060000000005</v>
      </c>
      <c r="CZ257" s="255">
        <v>-50738.54</v>
      </c>
      <c r="DA257" s="255">
        <v>-47160.329999999994</v>
      </c>
      <c r="DB257" s="255">
        <v>-51119.97</v>
      </c>
      <c r="DC257" s="255">
        <v>-48432.81</v>
      </c>
      <c r="DD257" s="255">
        <v>-53019.17</v>
      </c>
      <c r="DE257" s="255">
        <v>-36069.079999999994</v>
      </c>
      <c r="DF257" s="255">
        <v>-39097.14</v>
      </c>
      <c r="DG257" s="255">
        <f>SUM(TBBP[[#This Row],[Coluna287]:[Coluna298]])</f>
        <v>-659379.12</v>
      </c>
      <c r="DH257" s="255">
        <v>-34651.67</v>
      </c>
      <c r="DI257" s="255">
        <v>-37694.76</v>
      </c>
      <c r="DJ257" s="255">
        <v>-36186.6</v>
      </c>
      <c r="DK257" s="255">
        <v>-44924.130000000005</v>
      </c>
      <c r="DL257" s="255">
        <v>-40755.770000000004</v>
      </c>
      <c r="DM257" s="255">
        <v>-29896.889999999996</v>
      </c>
      <c r="DP257" s="30">
        <f>IF(OR(MID(TBBP[[#This Row],[Coluna1]],1,1)="1",MID(TBBP[[#This Row],[Coluna1]],1,1)="2"),"-",SUMIFS(257:257,listaPeriodos,$DR$1,listaPeriodos,$DR$2))</f>
        <v>-224109.81999999998</v>
      </c>
      <c r="DQ257" s="30"/>
      <c r="DR257" s="30">
        <f t="shared" si="180"/>
        <v>0</v>
      </c>
      <c r="DS257" s="30"/>
      <c r="DT257" s="30"/>
      <c r="DU257"/>
    </row>
    <row r="258" spans="1:125" x14ac:dyDescent="0.3">
      <c r="A258" s="7" t="s">
        <v>443</v>
      </c>
      <c r="B258" t="s">
        <v>575</v>
      </c>
      <c r="C258" s="4">
        <v>0</v>
      </c>
      <c r="D258" s="4">
        <v>0</v>
      </c>
      <c r="E258" s="4">
        <v>0</v>
      </c>
      <c r="F258" s="4">
        <v>0</v>
      </c>
      <c r="G258" s="4">
        <v>-2379.1799999999998</v>
      </c>
      <c r="H258" s="4">
        <v>-330.93</v>
      </c>
      <c r="I258" s="4">
        <v>-88.42</v>
      </c>
      <c r="J258" s="4">
        <v>-197.4</v>
      </c>
      <c r="K258" s="4">
        <v>-320.60000000000002</v>
      </c>
      <c r="L258" s="4">
        <v>-23071.98</v>
      </c>
      <c r="M258" s="4">
        <v>-241.07</v>
      </c>
      <c r="N258" s="4">
        <v>-203.34</v>
      </c>
      <c r="O258" s="4">
        <v>-633.12</v>
      </c>
      <c r="P258" s="4">
        <v>-631.47</v>
      </c>
      <c r="Q258" s="4">
        <v>-507.05</v>
      </c>
      <c r="R258" s="4">
        <v>-147.6</v>
      </c>
      <c r="S258" s="4">
        <v>-230.27</v>
      </c>
      <c r="T258" s="4">
        <f>IF(OR(MID(TBBP[[#This Row],[Coluna1]],1,1)="1",MID(TBBP[[#This Row],[Coluna1]],1,1)="2"),TBBP[[#This Row],[Coluna19]],SUM(H258:S258))</f>
        <v>-26603.249999999996</v>
      </c>
      <c r="U258" s="4">
        <v>-468.81</v>
      </c>
      <c r="V258" s="4">
        <v>-166.05</v>
      </c>
      <c r="W258" s="4">
        <v>-422.08</v>
      </c>
      <c r="X258" s="4">
        <v>-436.7</v>
      </c>
      <c r="Y258" s="4">
        <v>-103.63</v>
      </c>
      <c r="Z258" s="4">
        <v>-697.29</v>
      </c>
      <c r="AA258" s="4">
        <v>-106.49</v>
      </c>
      <c r="AB258" s="4">
        <v>-543.28</v>
      </c>
      <c r="AC258" s="4">
        <v>-663.36</v>
      </c>
      <c r="AD258" s="4">
        <v>-581.69000000000005</v>
      </c>
      <c r="AE258" s="4">
        <v>0</v>
      </c>
      <c r="AF258" s="4">
        <v>-398.07</v>
      </c>
      <c r="AG258" s="4">
        <f>IF(OR(MID(TBBP[[#This Row],[Coluna1]],1,1)="1",MID(TBBP[[#This Row],[Coluna1]],1,1)="2"),TBBP[[#This Row],[Coluna32]],SUM(U258:AF258))</f>
        <v>-4587.45</v>
      </c>
      <c r="AH258" s="4">
        <v>-513.52</v>
      </c>
      <c r="AI258" s="4">
        <v>0</v>
      </c>
      <c r="AJ258" s="4">
        <v>-259.11</v>
      </c>
      <c r="AK258" s="4">
        <v>-462.99</v>
      </c>
      <c r="AL258" s="4">
        <v>-611.80999999999995</v>
      </c>
      <c r="AM258" s="4">
        <v>0</v>
      </c>
      <c r="AN258" s="4">
        <v>-562.66</v>
      </c>
      <c r="AO258" s="4">
        <v>0</v>
      </c>
      <c r="AP258" s="4">
        <v>0</v>
      </c>
      <c r="AQ258" s="4">
        <v>-279.44</v>
      </c>
      <c r="AR258" s="4">
        <v>-526.76</v>
      </c>
      <c r="AS258" s="4">
        <v>-219.32</v>
      </c>
      <c r="AT258" s="4">
        <f>IF(OR(MID(TBBP[[#This Row],[Coluna1]],1,1)="1",MID(TBBP[[#This Row],[Coluna1]],1,1)="2"),TBBP[[#This Row],[Coluna45]],SUM(AH258:AS258))</f>
        <v>-3435.61</v>
      </c>
      <c r="AU258" s="4">
        <v>-429.26</v>
      </c>
      <c r="AV258" s="4">
        <v>-250.8</v>
      </c>
      <c r="AW258" s="4">
        <v>-187.8</v>
      </c>
      <c r="AX258" s="4">
        <v>-208.8</v>
      </c>
      <c r="AY258" s="4">
        <v>0</v>
      </c>
      <c r="AZ258" s="4">
        <v>-333.6</v>
      </c>
      <c r="BA258" s="4">
        <v>-191.58</v>
      </c>
      <c r="BB258" s="4">
        <v>0</v>
      </c>
      <c r="BC258" s="4">
        <v>-354.6</v>
      </c>
      <c r="BD258" s="4">
        <v>-170.75</v>
      </c>
      <c r="BE258" s="4">
        <v>-187.8</v>
      </c>
      <c r="BF258" s="4">
        <v>-250.8</v>
      </c>
      <c r="BG258" s="4">
        <f>IF(OR(MID(TBBP[[#This Row],[Coluna1]],1,1)="1",MID(TBBP[[#This Row],[Coluna1]],1,1)="2"),TBBP[[#This Row],[Coluna58]],SUM(AU258:BF258))</f>
        <v>-2565.79</v>
      </c>
      <c r="BH258" s="4">
        <v>-166.8</v>
      </c>
      <c r="BI258" s="4">
        <v>-206.94</v>
      </c>
      <c r="BJ258" s="4">
        <v>-198.14</v>
      </c>
      <c r="BK258" s="4">
        <v>-242.55</v>
      </c>
      <c r="BL258" s="4">
        <v>-496.26</v>
      </c>
      <c r="BM258" s="4">
        <v>-275.69</v>
      </c>
      <c r="BN258" s="4">
        <v>0</v>
      </c>
      <c r="BO258" s="4">
        <v>-174.45</v>
      </c>
      <c r="BP258" s="4">
        <v>-670.22</v>
      </c>
      <c r="BQ258" s="4">
        <v>-64.12</v>
      </c>
      <c r="BR258" s="4">
        <v>-329.53</v>
      </c>
      <c r="BS258" s="4">
        <v>0</v>
      </c>
      <c r="BT258" s="4">
        <f>IF(OR(MID(TBBP[[#This Row],[Coluna1]],1,1)="1",MID(TBBP[[#This Row],[Coluna1]],1,1)="2"),TBBP[[#This Row],[Coluna127]],SUM(BH258:BS258))</f>
        <v>-2824.7</v>
      </c>
      <c r="BU258" s="4">
        <v>-908.25</v>
      </c>
      <c r="BV258" s="4">
        <v>-146.26</v>
      </c>
      <c r="BW258" s="4">
        <v>-122.28</v>
      </c>
      <c r="BX258" s="4">
        <v>-47.92</v>
      </c>
      <c r="BY258" s="4">
        <v>-290.05</v>
      </c>
      <c r="BZ258" s="4">
        <v>-174.6</v>
      </c>
      <c r="CA258" s="4">
        <v>-65.64</v>
      </c>
      <c r="CB258" s="4">
        <v>-296.60000000000002</v>
      </c>
      <c r="CC258" s="4">
        <v>-65.64</v>
      </c>
      <c r="CD258" s="4">
        <v>0</v>
      </c>
      <c r="CE258" s="4">
        <v>-354.42</v>
      </c>
      <c r="CF258" s="4">
        <v>-143.30000000000001</v>
      </c>
      <c r="CG258" s="4">
        <f>IF(OR(MID(TBBP[[#This Row],[Coluna1]],1,1)="1",MID(TBBP[[#This Row],[Coluna1]],1,1)="2"),CF258,SUM(BU258:CF258))</f>
        <v>-2614.96</v>
      </c>
      <c r="CH258" s="4">
        <v>-485.52</v>
      </c>
      <c r="CI258" s="4">
        <v>-191.22</v>
      </c>
      <c r="CJ258" s="4">
        <v>-290.3</v>
      </c>
      <c r="CK258" s="4">
        <v>-6921.01</v>
      </c>
      <c r="CL258" s="4">
        <v>-1344.13</v>
      </c>
      <c r="CM258" s="4">
        <v>-3329.52</v>
      </c>
      <c r="CN258" s="4">
        <v>-810.16</v>
      </c>
      <c r="CO258" s="4">
        <v>-1598.46</v>
      </c>
      <c r="CP258" s="4">
        <v>-652.66999999999996</v>
      </c>
      <c r="CQ258" s="4">
        <v>-868.47</v>
      </c>
      <c r="CR258" s="4">
        <v>-658.25</v>
      </c>
      <c r="CS258" s="4">
        <v>-1370.05</v>
      </c>
      <c r="CT258" s="4">
        <f>IF(OR(MID(TBBP[[#This Row],[Coluna1]],1,1)="1",MID(TBBP[[#This Row],[Coluna1]],1,1)="2"),CS258,SUM(CH258:CS258))</f>
        <v>-18519.759999999998</v>
      </c>
      <c r="CU258" s="255">
        <v>-1240</v>
      </c>
      <c r="CV258" s="255">
        <v>-950.52</v>
      </c>
      <c r="CW258" s="255">
        <v>-279.88</v>
      </c>
      <c r="CX258" s="255">
        <v>-3119.82</v>
      </c>
      <c r="CY258" s="255">
        <v>-1738.75</v>
      </c>
      <c r="CZ258" s="255">
        <v>-1119.67</v>
      </c>
      <c r="DA258" s="255">
        <v>-2832.73</v>
      </c>
      <c r="DB258" s="255">
        <v>-1524.72</v>
      </c>
      <c r="DC258" s="255">
        <v>-722.26</v>
      </c>
      <c r="DD258" s="255">
        <v>-5817.23</v>
      </c>
      <c r="DE258" s="255">
        <v>-2149.02</v>
      </c>
      <c r="DF258" s="255">
        <v>-1257</v>
      </c>
      <c r="DG258" s="255">
        <f>SUM(TBBP[[#This Row],[Coluna287]:[Coluna298]])</f>
        <v>-22751.599999999999</v>
      </c>
      <c r="DH258" s="255">
        <v>-2158.0100000000002</v>
      </c>
      <c r="DI258" s="255">
        <v>-1965.43</v>
      </c>
      <c r="DJ258" s="255">
        <v>-852.58</v>
      </c>
      <c r="DK258" s="255">
        <v>-2129.3200000000002</v>
      </c>
      <c r="DL258" s="255">
        <v>-1207.6300000000001</v>
      </c>
      <c r="DM258" s="255">
        <v>-450.7</v>
      </c>
      <c r="DO258" t="s">
        <v>443</v>
      </c>
      <c r="DP258" s="30">
        <f>IF(OR(MID(TBBP[[#This Row],[Coluna1]],1,1)="1",MID(TBBP[[#This Row],[Coluna1]],1,1)="2"),"-",SUMIFS(258:258,listaPeriodos,$DR$1,listaPeriodos,$DR$2))</f>
        <v>-8763.6700000000019</v>
      </c>
      <c r="DQ258" s="30">
        <v>-2012.15</v>
      </c>
      <c r="DR258" s="30">
        <f t="shared" si="180"/>
        <v>-12072.900000000001</v>
      </c>
      <c r="DS258" s="30"/>
      <c r="DT258" s="30"/>
      <c r="DU258"/>
    </row>
    <row r="259" spans="1:125" x14ac:dyDescent="0.3">
      <c r="A259" s="7" t="s">
        <v>444</v>
      </c>
      <c r="B259" t="s">
        <v>576</v>
      </c>
      <c r="C259" s="4">
        <v>0</v>
      </c>
      <c r="D259" s="4">
        <v>0</v>
      </c>
      <c r="E259" s="4">
        <v>0</v>
      </c>
      <c r="F259" s="4">
        <v>0</v>
      </c>
      <c r="G259" s="4">
        <v>-5690.13</v>
      </c>
      <c r="H259" s="4">
        <v>-666.58</v>
      </c>
      <c r="I259" s="4">
        <v>-300.83</v>
      </c>
      <c r="J259" s="4">
        <v>-551.84</v>
      </c>
      <c r="K259" s="4">
        <v>-445.39</v>
      </c>
      <c r="L259" s="4">
        <v>-488.89</v>
      </c>
      <c r="M259" s="4">
        <v>-756.41</v>
      </c>
      <c r="N259" s="4">
        <v>-443.37</v>
      </c>
      <c r="O259" s="4">
        <v>-386.06</v>
      </c>
      <c r="P259" s="4">
        <v>-1008.69</v>
      </c>
      <c r="Q259" s="4">
        <v>-1504.61</v>
      </c>
      <c r="R259" s="4">
        <v>-1090.19</v>
      </c>
      <c r="S259" s="4">
        <v>-599.47</v>
      </c>
      <c r="T259" s="4">
        <f>IF(OR(MID(TBBP[[#This Row],[Coluna1]],1,1)="1",MID(TBBP[[#This Row],[Coluna1]],1,1)="2"),TBBP[[#This Row],[Coluna19]],SUM(H259:S259))</f>
        <v>-8242.3299999999981</v>
      </c>
      <c r="U259" s="4">
        <v>-694.87</v>
      </c>
      <c r="V259" s="4">
        <v>-536.49</v>
      </c>
      <c r="W259" s="4">
        <v>-1238</v>
      </c>
      <c r="X259" s="4">
        <v>-464.16</v>
      </c>
      <c r="Y259" s="4">
        <v>-728.32</v>
      </c>
      <c r="Z259" s="4">
        <v>-382.84</v>
      </c>
      <c r="AA259" s="4">
        <v>-921.32</v>
      </c>
      <c r="AB259" s="4">
        <v>-554.08000000000004</v>
      </c>
      <c r="AC259" s="4">
        <v>-574.58000000000004</v>
      </c>
      <c r="AD259" s="4">
        <v>-362.41</v>
      </c>
      <c r="AE259" s="4">
        <v>-219.28</v>
      </c>
      <c r="AF259" s="4">
        <v>-379.49</v>
      </c>
      <c r="AG259" s="4">
        <f>IF(OR(MID(TBBP[[#This Row],[Coluna1]],1,1)="1",MID(TBBP[[#This Row],[Coluna1]],1,1)="2"),TBBP[[#This Row],[Coluna32]],SUM(U259:AF259))</f>
        <v>-7055.8399999999992</v>
      </c>
      <c r="AH259" s="4">
        <v>-261.89999999999998</v>
      </c>
      <c r="AI259" s="4">
        <v>-144.96</v>
      </c>
      <c r="AJ259" s="4">
        <v>-283.99</v>
      </c>
      <c r="AK259" s="4">
        <v>-92.76</v>
      </c>
      <c r="AL259" s="4">
        <v>-350.18</v>
      </c>
      <c r="AM259" s="4">
        <v>-199.55</v>
      </c>
      <c r="AN259" s="4">
        <v>-276.61</v>
      </c>
      <c r="AO259" s="4">
        <v>-151.62</v>
      </c>
      <c r="AP259" s="4">
        <v>-376.85</v>
      </c>
      <c r="AQ259" s="4">
        <v>-178.25</v>
      </c>
      <c r="AR259" s="4">
        <v>-1496.38</v>
      </c>
      <c r="AS259" s="4">
        <v>-325.12</v>
      </c>
      <c r="AT259" s="4">
        <f>IF(OR(MID(TBBP[[#This Row],[Coluna1]],1,1)="1",MID(TBBP[[#This Row],[Coluna1]],1,1)="2"),TBBP[[#This Row],[Coluna45]],SUM(AH259:AS259))</f>
        <v>-4138.17</v>
      </c>
      <c r="AU259" s="4">
        <v>-225.05</v>
      </c>
      <c r="AV259" s="4">
        <v>-98.63</v>
      </c>
      <c r="AW259" s="4">
        <v>-416.33</v>
      </c>
      <c r="AX259" s="4">
        <v>-194.42</v>
      </c>
      <c r="AY259" s="4">
        <v>-198.1</v>
      </c>
      <c r="AZ259" s="4">
        <v>-75.84</v>
      </c>
      <c r="BA259" s="4">
        <v>-49.09</v>
      </c>
      <c r="BB259" s="4">
        <v>-106.2</v>
      </c>
      <c r="BC259" s="4">
        <v>-311.39</v>
      </c>
      <c r="BD259" s="4">
        <v>-188.01</v>
      </c>
      <c r="BE259" s="4">
        <v>-143.44</v>
      </c>
      <c r="BF259" s="4">
        <v>-179.15</v>
      </c>
      <c r="BG259" s="4">
        <f>IF(OR(MID(TBBP[[#This Row],[Coluna1]],1,1)="1",MID(TBBP[[#This Row],[Coluna1]],1,1)="2"),TBBP[[#This Row],[Coluna58]],SUM(AU259:BF259))</f>
        <v>-2185.6499999999996</v>
      </c>
      <c r="BH259" s="4">
        <v>-121.16</v>
      </c>
      <c r="BI259" s="4">
        <v>-70.78</v>
      </c>
      <c r="BJ259" s="4">
        <v>-105.18</v>
      </c>
      <c r="BK259" s="4">
        <v>-56.09</v>
      </c>
      <c r="BL259" s="4">
        <v>-359.92</v>
      </c>
      <c r="BM259" s="4">
        <v>-156.87</v>
      </c>
      <c r="BN259" s="4">
        <v>-117.38</v>
      </c>
      <c r="BO259" s="4">
        <v>-69.69</v>
      </c>
      <c r="BP259" s="4">
        <v>0</v>
      </c>
      <c r="BQ259" s="4">
        <v>-49.09</v>
      </c>
      <c r="BR259" s="4">
        <v>-20.399999999999999</v>
      </c>
      <c r="BS259" s="4">
        <v>-49.09</v>
      </c>
      <c r="BT259" s="4">
        <f>IF(OR(MID(TBBP[[#This Row],[Coluna1]],1,1)="1",MID(TBBP[[#This Row],[Coluna1]],1,1)="2"),TBBP[[#This Row],[Coluna127]],SUM(BH259:BS259))</f>
        <v>-1175.6500000000001</v>
      </c>
      <c r="BU259" s="4">
        <v>-69.489999999999995</v>
      </c>
      <c r="BV259" s="4">
        <v>-245.45</v>
      </c>
      <c r="BW259" s="4">
        <v>-49.09</v>
      </c>
      <c r="BX259" s="4">
        <v>-271.95</v>
      </c>
      <c r="BY259" s="4">
        <v>0</v>
      </c>
      <c r="BZ259" s="4">
        <v>-77.510000000000005</v>
      </c>
      <c r="CA259" s="4">
        <v>-196.36</v>
      </c>
      <c r="CB259" s="4">
        <v>-83.08</v>
      </c>
      <c r="CC259" s="4">
        <v>-433.74</v>
      </c>
      <c r="CD259" s="4">
        <v>-174.69</v>
      </c>
      <c r="CE259" s="4">
        <v>-194.93</v>
      </c>
      <c r="CF259" s="4">
        <v>-112.92</v>
      </c>
      <c r="CG259" s="4">
        <f>IF(OR(MID(TBBP[[#This Row],[Coluna1]],1,1)="1",MID(TBBP[[#This Row],[Coluna1]],1,1)="2"),CF259,SUM(BU259:CF259))</f>
        <v>-1909.2100000000003</v>
      </c>
      <c r="CH259" s="4">
        <v>-797.65</v>
      </c>
      <c r="CI259" s="4">
        <v>-346.16</v>
      </c>
      <c r="CJ259" s="4">
        <v>-464.19</v>
      </c>
      <c r="CK259" s="4">
        <v>-75.97</v>
      </c>
      <c r="CL259" s="4">
        <v>-211.34</v>
      </c>
      <c r="CM259" s="4">
        <v>0</v>
      </c>
      <c r="CN259" s="4">
        <v>-241.63</v>
      </c>
      <c r="CO259" s="4">
        <v>0</v>
      </c>
      <c r="CP259" s="4">
        <v>-117.76</v>
      </c>
      <c r="CQ259" s="4">
        <v>-63.19</v>
      </c>
      <c r="CR259" s="4">
        <v>-694.1</v>
      </c>
      <c r="CS259" s="4">
        <v>0</v>
      </c>
      <c r="CT259" s="4">
        <f>IF(OR(MID(TBBP[[#This Row],[Coluna1]],1,1)="1",MID(TBBP[[#This Row],[Coluna1]],1,1)="2"),CS259,SUM(CH259:CS259))</f>
        <v>-3011.9900000000002</v>
      </c>
      <c r="CU259" s="255">
        <v>-963.21</v>
      </c>
      <c r="CV259" s="255">
        <v>-372.99</v>
      </c>
      <c r="CW259" s="255">
        <v>-113.22</v>
      </c>
      <c r="CX259" s="255">
        <v>-34.68</v>
      </c>
      <c r="CY259" s="255">
        <v>-109.62</v>
      </c>
      <c r="CZ259" s="255">
        <v>-110.04</v>
      </c>
      <c r="DA259" s="255">
        <v>0</v>
      </c>
      <c r="DB259" s="255">
        <v>-104.2</v>
      </c>
      <c r="DC259" s="255">
        <v>-872.32</v>
      </c>
      <c r="DD259" s="255">
        <v>0</v>
      </c>
      <c r="DE259" s="255">
        <v>-253.82</v>
      </c>
      <c r="DF259" s="255">
        <v>-5092.24</v>
      </c>
      <c r="DG259" s="255">
        <f>SUM(TBBP[[#This Row],[Coluna287]:[Coluna298]])</f>
        <v>-8026.34</v>
      </c>
      <c r="DH259" s="255">
        <v>-1595.44</v>
      </c>
      <c r="DI259" s="255">
        <v>-150.97999999999999</v>
      </c>
      <c r="DJ259" s="255">
        <v>-100</v>
      </c>
      <c r="DK259" s="255">
        <v>-153.1</v>
      </c>
      <c r="DL259" s="255">
        <v>-331.89</v>
      </c>
      <c r="DM259" s="255">
        <v>-334.02</v>
      </c>
      <c r="DO259" t="s">
        <v>444</v>
      </c>
      <c r="DP259" s="30">
        <f>IF(OR(MID(TBBP[[#This Row],[Coluna1]],1,1)="1",MID(TBBP[[#This Row],[Coluna1]],1,1)="2"),"-",SUMIFS(259:259,listaPeriodos,$DR$1,listaPeriodos,$DR$2))</f>
        <v>-2665.43</v>
      </c>
      <c r="DQ259" s="30">
        <v>-316.37</v>
      </c>
      <c r="DR259" s="30">
        <f t="shared" si="180"/>
        <v>-1898.22</v>
      </c>
      <c r="DS259" s="30"/>
      <c r="DT259" s="30"/>
      <c r="DU259"/>
    </row>
    <row r="260" spans="1:125" x14ac:dyDescent="0.3">
      <c r="A260" s="7" t="s">
        <v>445</v>
      </c>
      <c r="B260" t="s">
        <v>577</v>
      </c>
      <c r="C260" s="4">
        <v>0</v>
      </c>
      <c r="D260" s="4">
        <v>0</v>
      </c>
      <c r="E260" s="4">
        <v>0</v>
      </c>
      <c r="F260" s="4">
        <v>0</v>
      </c>
      <c r="G260" s="4">
        <v>-62639.99</v>
      </c>
      <c r="H260" s="4">
        <v>-2345.4499999999998</v>
      </c>
      <c r="I260" s="4">
        <v>-4620.75</v>
      </c>
      <c r="J260" s="4">
        <v>-4260.42</v>
      </c>
      <c r="K260" s="4">
        <v>-6210.93</v>
      </c>
      <c r="L260" s="4">
        <v>-6858.18</v>
      </c>
      <c r="M260" s="4">
        <v>-5420.45</v>
      </c>
      <c r="N260" s="4">
        <v>-7020.56</v>
      </c>
      <c r="O260" s="4">
        <v>-7097.85</v>
      </c>
      <c r="P260" s="4">
        <v>-8765.5499999999993</v>
      </c>
      <c r="Q260" s="4">
        <v>-7821.01</v>
      </c>
      <c r="R260" s="4">
        <v>-7369.12</v>
      </c>
      <c r="S260" s="4">
        <v>-7827.46</v>
      </c>
      <c r="T260" s="4">
        <f>IF(OR(MID(TBBP[[#This Row],[Coluna1]],1,1)="1",MID(TBBP[[#This Row],[Coluna1]],1,1)="2"),TBBP[[#This Row],[Coluna19]],SUM(H260:S260))</f>
        <v>-75617.73000000001</v>
      </c>
      <c r="U260" s="4">
        <v>-4420.24</v>
      </c>
      <c r="V260" s="4">
        <v>-6683.96</v>
      </c>
      <c r="W260" s="4">
        <v>-7331.07</v>
      </c>
      <c r="X260" s="4">
        <v>-9112.5499999999993</v>
      </c>
      <c r="Y260" s="4">
        <v>-7522.54</v>
      </c>
      <c r="Z260" s="4">
        <v>-8067.73</v>
      </c>
      <c r="AA260" s="4">
        <v>-7680.97</v>
      </c>
      <c r="AB260" s="4">
        <v>-6210.83</v>
      </c>
      <c r="AC260" s="4">
        <v>-7789.2</v>
      </c>
      <c r="AD260" s="4">
        <v>-9318.32</v>
      </c>
      <c r="AE260" s="4">
        <v>-9660.48</v>
      </c>
      <c r="AF260" s="4">
        <v>-8070.52</v>
      </c>
      <c r="AG260" s="4">
        <f>IF(OR(MID(TBBP[[#This Row],[Coluna1]],1,1)="1",MID(TBBP[[#This Row],[Coluna1]],1,1)="2"),TBBP[[#This Row],[Coluna32]],SUM(U260:AF260))</f>
        <v>-91868.41</v>
      </c>
      <c r="AH260" s="4">
        <v>-6069.36</v>
      </c>
      <c r="AI260" s="4">
        <v>-7809.94</v>
      </c>
      <c r="AJ260" s="4">
        <v>-7535.62</v>
      </c>
      <c r="AK260" s="4">
        <v>-5175.04</v>
      </c>
      <c r="AL260" s="4">
        <v>-5683.9</v>
      </c>
      <c r="AM260" s="4">
        <v>-5034.83</v>
      </c>
      <c r="AN260" s="4">
        <v>-6805.64</v>
      </c>
      <c r="AO260" s="4">
        <v>-8028.78</v>
      </c>
      <c r="AP260" s="4">
        <v>-8869.7800000000007</v>
      </c>
      <c r="AQ260" s="4">
        <v>-10253.84</v>
      </c>
      <c r="AR260" s="4">
        <v>-9554.68</v>
      </c>
      <c r="AS260" s="4">
        <v>-10557.71</v>
      </c>
      <c r="AT260" s="4">
        <f>IF(OR(MID(TBBP[[#This Row],[Coluna1]],1,1)="1",MID(TBBP[[#This Row],[Coluna1]],1,1)="2"),TBBP[[#This Row],[Coluna45]],SUM(AH260:AS260))</f>
        <v>-91379.12</v>
      </c>
      <c r="AU260" s="4">
        <v>-7801.68</v>
      </c>
      <c r="AV260" s="4">
        <v>-8073.38</v>
      </c>
      <c r="AW260" s="4">
        <v>-11376.89</v>
      </c>
      <c r="AX260" s="4">
        <v>-11497.02</v>
      </c>
      <c r="AY260" s="4">
        <v>-10927.86</v>
      </c>
      <c r="AZ260" s="4">
        <v>-13269.27</v>
      </c>
      <c r="BA260" s="4">
        <v>-13311.08</v>
      </c>
      <c r="BB260" s="4">
        <v>-17899.150000000001</v>
      </c>
      <c r="BC260" s="4">
        <v>-1161.1400000000001</v>
      </c>
      <c r="BD260" s="4">
        <v>-29496.83</v>
      </c>
      <c r="BE260" s="4">
        <v>-17366.349999999999</v>
      </c>
      <c r="BF260" s="4">
        <v>-16879.66</v>
      </c>
      <c r="BG260" s="4">
        <f>IF(OR(MID(TBBP[[#This Row],[Coluna1]],1,1)="1",MID(TBBP[[#This Row],[Coluna1]],1,1)="2"),TBBP[[#This Row],[Coluna58]],SUM(AU260:BF260))</f>
        <v>-159060.31000000003</v>
      </c>
      <c r="BH260" s="4">
        <v>-11556.630000000001</v>
      </c>
      <c r="BI260" s="4">
        <v>-18182.399999999998</v>
      </c>
      <c r="BJ260" s="4">
        <v>-16994.28</v>
      </c>
      <c r="BK260" s="4">
        <v>-20069.25</v>
      </c>
      <c r="BL260" s="4">
        <v>-16139.71</v>
      </c>
      <c r="BM260" s="4">
        <v>-15566.609999999999</v>
      </c>
      <c r="BN260" s="4">
        <v>-12547.89</v>
      </c>
      <c r="BO260" s="4">
        <v>-13363.92</v>
      </c>
      <c r="BP260" s="4">
        <v>-13767.82</v>
      </c>
      <c r="BQ260" s="4">
        <v>-16530.23</v>
      </c>
      <c r="BR260" s="4">
        <v>-15804.33</v>
      </c>
      <c r="BS260" s="4">
        <v>-10282.57</v>
      </c>
      <c r="BT260" s="4">
        <f>IF(OR(MID(TBBP[[#This Row],[Coluna1]],1,1)="1",MID(TBBP[[#This Row],[Coluna1]],1,1)="2"),TBBP[[#This Row],[Coluna127]],SUM(BH260:BS260))</f>
        <v>-180805.63999999998</v>
      </c>
      <c r="BU260" s="4">
        <v>-17663.419999999998</v>
      </c>
      <c r="BV260" s="4">
        <v>-16072.890000000001</v>
      </c>
      <c r="BW260" s="4">
        <v>-16073.920000000002</v>
      </c>
      <c r="BX260" s="4">
        <v>-16132.94</v>
      </c>
      <c r="BY260" s="4">
        <v>-18879.21</v>
      </c>
      <c r="BZ260" s="4">
        <v>-22300.670000000002</v>
      </c>
      <c r="CA260" s="4">
        <v>-17807.36</v>
      </c>
      <c r="CB260" s="4">
        <v>-19808.03</v>
      </c>
      <c r="CC260" s="4">
        <v>-26209.5</v>
      </c>
      <c r="CD260" s="4">
        <v>-21086.05</v>
      </c>
      <c r="CE260" s="4">
        <v>-20112.899999999998</v>
      </c>
      <c r="CF260" s="4">
        <v>-16075.349999999999</v>
      </c>
      <c r="CG260" s="4">
        <f>IF(OR(MID(TBBP[[#This Row],[Coluna1]],1,1)="1",MID(TBBP[[#This Row],[Coluna1]],1,1)="2"),CF260,SUM(BU260:CF260))</f>
        <v>-228222.24</v>
      </c>
      <c r="CH260" s="4">
        <v>-22471.91</v>
      </c>
      <c r="CI260" s="4">
        <v>-24310.07</v>
      </c>
      <c r="CJ260" s="4">
        <v>-24220.42</v>
      </c>
      <c r="CK260" s="4">
        <v>-34751.589999999997</v>
      </c>
      <c r="CL260" s="4">
        <v>-32847.97</v>
      </c>
      <c r="CM260" s="4">
        <v>-35113.240000000005</v>
      </c>
      <c r="CN260" s="4">
        <v>-33033.630000000005</v>
      </c>
      <c r="CO260" s="4">
        <v>-45638</v>
      </c>
      <c r="CP260" s="4">
        <v>-43189.760000000002</v>
      </c>
      <c r="CQ260" s="4">
        <v>-48120.240000000005</v>
      </c>
      <c r="CR260" s="4">
        <v>-21342</v>
      </c>
      <c r="CS260" s="4">
        <v>-44550.06</v>
      </c>
      <c r="CT260" s="4">
        <f>IF(OR(MID(TBBP[[#This Row],[Coluna1]],1,1)="1",MID(TBBP[[#This Row],[Coluna1]],1,1)="2"),CS260,SUM(CH260:CS260))</f>
        <v>-409588.89</v>
      </c>
      <c r="CU260" s="255">
        <v>-64656.99</v>
      </c>
      <c r="CV260" s="255">
        <v>-42386.26</v>
      </c>
      <c r="CW260" s="255">
        <v>-39187.969999999994</v>
      </c>
      <c r="CX260" s="255">
        <v>-42068.869999999995</v>
      </c>
      <c r="CY260" s="255">
        <v>-42093.840000000004</v>
      </c>
      <c r="CZ260" s="255">
        <v>-36003.53</v>
      </c>
      <c r="DA260" s="255">
        <v>-35603.219999999994</v>
      </c>
      <c r="DB260" s="255">
        <v>-41894.910000000003</v>
      </c>
      <c r="DC260" s="255">
        <v>-40068.68</v>
      </c>
      <c r="DD260" s="255">
        <v>-37648.039999999994</v>
      </c>
      <c r="DE260" s="255">
        <v>-25456.579999999994</v>
      </c>
      <c r="DF260" s="255">
        <v>-24296.45</v>
      </c>
      <c r="DG260" s="255">
        <f>SUM(TBBP[[#This Row],[Coluna287]:[Coluna298]])</f>
        <v>-471365.33999999997</v>
      </c>
      <c r="DH260" s="255">
        <v>-23692.720000000001</v>
      </c>
      <c r="DI260" s="255">
        <v>-27405.11</v>
      </c>
      <c r="DJ260" s="255">
        <v>-30111.190000000002</v>
      </c>
      <c r="DK260" s="255">
        <v>-30437.84</v>
      </c>
      <c r="DL260" s="255">
        <v>-30197.8</v>
      </c>
      <c r="DM260" s="255">
        <v>-20291.219999999998</v>
      </c>
      <c r="DO260" t="s">
        <v>445</v>
      </c>
      <c r="DP260" s="30">
        <f>IF(OR(MID(TBBP[[#This Row],[Coluna1]],1,1)="1",MID(TBBP[[#This Row],[Coluna1]],1,1)="2"),"-",SUMIFS(260:260,listaPeriodos,$DR$1,listaPeriodos,$DR$2))</f>
        <v>-162135.88</v>
      </c>
      <c r="DQ260" s="30">
        <v>-49173.01</v>
      </c>
      <c r="DR260" s="30">
        <f t="shared" si="180"/>
        <v>-295038.06</v>
      </c>
      <c r="DS260" s="30"/>
      <c r="DT260" s="30"/>
      <c r="DU260"/>
    </row>
    <row r="261" spans="1:125" x14ac:dyDescent="0.3">
      <c r="A261" s="7" t="s">
        <v>446</v>
      </c>
      <c r="B261" t="s">
        <v>578</v>
      </c>
      <c r="C261" s="4">
        <v>0</v>
      </c>
      <c r="D261" s="4">
        <v>0</v>
      </c>
      <c r="E261" s="4">
        <v>0</v>
      </c>
      <c r="F261" s="4">
        <v>0</v>
      </c>
      <c r="G261" s="4">
        <v>-7891.45</v>
      </c>
      <c r="H261" s="4">
        <v>0</v>
      </c>
      <c r="I261" s="4">
        <v>0</v>
      </c>
      <c r="J261" s="4">
        <v>0</v>
      </c>
      <c r="K261" s="4">
        <v>0</v>
      </c>
      <c r="L261" s="4">
        <v>-91.6</v>
      </c>
      <c r="M261" s="4">
        <v>0</v>
      </c>
      <c r="N261" s="4">
        <v>0</v>
      </c>
      <c r="O261" s="4">
        <v>-91.6</v>
      </c>
      <c r="P261" s="4">
        <v>0</v>
      </c>
      <c r="Q261" s="4">
        <v>0</v>
      </c>
      <c r="R261" s="4">
        <v>0</v>
      </c>
      <c r="S261" s="4">
        <v>0</v>
      </c>
      <c r="T261" s="4">
        <f>IF(OR(MID(TBBP[[#This Row],[Coluna1]],1,1)="1",MID(TBBP[[#This Row],[Coluna1]],1,1)="2"),TBBP[[#This Row],[Coluna19]],SUM(H261:S261))</f>
        <v>-183.2</v>
      </c>
      <c r="U261" s="4">
        <v>0</v>
      </c>
      <c r="V261" s="4">
        <v>0</v>
      </c>
      <c r="W261" s="4">
        <v>0</v>
      </c>
      <c r="X261" s="4">
        <v>0</v>
      </c>
      <c r="Y261" s="4">
        <v>-183.24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f>IF(OR(MID(TBBP[[#This Row],[Coluna1]],1,1)="1",MID(TBBP[[#This Row],[Coluna1]],1,1)="2"),TBBP[[#This Row],[Coluna32]],SUM(U261:AF261))</f>
        <v>-183.24</v>
      </c>
      <c r="AH261" s="4">
        <v>0</v>
      </c>
      <c r="AI261" s="4">
        <v>0</v>
      </c>
      <c r="AJ261" s="4">
        <v>0</v>
      </c>
      <c r="AK261" s="4">
        <v>0</v>
      </c>
      <c r="AL261" s="4">
        <v>0</v>
      </c>
      <c r="AM261" s="4">
        <v>-274.8</v>
      </c>
      <c r="AN261" s="4">
        <v>-183.2</v>
      </c>
      <c r="AO261" s="4">
        <v>-91.6</v>
      </c>
      <c r="AP261" s="4">
        <v>0</v>
      </c>
      <c r="AQ261" s="4">
        <v>-91.6</v>
      </c>
      <c r="AR261" s="4">
        <v>-91.6</v>
      </c>
      <c r="AS261" s="4">
        <v>0</v>
      </c>
      <c r="AT261" s="4">
        <f>IF(OR(MID(TBBP[[#This Row],[Coluna1]],1,1)="1",MID(TBBP[[#This Row],[Coluna1]],1,1)="2"),TBBP[[#This Row],[Coluna45]],SUM(AH261:AS261))</f>
        <v>-732.80000000000007</v>
      </c>
      <c r="AU261" s="4">
        <v>-183.2</v>
      </c>
      <c r="AV261" s="4">
        <v>0</v>
      </c>
      <c r="AW261" s="4">
        <v>-91.6</v>
      </c>
      <c r="AX261" s="4">
        <v>0</v>
      </c>
      <c r="AY261" s="4">
        <v>0</v>
      </c>
      <c r="AZ261" s="4">
        <v>0</v>
      </c>
      <c r="BA261" s="4">
        <v>0</v>
      </c>
      <c r="BB261" s="4">
        <v>0</v>
      </c>
      <c r="BC261" s="4">
        <v>0</v>
      </c>
      <c r="BD261" s="4">
        <v>0</v>
      </c>
      <c r="BE261" s="4">
        <v>0</v>
      </c>
      <c r="BF261" s="4">
        <v>0</v>
      </c>
      <c r="BG261" s="4">
        <f>IF(OR(MID(TBBP[[#This Row],[Coluna1]],1,1)="1",MID(TBBP[[#This Row],[Coluna1]],1,1)="2"),TBBP[[#This Row],[Coluna58]],SUM(AU261:BF261))</f>
        <v>-274.79999999999995</v>
      </c>
      <c r="BH261" s="4">
        <v>0</v>
      </c>
      <c r="BI261" s="4">
        <v>-94.62</v>
      </c>
      <c r="BJ261" s="4">
        <v>0</v>
      </c>
      <c r="BK261" s="4">
        <v>-2082.77</v>
      </c>
      <c r="BL261" s="4">
        <v>0</v>
      </c>
      <c r="BM261" s="4">
        <v>0</v>
      </c>
      <c r="BN261" s="4">
        <v>-94.62</v>
      </c>
      <c r="BO261" s="4">
        <v>0</v>
      </c>
      <c r="BP261" s="4">
        <v>0</v>
      </c>
      <c r="BQ261" s="4">
        <v>-973.77</v>
      </c>
      <c r="BR261" s="4">
        <v>-973.77</v>
      </c>
      <c r="BS261" s="4">
        <v>-973.77</v>
      </c>
      <c r="BT261" s="4">
        <f>IF(OR(MID(TBBP[[#This Row],[Coluna1]],1,1)="1",MID(TBBP[[#This Row],[Coluna1]],1,1)="2"),TBBP[[#This Row],[Coluna127]],SUM(BH261:BS261))</f>
        <v>-5193.32</v>
      </c>
      <c r="BU261" s="4">
        <v>-973.77</v>
      </c>
      <c r="BV261" s="4">
        <v>-973.77</v>
      </c>
      <c r="BW261" s="4">
        <v>-973.77</v>
      </c>
      <c r="BX261" s="4">
        <v>-3089.83</v>
      </c>
      <c r="BY261" s="4">
        <v>-1127.8900000000001</v>
      </c>
      <c r="BZ261" s="4">
        <v>0</v>
      </c>
      <c r="CA261" s="4">
        <v>0</v>
      </c>
      <c r="CB261" s="4">
        <v>0</v>
      </c>
      <c r="CC261" s="4">
        <v>0</v>
      </c>
      <c r="CD261" s="4">
        <v>-94.62</v>
      </c>
      <c r="CE261" s="4">
        <v>0</v>
      </c>
      <c r="CF261" s="4">
        <v>-94.62</v>
      </c>
      <c r="CG261" s="4">
        <f>IF(OR(MID(TBBP[[#This Row],[Coluna1]],1,1)="1",MID(TBBP[[#This Row],[Coluna1]],1,1)="2"),CF261,SUM(BU261:CF261))</f>
        <v>-7328.2699999999995</v>
      </c>
      <c r="CH261" s="4">
        <v>0</v>
      </c>
      <c r="CI261" s="4">
        <v>0</v>
      </c>
      <c r="CJ261" s="4">
        <v>-3336.63</v>
      </c>
      <c r="CK261" s="4">
        <v>-80.63</v>
      </c>
      <c r="CL261" s="4">
        <v>0</v>
      </c>
      <c r="CM261" s="4">
        <v>0</v>
      </c>
      <c r="CN261" s="4">
        <v>-4939.6899999999996</v>
      </c>
      <c r="CO261" s="4">
        <v>0</v>
      </c>
      <c r="CP261" s="4">
        <v>0</v>
      </c>
      <c r="CQ261" s="4">
        <v>0</v>
      </c>
      <c r="CR261" s="4">
        <v>0</v>
      </c>
      <c r="CS261" s="4">
        <v>-1771.3</v>
      </c>
      <c r="CT261" s="4">
        <f>IF(OR(MID(TBBP[[#This Row],[Coluna1]],1,1)="1",MID(TBBP[[#This Row],[Coluna1]],1,1)="2"),CS261,SUM(CH261:CS261))</f>
        <v>-10128.25</v>
      </c>
      <c r="CU261" s="255">
        <v>0</v>
      </c>
      <c r="CV261" s="255">
        <v>-60157.36</v>
      </c>
      <c r="CW261" s="255">
        <v>-94.62</v>
      </c>
      <c r="CX261" s="255">
        <v>-90.63</v>
      </c>
      <c r="CY261" s="255">
        <v>0</v>
      </c>
      <c r="CZ261" s="255">
        <v>-2181.31</v>
      </c>
      <c r="DA261" s="255">
        <v>0</v>
      </c>
      <c r="DB261" s="255">
        <v>0</v>
      </c>
      <c r="DC261" s="255">
        <v>0</v>
      </c>
      <c r="DD261" s="255">
        <v>0</v>
      </c>
      <c r="DE261" s="255">
        <v>0</v>
      </c>
      <c r="DF261" s="255">
        <v>0</v>
      </c>
      <c r="DG261" s="255">
        <f>SUM(TBBP[[#This Row],[Coluna287]:[Coluna298]])</f>
        <v>-62523.92</v>
      </c>
      <c r="DH261" s="255">
        <v>0</v>
      </c>
      <c r="DI261" s="255">
        <v>0</v>
      </c>
      <c r="DJ261" s="255">
        <v>0</v>
      </c>
      <c r="DK261" s="255">
        <v>0</v>
      </c>
      <c r="DL261" s="255">
        <v>-209.76</v>
      </c>
      <c r="DM261" s="255">
        <v>0</v>
      </c>
      <c r="DP261" s="30">
        <f>IF(OR(MID(TBBP[[#This Row],[Coluna1]],1,1)="1",MID(TBBP[[#This Row],[Coluna1]],1,1)="2"),"-",SUMIFS(261:261,listaPeriodos,$DR$1,listaPeriodos,$DR$2))</f>
        <v>-209.76</v>
      </c>
      <c r="DQ261" s="30"/>
      <c r="DR261" s="30">
        <f t="shared" si="180"/>
        <v>0</v>
      </c>
      <c r="DS261" s="30"/>
      <c r="DT261" s="30"/>
      <c r="DU261"/>
    </row>
    <row r="262" spans="1:125" x14ac:dyDescent="0.3">
      <c r="A262" s="7" t="s">
        <v>447</v>
      </c>
      <c r="B262" t="s">
        <v>579</v>
      </c>
      <c r="C262" s="4">
        <v>0</v>
      </c>
      <c r="D262" s="4">
        <v>0</v>
      </c>
      <c r="E262" s="4">
        <v>0</v>
      </c>
      <c r="F262" s="4">
        <v>0</v>
      </c>
      <c r="G262" s="4">
        <v>-57662.53</v>
      </c>
      <c r="H262" s="4">
        <v>-3932.1</v>
      </c>
      <c r="I262" s="4">
        <v>-6428.06</v>
      </c>
      <c r="J262" s="4">
        <v>-1893.94</v>
      </c>
      <c r="K262" s="4">
        <v>-6143.39</v>
      </c>
      <c r="L262" s="4">
        <v>-3689.94</v>
      </c>
      <c r="M262" s="4">
        <v>-3848.14</v>
      </c>
      <c r="N262" s="4">
        <v>-3362.64</v>
      </c>
      <c r="O262" s="4">
        <v>-3370.13</v>
      </c>
      <c r="P262" s="4">
        <v>-3518.92</v>
      </c>
      <c r="Q262" s="4">
        <v>-3569.25</v>
      </c>
      <c r="R262" s="4">
        <v>-3575.29</v>
      </c>
      <c r="S262" s="4">
        <v>-3656.88</v>
      </c>
      <c r="T262" s="4">
        <f>IF(OR(MID(TBBP[[#This Row],[Coluna1]],1,1)="1",MID(TBBP[[#This Row],[Coluna1]],1,1)="2"),TBBP[[#This Row],[Coluna19]],SUM(H262:S262))</f>
        <v>-46988.68</v>
      </c>
      <c r="U262" s="4">
        <v>-3519.61</v>
      </c>
      <c r="V262" s="4">
        <v>-3544.92</v>
      </c>
      <c r="W262" s="4">
        <v>-3666.34</v>
      </c>
      <c r="X262" s="4">
        <v>-3747.22</v>
      </c>
      <c r="Y262" s="4">
        <v>-3090.01</v>
      </c>
      <c r="Z262" s="4">
        <v>-2820.5</v>
      </c>
      <c r="AA262" s="4">
        <v>-4029.42</v>
      </c>
      <c r="AB262" s="4">
        <v>-3971.31</v>
      </c>
      <c r="AC262" s="4">
        <v>-3590.05</v>
      </c>
      <c r="AD262" s="4">
        <v>-3788.0599999999995</v>
      </c>
      <c r="AE262" s="4">
        <v>-3621.48</v>
      </c>
      <c r="AF262" s="4">
        <v>-3018.24</v>
      </c>
      <c r="AG262" s="4">
        <f>IF(OR(MID(TBBP[[#This Row],[Coluna1]],1,1)="1",MID(TBBP[[#This Row],[Coluna1]],1,1)="2"),TBBP[[#This Row],[Coluna32]],SUM(U262:AF262))</f>
        <v>-42407.159999999996</v>
      </c>
      <c r="AH262" s="4">
        <v>-4295.9799999999996</v>
      </c>
      <c r="AI262" s="4">
        <v>-2700.81</v>
      </c>
      <c r="AJ262" s="4">
        <v>-3709.57</v>
      </c>
      <c r="AK262" s="4">
        <v>-3992.68</v>
      </c>
      <c r="AL262" s="4">
        <v>-3887.56</v>
      </c>
      <c r="AM262" s="4">
        <v>-2880.92</v>
      </c>
      <c r="AN262" s="4">
        <v>-3956.87</v>
      </c>
      <c r="AO262" s="4">
        <v>-4748.8500000000004</v>
      </c>
      <c r="AP262" s="4">
        <v>-3897.52</v>
      </c>
      <c r="AQ262" s="4">
        <v>-3944.93</v>
      </c>
      <c r="AR262" s="4">
        <v>-4049.51</v>
      </c>
      <c r="AS262" s="4">
        <v>-3903.42</v>
      </c>
      <c r="AT262" s="4">
        <f>IF(OR(MID(TBBP[[#This Row],[Coluna1]],1,1)="1",MID(TBBP[[#This Row],[Coluna1]],1,1)="2"),TBBP[[#This Row],[Coluna45]],SUM(AH262:AS262))</f>
        <v>-45968.619999999995</v>
      </c>
      <c r="AU262" s="4">
        <v>-3032.95</v>
      </c>
      <c r="AV262" s="4">
        <v>-3991.22</v>
      </c>
      <c r="AW262" s="4">
        <v>-3115.35</v>
      </c>
      <c r="AX262" s="4">
        <v>-3027.6</v>
      </c>
      <c r="AY262" s="4">
        <v>-4091.48</v>
      </c>
      <c r="AZ262" s="4">
        <v>-4173</v>
      </c>
      <c r="BA262" s="4">
        <v>-3155.29</v>
      </c>
      <c r="BB262" s="4">
        <v>-4165.4799999999996</v>
      </c>
      <c r="BC262" s="4">
        <v>-4340.3</v>
      </c>
      <c r="BD262" s="4">
        <v>-4401.5</v>
      </c>
      <c r="BE262" s="4">
        <v>-4378.83</v>
      </c>
      <c r="BF262" s="4">
        <v>-3753.41</v>
      </c>
      <c r="BG262" s="4">
        <f>IF(OR(MID(TBBP[[#This Row],[Coluna1]],1,1)="1",MID(TBBP[[#This Row],[Coluna1]],1,1)="2"),TBBP[[#This Row],[Coluna58]],SUM(AU262:BF262))</f>
        <v>-45626.41</v>
      </c>
      <c r="BH262" s="4">
        <v>-3490.06</v>
      </c>
      <c r="BI262" s="4">
        <v>-3138.03</v>
      </c>
      <c r="BJ262" s="4">
        <v>-3535.91</v>
      </c>
      <c r="BK262" s="4">
        <v>-3538.69</v>
      </c>
      <c r="BL262" s="4">
        <v>-4175.6000000000004</v>
      </c>
      <c r="BM262" s="4">
        <v>-4554.1000000000004</v>
      </c>
      <c r="BN262" s="4">
        <v>-5337.93</v>
      </c>
      <c r="BO262" s="4">
        <v>-4459.18</v>
      </c>
      <c r="BP262" s="4">
        <v>-5033.07</v>
      </c>
      <c r="BQ262" s="4">
        <v>-4579.96</v>
      </c>
      <c r="BR262" s="4">
        <v>-4476.0600000000004</v>
      </c>
      <c r="BS262" s="4">
        <v>-4623.9399999999996</v>
      </c>
      <c r="BT262" s="4">
        <f>IF(OR(MID(TBBP[[#This Row],[Coluna1]],1,1)="1",MID(TBBP[[#This Row],[Coluna1]],1,1)="2"),TBBP[[#This Row],[Coluna127]],SUM(BH262:BS262))</f>
        <v>-50942.53</v>
      </c>
      <c r="BU262" s="4">
        <v>-4618.88</v>
      </c>
      <c r="BV262" s="4">
        <v>-4859.57</v>
      </c>
      <c r="BW262" s="4">
        <v>-4919.49</v>
      </c>
      <c r="BX262" s="4">
        <v>-5216.8500000000004</v>
      </c>
      <c r="BY262" s="4">
        <v>-5083</v>
      </c>
      <c r="BZ262" s="4">
        <v>-4828.96</v>
      </c>
      <c r="CA262" s="4">
        <v>-2349.8000000000002</v>
      </c>
      <c r="CB262" s="4">
        <v>-8407.73</v>
      </c>
      <c r="CC262" s="4">
        <v>-5126.99</v>
      </c>
      <c r="CD262" s="4">
        <v>-6322.06</v>
      </c>
      <c r="CE262" s="4">
        <v>-5777.18</v>
      </c>
      <c r="CF262" s="4">
        <v>-5257.54</v>
      </c>
      <c r="CG262" s="4">
        <f>IF(OR(MID(TBBP[[#This Row],[Coluna1]],1,1)="1",MID(TBBP[[#This Row],[Coluna1]],1,1)="2"),CF262,SUM(BU262:CF262))</f>
        <v>-62768.049999999996</v>
      </c>
      <c r="CH262" s="4">
        <v>-4311.9399999999996</v>
      </c>
      <c r="CI262" s="4">
        <v>-4590.9399999999996</v>
      </c>
      <c r="CJ262" s="4">
        <v>-7392.99</v>
      </c>
      <c r="CK262" s="4">
        <v>-5407.14</v>
      </c>
      <c r="CL262" s="4">
        <v>-6770.04</v>
      </c>
      <c r="CM262" s="4">
        <v>-5997.13</v>
      </c>
      <c r="CN262" s="4">
        <v>-5709.13</v>
      </c>
      <c r="CO262" s="4">
        <v>-16130.759999999998</v>
      </c>
      <c r="CP262" s="4">
        <v>-7238.52</v>
      </c>
      <c r="CQ262" s="4">
        <v>-6309.69</v>
      </c>
      <c r="CR262" s="4">
        <v>-8014.81</v>
      </c>
      <c r="CS262" s="4">
        <v>-6059.73</v>
      </c>
      <c r="CT262" s="4">
        <f>IF(OR(MID(TBBP[[#This Row],[Coluna1]],1,1)="1",MID(TBBP[[#This Row],[Coluna1]],1,1)="2"),CS262,SUM(CH262:CS262))</f>
        <v>-83932.819999999992</v>
      </c>
      <c r="CU262" s="255">
        <v>-8203.68</v>
      </c>
      <c r="CV262" s="255">
        <v>-6418.84</v>
      </c>
      <c r="CW262" s="255">
        <v>-6662.57</v>
      </c>
      <c r="CX262" s="255">
        <v>-7749.91</v>
      </c>
      <c r="CY262" s="255">
        <v>-5047.8500000000004</v>
      </c>
      <c r="CZ262" s="255">
        <v>-11323.99</v>
      </c>
      <c r="DA262" s="255">
        <v>-8724.3799999999992</v>
      </c>
      <c r="DB262" s="255">
        <v>-7596.14</v>
      </c>
      <c r="DC262" s="255">
        <v>-6769.55</v>
      </c>
      <c r="DD262" s="255">
        <v>-9553.9</v>
      </c>
      <c r="DE262" s="255">
        <v>-8209.66</v>
      </c>
      <c r="DF262" s="255">
        <v>-8451.4500000000007</v>
      </c>
      <c r="DG262" s="255">
        <f>SUM(TBBP[[#This Row],[Coluna287]:[Coluna298]])</f>
        <v>-94711.919999999984</v>
      </c>
      <c r="DH262" s="255">
        <v>-7205.5</v>
      </c>
      <c r="DI262" s="255">
        <v>-8173.24</v>
      </c>
      <c r="DJ262" s="255">
        <v>-5122.83</v>
      </c>
      <c r="DK262" s="255">
        <v>-12203.87</v>
      </c>
      <c r="DL262" s="255">
        <v>-8808.69</v>
      </c>
      <c r="DM262" s="255">
        <v>-8820.9500000000007</v>
      </c>
      <c r="DO262" t="s">
        <v>447</v>
      </c>
      <c r="DP262" s="30">
        <f>IF(OR(MID(TBBP[[#This Row],[Coluna1]],1,1)="1",MID(TBBP[[#This Row],[Coluna1]],1,1)="2"),"-",SUMIFS(262:262,listaPeriodos,$DR$1,listaPeriodos,$DR$2))</f>
        <v>-50335.08</v>
      </c>
      <c r="DQ262" s="30">
        <v>-10134.67</v>
      </c>
      <c r="DR262" s="30">
        <f t="shared" si="180"/>
        <v>-60808.020000000004</v>
      </c>
      <c r="DS262" s="30"/>
      <c r="DT262" s="30"/>
      <c r="DU262"/>
    </row>
    <row r="263" spans="1:125" x14ac:dyDescent="0.3">
      <c r="A263" s="7" t="s">
        <v>448</v>
      </c>
      <c r="B263" t="s">
        <v>580</v>
      </c>
      <c r="C263" s="4">
        <v>0</v>
      </c>
      <c r="D263" s="4">
        <v>0</v>
      </c>
      <c r="E263" s="4">
        <v>0</v>
      </c>
      <c r="F263" s="4">
        <v>0</v>
      </c>
      <c r="G263" s="4">
        <v>-24344.720000000001</v>
      </c>
      <c r="H263" s="4">
        <v>-461.38</v>
      </c>
      <c r="I263" s="4">
        <v>-1621.06</v>
      </c>
      <c r="J263" s="4">
        <v>-1446.62</v>
      </c>
      <c r="K263" s="4">
        <v>-1493.44</v>
      </c>
      <c r="L263" s="4">
        <v>-1309.92</v>
      </c>
      <c r="M263" s="4">
        <v>-2614.41</v>
      </c>
      <c r="N263" s="4">
        <v>-4314.5600000000004</v>
      </c>
      <c r="O263" s="4">
        <v>-4110.53</v>
      </c>
      <c r="P263" s="4">
        <v>-1951.56</v>
      </c>
      <c r="Q263" s="4">
        <v>-2636.24</v>
      </c>
      <c r="R263" s="4">
        <v>-2719.38</v>
      </c>
      <c r="S263" s="4">
        <v>-514.35</v>
      </c>
      <c r="T263" s="4">
        <f>IF(OR(MID(TBBP[[#This Row],[Coluna1]],1,1)="1",MID(TBBP[[#This Row],[Coluna1]],1,1)="2"),TBBP[[#This Row],[Coluna19]],SUM(H263:S263))</f>
        <v>-25193.45</v>
      </c>
      <c r="U263" s="4">
        <v>-1416.25</v>
      </c>
      <c r="V263" s="4">
        <v>-2546</v>
      </c>
      <c r="W263" s="4">
        <v>-3197.16</v>
      </c>
      <c r="X263" s="4">
        <v>-2339.4899999999998</v>
      </c>
      <c r="Y263" s="4">
        <v>-5712.45</v>
      </c>
      <c r="Z263" s="4">
        <v>-3242.23</v>
      </c>
      <c r="AA263" s="4">
        <v>-4281.5600000000004</v>
      </c>
      <c r="AB263" s="4">
        <v>-2887.33</v>
      </c>
      <c r="AC263" s="4">
        <v>-2476.73</v>
      </c>
      <c r="AD263" s="4">
        <v>-1709.37</v>
      </c>
      <c r="AE263" s="4">
        <v>-1989.42</v>
      </c>
      <c r="AF263" s="4">
        <v>-1217.97</v>
      </c>
      <c r="AG263" s="4">
        <f>IF(OR(MID(TBBP[[#This Row],[Coluna1]],1,1)="1",MID(TBBP[[#This Row],[Coluna1]],1,1)="2"),TBBP[[#This Row],[Coluna32]],SUM(U263:AF263))</f>
        <v>-33015.96</v>
      </c>
      <c r="AH263" s="4">
        <v>-6001.85</v>
      </c>
      <c r="AI263" s="4">
        <v>-3163.92</v>
      </c>
      <c r="AJ263" s="4">
        <v>-2511.65</v>
      </c>
      <c r="AK263" s="4">
        <v>-1265.02</v>
      </c>
      <c r="AL263" s="4">
        <v>-3654.51</v>
      </c>
      <c r="AM263" s="4">
        <v>-1567.24</v>
      </c>
      <c r="AN263" s="4">
        <v>-2670.31</v>
      </c>
      <c r="AO263" s="4">
        <v>-3103.71</v>
      </c>
      <c r="AP263" s="4">
        <v>-4260.8100000000004</v>
      </c>
      <c r="AQ263" s="4">
        <v>-1318.59</v>
      </c>
      <c r="AR263" s="4">
        <v>-10349.5</v>
      </c>
      <c r="AS263" s="4">
        <v>-11607.04</v>
      </c>
      <c r="AT263" s="4">
        <f>IF(OR(MID(TBBP[[#This Row],[Coluna1]],1,1)="1",MID(TBBP[[#This Row],[Coluna1]],1,1)="2"),TBBP[[#This Row],[Coluna45]],SUM(AH263:AS263))</f>
        <v>-51474.15</v>
      </c>
      <c r="AU263" s="4">
        <v>-6457.99</v>
      </c>
      <c r="AV263" s="4">
        <v>-5787.7</v>
      </c>
      <c r="AW263" s="4">
        <v>-3788.11</v>
      </c>
      <c r="AX263" s="4">
        <v>-6439.87</v>
      </c>
      <c r="AY263" s="4">
        <v>-10730.14</v>
      </c>
      <c r="AZ263" s="4">
        <v>-10259.17</v>
      </c>
      <c r="BA263" s="4">
        <v>-9233.14</v>
      </c>
      <c r="BB263" s="4">
        <v>-30190.47</v>
      </c>
      <c r="BC263" s="4">
        <v>-10115.299999999999</v>
      </c>
      <c r="BD263" s="4">
        <v>-15512.11</v>
      </c>
      <c r="BE263" s="4">
        <v>-12519.46</v>
      </c>
      <c r="BF263" s="4">
        <v>-13605.35</v>
      </c>
      <c r="BG263" s="4">
        <f>IF(OR(MID(TBBP[[#This Row],[Coluna1]],1,1)="1",MID(TBBP[[#This Row],[Coluna1]],1,1)="2"),TBBP[[#This Row],[Coluna58]],SUM(AU263:BF263))</f>
        <v>-134638.81</v>
      </c>
      <c r="BH263" s="4">
        <v>-8070.95</v>
      </c>
      <c r="BI263" s="4">
        <v>-6707.53</v>
      </c>
      <c r="BJ263" s="4">
        <v>-11730.76</v>
      </c>
      <c r="BK263" s="4">
        <v>-12964.85</v>
      </c>
      <c r="BL263" s="4">
        <v>-12001.28</v>
      </c>
      <c r="BM263" s="4">
        <v>-23363.56</v>
      </c>
      <c r="BN263" s="4">
        <v>-20949.87</v>
      </c>
      <c r="BO263" s="4">
        <v>-20910.990000000002</v>
      </c>
      <c r="BP263" s="4">
        <v>-25842.61</v>
      </c>
      <c r="BQ263" s="4">
        <v>-26660.09</v>
      </c>
      <c r="BR263" s="4">
        <v>-15929.05</v>
      </c>
      <c r="BS263" s="4">
        <v>-12044.17</v>
      </c>
      <c r="BT263" s="4">
        <f>IF(OR(MID(TBBP[[#This Row],[Coluna1]],1,1)="1",MID(TBBP[[#This Row],[Coluna1]],1,1)="2"),TBBP[[#This Row],[Coluna127]],SUM(BH263:BS263))</f>
        <v>-197175.71</v>
      </c>
      <c r="BU263" s="4">
        <v>-22565.34</v>
      </c>
      <c r="BV263" s="4">
        <v>-14518.18</v>
      </c>
      <c r="BW263" s="4">
        <v>-9550.33</v>
      </c>
      <c r="BX263" s="4">
        <v>-4594.1499999999996</v>
      </c>
      <c r="BY263" s="4">
        <v>-7623.88</v>
      </c>
      <c r="BZ263" s="4">
        <v>-4115.99</v>
      </c>
      <c r="CA263" s="4">
        <v>-9518.1299999999992</v>
      </c>
      <c r="CB263" s="4">
        <v>-13144.28</v>
      </c>
      <c r="CC263" s="4">
        <v>-16794.53</v>
      </c>
      <c r="CD263" s="4">
        <v>-11097.64</v>
      </c>
      <c r="CE263" s="4">
        <v>-7454.87</v>
      </c>
      <c r="CF263" s="4">
        <v>-7962.63</v>
      </c>
      <c r="CG263" s="4">
        <f>IF(OR(MID(TBBP[[#This Row],[Coluna1]],1,1)="1",MID(TBBP[[#This Row],[Coluna1]],1,1)="2"),CF263,SUM(BU263:CF263))</f>
        <v>-128939.95</v>
      </c>
      <c r="CH263" s="4">
        <v>-10633.470000000001</v>
      </c>
      <c r="CI263" s="4">
        <v>-7093.19</v>
      </c>
      <c r="CJ263" s="4">
        <v>-14402.65</v>
      </c>
      <c r="CK263" s="4">
        <v>-15258.81</v>
      </c>
      <c r="CL263" s="4">
        <v>-15245.68</v>
      </c>
      <c r="CM263" s="4">
        <v>-19010.87</v>
      </c>
      <c r="CN263" s="4">
        <v>-13736.82</v>
      </c>
      <c r="CO263" s="4">
        <v>-18540.919999999998</v>
      </c>
      <c r="CP263" s="4">
        <v>-6479.92</v>
      </c>
      <c r="CQ263" s="4">
        <v>-6129.75</v>
      </c>
      <c r="CR263" s="4">
        <v>-17165.07</v>
      </c>
      <c r="CS263" s="4">
        <v>-11942.67</v>
      </c>
      <c r="CT263" s="4">
        <f>IF(OR(MID(TBBP[[#This Row],[Coluna1]],1,1)="1",MID(TBBP[[#This Row],[Coluna1]],1,1)="2"),CS263,SUM(CH263:CS263))</f>
        <v>-155639.82</v>
      </c>
      <c r="CU263" s="255">
        <v>-17951.740000000002</v>
      </c>
      <c r="CV263" s="255">
        <v>-7889.6</v>
      </c>
      <c r="CW263" s="255">
        <v>-11430.2</v>
      </c>
      <c r="CX263" s="255">
        <v>-12040.06</v>
      </c>
      <c r="CY263" s="255">
        <v>-7961.88</v>
      </c>
      <c r="CZ263" s="255">
        <v>-11618.42</v>
      </c>
      <c r="DA263" s="255">
        <v>-12019.48</v>
      </c>
      <c r="DB263" s="255">
        <v>-10131</v>
      </c>
      <c r="DC263" s="255">
        <v>-7805.08</v>
      </c>
      <c r="DD263" s="255">
        <v>-15048.04</v>
      </c>
      <c r="DE263" s="255">
        <v>-7383.19</v>
      </c>
      <c r="DF263" s="255">
        <v>-7355.25</v>
      </c>
      <c r="DG263" s="255">
        <f>SUM(TBBP[[#This Row],[Coluna287]:[Coluna298]])</f>
        <v>-128633.94</v>
      </c>
      <c r="DH263" s="255">
        <v>-9026.18</v>
      </c>
      <c r="DI263" s="255">
        <v>-5943.44</v>
      </c>
      <c r="DJ263" s="255">
        <v>-8821.39</v>
      </c>
      <c r="DK263" s="255">
        <v>-11127.35</v>
      </c>
      <c r="DL263" s="255">
        <v>-8492.35</v>
      </c>
      <c r="DM263" s="255">
        <v>-17084.560000000001</v>
      </c>
      <c r="DP263" s="30">
        <f>IF(OR(MID(TBBP[[#This Row],[Coluna1]],1,1)="1",MID(TBBP[[#This Row],[Coluna1]],1,1)="2"),"-",SUMIFS(263:263,listaPeriodos,$DR$1,listaPeriodos,$DR$2))</f>
        <v>-60495.270000000004</v>
      </c>
      <c r="DQ263" s="30"/>
      <c r="DR263" s="30">
        <f t="shared" si="180"/>
        <v>0</v>
      </c>
      <c r="DS263" s="30"/>
      <c r="DT263" s="30"/>
      <c r="DU263"/>
    </row>
    <row r="264" spans="1:125" x14ac:dyDescent="0.3">
      <c r="A264" s="7" t="s">
        <v>449</v>
      </c>
      <c r="B264" t="s">
        <v>581</v>
      </c>
      <c r="C264" s="4">
        <v>0</v>
      </c>
      <c r="D264" s="4">
        <v>0</v>
      </c>
      <c r="E264" s="4">
        <v>0</v>
      </c>
      <c r="F264" s="4">
        <v>0</v>
      </c>
      <c r="G264" s="4">
        <v>-307.89999999999998</v>
      </c>
      <c r="H264" s="4">
        <v>0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f>IF(OR(MID(TBBP[[#This Row],[Coluna1]],1,1)="1",MID(TBBP[[#This Row],[Coluna1]],1,1)="2"),TBBP[[#This Row],[Coluna19]],SUM(H264:S264))</f>
        <v>0</v>
      </c>
      <c r="U264" s="4">
        <v>0</v>
      </c>
      <c r="V264" s="4">
        <v>-472</v>
      </c>
      <c r="W264" s="4">
        <v>-176</v>
      </c>
      <c r="X264" s="4">
        <v>-776</v>
      </c>
      <c r="Y264" s="4">
        <v>-464</v>
      </c>
      <c r="Z264" s="4">
        <v>-937.2</v>
      </c>
      <c r="AA264" s="4">
        <v>-1020.27</v>
      </c>
      <c r="AB264" s="4">
        <v>-304</v>
      </c>
      <c r="AC264" s="4">
        <v>-96</v>
      </c>
      <c r="AD264" s="4">
        <v>0</v>
      </c>
      <c r="AE264" s="4">
        <v>0</v>
      </c>
      <c r="AF264" s="4">
        <v>0</v>
      </c>
      <c r="AG264" s="4">
        <f>IF(OR(MID(TBBP[[#This Row],[Coluna1]],1,1)="1",MID(TBBP[[#This Row],[Coluna1]],1,1)="2"),TBBP[[#This Row],[Coluna32]],SUM(U264:AF264))</f>
        <v>-4245.4699999999993</v>
      </c>
      <c r="AH264" s="4">
        <v>0</v>
      </c>
      <c r="AI264" s="4">
        <v>-608</v>
      </c>
      <c r="AJ264" s="4">
        <v>-928</v>
      </c>
      <c r="AK264" s="4">
        <v>-202</v>
      </c>
      <c r="AL264" s="4">
        <v>0</v>
      </c>
      <c r="AM264" s="4">
        <v>-325</v>
      </c>
      <c r="AN264" s="4">
        <v>-456.44</v>
      </c>
      <c r="AO264" s="4">
        <v>-400</v>
      </c>
      <c r="AP264" s="4">
        <v>0</v>
      </c>
      <c r="AQ264" s="4">
        <v>-400</v>
      </c>
      <c r="AR264" s="4">
        <v>-1740.25</v>
      </c>
      <c r="AS264" s="4">
        <v>-283.23</v>
      </c>
      <c r="AT264" s="4">
        <f>IF(OR(MID(TBBP[[#This Row],[Coluna1]],1,1)="1",MID(TBBP[[#This Row],[Coluna1]],1,1)="2"),TBBP[[#This Row],[Coluna45]],SUM(AH264:AS264))</f>
        <v>-5342.92</v>
      </c>
      <c r="AU264" s="4">
        <v>0</v>
      </c>
      <c r="AV264" s="4">
        <v>-980</v>
      </c>
      <c r="AW264" s="4">
        <v>0</v>
      </c>
      <c r="AX264" s="4">
        <v>-920</v>
      </c>
      <c r="AY264" s="4">
        <v>-312.83999999999997</v>
      </c>
      <c r="AZ264" s="4">
        <v>-500</v>
      </c>
      <c r="BA264" s="4">
        <v>-520</v>
      </c>
      <c r="BB264" s="4">
        <v>-13407.08</v>
      </c>
      <c r="BC264" s="4">
        <v>-77.09</v>
      </c>
      <c r="BD264" s="4">
        <v>-642.57000000000005</v>
      </c>
      <c r="BE264" s="4">
        <v>-821.27</v>
      </c>
      <c r="BF264" s="4">
        <v>-904.78</v>
      </c>
      <c r="BG264" s="4">
        <f>IF(OR(MID(TBBP[[#This Row],[Coluna1]],1,1)="1",MID(TBBP[[#This Row],[Coluna1]],1,1)="2"),TBBP[[#This Row],[Coluna58]],SUM(AU264:BF264))</f>
        <v>-19085.629999999997</v>
      </c>
      <c r="BH264" s="4">
        <v>0</v>
      </c>
      <c r="BI264" s="4">
        <v>0</v>
      </c>
      <c r="BJ264" s="4">
        <v>-463.5</v>
      </c>
      <c r="BK264" s="4">
        <v>-2228.8000000000002</v>
      </c>
      <c r="BL264" s="4">
        <v>0</v>
      </c>
      <c r="BM264" s="4">
        <v>0</v>
      </c>
      <c r="BN264" s="4">
        <v>0</v>
      </c>
      <c r="BO264" s="4">
        <v>-540</v>
      </c>
      <c r="BP264" s="4">
        <v>0</v>
      </c>
      <c r="BQ264" s="4">
        <v>0</v>
      </c>
      <c r="BR264" s="4">
        <v>0</v>
      </c>
      <c r="BS264" s="4">
        <v>-815.9</v>
      </c>
      <c r="BT264" s="4">
        <f>IF(OR(MID(TBBP[[#This Row],[Coluna1]],1,1)="1",MID(TBBP[[#This Row],[Coluna1]],1,1)="2"),TBBP[[#This Row],[Coluna127]],SUM(BH264:BS264))</f>
        <v>-4048.2000000000003</v>
      </c>
      <c r="BU264" s="4">
        <v>0</v>
      </c>
      <c r="BV264" s="4">
        <v>-77.900000000000006</v>
      </c>
      <c r="BW264" s="4">
        <v>0</v>
      </c>
      <c r="BX264" s="4">
        <v>0</v>
      </c>
      <c r="BY264" s="4">
        <v>0</v>
      </c>
      <c r="BZ264" s="4">
        <v>-375</v>
      </c>
      <c r="CA264" s="4">
        <v>-3174.3</v>
      </c>
      <c r="CB264" s="4">
        <v>-722.7</v>
      </c>
      <c r="CC264" s="4">
        <v>0</v>
      </c>
      <c r="CD264" s="4">
        <v>0</v>
      </c>
      <c r="CE264" s="4">
        <v>-1250</v>
      </c>
      <c r="CF264" s="4">
        <v>0</v>
      </c>
      <c r="CG264" s="4">
        <f>IF(OR(MID(TBBP[[#This Row],[Coluna1]],1,1)="1",MID(TBBP[[#This Row],[Coluna1]],1,1)="2"),CF264,SUM(BU264:CF264))</f>
        <v>-5599.9000000000005</v>
      </c>
      <c r="CH264" s="4">
        <v>-614.87</v>
      </c>
      <c r="CI264" s="4">
        <v>-11.76</v>
      </c>
      <c r="CJ264" s="4">
        <v>-2053.36</v>
      </c>
      <c r="CK264" s="4">
        <v>-3968.57</v>
      </c>
      <c r="CL264" s="4">
        <v>-3446.41</v>
      </c>
      <c r="CM264" s="4">
        <v>-2145</v>
      </c>
      <c r="CN264" s="4">
        <v>-625</v>
      </c>
      <c r="CO264" s="4">
        <v>-795</v>
      </c>
      <c r="CP264" s="4">
        <v>-1006.67</v>
      </c>
      <c r="CQ264" s="4">
        <v>-812.98</v>
      </c>
      <c r="CR264" s="4">
        <v>-1437.5</v>
      </c>
      <c r="CS264" s="4">
        <v>-4300.7299999999996</v>
      </c>
      <c r="CT264" s="4">
        <f>IF(OR(MID(TBBP[[#This Row],[Coluna1]],1,1)="1",MID(TBBP[[#This Row],[Coluna1]],1,1)="2"),CS264,SUM(CH264:CS264))</f>
        <v>-21217.850000000002</v>
      </c>
      <c r="CU264" s="255">
        <v>-1493.5</v>
      </c>
      <c r="CV264" s="255">
        <v>-1594.5</v>
      </c>
      <c r="CW264" s="255">
        <v>0</v>
      </c>
      <c r="CX264" s="255">
        <v>-2075.4</v>
      </c>
      <c r="CY264" s="255">
        <v>-1381.32</v>
      </c>
      <c r="CZ264" s="255">
        <v>-2965.53</v>
      </c>
      <c r="DA264" s="255">
        <v>-673.9</v>
      </c>
      <c r="DB264" s="255">
        <v>-1676</v>
      </c>
      <c r="DC264" s="255">
        <v>-1950.76</v>
      </c>
      <c r="DD264" s="255">
        <v>-1145.8699999999999</v>
      </c>
      <c r="DE264" s="255">
        <v>-2221.1799999999998</v>
      </c>
      <c r="DF264" s="255">
        <v>-2758</v>
      </c>
      <c r="DG264" s="255">
        <f>SUM(TBBP[[#This Row],[Coluna287]:[Coluna298]])</f>
        <v>-19935.96</v>
      </c>
      <c r="DH264" s="255">
        <v>-1137.8499999999999</v>
      </c>
      <c r="DI264" s="255">
        <v>-280.11</v>
      </c>
      <c r="DJ264" s="255">
        <v>-1198.19</v>
      </c>
      <c r="DK264" s="255">
        <v>-1143.8</v>
      </c>
      <c r="DL264" s="255">
        <v>0</v>
      </c>
      <c r="DM264" s="255">
        <v>-6400</v>
      </c>
      <c r="DP264" s="30">
        <f>IF(OR(MID(TBBP[[#This Row],[Coluna1]],1,1)="1",MID(TBBP[[#This Row],[Coluna1]],1,1)="2"),"-",SUMIFS(264:264,listaPeriodos,$DR$1,listaPeriodos,$DR$2))</f>
        <v>-10159.950000000001</v>
      </c>
      <c r="DQ264" s="30"/>
      <c r="DR264" s="30">
        <f t="shared" si="180"/>
        <v>0</v>
      </c>
      <c r="DS264" s="30"/>
      <c r="DT264" s="30"/>
      <c r="DU264"/>
    </row>
    <row r="265" spans="1:125" x14ac:dyDescent="0.3">
      <c r="A265" s="7" t="s">
        <v>450</v>
      </c>
      <c r="B265" t="s">
        <v>582</v>
      </c>
      <c r="C265" s="4">
        <v>0</v>
      </c>
      <c r="D265" s="4">
        <v>0</v>
      </c>
      <c r="E265" s="4">
        <v>0</v>
      </c>
      <c r="F265" s="4">
        <v>0</v>
      </c>
      <c r="G265" s="4">
        <v>-9519.32</v>
      </c>
      <c r="H265" s="4">
        <v>-461.38</v>
      </c>
      <c r="I265" s="4">
        <v>-1168.97</v>
      </c>
      <c r="J265" s="4">
        <v>-973.34</v>
      </c>
      <c r="K265" s="4">
        <v>-888.6</v>
      </c>
      <c r="L265" s="4">
        <v>-1009.87</v>
      </c>
      <c r="M265" s="4">
        <v>-2104.86</v>
      </c>
      <c r="N265" s="4">
        <v>-1911.94</v>
      </c>
      <c r="O265" s="4">
        <v>-2943.4</v>
      </c>
      <c r="P265" s="4">
        <v>-1528.23</v>
      </c>
      <c r="Q265" s="4">
        <v>-2192.4899999999998</v>
      </c>
      <c r="R265" s="4">
        <v>-1801.06</v>
      </c>
      <c r="S265" s="4">
        <v>-514.35</v>
      </c>
      <c r="T265" s="4">
        <f>IF(OR(MID(TBBP[[#This Row],[Coluna1]],1,1)="1",MID(TBBP[[#This Row],[Coluna1]],1,1)="2"),TBBP[[#This Row],[Coluna19]],SUM(H265:S265))</f>
        <v>-17498.489999999998</v>
      </c>
      <c r="U265" s="4">
        <v>-764.5</v>
      </c>
      <c r="V265" s="4">
        <v>-1419.7</v>
      </c>
      <c r="W265" s="4">
        <v>-2100.9699999999998</v>
      </c>
      <c r="X265" s="4">
        <v>-869.69</v>
      </c>
      <c r="Y265" s="4">
        <v>-2032.82</v>
      </c>
      <c r="Z265" s="4">
        <v>-1703.11</v>
      </c>
      <c r="AA265" s="4">
        <v>-1981.38</v>
      </c>
      <c r="AB265" s="4">
        <v>-1605.74</v>
      </c>
      <c r="AC265" s="4">
        <v>-1586.39</v>
      </c>
      <c r="AD265" s="4">
        <v>-1663.52</v>
      </c>
      <c r="AE265" s="4">
        <v>-1449.37</v>
      </c>
      <c r="AF265" s="4">
        <v>-891.36</v>
      </c>
      <c r="AG265" s="4">
        <f>IF(OR(MID(TBBP[[#This Row],[Coluna1]],1,1)="1",MID(TBBP[[#This Row],[Coluna1]],1,1)="2"),TBBP[[#This Row],[Coluna32]],SUM(U265:AF265))</f>
        <v>-18068.550000000003</v>
      </c>
      <c r="AH265" s="4">
        <v>-1988.34</v>
      </c>
      <c r="AI265" s="4">
        <v>-1951.78</v>
      </c>
      <c r="AJ265" s="4">
        <v>-954.48</v>
      </c>
      <c r="AK265" s="4">
        <v>-505</v>
      </c>
      <c r="AL265" s="4">
        <v>-3609.51</v>
      </c>
      <c r="AM265" s="4">
        <v>-822.64</v>
      </c>
      <c r="AN265" s="4">
        <v>-1128.8599999999999</v>
      </c>
      <c r="AO265" s="4">
        <v>-1814.18</v>
      </c>
      <c r="AP265" s="4">
        <v>-3360.86</v>
      </c>
      <c r="AQ265" s="4">
        <v>-272.48</v>
      </c>
      <c r="AR265" s="4">
        <v>-4137.18</v>
      </c>
      <c r="AS265" s="4">
        <v>-4751.95</v>
      </c>
      <c r="AT265" s="4">
        <f>IF(OR(MID(TBBP[[#This Row],[Coluna1]],1,1)="1",MID(TBBP[[#This Row],[Coluna1]],1,1)="2"),TBBP[[#This Row],[Coluna45]],SUM(AH265:AS265))</f>
        <v>-25297.260000000002</v>
      </c>
      <c r="AU265" s="4">
        <v>-2345.1</v>
      </c>
      <c r="AV265" s="4">
        <v>-3406.07</v>
      </c>
      <c r="AW265" s="4">
        <v>-1527.95</v>
      </c>
      <c r="AX265" s="4">
        <v>-3600.42</v>
      </c>
      <c r="AY265" s="4">
        <v>-3781.11</v>
      </c>
      <c r="AZ265" s="4">
        <v>-6302.66</v>
      </c>
      <c r="BA265" s="4">
        <v>-6411.18</v>
      </c>
      <c r="BB265" s="4">
        <v>-14214.46</v>
      </c>
      <c r="BC265" s="4">
        <v>-4625.34</v>
      </c>
      <c r="BD265" s="4">
        <v>-10088.59</v>
      </c>
      <c r="BE265" s="4">
        <v>-6858.46</v>
      </c>
      <c r="BF265" s="4">
        <v>-3165.33</v>
      </c>
      <c r="BG265" s="4">
        <f>IF(OR(MID(TBBP[[#This Row],[Coluna1]],1,1)="1",MID(TBBP[[#This Row],[Coluna1]],1,1)="2"),TBBP[[#This Row],[Coluna58]],SUM(AU265:BF265))</f>
        <v>-66326.669999999984</v>
      </c>
      <c r="BH265" s="4">
        <v>-6330.14</v>
      </c>
      <c r="BI265" s="4">
        <v>-4268.01</v>
      </c>
      <c r="BJ265" s="4">
        <v>-9536.57</v>
      </c>
      <c r="BK265" s="4">
        <v>-7106.4</v>
      </c>
      <c r="BL265" s="4">
        <v>-10600.83</v>
      </c>
      <c r="BM265" s="4">
        <v>-14669.86</v>
      </c>
      <c r="BN265" s="4">
        <v>-12828.26</v>
      </c>
      <c r="BO265" s="4">
        <v>-12248.22</v>
      </c>
      <c r="BP265" s="4">
        <v>-12378.72</v>
      </c>
      <c r="BQ265" s="4">
        <v>-19275.8</v>
      </c>
      <c r="BR265" s="4">
        <v>-11422.4</v>
      </c>
      <c r="BS265" s="4">
        <v>-6600.79</v>
      </c>
      <c r="BT265" s="4">
        <f>IF(OR(MID(TBBP[[#This Row],[Coluna1]],1,1)="1",MID(TBBP[[#This Row],[Coluna1]],1,1)="2"),TBBP[[#This Row],[Coluna127]],SUM(BH265:BS265))</f>
        <v>-127266</v>
      </c>
      <c r="BU265" s="4">
        <v>-21007.94</v>
      </c>
      <c r="BV265" s="4">
        <v>-13118.47</v>
      </c>
      <c r="BW265" s="4">
        <v>-4553.3100000000004</v>
      </c>
      <c r="BX265" s="4">
        <v>-3911.9599999999996</v>
      </c>
      <c r="BY265" s="4">
        <v>-3478.85</v>
      </c>
      <c r="BZ265" s="4">
        <v>-2329.5700000000002</v>
      </c>
      <c r="CA265" s="4">
        <v>-3404.01</v>
      </c>
      <c r="CB265" s="4">
        <v>-4478.29</v>
      </c>
      <c r="CC265" s="4">
        <v>-3185.49</v>
      </c>
      <c r="CD265" s="4">
        <v>-2979.51</v>
      </c>
      <c r="CE265" s="4">
        <v>-3384.47</v>
      </c>
      <c r="CF265" s="4">
        <v>-6000.55</v>
      </c>
      <c r="CG265" s="4">
        <f>IF(OR(MID(TBBP[[#This Row],[Coluna1]],1,1)="1",MID(TBBP[[#This Row],[Coluna1]],1,1)="2"),CF265,SUM(BU265:CF265))</f>
        <v>-71832.42</v>
      </c>
      <c r="CH265" s="4">
        <v>-4084.07</v>
      </c>
      <c r="CI265" s="4">
        <v>-4290.51</v>
      </c>
      <c r="CJ265" s="4">
        <v>-4376.13</v>
      </c>
      <c r="CK265" s="4">
        <v>-6912.77</v>
      </c>
      <c r="CL265" s="4">
        <v>-8983.43</v>
      </c>
      <c r="CM265" s="4">
        <v>-10379.969999999999</v>
      </c>
      <c r="CN265" s="4">
        <v>-5930.08</v>
      </c>
      <c r="CO265" s="4">
        <v>-8971.7999999999993</v>
      </c>
      <c r="CP265" s="4">
        <v>-3819.75</v>
      </c>
      <c r="CQ265" s="4">
        <v>-2446.29</v>
      </c>
      <c r="CR265" s="4">
        <v>-11321.1</v>
      </c>
      <c r="CS265" s="4">
        <v>-4995.43</v>
      </c>
      <c r="CT265" s="4">
        <f>IF(OR(MID(TBBP[[#This Row],[Coluna1]],1,1)="1",MID(TBBP[[#This Row],[Coluna1]],1,1)="2"),CS265,SUM(CH265:CS265))</f>
        <v>-76511.329999999987</v>
      </c>
      <c r="CU265" s="255">
        <v>-12627.84</v>
      </c>
      <c r="CV265" s="255">
        <v>-3626.5</v>
      </c>
      <c r="CW265" s="255">
        <v>-3621.66</v>
      </c>
      <c r="CX265" s="255">
        <v>-5144.08</v>
      </c>
      <c r="CY265" s="255">
        <v>-4503.74</v>
      </c>
      <c r="CZ265" s="255">
        <v>-5008.7700000000004</v>
      </c>
      <c r="DA265" s="255">
        <v>-7951.16</v>
      </c>
      <c r="DB265" s="255">
        <v>-5257.7</v>
      </c>
      <c r="DC265" s="255">
        <v>-3002.73</v>
      </c>
      <c r="DD265" s="255">
        <v>-3144.37</v>
      </c>
      <c r="DE265" s="255">
        <v>-2661.15</v>
      </c>
      <c r="DF265" s="255">
        <v>-3013.91</v>
      </c>
      <c r="DG265" s="255">
        <f>SUM(TBBP[[#This Row],[Coluna287]:[Coluna298]])</f>
        <v>-59563.61</v>
      </c>
      <c r="DH265" s="255">
        <v>-3313.35</v>
      </c>
      <c r="DI265" s="255">
        <v>-2948.43</v>
      </c>
      <c r="DJ265" s="255">
        <v>-3222.1</v>
      </c>
      <c r="DK265" s="255">
        <v>-3550.25</v>
      </c>
      <c r="DL265" s="255">
        <v>-3479.1</v>
      </c>
      <c r="DM265" s="255">
        <v>-2691.33</v>
      </c>
      <c r="DP265" s="30">
        <f>IF(OR(MID(TBBP[[#This Row],[Coluna1]],1,1)="1",MID(TBBP[[#This Row],[Coluna1]],1,1)="2"),"-",SUMIFS(265:265,listaPeriodos,$DR$1,listaPeriodos,$DR$2))</f>
        <v>-19204.559999999998</v>
      </c>
      <c r="DQ265" s="30"/>
      <c r="DR265" s="30">
        <f t="shared" si="180"/>
        <v>0</v>
      </c>
      <c r="DS265" s="30"/>
      <c r="DT265" s="30"/>
      <c r="DU265"/>
    </row>
    <row r="266" spans="1:125" x14ac:dyDescent="0.3">
      <c r="A266" s="7" t="s">
        <v>451</v>
      </c>
      <c r="B266" t="s">
        <v>583</v>
      </c>
      <c r="C266" s="4">
        <v>0</v>
      </c>
      <c r="D266" s="4">
        <v>0</v>
      </c>
      <c r="E266" s="4">
        <v>0</v>
      </c>
      <c r="F266" s="4">
        <v>0</v>
      </c>
      <c r="G266" s="4">
        <v>-11516.95</v>
      </c>
      <c r="H266" s="4">
        <v>0</v>
      </c>
      <c r="I266" s="4">
        <v>-452.09</v>
      </c>
      <c r="J266" s="4">
        <v>-473.28</v>
      </c>
      <c r="K266" s="4">
        <v>-604.84</v>
      </c>
      <c r="L266" s="4">
        <v>-257.63</v>
      </c>
      <c r="M266" s="4">
        <v>-509.55</v>
      </c>
      <c r="N266" s="4">
        <v>-2402.62</v>
      </c>
      <c r="O266" s="4">
        <v>-1167.1300000000001</v>
      </c>
      <c r="P266" s="4">
        <v>-423.23</v>
      </c>
      <c r="Q266" s="4">
        <v>-433.75</v>
      </c>
      <c r="R266" s="4">
        <v>-918.32</v>
      </c>
      <c r="S266" s="4">
        <v>-3594.42</v>
      </c>
      <c r="T266" s="4">
        <f>IF(OR(MID(TBBP[[#This Row],[Coluna1]],1,1)="1",MID(TBBP[[#This Row],[Coluna1]],1,1)="2"),TBBP[[#This Row],[Coluna19]],SUM(H266:S266))</f>
        <v>-11236.86</v>
      </c>
      <c r="U266" s="4">
        <v>-651.75</v>
      </c>
      <c r="V266" s="4">
        <v>-632.29999999999995</v>
      </c>
      <c r="W266" s="4">
        <v>-920.19</v>
      </c>
      <c r="X266" s="4">
        <v>-693.8</v>
      </c>
      <c r="Y266" s="4">
        <v>-2941.99</v>
      </c>
      <c r="Z266" s="4">
        <v>-257.85000000000002</v>
      </c>
      <c r="AA266" s="4">
        <v>-681.34</v>
      </c>
      <c r="AB266" s="4">
        <v>-871.59</v>
      </c>
      <c r="AC266" s="4">
        <v>-794.34</v>
      </c>
      <c r="AD266" s="4">
        <v>-45.85</v>
      </c>
      <c r="AE266" s="4">
        <v>-493.55</v>
      </c>
      <c r="AF266" s="4">
        <v>-326.61</v>
      </c>
      <c r="AG266" s="4">
        <f>IF(OR(MID(TBBP[[#This Row],[Coluna1]],1,1)="1",MID(TBBP[[#This Row],[Coluna1]],1,1)="2"),TBBP[[#This Row],[Coluna32]],SUM(U266:AF266))</f>
        <v>-9311.16</v>
      </c>
      <c r="AH266" s="4">
        <v>-4013.51</v>
      </c>
      <c r="AI266" s="4">
        <v>-594.14</v>
      </c>
      <c r="AJ266" s="4">
        <v>-313.7</v>
      </c>
      <c r="AK266" s="4">
        <v>-546.02</v>
      </c>
      <c r="AL266" s="4">
        <v>-45</v>
      </c>
      <c r="AM266" s="4">
        <v>-419.6</v>
      </c>
      <c r="AN266" s="4">
        <v>-807.01</v>
      </c>
      <c r="AO266" s="4">
        <v>-889.53</v>
      </c>
      <c r="AP266" s="4">
        <v>-899.95</v>
      </c>
      <c r="AQ266" s="4">
        <v>-646.11</v>
      </c>
      <c r="AR266" s="4">
        <v>-4222.09</v>
      </c>
      <c r="AS266" s="4">
        <v>-5741.35</v>
      </c>
      <c r="AT266" s="4">
        <f>IF(OR(MID(TBBP[[#This Row],[Coluna1]],1,1)="1",MID(TBBP[[#This Row],[Coluna1]],1,1)="2"),TBBP[[#This Row],[Coluna45]],SUM(AH266:AS266))</f>
        <v>-19138.010000000002</v>
      </c>
      <c r="AU266" s="4">
        <v>-4014.89</v>
      </c>
      <c r="AV266" s="4">
        <v>-1353.63</v>
      </c>
      <c r="AW266" s="4">
        <v>-2260.16</v>
      </c>
      <c r="AX266" s="4">
        <v>-1745.75</v>
      </c>
      <c r="AY266" s="4">
        <v>-4757.84</v>
      </c>
      <c r="AZ266" s="4">
        <v>-3238.83</v>
      </c>
      <c r="BA266" s="4">
        <v>-2142.96</v>
      </c>
      <c r="BB266" s="4">
        <v>-2568.9299999999998</v>
      </c>
      <c r="BC266" s="4">
        <v>-5372.87</v>
      </c>
      <c r="BD266" s="4">
        <v>-4780.95</v>
      </c>
      <c r="BE266" s="4">
        <v>-3506.73</v>
      </c>
      <c r="BF266" s="4">
        <v>-9535.24</v>
      </c>
      <c r="BG266" s="4">
        <f>IF(OR(MID(TBBP[[#This Row],[Coluna1]],1,1)="1",MID(TBBP[[#This Row],[Coluna1]],1,1)="2"),TBBP[[#This Row],[Coluna58]],SUM(AU266:BF266))</f>
        <v>-45278.78</v>
      </c>
      <c r="BH266" s="4">
        <v>-1590.83</v>
      </c>
      <c r="BI266" s="4">
        <v>-2439.52</v>
      </c>
      <c r="BJ266" s="4">
        <v>-1730.69</v>
      </c>
      <c r="BK266" s="4">
        <v>-3629.65</v>
      </c>
      <c r="BL266" s="4">
        <v>-1400.45</v>
      </c>
      <c r="BM266" s="4">
        <v>-7388.25</v>
      </c>
      <c r="BN266" s="4">
        <v>-8121.61</v>
      </c>
      <c r="BO266" s="4">
        <v>-7071.69</v>
      </c>
      <c r="BP266" s="4">
        <v>-12964.12</v>
      </c>
      <c r="BQ266" s="4">
        <v>-7384.29</v>
      </c>
      <c r="BR266" s="4">
        <v>-4506.6499999999996</v>
      </c>
      <c r="BS266" s="4">
        <v>-4627.4799999999996</v>
      </c>
      <c r="BT266" s="4">
        <f>IF(OR(MID(TBBP[[#This Row],[Coluna1]],1,1)="1",MID(TBBP[[#This Row],[Coluna1]],1,1)="2"),TBBP[[#This Row],[Coluna127]],SUM(BH266:BS266))</f>
        <v>-62855.23000000001</v>
      </c>
      <c r="BU266" s="4">
        <v>-1557.4</v>
      </c>
      <c r="BV266" s="4">
        <v>-1321.81</v>
      </c>
      <c r="BW266" s="4">
        <v>-4985.0200000000004</v>
      </c>
      <c r="BX266" s="4">
        <v>-682.19</v>
      </c>
      <c r="BY266" s="4">
        <v>-3946.03</v>
      </c>
      <c r="BZ266" s="4">
        <v>-1050.0999999999999</v>
      </c>
      <c r="CA266" s="4">
        <v>-2939.82</v>
      </c>
      <c r="CB266" s="4">
        <v>-7748.29</v>
      </c>
      <c r="CC266" s="4">
        <v>-12594.64</v>
      </c>
      <c r="CD266" s="4">
        <v>-8118.13</v>
      </c>
      <c r="CE266" s="4">
        <v>-2820.4</v>
      </c>
      <c r="CF266" s="4">
        <v>-1962.08</v>
      </c>
      <c r="CG266" s="4">
        <f>IF(OR(MID(TBBP[[#This Row],[Coluna1]],1,1)="1",MID(TBBP[[#This Row],[Coluna1]],1,1)="2"),CF266,SUM(BU266:CF266))</f>
        <v>-49725.91</v>
      </c>
      <c r="CH266" s="4">
        <v>-5854.63</v>
      </c>
      <c r="CI266" s="4">
        <v>-2790.92</v>
      </c>
      <c r="CJ266" s="4">
        <v>-7870.47</v>
      </c>
      <c r="CK266" s="4">
        <v>-2892.64</v>
      </c>
      <c r="CL266" s="4">
        <v>-2780.84</v>
      </c>
      <c r="CM266" s="4">
        <v>-6439</v>
      </c>
      <c r="CN266" s="4">
        <v>-7181.74</v>
      </c>
      <c r="CO266" s="4">
        <v>-8774.1200000000008</v>
      </c>
      <c r="CP266" s="4">
        <v>-1653.5</v>
      </c>
      <c r="CQ266" s="4">
        <v>-2731.48</v>
      </c>
      <c r="CR266" s="4">
        <v>-2629.81</v>
      </c>
      <c r="CS266" s="4">
        <v>-1757.51</v>
      </c>
      <c r="CT266" s="4">
        <f>IF(OR(MID(TBBP[[#This Row],[Coluna1]],1,1)="1",MID(TBBP[[#This Row],[Coluna1]],1,1)="2"),CS266,SUM(CH266:CS266))</f>
        <v>-53356.66</v>
      </c>
      <c r="CU266" s="255">
        <v>-3097.76</v>
      </c>
      <c r="CV266" s="255">
        <v>-2668.6</v>
      </c>
      <c r="CW266" s="255">
        <v>-6651.89</v>
      </c>
      <c r="CX266" s="255">
        <v>-4785.7</v>
      </c>
      <c r="CY266" s="255">
        <v>-2076.8200000000002</v>
      </c>
      <c r="CZ266" s="255">
        <v>-3644.12</v>
      </c>
      <c r="DA266" s="255">
        <v>-3394.42</v>
      </c>
      <c r="DB266" s="255">
        <v>-3197.3</v>
      </c>
      <c r="DC266" s="255">
        <v>-2851.59</v>
      </c>
      <c r="DD266" s="255">
        <v>-10757.8</v>
      </c>
      <c r="DE266" s="255">
        <v>-2500.86</v>
      </c>
      <c r="DF266" s="255">
        <v>-1583.34</v>
      </c>
      <c r="DG266" s="255">
        <f>SUM(TBBP[[#This Row],[Coluna287]:[Coluna298]])</f>
        <v>-47210.2</v>
      </c>
      <c r="DH266" s="255">
        <v>-4732.58</v>
      </c>
      <c r="DI266" s="255">
        <v>-2714.9</v>
      </c>
      <c r="DJ266" s="255">
        <v>-4401.1000000000004</v>
      </c>
      <c r="DK266" s="255">
        <v>-5397.58</v>
      </c>
      <c r="DL266" s="255">
        <v>-5013.25</v>
      </c>
      <c r="DM266" s="255">
        <v>-7877.34</v>
      </c>
      <c r="DO266" t="s">
        <v>451</v>
      </c>
      <c r="DP266" s="30">
        <f>IF(OR(MID(TBBP[[#This Row],[Coluna1]],1,1)="1",MID(TBBP[[#This Row],[Coluna1]],1,1)="2"),"-",SUMIFS(266:266,listaPeriodos,$DR$1,listaPeriodos,$DR$2))</f>
        <v>-30136.75</v>
      </c>
      <c r="DQ266" s="30">
        <v>-4162.88</v>
      </c>
      <c r="DR266" s="30">
        <f t="shared" si="180"/>
        <v>-24977.279999999999</v>
      </c>
      <c r="DS266" s="30"/>
      <c r="DT266" s="30"/>
      <c r="DU266"/>
    </row>
    <row r="267" spans="1:125" x14ac:dyDescent="0.3">
      <c r="A267" s="7" t="s">
        <v>452</v>
      </c>
      <c r="B267" t="s">
        <v>584</v>
      </c>
      <c r="C267" s="4">
        <v>0</v>
      </c>
      <c r="D267" s="4">
        <v>0</v>
      </c>
      <c r="E267" s="4">
        <v>0</v>
      </c>
      <c r="F267" s="4">
        <v>0</v>
      </c>
      <c r="G267" s="4">
        <v>-198.3</v>
      </c>
      <c r="H267" s="4">
        <v>0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f>IF(OR(MID(TBBP[[#This Row],[Coluna1]],1,1)="1",MID(TBBP[[#This Row],[Coluna1]],1,1)="2"),TBBP[[#This Row],[Coluna19]],SUM(H267:S267))</f>
        <v>0</v>
      </c>
      <c r="U267" s="4">
        <v>0</v>
      </c>
      <c r="V267" s="4">
        <v>0</v>
      </c>
      <c r="W267" s="4">
        <v>0</v>
      </c>
      <c r="X267" s="4">
        <v>0</v>
      </c>
      <c r="Y267" s="4">
        <v>-29</v>
      </c>
      <c r="Z267" s="4">
        <v>-344.07</v>
      </c>
      <c r="AA267" s="4">
        <v>-598.57000000000005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f>IF(OR(MID(TBBP[[#This Row],[Coluna1]],1,1)="1",MID(TBBP[[#This Row],[Coluna1]],1,1)="2"),TBBP[[#This Row],[Coluna32]],SUM(U267:AF267))</f>
        <v>-971.6400000000001</v>
      </c>
      <c r="AH267" s="4">
        <v>0</v>
      </c>
      <c r="AI267" s="4">
        <v>-10</v>
      </c>
      <c r="AJ267" s="4">
        <v>-315.47000000000003</v>
      </c>
      <c r="AK267" s="4">
        <v>-12</v>
      </c>
      <c r="AL267" s="4">
        <v>0</v>
      </c>
      <c r="AM267" s="4">
        <v>0</v>
      </c>
      <c r="AN267" s="4">
        <v>-278</v>
      </c>
      <c r="AO267" s="4">
        <v>0</v>
      </c>
      <c r="AP267" s="4">
        <v>0</v>
      </c>
      <c r="AQ267" s="4">
        <v>0</v>
      </c>
      <c r="AR267" s="4">
        <v>-249.98</v>
      </c>
      <c r="AS267" s="4">
        <v>-830.51</v>
      </c>
      <c r="AT267" s="4">
        <f>IF(OR(MID(TBBP[[#This Row],[Coluna1]],1,1)="1",MID(TBBP[[#This Row],[Coluna1]],1,1)="2"),TBBP[[#This Row],[Coluna45]],SUM(AH267:AS267))</f>
        <v>-1695.96</v>
      </c>
      <c r="AU267" s="4">
        <v>-98</v>
      </c>
      <c r="AV267" s="4">
        <v>-48</v>
      </c>
      <c r="AW267" s="4">
        <v>0</v>
      </c>
      <c r="AX267" s="4">
        <v>0</v>
      </c>
      <c r="AY267" s="4">
        <v>-1796</v>
      </c>
      <c r="AZ267" s="4">
        <v>-180</v>
      </c>
      <c r="BA267" s="4">
        <v>-159</v>
      </c>
      <c r="BB267" s="4">
        <v>0</v>
      </c>
      <c r="BC267" s="4">
        <v>-40</v>
      </c>
      <c r="BD267" s="4">
        <v>0</v>
      </c>
      <c r="BE267" s="4">
        <v>-1333</v>
      </c>
      <c r="BF267" s="4">
        <v>0</v>
      </c>
      <c r="BG267" s="4">
        <f>IF(OR(MID(TBBP[[#This Row],[Coluna1]],1,1)="1",MID(TBBP[[#This Row],[Coluna1]],1,1)="2"),TBBP[[#This Row],[Coluna58]],SUM(AU267:BF267))</f>
        <v>-3654</v>
      </c>
      <c r="BH267" s="4">
        <v>0</v>
      </c>
      <c r="BI267" s="4">
        <v>0</v>
      </c>
      <c r="BJ267" s="4">
        <v>0</v>
      </c>
      <c r="BK267" s="4">
        <v>0</v>
      </c>
      <c r="BL267" s="4">
        <v>0</v>
      </c>
      <c r="BM267" s="4">
        <v>0</v>
      </c>
      <c r="BN267" s="4">
        <v>0</v>
      </c>
      <c r="BO267" s="4">
        <v>-520.79999999999995</v>
      </c>
      <c r="BP267" s="4">
        <v>-499.77</v>
      </c>
      <c r="BQ267" s="4">
        <v>0</v>
      </c>
      <c r="BR267" s="4">
        <v>0</v>
      </c>
      <c r="BS267" s="4">
        <v>0</v>
      </c>
      <c r="BT267" s="4">
        <f>IF(OR(MID(TBBP[[#This Row],[Coluna1]],1,1)="1",MID(TBBP[[#This Row],[Coluna1]],1,1)="2"),TBBP[[#This Row],[Coluna127]],SUM(BH267:BS267))</f>
        <v>-1020.5699999999999</v>
      </c>
      <c r="BU267" s="4">
        <v>0</v>
      </c>
      <c r="BV267" s="4">
        <v>0</v>
      </c>
      <c r="BW267" s="4">
        <v>-12</v>
      </c>
      <c r="BX267" s="4">
        <v>0</v>
      </c>
      <c r="BY267" s="4">
        <v>-199</v>
      </c>
      <c r="BZ267" s="4">
        <v>-361.32</v>
      </c>
      <c r="CA267" s="4">
        <v>0</v>
      </c>
      <c r="CB267" s="4">
        <v>-195</v>
      </c>
      <c r="CC267" s="4">
        <v>-1014.4</v>
      </c>
      <c r="CD267" s="4">
        <v>0</v>
      </c>
      <c r="CE267" s="4">
        <v>0</v>
      </c>
      <c r="CF267" s="4">
        <v>0</v>
      </c>
      <c r="CG267" s="4">
        <f>IF(OR(MID(TBBP[[#This Row],[Coluna1]],1,1)="1",MID(TBBP[[#This Row],[Coluna1]],1,1)="2"),CF267,SUM(BU267:CF267))</f>
        <v>-1781.7199999999998</v>
      </c>
      <c r="CH267" s="4">
        <v>-79.900000000000006</v>
      </c>
      <c r="CI267" s="4">
        <v>0</v>
      </c>
      <c r="CJ267" s="4">
        <v>-102.69</v>
      </c>
      <c r="CK267" s="4">
        <v>-1484.83</v>
      </c>
      <c r="CL267" s="4">
        <v>-35</v>
      </c>
      <c r="CM267" s="4">
        <v>-46.9</v>
      </c>
      <c r="CN267" s="4">
        <v>0</v>
      </c>
      <c r="CO267" s="4">
        <v>0</v>
      </c>
      <c r="CP267" s="4">
        <v>0</v>
      </c>
      <c r="CQ267" s="4">
        <v>-139</v>
      </c>
      <c r="CR267" s="4">
        <v>-1776.66</v>
      </c>
      <c r="CS267" s="4">
        <v>-889</v>
      </c>
      <c r="CT267" s="4">
        <f>IF(OR(MID(TBBP[[#This Row],[Coluna1]],1,1)="1",MID(TBBP[[#This Row],[Coluna1]],1,1)="2"),CS267,SUM(CH267:CS267))</f>
        <v>-4553.9799999999996</v>
      </c>
      <c r="CU267" s="255">
        <v>-732.64</v>
      </c>
      <c r="CV267" s="255">
        <v>0</v>
      </c>
      <c r="CW267" s="255">
        <v>-1156.6500000000001</v>
      </c>
      <c r="CX267" s="255">
        <v>-34.880000000000003</v>
      </c>
      <c r="CY267" s="255">
        <v>0</v>
      </c>
      <c r="CZ267" s="255">
        <v>0</v>
      </c>
      <c r="DA267" s="255">
        <v>0</v>
      </c>
      <c r="DB267" s="255">
        <v>0</v>
      </c>
      <c r="DC267" s="255">
        <v>0</v>
      </c>
      <c r="DD267" s="255">
        <v>0</v>
      </c>
      <c r="DE267" s="255">
        <v>0</v>
      </c>
      <c r="DF267" s="255">
        <v>0</v>
      </c>
      <c r="DG267" s="255">
        <f>SUM(TBBP[[#This Row],[Coluna287]:[Coluna298]])</f>
        <v>-1924.17</v>
      </c>
      <c r="DH267" s="255">
        <v>157.6</v>
      </c>
      <c r="DI267" s="255">
        <v>0</v>
      </c>
      <c r="DJ267" s="255">
        <v>0</v>
      </c>
      <c r="DK267" s="255">
        <v>-1035.72</v>
      </c>
      <c r="DL267" s="255">
        <v>0</v>
      </c>
      <c r="DM267" s="255">
        <v>-115.89</v>
      </c>
      <c r="DP267" s="30">
        <f>IF(OR(MID(TBBP[[#This Row],[Coluna1]],1,1)="1",MID(TBBP[[#This Row],[Coluna1]],1,1)="2"),"-",SUMIFS(267:267,listaPeriodos,$DR$1,listaPeriodos,$DR$2))</f>
        <v>-994.01</v>
      </c>
      <c r="DQ267" s="30"/>
      <c r="DR267" s="30">
        <f t="shared" si="180"/>
        <v>0</v>
      </c>
      <c r="DS267" s="30"/>
      <c r="DT267" s="30"/>
      <c r="DU267"/>
    </row>
    <row r="268" spans="1:125" x14ac:dyDescent="0.3">
      <c r="A268" s="7" t="s">
        <v>453</v>
      </c>
      <c r="B268" t="s">
        <v>585</v>
      </c>
      <c r="C268" s="4">
        <v>0</v>
      </c>
      <c r="D268" s="4">
        <v>0</v>
      </c>
      <c r="E268" s="4">
        <v>0</v>
      </c>
      <c r="F268" s="4">
        <v>0</v>
      </c>
      <c r="G268" s="4">
        <v>-2802.25</v>
      </c>
      <c r="H268" s="4">
        <v>0</v>
      </c>
      <c r="I268" s="4">
        <v>0</v>
      </c>
      <c r="J268" s="4">
        <v>0</v>
      </c>
      <c r="K268" s="4">
        <v>0</v>
      </c>
      <c r="L268" s="4">
        <v>-42.42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f>IF(OR(MID(TBBP[[#This Row],[Coluna1]],1,1)="1",MID(TBBP[[#This Row],[Coluna1]],1,1)="2"),TBBP[[#This Row],[Coluna19]],SUM(H268:S268))</f>
        <v>-42.42</v>
      </c>
      <c r="U268" s="4">
        <v>0</v>
      </c>
      <c r="V268" s="4">
        <v>-22</v>
      </c>
      <c r="W268" s="4">
        <v>0</v>
      </c>
      <c r="X268" s="4">
        <v>0</v>
      </c>
      <c r="Y268" s="4">
        <v>-244.64</v>
      </c>
      <c r="Z268" s="4">
        <v>0</v>
      </c>
      <c r="AA268" s="4">
        <v>0</v>
      </c>
      <c r="AB268" s="4">
        <v>-106</v>
      </c>
      <c r="AC268" s="4">
        <v>0</v>
      </c>
      <c r="AD268" s="4">
        <v>0</v>
      </c>
      <c r="AE268" s="4">
        <v>-46.5</v>
      </c>
      <c r="AF268" s="4">
        <v>0</v>
      </c>
      <c r="AG268" s="4">
        <f>IF(OR(MID(TBBP[[#This Row],[Coluna1]],1,1)="1",MID(TBBP[[#This Row],[Coluna1]],1,1)="2"),TBBP[[#This Row],[Coluna32]],SUM(U268:AF268))</f>
        <v>-419.14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0</v>
      </c>
      <c r="AT268" s="4">
        <f>IF(OR(MID(TBBP[[#This Row],[Coluna1]],1,1)="1",MID(TBBP[[#This Row],[Coluna1]],1,1)="2"),TBBP[[#This Row],[Coluna45]],SUM(AH268:AS268))</f>
        <v>0</v>
      </c>
      <c r="AU268" s="4">
        <v>0</v>
      </c>
      <c r="AV268" s="4">
        <v>0</v>
      </c>
      <c r="AW268" s="4">
        <v>0</v>
      </c>
      <c r="AX268" s="4">
        <v>-173.7</v>
      </c>
      <c r="AY268" s="4">
        <v>-82.35</v>
      </c>
      <c r="AZ268" s="4">
        <v>-37.68</v>
      </c>
      <c r="BA268" s="4">
        <v>0</v>
      </c>
      <c r="BB268" s="4">
        <v>0</v>
      </c>
      <c r="BC268" s="4">
        <v>0</v>
      </c>
      <c r="BD268" s="4">
        <v>0</v>
      </c>
      <c r="BE268" s="4">
        <v>0</v>
      </c>
      <c r="BF268" s="4">
        <v>0</v>
      </c>
      <c r="BG268" s="4">
        <f>IF(OR(MID(TBBP[[#This Row],[Coluna1]],1,1)="1",MID(TBBP[[#This Row],[Coluna1]],1,1)="2"),TBBP[[#This Row],[Coluna58]],SUM(AU268:BF268))</f>
        <v>-293.72999999999996</v>
      </c>
      <c r="BH268" s="4">
        <v>-149.97999999999999</v>
      </c>
      <c r="BI268" s="4">
        <v>0</v>
      </c>
      <c r="BJ268" s="4">
        <v>0</v>
      </c>
      <c r="BK268" s="4">
        <v>0</v>
      </c>
      <c r="BL268" s="4">
        <v>0</v>
      </c>
      <c r="BM268" s="4">
        <v>-1305.45</v>
      </c>
      <c r="BN268" s="4">
        <v>0</v>
      </c>
      <c r="BO268" s="4">
        <v>-530.28</v>
      </c>
      <c r="BP268" s="4">
        <v>0</v>
      </c>
      <c r="BQ268" s="4">
        <v>0</v>
      </c>
      <c r="BR268" s="4">
        <v>0</v>
      </c>
      <c r="BS268" s="4">
        <v>0</v>
      </c>
      <c r="BT268" s="4">
        <f>IF(OR(MID(TBBP[[#This Row],[Coluna1]],1,1)="1",MID(TBBP[[#This Row],[Coluna1]],1,1)="2"),TBBP[[#This Row],[Coluna127]],SUM(BH268:BS268))</f>
        <v>-1985.71</v>
      </c>
      <c r="BU268" s="4">
        <v>0</v>
      </c>
      <c r="BV268" s="4">
        <v>0</v>
      </c>
      <c r="BW268" s="4">
        <v>0</v>
      </c>
      <c r="BX268" s="4">
        <v>0</v>
      </c>
      <c r="BY268" s="4">
        <v>0</v>
      </c>
      <c r="BZ268" s="4">
        <v>0</v>
      </c>
      <c r="CA268" s="4">
        <v>0</v>
      </c>
      <c r="CB268" s="4">
        <v>0</v>
      </c>
      <c r="CC268" s="4">
        <v>0</v>
      </c>
      <c r="CD268" s="4">
        <v>0</v>
      </c>
      <c r="CE268" s="4">
        <v>0</v>
      </c>
      <c r="CF268" s="4">
        <v>0</v>
      </c>
      <c r="CG268" s="4">
        <f>IF(OR(MID(TBBP[[#This Row],[Coluna1]],1,1)="1",MID(TBBP[[#This Row],[Coluna1]],1,1)="2"),CF268,SUM(BU268:CF268))</f>
        <v>0</v>
      </c>
      <c r="CH268" s="4">
        <v>0</v>
      </c>
      <c r="CI268" s="4">
        <v>0</v>
      </c>
      <c r="CJ268" s="4">
        <v>0</v>
      </c>
      <c r="CK268" s="4" t="s">
        <v>1134</v>
      </c>
      <c r="CL268" s="4">
        <v>0</v>
      </c>
      <c r="CM268" s="4" t="s">
        <v>1134</v>
      </c>
      <c r="CN268" s="4">
        <v>0</v>
      </c>
      <c r="CO268" s="4">
        <v>0</v>
      </c>
      <c r="CP268" s="4">
        <v>0</v>
      </c>
      <c r="CQ268" s="4" t="s">
        <v>1134</v>
      </c>
      <c r="CR268" s="4" t="s">
        <v>1134</v>
      </c>
      <c r="CS268" s="4" t="s">
        <v>1134</v>
      </c>
      <c r="CT268" s="4">
        <f>IF(OR(MID(TBBP[[#This Row],[Coluna1]],1,1)="1",MID(TBBP[[#This Row],[Coluna1]],1,1)="2"),CS268,SUM(CH268:CS268))</f>
        <v>0</v>
      </c>
      <c r="CU268" s="255">
        <v>0</v>
      </c>
      <c r="CV268" s="255">
        <v>0</v>
      </c>
      <c r="CW268" s="255">
        <v>0</v>
      </c>
      <c r="CX268" s="255">
        <v>0</v>
      </c>
      <c r="CY268" s="255">
        <v>0</v>
      </c>
      <c r="CZ268" s="255">
        <v>0</v>
      </c>
      <c r="DA268" s="255">
        <v>0</v>
      </c>
      <c r="DB268" s="255">
        <v>0</v>
      </c>
      <c r="DC268" s="255">
        <v>0</v>
      </c>
      <c r="DD268" s="255">
        <v>0</v>
      </c>
      <c r="DE268" s="255"/>
      <c r="DF268" s="255">
        <v>0</v>
      </c>
      <c r="DG268" s="255">
        <f>SUM(TBBP[[#This Row],[Coluna287]:[Coluna298]])</f>
        <v>0</v>
      </c>
      <c r="DH268" s="255">
        <v>0</v>
      </c>
      <c r="DI268" s="255">
        <v>0</v>
      </c>
      <c r="DJ268" s="255">
        <v>0</v>
      </c>
      <c r="DK268" s="255">
        <v>0</v>
      </c>
      <c r="DL268" s="255">
        <v>0</v>
      </c>
      <c r="DM268" s="255">
        <v>0</v>
      </c>
      <c r="DP268" s="30">
        <f>IF(OR(MID(TBBP[[#This Row],[Coluna1]],1,1)="1",MID(TBBP[[#This Row],[Coluna1]],1,1)="2"),"-",SUMIFS(268:268,listaPeriodos,$DR$1,listaPeriodos,$DR$2))</f>
        <v>0</v>
      </c>
      <c r="DQ268" s="30"/>
      <c r="DR268" s="30">
        <f t="shared" ref="DR268:DR303" si="181">DQ268*$DS$1</f>
        <v>0</v>
      </c>
      <c r="DS268" s="30"/>
      <c r="DT268" s="30"/>
      <c r="DU268"/>
    </row>
    <row r="269" spans="1:125" x14ac:dyDescent="0.3">
      <c r="A269" s="7" t="s">
        <v>454</v>
      </c>
      <c r="B269" t="s">
        <v>511</v>
      </c>
      <c r="C269" s="4">
        <v>0</v>
      </c>
      <c r="D269" s="4">
        <v>0</v>
      </c>
      <c r="E269" s="4">
        <v>0</v>
      </c>
      <c r="F269" s="4">
        <v>0</v>
      </c>
      <c r="G269" s="4">
        <v>-15418.27</v>
      </c>
      <c r="H269" s="4">
        <v>-511.25</v>
      </c>
      <c r="I269" s="4">
        <v>-567.1</v>
      </c>
      <c r="J269" s="4">
        <v>-3348.49</v>
      </c>
      <c r="K269" s="4">
        <v>-520.91</v>
      </c>
      <c r="L269" s="4">
        <v>-1432.65</v>
      </c>
      <c r="M269" s="4">
        <v>-3250.38</v>
      </c>
      <c r="N269" s="4">
        <v>-1024.6199999999999</v>
      </c>
      <c r="O269" s="4">
        <v>-1156.8699999999999</v>
      </c>
      <c r="P269" s="4">
        <v>-1835.58</v>
      </c>
      <c r="Q269" s="4">
        <v>-1766.33</v>
      </c>
      <c r="R269" s="4">
        <v>-4735.92</v>
      </c>
      <c r="S269" s="4">
        <v>-687.13</v>
      </c>
      <c r="T269" s="4">
        <f>IF(OR(MID(TBBP[[#This Row],[Coluna1]],1,1)="1",MID(TBBP[[#This Row],[Coluna1]],1,1)="2"),TBBP[[#This Row],[Coluna19]],SUM(H269:S269))</f>
        <v>-20837.23</v>
      </c>
      <c r="U269" s="4">
        <v>-2274.6799999999998</v>
      </c>
      <c r="V269" s="4">
        <v>-1999.34</v>
      </c>
      <c r="W269" s="4">
        <v>-4578.3999999999996</v>
      </c>
      <c r="X269" s="4">
        <v>-1142.78</v>
      </c>
      <c r="Y269" s="4">
        <v>-640.58000000000004</v>
      </c>
      <c r="Z269" s="4">
        <v>-531.20000000000005</v>
      </c>
      <c r="AA269" s="4">
        <v>-617.49</v>
      </c>
      <c r="AB269" s="4">
        <v>-1168.3800000000001</v>
      </c>
      <c r="AC269" s="4">
        <v>-419.89</v>
      </c>
      <c r="AD269" s="4">
        <v>-1056.42</v>
      </c>
      <c r="AE269" s="4">
        <v>-472.54</v>
      </c>
      <c r="AF269" s="4">
        <v>-3183.59</v>
      </c>
      <c r="AG269" s="4">
        <f>IF(OR(MID(TBBP[[#This Row],[Coluna1]],1,1)="1",MID(TBBP[[#This Row],[Coluna1]],1,1)="2"),TBBP[[#This Row],[Coluna32]],SUM(U269:AF269))</f>
        <v>-18085.29</v>
      </c>
      <c r="AH269" s="4">
        <v>-458.34</v>
      </c>
      <c r="AI269" s="4">
        <v>1921.8700000000001</v>
      </c>
      <c r="AJ269" s="4">
        <v>-256.68</v>
      </c>
      <c r="AK269" s="4">
        <v>-249.07</v>
      </c>
      <c r="AL269" s="4">
        <v>-469.14</v>
      </c>
      <c r="AM269" s="4">
        <v>-458.21</v>
      </c>
      <c r="AN269" s="4">
        <v>-501.81</v>
      </c>
      <c r="AO269" s="4">
        <v>-504.58</v>
      </c>
      <c r="AP269" s="4">
        <v>-475.13</v>
      </c>
      <c r="AQ269" s="4">
        <v>-566.39</v>
      </c>
      <c r="AR269" s="4">
        <v>-564.83000000000004</v>
      </c>
      <c r="AS269" s="4">
        <v>-915.39</v>
      </c>
      <c r="AT269" s="4">
        <f>IF(OR(MID(TBBP[[#This Row],[Coluna1]],1,1)="1",MID(TBBP[[#This Row],[Coluna1]],1,1)="2"),TBBP[[#This Row],[Coluna45]],SUM(AH269:AS269))</f>
        <v>-3497.6999999999994</v>
      </c>
      <c r="AU269" s="4">
        <v>-562.59</v>
      </c>
      <c r="AV269" s="4">
        <v>-1823.58</v>
      </c>
      <c r="AW269" s="4">
        <v>-968.51</v>
      </c>
      <c r="AX269" s="4">
        <v>-1885.41</v>
      </c>
      <c r="AY269" s="4">
        <v>-1460.53</v>
      </c>
      <c r="AZ269" s="4">
        <v>-1301.8499999999999</v>
      </c>
      <c r="BA269" s="4">
        <v>-2080.92</v>
      </c>
      <c r="BB269" s="4">
        <v>-3008.09</v>
      </c>
      <c r="BC269" s="4">
        <v>-5811.16</v>
      </c>
      <c r="BD269" s="4">
        <v>-3996.12</v>
      </c>
      <c r="BE269" s="4">
        <v>-6739.93</v>
      </c>
      <c r="BF269" s="4">
        <v>-10430.65</v>
      </c>
      <c r="BG269" s="4">
        <f>IF(OR(MID(TBBP[[#This Row],[Coluna1]],1,1)="1",MID(TBBP[[#This Row],[Coluna1]],1,1)="2"),TBBP[[#This Row],[Coluna58]],SUM(AU269:BF269))</f>
        <v>-40069.339999999997</v>
      </c>
      <c r="BH269" s="4">
        <v>-2305.59</v>
      </c>
      <c r="BI269" s="4">
        <v>-1503.84</v>
      </c>
      <c r="BJ269" s="4">
        <v>-3108.23</v>
      </c>
      <c r="BK269" s="4">
        <v>-4015.51</v>
      </c>
      <c r="BL269" s="4">
        <v>-2930.59</v>
      </c>
      <c r="BM269" s="4">
        <v>-3333.95</v>
      </c>
      <c r="BN269" s="4">
        <v>-2732.45</v>
      </c>
      <c r="BO269" s="4">
        <v>-4904.76</v>
      </c>
      <c r="BP269" s="4">
        <v>-11578.82</v>
      </c>
      <c r="BQ269" s="4">
        <v>-7248.23</v>
      </c>
      <c r="BR269" s="4">
        <v>-2399.46</v>
      </c>
      <c r="BS269" s="4">
        <v>-2327.62</v>
      </c>
      <c r="BT269" s="4">
        <f>IF(OR(MID(TBBP[[#This Row],[Coluna1]],1,1)="1",MID(TBBP[[#This Row],[Coluna1]],1,1)="2"),TBBP[[#This Row],[Coluna127]],SUM(BH269:BS269))</f>
        <v>-48389.05</v>
      </c>
      <c r="BU269" s="4">
        <v>-4287.07</v>
      </c>
      <c r="BV269" s="4">
        <v>-3547.58</v>
      </c>
      <c r="BW269" s="4">
        <v>-3413.34</v>
      </c>
      <c r="BX269" s="4">
        <v>-2217.66</v>
      </c>
      <c r="BY269" s="4">
        <v>-6859.48</v>
      </c>
      <c r="BZ269" s="4">
        <v>-3771.67</v>
      </c>
      <c r="CA269" s="4">
        <v>-2855.27</v>
      </c>
      <c r="CB269" s="4">
        <v>-3890.16</v>
      </c>
      <c r="CC269" s="4">
        <v>-19531.32</v>
      </c>
      <c r="CD269" s="4">
        <v>-3056.63</v>
      </c>
      <c r="CE269" s="4">
        <v>-3360.82</v>
      </c>
      <c r="CF269" s="4">
        <v>-5302.96</v>
      </c>
      <c r="CG269" s="4">
        <f>IF(OR(MID(TBBP[[#This Row],[Coluna1]],1,1)="1",MID(TBBP[[#This Row],[Coluna1]],1,1)="2"),CF269,SUM(BU269:CF269))</f>
        <v>-62093.959999999992</v>
      </c>
      <c r="CH269" s="4">
        <v>-4249.92</v>
      </c>
      <c r="CI269" s="4">
        <v>-3556.51</v>
      </c>
      <c r="CJ269" s="4">
        <v>-13249.86</v>
      </c>
      <c r="CK269" s="4">
        <v>-5057.0600000000004</v>
      </c>
      <c r="CL269" s="4">
        <v>-2066.4499999999998</v>
      </c>
      <c r="CM269" s="4">
        <v>-7180.24</v>
      </c>
      <c r="CN269" s="4">
        <v>-11013.84</v>
      </c>
      <c r="CO269" s="4">
        <v>-6884.81</v>
      </c>
      <c r="CP269" s="4">
        <v>-6860.33</v>
      </c>
      <c r="CQ269" s="4">
        <v>-10342.299999999999</v>
      </c>
      <c r="CR269" s="4">
        <v>-6975.78</v>
      </c>
      <c r="CS269" s="4">
        <v>-3904.18</v>
      </c>
      <c r="CT269" s="4">
        <f>IF(OR(MID(TBBP[[#This Row],[Coluna1]],1,1)="1",MID(TBBP[[#This Row],[Coluna1]],1,1)="2"),CS269,SUM(CH269:CS269))</f>
        <v>-81341.279999999999</v>
      </c>
      <c r="CU269" s="255">
        <v>-7441.99</v>
      </c>
      <c r="CV269" s="255">
        <v>-7742.54</v>
      </c>
      <c r="CW269" s="255">
        <v>-12881.539999999999</v>
      </c>
      <c r="CX269" s="255">
        <v>-7859.68</v>
      </c>
      <c r="CY269" s="255">
        <v>-4813.49</v>
      </c>
      <c r="CZ269" s="255">
        <v>-27388.880000000001</v>
      </c>
      <c r="DA269" s="255">
        <v>-4404.09</v>
      </c>
      <c r="DB269" s="255">
        <v>-5648.73</v>
      </c>
      <c r="DC269" s="255">
        <v>-3467.18</v>
      </c>
      <c r="DD269" s="255">
        <v>-4643.08</v>
      </c>
      <c r="DE269" s="255">
        <v>-3422.76</v>
      </c>
      <c r="DF269" s="255">
        <v>-3207.7</v>
      </c>
      <c r="DG269" s="255">
        <f>SUM(TBBP[[#This Row],[Coluna287]:[Coluna298]])</f>
        <v>-92921.659999999974</v>
      </c>
      <c r="DH269" s="255">
        <v>-3565.2</v>
      </c>
      <c r="DI269" s="255">
        <v>-3495.05</v>
      </c>
      <c r="DJ269" s="255">
        <v>-2794.56</v>
      </c>
      <c r="DK269" s="255">
        <v>-8092.98</v>
      </c>
      <c r="DL269" s="255">
        <v>-6148.5</v>
      </c>
      <c r="DM269" s="255">
        <v>-14728.05</v>
      </c>
      <c r="DO269" t="s">
        <v>454</v>
      </c>
      <c r="DP269" s="30">
        <f>IF(OR(MID(TBBP[[#This Row],[Coluna1]],1,1)="1",MID(TBBP[[#This Row],[Coluna1]],1,1)="2"),"-",SUMIFS(269:269,listaPeriodos,$DR$1,listaPeriodos,$DR$2))</f>
        <v>-38824.339999999997</v>
      </c>
      <c r="DQ269" s="30">
        <v>-3392.85</v>
      </c>
      <c r="DR269" s="30">
        <f t="shared" si="181"/>
        <v>-20357.099999999999</v>
      </c>
      <c r="DS269" s="30"/>
      <c r="DT269" s="30"/>
      <c r="DU269"/>
    </row>
    <row r="270" spans="1:125" x14ac:dyDescent="0.3">
      <c r="A270" s="7" t="s">
        <v>455</v>
      </c>
      <c r="B270" t="s">
        <v>513</v>
      </c>
      <c r="C270" s="4">
        <v>0</v>
      </c>
      <c r="D270" s="4">
        <v>0</v>
      </c>
      <c r="E270" s="4">
        <v>0</v>
      </c>
      <c r="F270" s="4">
        <v>0</v>
      </c>
      <c r="G270" s="4">
        <v>-4566.25</v>
      </c>
      <c r="H270" s="4">
        <v>-357.4</v>
      </c>
      <c r="I270" s="4">
        <v>-565.35</v>
      </c>
      <c r="J270" s="4">
        <v>-539.99</v>
      </c>
      <c r="K270" s="4">
        <v>-505.76</v>
      </c>
      <c r="L270" s="4">
        <v>-579.25</v>
      </c>
      <c r="M270" s="4">
        <v>-816.28</v>
      </c>
      <c r="N270" s="4">
        <v>-1014.12</v>
      </c>
      <c r="O270" s="4">
        <v>-1085.77</v>
      </c>
      <c r="P270" s="4">
        <v>-1110.47</v>
      </c>
      <c r="Q270" s="4">
        <v>-1271.32</v>
      </c>
      <c r="R270" s="4">
        <v>-221.32</v>
      </c>
      <c r="S270" s="4">
        <v>-214.48</v>
      </c>
      <c r="T270" s="4">
        <f>IF(OR(MID(TBBP[[#This Row],[Coluna1]],1,1)="1",MID(TBBP[[#This Row],[Coluna1]],1,1)="2"),TBBP[[#This Row],[Coluna19]],SUM(H270:S270))</f>
        <v>-8281.51</v>
      </c>
      <c r="U270" s="4">
        <v>-704.88</v>
      </c>
      <c r="V270" s="4">
        <v>-1053.32</v>
      </c>
      <c r="W270" s="4">
        <v>-649.4</v>
      </c>
      <c r="X270" s="4">
        <v>-908.54</v>
      </c>
      <c r="Y270" s="4">
        <v>-638.83000000000004</v>
      </c>
      <c r="Z270" s="4">
        <v>-521.70000000000005</v>
      </c>
      <c r="AA270" s="4">
        <v>-423.57</v>
      </c>
      <c r="AB270" s="4">
        <v>-1168.3800000000001</v>
      </c>
      <c r="AC270" s="4">
        <v>-419.89</v>
      </c>
      <c r="AD270" s="4">
        <v>-497.82</v>
      </c>
      <c r="AE270" s="4">
        <v>-455.84</v>
      </c>
      <c r="AF270" s="4">
        <v>-433.99</v>
      </c>
      <c r="AG270" s="4">
        <f>IF(OR(MID(TBBP[[#This Row],[Coluna1]],1,1)="1",MID(TBBP[[#This Row],[Coluna1]],1,1)="2"),TBBP[[#This Row],[Coluna32]],SUM(U270:AF270))</f>
        <v>-7876.16</v>
      </c>
      <c r="AH270" s="4">
        <v>-432.09</v>
      </c>
      <c r="AI270" s="4">
        <v>-433.99</v>
      </c>
      <c r="AJ270" s="4">
        <v>-183.02</v>
      </c>
      <c r="AK270" s="4">
        <v>-249.07</v>
      </c>
      <c r="AL270" s="4">
        <v>-469.14</v>
      </c>
      <c r="AM270" s="4">
        <v>-456.46</v>
      </c>
      <c r="AN270" s="4">
        <v>-456.46</v>
      </c>
      <c r="AO270" s="4">
        <v>-504.58</v>
      </c>
      <c r="AP270" s="4">
        <v>-475.13</v>
      </c>
      <c r="AQ270" s="4">
        <v>-566.39</v>
      </c>
      <c r="AR270" s="4">
        <v>-564.83000000000004</v>
      </c>
      <c r="AS270" s="4">
        <v>-560.35</v>
      </c>
      <c r="AT270" s="4">
        <f>IF(OR(MID(TBBP[[#This Row],[Coluna1]],1,1)="1",MID(TBBP[[#This Row],[Coluna1]],1,1)="2"),TBBP[[#This Row],[Coluna45]],SUM(AH270:AS270))</f>
        <v>-5351.51</v>
      </c>
      <c r="AU270" s="4">
        <v>-562.59</v>
      </c>
      <c r="AV270" s="4">
        <v>-643.83000000000004</v>
      </c>
      <c r="AW270" s="4">
        <v>-968.51</v>
      </c>
      <c r="AX270" s="4">
        <v>-1813.41</v>
      </c>
      <c r="AY270" s="4">
        <v>-632.4</v>
      </c>
      <c r="AZ270" s="4">
        <v>-586.85</v>
      </c>
      <c r="BA270" s="4">
        <v>-645.72</v>
      </c>
      <c r="BB270" s="4">
        <v>-615.59</v>
      </c>
      <c r="BC270" s="4">
        <v>-1083.67</v>
      </c>
      <c r="BD270" s="4">
        <v>-770.92</v>
      </c>
      <c r="BE270" s="4">
        <v>-771.48</v>
      </c>
      <c r="BF270" s="4">
        <v>-1065.32</v>
      </c>
      <c r="BG270" s="4">
        <f>IF(OR(MID(TBBP[[#This Row],[Coluna1]],1,1)="1",MID(TBBP[[#This Row],[Coluna1]],1,1)="2"),TBBP[[#This Row],[Coluna58]],SUM(AU270:BF270))</f>
        <v>-10160.289999999999</v>
      </c>
      <c r="BH270" s="4">
        <v>-1125.5899999999999</v>
      </c>
      <c r="BI270" s="4">
        <v>-1503.84</v>
      </c>
      <c r="BJ270" s="4">
        <v>-2407.23</v>
      </c>
      <c r="BK270" s="4">
        <v>-1011.51</v>
      </c>
      <c r="BL270" s="4">
        <v>-1949.19</v>
      </c>
      <c r="BM270" s="4">
        <v>-1001.05</v>
      </c>
      <c r="BN270" s="4">
        <v>-997.51</v>
      </c>
      <c r="BO270" s="4">
        <v>-1882.24</v>
      </c>
      <c r="BP270" s="4">
        <v>-1033.4000000000001</v>
      </c>
      <c r="BQ270" s="4">
        <v>-2943.45</v>
      </c>
      <c r="BR270" s="4">
        <v>-1121.69</v>
      </c>
      <c r="BS270" s="4">
        <v>-1047.02</v>
      </c>
      <c r="BT270" s="4">
        <f>IF(OR(MID(TBBP[[#This Row],[Coluna1]],1,1)="1",MID(TBBP[[#This Row],[Coluna1]],1,1)="2"),TBBP[[#This Row],[Coluna127]],SUM(BH270:BS270))</f>
        <v>-18023.719999999998</v>
      </c>
      <c r="BU270" s="4">
        <v>-2127.41</v>
      </c>
      <c r="BV270" s="4">
        <v>-1503.34</v>
      </c>
      <c r="BW270" s="4">
        <v>-1220.99</v>
      </c>
      <c r="BX270" s="4">
        <v>-1357.97</v>
      </c>
      <c r="BY270" s="4">
        <v>-1805.45</v>
      </c>
      <c r="BZ270" s="4">
        <v>-1724.62</v>
      </c>
      <c r="CA270" s="4">
        <v>-1322.87</v>
      </c>
      <c r="CB270" s="4">
        <v>-1339.87</v>
      </c>
      <c r="CC270" s="4">
        <v>-1214.81</v>
      </c>
      <c r="CD270" s="4">
        <v>-1197.6300000000001</v>
      </c>
      <c r="CE270" s="4">
        <v>-1157.71</v>
      </c>
      <c r="CF270" s="4">
        <v>-1184.83</v>
      </c>
      <c r="CG270" s="4">
        <f>IF(OR(MID(TBBP[[#This Row],[Coluna1]],1,1)="1",MID(TBBP[[#This Row],[Coluna1]],1,1)="2"),CF270,SUM(BU270:CF270))</f>
        <v>-17157.499999999993</v>
      </c>
      <c r="CH270" s="4">
        <v>-1232</v>
      </c>
      <c r="CI270" s="4">
        <v>-1152.81</v>
      </c>
      <c r="CJ270" s="4">
        <v>-1227.4000000000001</v>
      </c>
      <c r="CK270" s="4">
        <v>-755.25</v>
      </c>
      <c r="CL270" s="4">
        <v>-1012.45</v>
      </c>
      <c r="CM270" s="4">
        <v>-1902.79</v>
      </c>
      <c r="CN270" s="4">
        <v>-1400.43</v>
      </c>
      <c r="CO270" s="4">
        <v>-1542.85</v>
      </c>
      <c r="CP270" s="4">
        <v>-1562.34</v>
      </c>
      <c r="CQ270" s="4">
        <v>-1574.81</v>
      </c>
      <c r="CR270" s="4">
        <v>-1528.11</v>
      </c>
      <c r="CS270" s="4">
        <v>-1592.52</v>
      </c>
      <c r="CT270" s="4">
        <f>IF(OR(MID(TBBP[[#This Row],[Coluna1]],1,1)="1",MID(TBBP[[#This Row],[Coluna1]],1,1)="2"),CS270,SUM(CH270:CS270))</f>
        <v>-16483.759999999998</v>
      </c>
      <c r="CU270" s="255">
        <v>-1509.39</v>
      </c>
      <c r="CV270" s="255">
        <v>-5680.35</v>
      </c>
      <c r="CW270" s="255">
        <v>-782.63</v>
      </c>
      <c r="CX270" s="255">
        <v>-2520.9</v>
      </c>
      <c r="CY270" s="255">
        <v>-2011.88</v>
      </c>
      <c r="CZ270" s="255">
        <v>-3924.35</v>
      </c>
      <c r="DA270" s="255">
        <v>-2148.77</v>
      </c>
      <c r="DB270" s="255">
        <v>-2054.61</v>
      </c>
      <c r="DC270" s="255">
        <v>-1757.6</v>
      </c>
      <c r="DD270" s="255">
        <v>-1706.12</v>
      </c>
      <c r="DE270" s="255">
        <v>-1762.29</v>
      </c>
      <c r="DF270" s="255">
        <v>-1393.13</v>
      </c>
      <c r="DG270" s="255">
        <f>SUM(TBBP[[#This Row],[Coluna287]:[Coluna298]])</f>
        <v>-27252.02</v>
      </c>
      <c r="DH270" s="255">
        <v>-1702.86</v>
      </c>
      <c r="DI270" s="255">
        <v>-1847.44</v>
      </c>
      <c r="DJ270" s="255">
        <v>-1741.36</v>
      </c>
      <c r="DK270" s="255">
        <v>-6455.67</v>
      </c>
      <c r="DL270" s="255">
        <v>-4799.63</v>
      </c>
      <c r="DM270" s="255">
        <v>-5387.53</v>
      </c>
      <c r="DP270" s="30">
        <f>IF(OR(MID(TBBP[[#This Row],[Coluna1]],1,1)="1",MID(TBBP[[#This Row],[Coluna1]],1,1)="2"),"-",SUMIFS(270:270,listaPeriodos,$DR$1,listaPeriodos,$DR$2))</f>
        <v>-21934.489999999998</v>
      </c>
      <c r="DQ270" s="30"/>
      <c r="DR270" s="30">
        <f t="shared" si="181"/>
        <v>0</v>
      </c>
      <c r="DS270" s="30"/>
      <c r="DT270" s="30"/>
      <c r="DU270"/>
    </row>
    <row r="271" spans="1:125" x14ac:dyDescent="0.3">
      <c r="A271" s="7" t="s">
        <v>456</v>
      </c>
      <c r="B271" t="s">
        <v>514</v>
      </c>
      <c r="C271" s="4">
        <v>0</v>
      </c>
      <c r="D271" s="4">
        <v>0</v>
      </c>
      <c r="E271" s="4">
        <v>0</v>
      </c>
      <c r="F271" s="4">
        <v>0</v>
      </c>
      <c r="G271" s="4">
        <v>-10385.200000000001</v>
      </c>
      <c r="H271" s="4">
        <v>-153.85</v>
      </c>
      <c r="I271" s="4">
        <v>0</v>
      </c>
      <c r="J271" s="4">
        <v>-2805</v>
      </c>
      <c r="K271" s="4">
        <v>-13.9</v>
      </c>
      <c r="L271" s="4">
        <v>-788.8</v>
      </c>
      <c r="M271" s="4">
        <v>-1589.55</v>
      </c>
      <c r="N271" s="4">
        <v>-10.5</v>
      </c>
      <c r="O271" s="4">
        <v>-69.900000000000006</v>
      </c>
      <c r="P271" s="4">
        <v>-725.11</v>
      </c>
      <c r="Q271" s="4">
        <v>-475.01</v>
      </c>
      <c r="R271" s="4">
        <v>-2456.42</v>
      </c>
      <c r="S271" s="4">
        <v>-467.4</v>
      </c>
      <c r="T271" s="4">
        <f>IF(OR(MID(TBBP[[#This Row],[Coluna1]],1,1)="1",MID(TBBP[[#This Row],[Coluna1]],1,1)="2"),TBBP[[#This Row],[Coluna19]],SUM(H271:S271))</f>
        <v>-9555.44</v>
      </c>
      <c r="U271" s="4">
        <v>-275</v>
      </c>
      <c r="V271" s="4">
        <v>-417.52</v>
      </c>
      <c r="W271" s="4">
        <v>-3929</v>
      </c>
      <c r="X271" s="4">
        <v>-232.49</v>
      </c>
      <c r="Y271" s="4">
        <v>0</v>
      </c>
      <c r="Z271" s="4">
        <v>-6</v>
      </c>
      <c r="AA271" s="4">
        <v>-193.92</v>
      </c>
      <c r="AB271" s="4">
        <v>0</v>
      </c>
      <c r="AC271" s="4">
        <v>0</v>
      </c>
      <c r="AD271" s="4">
        <v>-556.85</v>
      </c>
      <c r="AE271" s="4">
        <v>-14.95</v>
      </c>
      <c r="AF271" s="4">
        <v>-2747.85</v>
      </c>
      <c r="AG271" s="4">
        <f>IF(OR(MID(TBBP[[#This Row],[Coluna1]],1,1)="1",MID(TBBP[[#This Row],[Coluna1]],1,1)="2"),TBBP[[#This Row],[Coluna32]],SUM(U271:AF271))</f>
        <v>-8373.58</v>
      </c>
      <c r="AH271" s="4">
        <v>-24.5</v>
      </c>
      <c r="AI271" s="4">
        <v>2355.86</v>
      </c>
      <c r="AJ271" s="4">
        <v>-73.66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-355.04</v>
      </c>
      <c r="AT271" s="4">
        <f>IF(OR(MID(TBBP[[#This Row],[Coluna1]],1,1)="1",MID(TBBP[[#This Row],[Coluna1]],1,1)="2"),TBBP[[#This Row],[Coluna45]],SUM(AH271:AS271))</f>
        <v>1902.6600000000003</v>
      </c>
      <c r="AU271" s="4">
        <v>0</v>
      </c>
      <c r="AV271" s="4">
        <v>-1179.75</v>
      </c>
      <c r="AW271" s="4">
        <v>0</v>
      </c>
      <c r="AX271" s="4">
        <v>-72</v>
      </c>
      <c r="AY271" s="4">
        <v>-828.13</v>
      </c>
      <c r="AZ271" s="4">
        <v>-715</v>
      </c>
      <c r="BA271" s="4">
        <v>-657</v>
      </c>
      <c r="BB271" s="4">
        <v>-2392.5</v>
      </c>
      <c r="BC271" s="4">
        <v>-1484.62</v>
      </c>
      <c r="BD271" s="4">
        <v>-922.67</v>
      </c>
      <c r="BE271" s="4">
        <v>-4018.69</v>
      </c>
      <c r="BF271" s="4">
        <v>-732</v>
      </c>
      <c r="BG271" s="4">
        <f>IF(OR(MID(TBBP[[#This Row],[Coluna1]],1,1)="1",MID(TBBP[[#This Row],[Coluna1]],1,1)="2"),TBBP[[#This Row],[Coluna58]],SUM(AU271:BF271))</f>
        <v>-13002.36</v>
      </c>
      <c r="BH271" s="4">
        <v>-1180</v>
      </c>
      <c r="BI271" s="4">
        <v>0</v>
      </c>
      <c r="BJ271" s="4">
        <v>-701</v>
      </c>
      <c r="BK271" s="4">
        <v>-3004</v>
      </c>
      <c r="BL271" s="4">
        <v>-823</v>
      </c>
      <c r="BM271" s="4">
        <v>-1781</v>
      </c>
      <c r="BN271" s="4">
        <v>-1734.94</v>
      </c>
      <c r="BO271" s="4">
        <v>-3002.12</v>
      </c>
      <c r="BP271" s="4">
        <v>-10545.42</v>
      </c>
      <c r="BQ271" s="4">
        <v>-1490.66</v>
      </c>
      <c r="BR271" s="4">
        <v>-1277.77</v>
      </c>
      <c r="BS271" s="4">
        <v>-1280.5999999999999</v>
      </c>
      <c r="BT271" s="4">
        <f>IF(OR(MID(TBBP[[#This Row],[Coluna1]],1,1)="1",MID(TBBP[[#This Row],[Coluna1]],1,1)="2"),TBBP[[#This Row],[Coluna127]],SUM(BH271:BS271))</f>
        <v>-26820.510000000002</v>
      </c>
      <c r="BU271" s="4">
        <v>-1538</v>
      </c>
      <c r="BV271" s="4">
        <v>-2044.24</v>
      </c>
      <c r="BW271" s="4">
        <v>-2192.35</v>
      </c>
      <c r="BX271" s="4">
        <v>-378</v>
      </c>
      <c r="BY271" s="4">
        <v>-4731.53</v>
      </c>
      <c r="BZ271" s="4">
        <v>-1908.2</v>
      </c>
      <c r="CA271" s="4">
        <v>-1532.4</v>
      </c>
      <c r="CB271" s="4">
        <v>-2550.29</v>
      </c>
      <c r="CC271" s="4">
        <v>-6915.86</v>
      </c>
      <c r="CD271" s="4">
        <v>-1859</v>
      </c>
      <c r="CE271" s="4">
        <v>-2203.11</v>
      </c>
      <c r="CF271" s="4">
        <v>-4118.13</v>
      </c>
      <c r="CG271" s="4">
        <f>IF(OR(MID(TBBP[[#This Row],[Coluna1]],1,1)="1",MID(TBBP[[#This Row],[Coluna1]],1,1)="2"),CF271,SUM(BU271:CF271))</f>
        <v>-31971.11</v>
      </c>
      <c r="CH271" s="4">
        <v>-3002.02</v>
      </c>
      <c r="CI271" s="4">
        <v>-2387.8000000000002</v>
      </c>
      <c r="CJ271" s="4">
        <v>-12006.56</v>
      </c>
      <c r="CK271" s="4">
        <v>-4285.91</v>
      </c>
      <c r="CL271" s="4">
        <v>-959.45</v>
      </c>
      <c r="CM271" s="4">
        <v>-5261.55</v>
      </c>
      <c r="CN271" s="4">
        <v>-6602.87</v>
      </c>
      <c r="CO271" s="4">
        <v>-5247.41</v>
      </c>
      <c r="CP271" s="4">
        <v>-2475.66</v>
      </c>
      <c r="CQ271" s="4">
        <v>-8652.2099999999991</v>
      </c>
      <c r="CR271" s="4">
        <v>-5447.67</v>
      </c>
      <c r="CS271" s="4">
        <v>-2295.7600000000002</v>
      </c>
      <c r="CT271" s="4">
        <f>IF(OR(MID(TBBP[[#This Row],[Coluna1]],1,1)="1",MID(TBBP[[#This Row],[Coluna1]],1,1)="2"),CS271,SUM(CH271:CS271))</f>
        <v>-58624.869999999995</v>
      </c>
      <c r="CU271" s="255">
        <v>-5916.7</v>
      </c>
      <c r="CV271" s="255">
        <v>-2046.29</v>
      </c>
      <c r="CW271" s="255">
        <v>-12083.01</v>
      </c>
      <c r="CX271" s="255">
        <v>-5322.88</v>
      </c>
      <c r="CY271" s="255">
        <v>-2785.71</v>
      </c>
      <c r="CZ271" s="255">
        <v>-23448.63</v>
      </c>
      <c r="DA271" s="255">
        <v>-2239.42</v>
      </c>
      <c r="DB271" s="255">
        <v>-3578.22</v>
      </c>
      <c r="DC271" s="255">
        <v>-1693.68</v>
      </c>
      <c r="DD271" s="255">
        <v>-2187.52</v>
      </c>
      <c r="DE271" s="255">
        <v>-1643.74</v>
      </c>
      <c r="DF271" s="255">
        <v>-1786.94</v>
      </c>
      <c r="DG271" s="255">
        <f>SUM(TBBP[[#This Row],[Coluna287]:[Coluna298]])</f>
        <v>-64732.74</v>
      </c>
      <c r="DH271" s="255">
        <v>-1862.34</v>
      </c>
      <c r="DI271" s="255">
        <v>-1592.35</v>
      </c>
      <c r="DJ271" s="255">
        <v>-1025.57</v>
      </c>
      <c r="DK271" s="255">
        <v>-1623.68</v>
      </c>
      <c r="DL271" s="255">
        <v>-1204.08</v>
      </c>
      <c r="DM271" s="255">
        <v>-1250.8699999999999</v>
      </c>
      <c r="DP271" s="30">
        <f>IF(OR(MID(TBBP[[#This Row],[Coluna1]],1,1)="1",MID(TBBP[[#This Row],[Coluna1]],1,1)="2"),"-",SUMIFS(271:271,listaPeriodos,$DR$1,listaPeriodos,$DR$2))</f>
        <v>-8558.89</v>
      </c>
      <c r="DQ271" s="30"/>
      <c r="DR271" s="30">
        <f t="shared" si="181"/>
        <v>0</v>
      </c>
      <c r="DS271" s="30"/>
      <c r="DT271" s="30"/>
      <c r="DU271"/>
    </row>
    <row r="272" spans="1:125" x14ac:dyDescent="0.3">
      <c r="A272" s="7" t="s">
        <v>457</v>
      </c>
      <c r="B272" t="s">
        <v>517</v>
      </c>
      <c r="C272" s="4">
        <v>0</v>
      </c>
      <c r="D272" s="4">
        <v>0</v>
      </c>
      <c r="E272" s="4">
        <v>0</v>
      </c>
      <c r="F272" s="4">
        <v>0</v>
      </c>
      <c r="G272" s="4">
        <v>-736.45</v>
      </c>
      <c r="H272" s="4">
        <v>0</v>
      </c>
      <c r="I272" s="4">
        <v>0</v>
      </c>
      <c r="J272" s="4">
        <v>0</v>
      </c>
      <c r="K272" s="4">
        <v>0</v>
      </c>
      <c r="L272" s="4">
        <v>-1210.9000000000001</v>
      </c>
      <c r="M272" s="4">
        <v>0</v>
      </c>
      <c r="N272" s="4">
        <v>0</v>
      </c>
      <c r="O272" s="4">
        <v>0</v>
      </c>
      <c r="P272" s="4">
        <v>0</v>
      </c>
      <c r="Q272" s="4">
        <v>-80</v>
      </c>
      <c r="R272" s="4">
        <v>0</v>
      </c>
      <c r="S272" s="4">
        <v>0</v>
      </c>
      <c r="T272" s="4">
        <f>IF(OR(MID(TBBP[[#This Row],[Coluna1]],1,1)="1",MID(TBBP[[#This Row],[Coluna1]],1,1)="2"),TBBP[[#This Row],[Coluna19]],SUM(H272:S272))</f>
        <v>-1290.9000000000001</v>
      </c>
      <c r="U272" s="4">
        <v>0</v>
      </c>
      <c r="V272" s="4">
        <v>0</v>
      </c>
      <c r="W272" s="4">
        <v>0</v>
      </c>
      <c r="X272" s="4">
        <v>-415.38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f>IF(OR(MID(TBBP[[#This Row],[Coluna1]],1,1)="1",MID(TBBP[[#This Row],[Coluna1]],1,1)="2"),TBBP[[#This Row],[Coluna32]],SUM(U272:AF272))</f>
        <v>-415.38</v>
      </c>
      <c r="AH272" s="4">
        <v>0</v>
      </c>
      <c r="AI272" s="4">
        <v>0</v>
      </c>
      <c r="AJ272" s="4">
        <v>-266.19</v>
      </c>
      <c r="AK272" s="4">
        <v>0</v>
      </c>
      <c r="AL272" s="4">
        <v>0</v>
      </c>
      <c r="AM272" s="4">
        <v>0</v>
      </c>
      <c r="AN272" s="4">
        <v>0</v>
      </c>
      <c r="AO272" s="4">
        <v>0</v>
      </c>
      <c r="AP272" s="4">
        <v>0</v>
      </c>
      <c r="AQ272" s="4">
        <v>0</v>
      </c>
      <c r="AR272" s="4">
        <v>0</v>
      </c>
      <c r="AS272" s="4">
        <v>0</v>
      </c>
      <c r="AT272" s="4">
        <f>IF(OR(MID(TBBP[[#This Row],[Coluna1]],1,1)="1",MID(TBBP[[#This Row],[Coluna1]],1,1)="2"),TBBP[[#This Row],[Coluna45]],SUM(AH272:AS272))</f>
        <v>-266.19</v>
      </c>
      <c r="AU272" s="4">
        <v>0</v>
      </c>
      <c r="AV272" s="4">
        <v>-40</v>
      </c>
      <c r="AW272" s="4">
        <v>-416.52</v>
      </c>
      <c r="AX272" s="4">
        <v>-104.13</v>
      </c>
      <c r="AY272" s="4">
        <v>0</v>
      </c>
      <c r="AZ272" s="4">
        <v>104.13</v>
      </c>
      <c r="BA272" s="4">
        <v>208.26</v>
      </c>
      <c r="BB272" s="4">
        <v>208.26</v>
      </c>
      <c r="BC272" s="4">
        <v>0</v>
      </c>
      <c r="BD272" s="4">
        <v>0</v>
      </c>
      <c r="BE272" s="4">
        <v>0</v>
      </c>
      <c r="BF272" s="4">
        <v>-205.46</v>
      </c>
      <c r="BG272" s="4">
        <f>IF(OR(MID(TBBP[[#This Row],[Coluna1]],1,1)="1",MID(TBBP[[#This Row],[Coluna1]],1,1)="2"),TBBP[[#This Row],[Coluna58]],SUM(AU272:BF272))</f>
        <v>-245.46</v>
      </c>
      <c r="BH272" s="4">
        <v>0</v>
      </c>
      <c r="BI272" s="4">
        <v>0</v>
      </c>
      <c r="BJ272" s="4">
        <v>0</v>
      </c>
      <c r="BK272" s="4">
        <v>0</v>
      </c>
      <c r="BL272" s="4">
        <v>0</v>
      </c>
      <c r="BM272" s="4">
        <v>0</v>
      </c>
      <c r="BN272" s="4">
        <v>0</v>
      </c>
      <c r="BO272" s="4">
        <v>0</v>
      </c>
      <c r="BP272" s="4">
        <v>0</v>
      </c>
      <c r="BQ272" s="4">
        <v>-1000</v>
      </c>
      <c r="BR272" s="4">
        <v>0</v>
      </c>
      <c r="BS272" s="4">
        <v>0</v>
      </c>
      <c r="BT272" s="4">
        <f>IF(OR(MID(TBBP[[#This Row],[Coluna1]],1,1)="1",MID(TBBP[[#This Row],[Coluna1]],1,1)="2"),TBBP[[#This Row],[Coluna127]],SUM(BH272:BS272))</f>
        <v>-1000</v>
      </c>
      <c r="BU272" s="4">
        <v>0</v>
      </c>
      <c r="BV272" s="4">
        <v>-2286</v>
      </c>
      <c r="BW272" s="4">
        <v>0</v>
      </c>
      <c r="BX272" s="4">
        <v>-2869.58</v>
      </c>
      <c r="BY272" s="4">
        <v>-885.55</v>
      </c>
      <c r="BZ272" s="4">
        <v>-305.05</v>
      </c>
      <c r="CA272" s="4">
        <v>-1116.98</v>
      </c>
      <c r="CB272" s="4">
        <v>-1121.23</v>
      </c>
      <c r="CC272" s="4">
        <v>-2626.08</v>
      </c>
      <c r="CD272" s="4">
        <v>-287.05</v>
      </c>
      <c r="CE272" s="4">
        <v>-287.05</v>
      </c>
      <c r="CF272" s="4">
        <v>-826.08</v>
      </c>
      <c r="CG272" s="4">
        <f>IF(OR(MID(TBBP[[#This Row],[Coluna1]],1,1)="1",MID(TBBP[[#This Row],[Coluna1]],1,1)="2"),CF272,SUM(BU272:CF272))</f>
        <v>-12610.649999999998</v>
      </c>
      <c r="CH272" s="4">
        <v>-141.85</v>
      </c>
      <c r="CI272" s="4">
        <v>-11051.78</v>
      </c>
      <c r="CJ272" s="4">
        <v>-141.85</v>
      </c>
      <c r="CK272" s="4">
        <v>-291.85000000000002</v>
      </c>
      <c r="CL272" s="4">
        <v>-687.39</v>
      </c>
      <c r="CM272" s="4">
        <v>-141.85</v>
      </c>
      <c r="CN272" s="4">
        <v>-245.97</v>
      </c>
      <c r="CO272" s="4">
        <v>-141.85</v>
      </c>
      <c r="CP272" s="4">
        <v>-14346.9</v>
      </c>
      <c r="CQ272" s="4">
        <v>-625.66</v>
      </c>
      <c r="CR272" s="4">
        <v>-454.22</v>
      </c>
      <c r="CS272" s="4">
        <v>-141.85</v>
      </c>
      <c r="CT272" s="4">
        <f>IF(OR(MID(TBBP[[#This Row],[Coluna1]],1,1)="1",MID(TBBP[[#This Row],[Coluna1]],1,1)="2"),CS272,SUM(CH272:CS272))</f>
        <v>-28413.02</v>
      </c>
      <c r="CU272" s="255">
        <v>-141.85</v>
      </c>
      <c r="CV272" s="255">
        <v>-3638.44</v>
      </c>
      <c r="CW272" s="255">
        <v>-1171.08</v>
      </c>
      <c r="CX272" s="255">
        <v>-1876.03</v>
      </c>
      <c r="CY272" s="255">
        <v>-141.85</v>
      </c>
      <c r="CZ272" s="255">
        <v>-538.37</v>
      </c>
      <c r="DA272" s="255">
        <v>-141.85</v>
      </c>
      <c r="DB272" s="255">
        <v>-141.85</v>
      </c>
      <c r="DC272" s="255">
        <v>-1760.62</v>
      </c>
      <c r="DD272" s="255">
        <v>-141.85</v>
      </c>
      <c r="DE272" s="255">
        <v>-141.85</v>
      </c>
      <c r="DF272" s="255">
        <v>-141.85</v>
      </c>
      <c r="DG272" s="255">
        <f>SUM(TBBP[[#This Row],[Coluna287]:[Coluna298]])</f>
        <v>-9977.4900000000016</v>
      </c>
      <c r="DH272" s="255">
        <v>-141.85</v>
      </c>
      <c r="DI272" s="255">
        <v>-141.85</v>
      </c>
      <c r="DJ272" s="255">
        <v>-141.85</v>
      </c>
      <c r="DK272" s="255">
        <v>-141.85</v>
      </c>
      <c r="DL272" s="255">
        <v>-141.85</v>
      </c>
      <c r="DM272" s="255">
        <v>-141.85</v>
      </c>
      <c r="DP272" s="30">
        <f>IF(OR(MID(TBBP[[#This Row],[Coluna1]],1,1)="1",MID(TBBP[[#This Row],[Coluna1]],1,1)="2"),"-",SUMIFS(272:272,listaPeriodos,$DR$1,listaPeriodos,$DR$2))</f>
        <v>-851.1</v>
      </c>
      <c r="DQ272" s="30"/>
      <c r="DR272" s="30">
        <f t="shared" si="181"/>
        <v>0</v>
      </c>
      <c r="DS272" s="30"/>
      <c r="DT272" s="30"/>
      <c r="DU272"/>
    </row>
    <row r="273" spans="1:125" x14ac:dyDescent="0.3">
      <c r="A273" s="7" t="s">
        <v>458</v>
      </c>
      <c r="B273" t="s">
        <v>521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  <c r="L273" s="4">
        <v>-297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f>IF(OR(MID(TBBP[[#This Row],[Coluna1]],1,1)="1",MID(TBBP[[#This Row],[Coluna1]],1,1)="2"),TBBP[[#This Row],[Coluna19]],SUM(H273:S273))</f>
        <v>-297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f>IF(OR(MID(TBBP[[#This Row],[Coluna1]],1,1)="1",MID(TBBP[[#This Row],[Coluna1]],1,1)="2"),TBBP[[#This Row],[Coluna32]],SUM(U273:AF273))</f>
        <v>0</v>
      </c>
      <c r="AH273" s="4">
        <v>0</v>
      </c>
      <c r="AI273" s="4">
        <v>0</v>
      </c>
      <c r="AJ273" s="4">
        <v>-266.19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0</v>
      </c>
      <c r="AT273" s="4">
        <f>IF(OR(MID(TBBP[[#This Row],[Coluna1]],1,1)="1",MID(TBBP[[#This Row],[Coluna1]],1,1)="2"),TBBP[[#This Row],[Coluna45]],SUM(AH273:AS273))</f>
        <v>-266.19</v>
      </c>
      <c r="AU273" s="4">
        <v>0</v>
      </c>
      <c r="AV273" s="4">
        <v>0</v>
      </c>
      <c r="AW273" s="4">
        <v>0</v>
      </c>
      <c r="AX273" s="4">
        <v>0</v>
      </c>
      <c r="AY273" s="4">
        <v>0</v>
      </c>
      <c r="AZ273" s="4">
        <v>0</v>
      </c>
      <c r="BA273" s="4">
        <v>0</v>
      </c>
      <c r="BB273" s="4">
        <v>0</v>
      </c>
      <c r="BC273" s="4">
        <v>0</v>
      </c>
      <c r="BD273" s="4">
        <v>0</v>
      </c>
      <c r="BE273" s="4">
        <v>0</v>
      </c>
      <c r="BF273" s="4">
        <v>0</v>
      </c>
      <c r="BG273" s="4">
        <f>IF(OR(MID(TBBP[[#This Row],[Coluna1]],1,1)="1",MID(TBBP[[#This Row],[Coluna1]],1,1)="2"),TBBP[[#This Row],[Coluna58]],SUM(AU273:BF273))</f>
        <v>0</v>
      </c>
      <c r="BH273" s="4">
        <v>0</v>
      </c>
      <c r="BI273" s="4">
        <v>0</v>
      </c>
      <c r="BJ273" s="4">
        <v>0</v>
      </c>
      <c r="BK273" s="4">
        <v>0</v>
      </c>
      <c r="BL273" s="4">
        <v>0</v>
      </c>
      <c r="BM273" s="4">
        <v>0</v>
      </c>
      <c r="BN273" s="4">
        <v>0</v>
      </c>
      <c r="BO273" s="4">
        <v>0</v>
      </c>
      <c r="BP273" s="4">
        <v>0</v>
      </c>
      <c r="BQ273" s="4">
        <v>0</v>
      </c>
      <c r="BR273" s="4">
        <v>0</v>
      </c>
      <c r="BS273" s="4">
        <v>0</v>
      </c>
      <c r="BT273" s="4">
        <f>IF(OR(MID(TBBP[[#This Row],[Coluna1]],1,1)="1",MID(TBBP[[#This Row],[Coluna1]],1,1)="2"),TBBP[[#This Row],[Coluna127]],SUM(BH273:BS273))</f>
        <v>0</v>
      </c>
      <c r="BU273" s="4">
        <v>0</v>
      </c>
      <c r="BV273" s="4">
        <v>0</v>
      </c>
      <c r="BW273" s="4">
        <v>0</v>
      </c>
      <c r="BX273" s="4">
        <v>-287.05</v>
      </c>
      <c r="BY273" s="4">
        <v>-287.05</v>
      </c>
      <c r="BZ273" s="4">
        <v>-287.05</v>
      </c>
      <c r="CA273" s="4">
        <v>-327.05</v>
      </c>
      <c r="CB273" s="4">
        <v>-287.05</v>
      </c>
      <c r="CC273" s="4">
        <v>-1026.08</v>
      </c>
      <c r="CD273" s="4">
        <v>-287.05</v>
      </c>
      <c r="CE273" s="4">
        <v>-287.05</v>
      </c>
      <c r="CF273" s="4">
        <v>-826.08</v>
      </c>
      <c r="CG273" s="4">
        <f>IF(OR(MID(TBBP[[#This Row],[Coluna1]],1,1)="1",MID(TBBP[[#This Row],[Coluna1]],1,1)="2"),CF273,SUM(BU273:CF273))</f>
        <v>-3901.51</v>
      </c>
      <c r="CH273" s="4">
        <v>-141.85</v>
      </c>
      <c r="CI273" s="4">
        <v>-141.85</v>
      </c>
      <c r="CJ273" s="4">
        <v>-141.85</v>
      </c>
      <c r="CK273" s="4">
        <v>-141.85</v>
      </c>
      <c r="CL273" s="4">
        <v>-141.85</v>
      </c>
      <c r="CM273" s="4">
        <v>-141.85</v>
      </c>
      <c r="CN273" s="4">
        <v>-141.85</v>
      </c>
      <c r="CO273" s="4">
        <v>-141.85</v>
      </c>
      <c r="CP273" s="4">
        <v>-141.85</v>
      </c>
      <c r="CQ273" s="4">
        <v>-625.66</v>
      </c>
      <c r="CR273" s="4">
        <v>-141.85</v>
      </c>
      <c r="CS273" s="4">
        <v>-141.85</v>
      </c>
      <c r="CT273" s="4">
        <f>IF(OR(MID(TBBP[[#This Row],[Coluna1]],1,1)="1",MID(TBBP[[#This Row],[Coluna1]],1,1)="2"),CS273,SUM(CH273:CS273))</f>
        <v>-2186.0099999999998</v>
      </c>
      <c r="CU273" s="255">
        <v>-141.85</v>
      </c>
      <c r="CV273" s="255">
        <v>-141.85</v>
      </c>
      <c r="CW273" s="255">
        <v>-1171.08</v>
      </c>
      <c r="CX273" s="255">
        <v>-1876.03</v>
      </c>
      <c r="CY273" s="255">
        <v>-141.85</v>
      </c>
      <c r="CZ273" s="255">
        <v>-141.85</v>
      </c>
      <c r="DA273" s="255">
        <v>-141.85</v>
      </c>
      <c r="DB273" s="255">
        <v>-141.85</v>
      </c>
      <c r="DC273" s="255">
        <v>-141.85</v>
      </c>
      <c r="DD273" s="255">
        <v>-141.85</v>
      </c>
      <c r="DE273" s="255">
        <v>-141.85</v>
      </c>
      <c r="DF273" s="255">
        <v>-141.85</v>
      </c>
      <c r="DG273" s="255">
        <f>SUM(TBBP[[#This Row],[Coluna287]:[Coluna298]])</f>
        <v>-4465.6100000000006</v>
      </c>
      <c r="DH273" s="255">
        <v>-141.85</v>
      </c>
      <c r="DI273" s="255">
        <v>-141.85</v>
      </c>
      <c r="DJ273" s="255">
        <v>-141.85</v>
      </c>
      <c r="DK273" s="255">
        <v>-141.85</v>
      </c>
      <c r="DL273" s="255">
        <v>-141.85</v>
      </c>
      <c r="DM273" s="255">
        <v>-141.85</v>
      </c>
      <c r="DP273" s="30">
        <f>IF(OR(MID(TBBP[[#This Row],[Coluna1]],1,1)="1",MID(TBBP[[#This Row],[Coluna1]],1,1)="2"),"-",SUMIFS(273:273,listaPeriodos,$DR$1,listaPeriodos,$DR$2))</f>
        <v>-851.1</v>
      </c>
      <c r="DQ273" s="30"/>
      <c r="DR273" s="30">
        <f t="shared" si="181"/>
        <v>0</v>
      </c>
      <c r="DS273" s="30"/>
      <c r="DT273" s="30"/>
      <c r="DU273"/>
    </row>
    <row r="274" spans="1:125" x14ac:dyDescent="0.3">
      <c r="A274" s="7" t="s">
        <v>459</v>
      </c>
      <c r="B274" t="s">
        <v>522</v>
      </c>
      <c r="C274" s="4">
        <v>0</v>
      </c>
      <c r="D274" s="4">
        <v>0</v>
      </c>
      <c r="E274" s="4">
        <v>0</v>
      </c>
      <c r="F274" s="4">
        <v>0</v>
      </c>
      <c r="G274" s="4">
        <v>-285.58</v>
      </c>
      <c r="H274" s="4">
        <v>0</v>
      </c>
      <c r="I274" s="4">
        <v>0</v>
      </c>
      <c r="J274" s="4">
        <v>0</v>
      </c>
      <c r="K274" s="4">
        <v>0</v>
      </c>
      <c r="L274" s="4">
        <v>-913.9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f>IF(OR(MID(TBBP[[#This Row],[Coluna1]],1,1)="1",MID(TBBP[[#This Row],[Coluna1]],1,1)="2"),TBBP[[#This Row],[Coluna19]],SUM(H274:S274))</f>
        <v>-913.9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f>IF(OR(MID(TBBP[[#This Row],[Coluna1]],1,1)="1",MID(TBBP[[#This Row],[Coluna1]],1,1)="2"),TBBP[[#This Row],[Coluna32]],SUM(U274:AF274))</f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0</v>
      </c>
      <c r="AT274" s="4">
        <f>IF(OR(MID(TBBP[[#This Row],[Coluna1]],1,1)="1",MID(TBBP[[#This Row],[Coluna1]],1,1)="2"),TBBP[[#This Row],[Coluna45]],SUM(AH274:AS274))</f>
        <v>0</v>
      </c>
      <c r="AU274" s="4">
        <v>0</v>
      </c>
      <c r="AV274" s="4">
        <v>0</v>
      </c>
      <c r="AW274" s="4">
        <v>-416.52</v>
      </c>
      <c r="AX274" s="4">
        <v>-104.13</v>
      </c>
      <c r="AY274" s="4">
        <v>0</v>
      </c>
      <c r="AZ274" s="4">
        <v>104.13</v>
      </c>
      <c r="BA274" s="4">
        <v>208.26</v>
      </c>
      <c r="BB274" s="4">
        <v>208.26</v>
      </c>
      <c r="BC274" s="4">
        <v>0</v>
      </c>
      <c r="BD274" s="4">
        <v>0</v>
      </c>
      <c r="BE274" s="4">
        <v>0</v>
      </c>
      <c r="BF274" s="4">
        <v>0</v>
      </c>
      <c r="BG274" s="4">
        <f>IF(OR(MID(TBBP[[#This Row],[Coluna1]],1,1)="1",MID(TBBP[[#This Row],[Coluna1]],1,1)="2"),TBBP[[#This Row],[Coluna58]],SUM(AU274:BF274))</f>
        <v>0</v>
      </c>
      <c r="BH274" s="4">
        <v>0</v>
      </c>
      <c r="BI274" s="4">
        <v>0</v>
      </c>
      <c r="BJ274" s="4">
        <v>0</v>
      </c>
      <c r="BK274" s="4">
        <v>0</v>
      </c>
      <c r="BL274" s="4">
        <v>0</v>
      </c>
      <c r="BM274" s="4">
        <v>0</v>
      </c>
      <c r="BN274" s="4">
        <v>0</v>
      </c>
      <c r="BO274" s="4">
        <v>0</v>
      </c>
      <c r="BP274" s="4">
        <v>0</v>
      </c>
      <c r="BQ274" s="4">
        <v>0</v>
      </c>
      <c r="BR274" s="4">
        <v>0</v>
      </c>
      <c r="BS274" s="4">
        <v>0</v>
      </c>
      <c r="BT274" s="4">
        <f>IF(OR(MID(TBBP[[#This Row],[Coluna1]],1,1)="1",MID(TBBP[[#This Row],[Coluna1]],1,1)="2"),TBBP[[#This Row],[Coluna127]],SUM(BH274:BS274))</f>
        <v>0</v>
      </c>
      <c r="BU274" s="4">
        <v>0</v>
      </c>
      <c r="BV274" s="4">
        <v>-2286</v>
      </c>
      <c r="BW274" s="4">
        <v>0</v>
      </c>
      <c r="BX274" s="4">
        <v>-2582.5300000000002</v>
      </c>
      <c r="BY274" s="4">
        <v>0</v>
      </c>
      <c r="BZ274" s="4">
        <v>0</v>
      </c>
      <c r="CA274" s="4">
        <v>0</v>
      </c>
      <c r="CB274" s="4">
        <v>-156.18</v>
      </c>
      <c r="CC274" s="4">
        <v>0</v>
      </c>
      <c r="CD274" s="4">
        <v>0</v>
      </c>
      <c r="CE274" s="4">
        <v>0</v>
      </c>
      <c r="CF274" s="4">
        <v>0</v>
      </c>
      <c r="CG274" s="4">
        <f>IF(OR(MID(TBBP[[#This Row],[Coluna1]],1,1)="1",MID(TBBP[[#This Row],[Coluna1]],1,1)="2"),CF274,SUM(BU274:CF274))</f>
        <v>-5024.7100000000009</v>
      </c>
      <c r="CH274" s="4">
        <v>0</v>
      </c>
      <c r="CI274" s="4">
        <v>0</v>
      </c>
      <c r="CJ274" s="4">
        <v>0</v>
      </c>
      <c r="CK274" s="4" t="s">
        <v>1134</v>
      </c>
      <c r="CL274" s="4">
        <v>0</v>
      </c>
      <c r="CM274" s="4" t="s">
        <v>1134</v>
      </c>
      <c r="CN274" s="4">
        <v>-104.12</v>
      </c>
      <c r="CO274" s="4">
        <v>0</v>
      </c>
      <c r="CP274" s="4">
        <v>0</v>
      </c>
      <c r="CQ274" s="4">
        <v>0</v>
      </c>
      <c r="CR274" s="4">
        <v>-312.37</v>
      </c>
      <c r="CS274" s="4">
        <v>0</v>
      </c>
      <c r="CT274" s="4">
        <f>IF(OR(MID(TBBP[[#This Row],[Coluna1]],1,1)="1",MID(TBBP[[#This Row],[Coluna1]],1,1)="2"),CS274,SUM(CH274:CS274))</f>
        <v>-416.49</v>
      </c>
      <c r="CU274" s="255">
        <v>0</v>
      </c>
      <c r="CV274" s="255">
        <v>-156.18</v>
      </c>
      <c r="CW274" s="255">
        <v>0</v>
      </c>
      <c r="CX274" s="255">
        <v>0</v>
      </c>
      <c r="CY274" s="255">
        <v>0</v>
      </c>
      <c r="CZ274" s="255">
        <v>-104.12</v>
      </c>
      <c r="DA274" s="255">
        <v>0</v>
      </c>
      <c r="DB274" s="255">
        <v>0</v>
      </c>
      <c r="DC274" s="255">
        <v>0</v>
      </c>
      <c r="DD274" s="255">
        <v>0</v>
      </c>
      <c r="DE274" s="255">
        <v>0</v>
      </c>
      <c r="DF274" s="255">
        <v>0</v>
      </c>
      <c r="DG274" s="255">
        <f>SUM(TBBP[[#This Row],[Coluna287]:[Coluna298]])</f>
        <v>-260.3</v>
      </c>
      <c r="DH274" s="255">
        <v>0</v>
      </c>
      <c r="DI274" s="255">
        <v>0</v>
      </c>
      <c r="DJ274" s="255">
        <v>0</v>
      </c>
      <c r="DK274" s="255">
        <v>0</v>
      </c>
      <c r="DL274" s="255">
        <v>0</v>
      </c>
      <c r="DM274" s="255">
        <v>0</v>
      </c>
      <c r="DP274" s="30">
        <f>IF(OR(MID(TBBP[[#This Row],[Coluna1]],1,1)="1",MID(TBBP[[#This Row],[Coluna1]],1,1)="2"),"-",SUMIFS(274:274,listaPeriodos,$DR$1,listaPeriodos,$DR$2))</f>
        <v>0</v>
      </c>
      <c r="DQ274" s="30"/>
      <c r="DR274" s="30">
        <f t="shared" si="181"/>
        <v>0</v>
      </c>
      <c r="DS274" s="30"/>
      <c r="DT274" s="30"/>
      <c r="DU274"/>
    </row>
    <row r="275" spans="1:125" x14ac:dyDescent="0.3">
      <c r="A275" s="7" t="s">
        <v>460</v>
      </c>
      <c r="B275" t="s">
        <v>586</v>
      </c>
      <c r="C275" s="4">
        <v>0</v>
      </c>
      <c r="D275" s="4">
        <v>0</v>
      </c>
      <c r="E275" s="4">
        <v>0</v>
      </c>
      <c r="F275" s="4">
        <v>0</v>
      </c>
      <c r="G275" s="4">
        <v>-48820.38</v>
      </c>
      <c r="H275" s="4">
        <v>-1275.9000000000001</v>
      </c>
      <c r="I275" s="4">
        <v>-670</v>
      </c>
      <c r="J275" s="4">
        <v>-2238.6</v>
      </c>
      <c r="K275" s="4">
        <v>-670</v>
      </c>
      <c r="L275" s="4">
        <v>-759.6</v>
      </c>
      <c r="M275" s="4">
        <v>-1305.7</v>
      </c>
      <c r="N275" s="4">
        <v>-880.19</v>
      </c>
      <c r="O275" s="4">
        <v>-1902.36</v>
      </c>
      <c r="P275" s="4">
        <v>-3059.75</v>
      </c>
      <c r="Q275" s="4">
        <v>-1937.03</v>
      </c>
      <c r="R275" s="4">
        <v>-1966.05</v>
      </c>
      <c r="S275" s="4">
        <v>-129.99</v>
      </c>
      <c r="T275" s="4">
        <f>IF(OR(MID(TBBP[[#This Row],[Coluna1]],1,1)="1",MID(TBBP[[#This Row],[Coluna1]],1,1)="2"),TBBP[[#This Row],[Coluna19]],SUM(H275:S275))</f>
        <v>-16795.170000000002</v>
      </c>
      <c r="U275" s="4">
        <v>-3224</v>
      </c>
      <c r="V275" s="4">
        <v>-825.86</v>
      </c>
      <c r="W275" s="4">
        <v>-4100.1099999999997</v>
      </c>
      <c r="X275" s="4">
        <v>-3081.1</v>
      </c>
      <c r="Y275" s="4">
        <v>-928.18</v>
      </c>
      <c r="Z275" s="4">
        <v>-1206</v>
      </c>
      <c r="AA275" s="4">
        <v>-7542.49</v>
      </c>
      <c r="AB275" s="4">
        <v>-6374.55</v>
      </c>
      <c r="AC275" s="4">
        <v>-3370.09</v>
      </c>
      <c r="AD275" s="4">
        <v>-13493.73</v>
      </c>
      <c r="AE275" s="4">
        <v>-628.17999999999995</v>
      </c>
      <c r="AF275" s="4">
        <v>-3521.6</v>
      </c>
      <c r="AG275" s="4">
        <f>IF(OR(MID(TBBP[[#This Row],[Coluna1]],1,1)="1",MID(TBBP[[#This Row],[Coluna1]],1,1)="2"),TBBP[[#This Row],[Coluna32]],SUM(U275:AF275))</f>
        <v>-48295.89</v>
      </c>
      <c r="AH275" s="4">
        <v>-910.8</v>
      </c>
      <c r="AI275" s="4">
        <v>-3087.26</v>
      </c>
      <c r="AJ275" s="4">
        <v>-725</v>
      </c>
      <c r="AK275" s="4">
        <v>-2109.5</v>
      </c>
      <c r="AL275" s="4">
        <v>-550</v>
      </c>
      <c r="AM275" s="4">
        <v>-1461.95</v>
      </c>
      <c r="AN275" s="4">
        <v>-992.67</v>
      </c>
      <c r="AO275" s="4">
        <v>-6650</v>
      </c>
      <c r="AP275" s="4">
        <v>-5312.9</v>
      </c>
      <c r="AQ275" s="4">
        <v>-444.99</v>
      </c>
      <c r="AR275" s="4">
        <v>-2370.6799999999998</v>
      </c>
      <c r="AS275" s="4">
        <v>-1786</v>
      </c>
      <c r="AT275" s="4">
        <f>IF(OR(MID(TBBP[[#This Row],[Coluna1]],1,1)="1",MID(TBBP[[#This Row],[Coluna1]],1,1)="2"),TBBP[[#This Row],[Coluna45]],SUM(AH275:AS275))</f>
        <v>-26401.750000000004</v>
      </c>
      <c r="AU275" s="4">
        <v>-3436.07</v>
      </c>
      <c r="AV275" s="4">
        <v>-1735.37</v>
      </c>
      <c r="AW275" s="4">
        <v>-1974.43</v>
      </c>
      <c r="AX275" s="4">
        <v>-15058.52</v>
      </c>
      <c r="AY275" s="4">
        <v>-28500.45</v>
      </c>
      <c r="AZ275" s="4">
        <v>-21934.639999999999</v>
      </c>
      <c r="BA275" s="4">
        <v>-17683.95</v>
      </c>
      <c r="BB275" s="4">
        <v>-2957.97</v>
      </c>
      <c r="BC275" s="4">
        <v>-11917</v>
      </c>
      <c r="BD275" s="4">
        <v>-21623.87</v>
      </c>
      <c r="BE275" s="4">
        <v>-39248.54</v>
      </c>
      <c r="BF275" s="4">
        <v>-12817.21</v>
      </c>
      <c r="BG275" s="4">
        <f>IF(OR(MID(TBBP[[#This Row],[Coluna1]],1,1)="1",MID(TBBP[[#This Row],[Coluna1]],1,1)="2"),TBBP[[#This Row],[Coluna58]],SUM(AU275:BF275))</f>
        <v>-178888.02</v>
      </c>
      <c r="BH275" s="4">
        <v>-13512.78</v>
      </c>
      <c r="BI275" s="4">
        <v>-4768.29</v>
      </c>
      <c r="BJ275" s="4">
        <v>-6600.25</v>
      </c>
      <c r="BK275" s="4">
        <v>-7710.37</v>
      </c>
      <c r="BL275" s="4">
        <v>-9993.2900000000009</v>
      </c>
      <c r="BM275" s="4">
        <v>-3923.07</v>
      </c>
      <c r="BN275" s="4">
        <v>-3792.64</v>
      </c>
      <c r="BO275" s="4">
        <v>-2516.77</v>
      </c>
      <c r="BP275" s="4">
        <v>-1105.8900000000001</v>
      </c>
      <c r="BQ275" s="4">
        <v>-819.21</v>
      </c>
      <c r="BR275" s="4">
        <v>-704.87</v>
      </c>
      <c r="BS275" s="4">
        <v>-14532.62</v>
      </c>
      <c r="BT275" s="4">
        <f>IF(OR(MID(TBBP[[#This Row],[Coluna1]],1,1)="1",MID(TBBP[[#This Row],[Coluna1]],1,1)="2"),TBBP[[#This Row],[Coluna127]],SUM(BH275:BS275))</f>
        <v>-69980.049999999988</v>
      </c>
      <c r="BU275" s="4">
        <v>-10653.01</v>
      </c>
      <c r="BV275" s="4">
        <v>-1782.91</v>
      </c>
      <c r="BW275" s="4">
        <v>-7961.68</v>
      </c>
      <c r="BX275" s="4">
        <v>-16625.45</v>
      </c>
      <c r="BY275" s="4">
        <v>-87701.22</v>
      </c>
      <c r="BZ275" s="4">
        <v>-15876.31</v>
      </c>
      <c r="CA275" s="4">
        <v>-15539.37</v>
      </c>
      <c r="CB275" s="4">
        <v>-12434.79</v>
      </c>
      <c r="CC275" s="4">
        <v>-23350.33</v>
      </c>
      <c r="CD275" s="4">
        <v>-12593.88</v>
      </c>
      <c r="CE275" s="4">
        <v>-18361.330000000002</v>
      </c>
      <c r="CF275" s="4">
        <v>-52719.99</v>
      </c>
      <c r="CG275" s="4">
        <f>IF(OR(MID(TBBP[[#This Row],[Coluna1]],1,1)="1",MID(TBBP[[#This Row],[Coluna1]],1,1)="2"),CF275,SUM(BU275:CF275))</f>
        <v>-275600.27</v>
      </c>
      <c r="CH275" s="4">
        <v>-21672.77</v>
      </c>
      <c r="CI275" s="4">
        <v>-12872.4</v>
      </c>
      <c r="CJ275" s="4">
        <v>-31600.91</v>
      </c>
      <c r="CK275" s="4">
        <v>-8608.5300000000007</v>
      </c>
      <c r="CL275" s="4">
        <v>-9940.8799999999992</v>
      </c>
      <c r="CM275" s="4">
        <v>-7381.05</v>
      </c>
      <c r="CN275" s="4">
        <v>-28931.46</v>
      </c>
      <c r="CO275" s="4">
        <v>-32869.15</v>
      </c>
      <c r="CP275" s="4">
        <v>-16968</v>
      </c>
      <c r="CQ275" s="4">
        <v>-12461.02</v>
      </c>
      <c r="CR275" s="4">
        <v>-16307.57</v>
      </c>
      <c r="CS275" s="4">
        <v>-54505.61</v>
      </c>
      <c r="CT275" s="4">
        <f>IF(OR(MID(TBBP[[#This Row],[Coluna1]],1,1)="1",MID(TBBP[[#This Row],[Coluna1]],1,1)="2"),CS275,SUM(CH275:CS275))</f>
        <v>-254119.34999999998</v>
      </c>
      <c r="CU275" s="255">
        <v>-12927.61</v>
      </c>
      <c r="CV275" s="255">
        <v>-11198.39</v>
      </c>
      <c r="CW275" s="255">
        <v>-26132.079999999998</v>
      </c>
      <c r="CX275" s="255">
        <v>-17414.25</v>
      </c>
      <c r="CY275" s="255">
        <v>-38156.06</v>
      </c>
      <c r="CZ275" s="255">
        <v>-19176.919999999998</v>
      </c>
      <c r="DA275" s="255">
        <v>-38508.19</v>
      </c>
      <c r="DB275" s="255">
        <v>-12936.51</v>
      </c>
      <c r="DC275" s="255">
        <v>-59944.800000000003</v>
      </c>
      <c r="DD275" s="255">
        <v>-27013.67</v>
      </c>
      <c r="DE275" s="255">
        <v>-19898.919999999998</v>
      </c>
      <c r="DF275" s="255">
        <v>-85225.44</v>
      </c>
      <c r="DG275" s="255">
        <f>SUM(TBBP[[#This Row],[Coluna287]:[Coluna298]])</f>
        <v>-368532.83999999997</v>
      </c>
      <c r="DH275" s="255">
        <v>-13653.31</v>
      </c>
      <c r="DI275" s="255">
        <v>-20107.009999999998</v>
      </c>
      <c r="DJ275" s="255">
        <v>-18356.509999999998</v>
      </c>
      <c r="DK275" s="255">
        <v>-13399.95</v>
      </c>
      <c r="DL275" s="255">
        <v>-34194.01</v>
      </c>
      <c r="DM275" s="255">
        <v>-9864.82</v>
      </c>
      <c r="DP275" s="30">
        <f>IF(OR(MID(TBBP[[#This Row],[Coluna1]],1,1)="1",MID(TBBP[[#This Row],[Coluna1]],1,1)="2"),"-",SUMIFS(275:275,listaPeriodos,$DR$1,listaPeriodos,$DR$2))</f>
        <v>-109575.61000000002</v>
      </c>
      <c r="DQ275" s="30"/>
      <c r="DR275" s="30">
        <f t="shared" si="181"/>
        <v>0</v>
      </c>
      <c r="DS275" s="30"/>
      <c r="DT275" s="30"/>
      <c r="DU275"/>
    </row>
    <row r="276" spans="1:125" x14ac:dyDescent="0.3">
      <c r="A276" s="7" t="s">
        <v>461</v>
      </c>
      <c r="B276" t="s">
        <v>587</v>
      </c>
      <c r="C276" s="4">
        <v>0</v>
      </c>
      <c r="D276" s="4">
        <v>0</v>
      </c>
      <c r="E276" s="4">
        <v>0</v>
      </c>
      <c r="F276" s="4">
        <v>0</v>
      </c>
      <c r="G276" s="4">
        <v>-32518.799999999999</v>
      </c>
      <c r="H276" s="4">
        <v>-670</v>
      </c>
      <c r="I276" s="4">
        <v>-670</v>
      </c>
      <c r="J276" s="4">
        <v>-670</v>
      </c>
      <c r="K276" s="4">
        <v>-670</v>
      </c>
      <c r="L276" s="4">
        <v>-670</v>
      </c>
      <c r="M276" s="4">
        <v>-670</v>
      </c>
      <c r="N276" s="4">
        <v>-822.73</v>
      </c>
      <c r="O276" s="4">
        <v>-711</v>
      </c>
      <c r="P276" s="4">
        <v>-1925</v>
      </c>
      <c r="Q276" s="4">
        <v>-875</v>
      </c>
      <c r="R276" s="4">
        <v>-725</v>
      </c>
      <c r="S276" s="4">
        <v>-117</v>
      </c>
      <c r="T276" s="4">
        <f>IF(OR(MID(TBBP[[#This Row],[Coluna1]],1,1)="1",MID(TBBP[[#This Row],[Coluna1]],1,1)="2"),TBBP[[#This Row],[Coluna19]],SUM(H276:S276))</f>
        <v>-9195.73</v>
      </c>
      <c r="U276" s="4">
        <v>-725</v>
      </c>
      <c r="V276" s="4">
        <v>-725</v>
      </c>
      <c r="W276" s="4">
        <v>-3412</v>
      </c>
      <c r="X276" s="4">
        <v>-725</v>
      </c>
      <c r="Y276" s="4">
        <v>-875</v>
      </c>
      <c r="Z276" s="4">
        <v>-1206</v>
      </c>
      <c r="AA276" s="4">
        <v>-7542.49</v>
      </c>
      <c r="AB276" s="4">
        <v>-6374.55</v>
      </c>
      <c r="AC276" s="4">
        <v>-733.75</v>
      </c>
      <c r="AD276" s="4">
        <v>-5902.5</v>
      </c>
      <c r="AE276" s="4">
        <v>-575</v>
      </c>
      <c r="AF276" s="4">
        <v>-725</v>
      </c>
      <c r="AG276" s="4">
        <f>IF(OR(MID(TBBP[[#This Row],[Coluna1]],1,1)="1",MID(TBBP[[#This Row],[Coluna1]],1,1)="2"),TBBP[[#This Row],[Coluna32]],SUM(U276:AF276))</f>
        <v>-29521.29</v>
      </c>
      <c r="AH276" s="4">
        <v>-725</v>
      </c>
      <c r="AI276" s="4">
        <v>-575</v>
      </c>
      <c r="AJ276" s="4">
        <v>-725</v>
      </c>
      <c r="AK276" s="4">
        <v>0</v>
      </c>
      <c r="AL276" s="4">
        <v>-550</v>
      </c>
      <c r="AM276" s="4">
        <v>-1191</v>
      </c>
      <c r="AN276" s="4">
        <v>-125</v>
      </c>
      <c r="AO276" s="4">
        <v>-650</v>
      </c>
      <c r="AP276" s="4">
        <v>-5285</v>
      </c>
      <c r="AQ276" s="4">
        <v>-125</v>
      </c>
      <c r="AR276" s="4">
        <v>-2370.6799999999998</v>
      </c>
      <c r="AS276" s="4">
        <v>-1786</v>
      </c>
      <c r="AT276" s="4">
        <f>IF(OR(MID(TBBP[[#This Row],[Coluna1]],1,1)="1",MID(TBBP[[#This Row],[Coluna1]],1,1)="2"),TBBP[[#This Row],[Coluna45]],SUM(AH276:AS276))</f>
        <v>-14107.68</v>
      </c>
      <c r="AU276" s="4">
        <v>-1786</v>
      </c>
      <c r="AV276" s="4">
        <v>-1505.37</v>
      </c>
      <c r="AW276" s="4">
        <v>-1974.43</v>
      </c>
      <c r="AX276" s="4">
        <v>-1774.2</v>
      </c>
      <c r="AY276" s="4">
        <v>-1908.45</v>
      </c>
      <c r="AZ276" s="4">
        <v>-3063.71</v>
      </c>
      <c r="BA276" s="4">
        <v>-1943.95</v>
      </c>
      <c r="BB276" s="4">
        <v>-1441.92</v>
      </c>
      <c r="BC276" s="4">
        <v>-2085.5</v>
      </c>
      <c r="BD276" s="4">
        <v>-9890.52</v>
      </c>
      <c r="BE276" s="4">
        <v>-26940.59</v>
      </c>
      <c r="BF276" s="4">
        <v>-1260.92</v>
      </c>
      <c r="BG276" s="4">
        <f>IF(OR(MID(TBBP[[#This Row],[Coluna1]],1,1)="1",MID(TBBP[[#This Row],[Coluna1]],1,1)="2"),TBBP[[#This Row],[Coluna58]],SUM(AU276:BF276))</f>
        <v>-55575.56</v>
      </c>
      <c r="BH276" s="4">
        <v>-1869.43</v>
      </c>
      <c r="BI276" s="4">
        <v>-1222.98</v>
      </c>
      <c r="BJ276" s="4">
        <v>-1658.8</v>
      </c>
      <c r="BK276" s="4">
        <v>-1182.3699999999999</v>
      </c>
      <c r="BL276" s="4">
        <v>-1109.43</v>
      </c>
      <c r="BM276" s="4">
        <v>-966.25</v>
      </c>
      <c r="BN276" s="4">
        <v>-845.43</v>
      </c>
      <c r="BO276" s="4">
        <v>-709.01</v>
      </c>
      <c r="BP276" s="4">
        <v>-1105.8900000000001</v>
      </c>
      <c r="BQ276" s="4">
        <v>-732.68</v>
      </c>
      <c r="BR276" s="4">
        <v>-704.87</v>
      </c>
      <c r="BS276" s="4">
        <v>-687.17</v>
      </c>
      <c r="BT276" s="4">
        <f>IF(OR(MID(TBBP[[#This Row],[Coluna1]],1,1)="1",MID(TBBP[[#This Row],[Coluna1]],1,1)="2"),TBBP[[#This Row],[Coluna127]],SUM(BH276:BS276))</f>
        <v>-12794.310000000001</v>
      </c>
      <c r="BU276" s="4">
        <v>-875.67</v>
      </c>
      <c r="BV276" s="4">
        <v>-932.91</v>
      </c>
      <c r="BW276" s="4">
        <v>-686.17</v>
      </c>
      <c r="BX276" s="4">
        <v>-719.76</v>
      </c>
      <c r="BY276" s="4">
        <v>-1400.32</v>
      </c>
      <c r="BZ276" s="4">
        <v>-846.07</v>
      </c>
      <c r="CA276" s="4">
        <v>-762.93</v>
      </c>
      <c r="CB276" s="4">
        <v>-1136.81</v>
      </c>
      <c r="CC276" s="4">
        <v>-5513.21</v>
      </c>
      <c r="CD276" s="4">
        <v>-1108.1500000000001</v>
      </c>
      <c r="CE276" s="4">
        <v>-1082.48</v>
      </c>
      <c r="CF276" s="4">
        <v>-959.57</v>
      </c>
      <c r="CG276" s="4">
        <f>IF(OR(MID(TBBP[[#This Row],[Coluna1]],1,1)="1",MID(TBBP[[#This Row],[Coluna1]],1,1)="2"),CF276,SUM(BU276:CF276))</f>
        <v>-16024.049999999997</v>
      </c>
      <c r="CH276" s="4">
        <v>-1283.17</v>
      </c>
      <c r="CI276" s="4">
        <v>-2283.64</v>
      </c>
      <c r="CJ276" s="4">
        <v>-1048.05</v>
      </c>
      <c r="CK276" s="4">
        <v>-1573.93</v>
      </c>
      <c r="CL276" s="4">
        <v>-1372.89</v>
      </c>
      <c r="CM276" s="4">
        <v>-1122.3699999999999</v>
      </c>
      <c r="CN276" s="4">
        <v>-917.67</v>
      </c>
      <c r="CO276" s="4">
        <v>-1392.43</v>
      </c>
      <c r="CP276" s="4">
        <v>-1181.95</v>
      </c>
      <c r="CQ276" s="4">
        <v>-1134.98</v>
      </c>
      <c r="CR276" s="4">
        <v>-1570.82</v>
      </c>
      <c r="CS276" s="4">
        <v>-1236.1600000000001</v>
      </c>
      <c r="CT276" s="4">
        <f>IF(OR(MID(TBBP[[#This Row],[Coluna1]],1,1)="1",MID(TBBP[[#This Row],[Coluna1]],1,1)="2"),CS276,SUM(CH276:CS276))</f>
        <v>-16118.06</v>
      </c>
      <c r="CU276" s="255">
        <v>-1158.95</v>
      </c>
      <c r="CV276" s="255">
        <v>-1179.75</v>
      </c>
      <c r="CW276" s="255">
        <v>-1290.01</v>
      </c>
      <c r="CX276" s="255">
        <v>-1530.63</v>
      </c>
      <c r="CY276" s="255">
        <v>-1404.62</v>
      </c>
      <c r="CZ276" s="255">
        <v>-1248.01</v>
      </c>
      <c r="DA276" s="255">
        <v>-1479.37</v>
      </c>
      <c r="DB276" s="255">
        <v>-1218.82</v>
      </c>
      <c r="DC276" s="255">
        <v>-900</v>
      </c>
      <c r="DD276" s="255">
        <v>-1218.82</v>
      </c>
      <c r="DE276" s="255">
        <v>-1325.41</v>
      </c>
      <c r="DF276" s="255">
        <v>-1505.41</v>
      </c>
      <c r="DG276" s="255">
        <f>SUM(TBBP[[#This Row],[Coluna287]:[Coluna298]])</f>
        <v>-15459.8</v>
      </c>
      <c r="DH276" s="255">
        <v>-900</v>
      </c>
      <c r="DI276" s="255">
        <v>-1484.82</v>
      </c>
      <c r="DJ276" s="255">
        <v>-900</v>
      </c>
      <c r="DK276" s="255">
        <v>-1332.48</v>
      </c>
      <c r="DL276" s="255">
        <v>-5857.39</v>
      </c>
      <c r="DM276" s="255">
        <v>-2279.94</v>
      </c>
      <c r="DO276" t="s">
        <v>461</v>
      </c>
      <c r="DP276" s="30">
        <f>IF(OR(MID(TBBP[[#This Row],[Coluna1]],1,1)="1",MID(TBBP[[#This Row],[Coluna1]],1,1)="2"),"-",SUMIFS(276:276,listaPeriodos,$DR$1,listaPeriodos,$DR$2))</f>
        <v>-12754.63</v>
      </c>
      <c r="DQ276" s="30">
        <v>-2055.1999999999998</v>
      </c>
      <c r="DR276" s="30">
        <f t="shared" si="181"/>
        <v>-12331.199999999999</v>
      </c>
      <c r="DS276" s="30"/>
      <c r="DT276" s="30"/>
      <c r="DU276"/>
    </row>
    <row r="277" spans="1:125" x14ac:dyDescent="0.3">
      <c r="A277" s="7" t="s">
        <v>462</v>
      </c>
      <c r="B277" t="s">
        <v>588</v>
      </c>
      <c r="C277" s="4">
        <v>0</v>
      </c>
      <c r="D277" s="4">
        <v>0</v>
      </c>
      <c r="E277" s="4">
        <v>0</v>
      </c>
      <c r="F277" s="4">
        <v>0</v>
      </c>
      <c r="G277" s="4">
        <v>-256</v>
      </c>
      <c r="H277" s="4">
        <v>-215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f>IF(OR(MID(TBBP[[#This Row],[Coluna1]],1,1)="1",MID(TBBP[[#This Row],[Coluna1]],1,1)="2"),TBBP[[#This Row],[Coluna19]],SUM(H277:S277))</f>
        <v>-215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f>IF(OR(MID(TBBP[[#This Row],[Coluna1]],1,1)="1",MID(TBBP[[#This Row],[Coluna1]],1,1)="2"),TBBP[[#This Row],[Coluna32]],SUM(U277:AF277))</f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-6000</v>
      </c>
      <c r="AP277" s="4">
        <v>0</v>
      </c>
      <c r="AQ277" s="4">
        <v>0</v>
      </c>
      <c r="AR277" s="4">
        <v>0</v>
      </c>
      <c r="AS277" s="4">
        <v>0</v>
      </c>
      <c r="AT277" s="4">
        <f>IF(OR(MID(TBBP[[#This Row],[Coluna1]],1,1)="1",MID(TBBP[[#This Row],[Coluna1]],1,1)="2"),TBBP[[#This Row],[Coluna45]],SUM(AH277:AS277))</f>
        <v>-6000</v>
      </c>
      <c r="AU277" s="4">
        <v>0</v>
      </c>
      <c r="AV277" s="4">
        <v>0</v>
      </c>
      <c r="AW277" s="4">
        <v>0</v>
      </c>
      <c r="AX277" s="4">
        <v>0</v>
      </c>
      <c r="AY277" s="4">
        <v>-184</v>
      </c>
      <c r="AZ277" s="4">
        <v>0</v>
      </c>
      <c r="BA277" s="4">
        <v>0</v>
      </c>
      <c r="BB277" s="4">
        <v>0</v>
      </c>
      <c r="BC277" s="4">
        <v>0</v>
      </c>
      <c r="BD277" s="4">
        <v>0</v>
      </c>
      <c r="BE277" s="4">
        <v>0</v>
      </c>
      <c r="BF277" s="4">
        <v>0</v>
      </c>
      <c r="BG277" s="4">
        <f>IF(OR(MID(TBBP[[#This Row],[Coluna1]],1,1)="1",MID(TBBP[[#This Row],[Coluna1]],1,1)="2"),TBBP[[#This Row],[Coluna58]],SUM(AU277:BF277))</f>
        <v>-184</v>
      </c>
      <c r="BH277" s="4">
        <v>0</v>
      </c>
      <c r="BI277" s="4">
        <v>0</v>
      </c>
      <c r="BJ277" s="4">
        <v>0</v>
      </c>
      <c r="BK277" s="4">
        <v>0</v>
      </c>
      <c r="BL277" s="4">
        <v>0</v>
      </c>
      <c r="BM277" s="4">
        <v>0</v>
      </c>
      <c r="BN277" s="4">
        <v>0</v>
      </c>
      <c r="BO277" s="4">
        <v>0</v>
      </c>
      <c r="BP277" s="4">
        <v>0</v>
      </c>
      <c r="BQ277" s="4">
        <v>0</v>
      </c>
      <c r="BR277" s="4">
        <v>0</v>
      </c>
      <c r="BS277" s="4">
        <v>0</v>
      </c>
      <c r="BT277" s="4">
        <f>IF(OR(MID(TBBP[[#This Row],[Coluna1]],1,1)="1",MID(TBBP[[#This Row],[Coluna1]],1,1)="2"),TBBP[[#This Row],[Coluna127]],SUM(BH277:BS277))</f>
        <v>0</v>
      </c>
      <c r="BU277" s="4">
        <v>0</v>
      </c>
      <c r="BV277" s="4">
        <v>0</v>
      </c>
      <c r="BW277" s="4">
        <v>0</v>
      </c>
      <c r="BX277" s="4">
        <v>0</v>
      </c>
      <c r="BY277" s="4">
        <v>0</v>
      </c>
      <c r="BZ277" s="4">
        <v>0</v>
      </c>
      <c r="CA277" s="4">
        <v>0</v>
      </c>
      <c r="CB277" s="4">
        <v>0</v>
      </c>
      <c r="CC277" s="4">
        <v>0</v>
      </c>
      <c r="CD277" s="4">
        <v>0</v>
      </c>
      <c r="CE277" s="4">
        <v>0</v>
      </c>
      <c r="CF277" s="4">
        <v>0</v>
      </c>
      <c r="CG277" s="4">
        <f>IF(OR(MID(TBBP[[#This Row],[Coluna1]],1,1)="1",MID(TBBP[[#This Row],[Coluna1]],1,1)="2"),CF277,SUM(BU277:CF277))</f>
        <v>0</v>
      </c>
      <c r="CH277" s="4">
        <v>0</v>
      </c>
      <c r="CI277" s="4">
        <v>0</v>
      </c>
      <c r="CJ277" s="4">
        <v>0</v>
      </c>
      <c r="CK277" s="4" t="s">
        <v>1134</v>
      </c>
      <c r="CL277" s="4">
        <v>0</v>
      </c>
      <c r="CM277" s="4" t="s">
        <v>1134</v>
      </c>
      <c r="CN277" s="4">
        <v>0</v>
      </c>
      <c r="CO277" s="4">
        <v>0</v>
      </c>
      <c r="CP277" s="4">
        <v>0</v>
      </c>
      <c r="CQ277" s="4" t="s">
        <v>1134</v>
      </c>
      <c r="CR277" s="4" t="s">
        <v>1134</v>
      </c>
      <c r="CS277" s="4" t="s">
        <v>1134</v>
      </c>
      <c r="CT277" s="4">
        <f>IF(OR(MID(TBBP[[#This Row],[Coluna1]],1,1)="1",MID(TBBP[[#This Row],[Coluna1]],1,1)="2"),CS277,SUM(CH277:CS277))</f>
        <v>0</v>
      </c>
      <c r="CU277" s="255">
        <v>0</v>
      </c>
      <c r="CV277" s="255">
        <v>0</v>
      </c>
      <c r="CW277" s="255">
        <v>0</v>
      </c>
      <c r="CX277" s="255">
        <v>0</v>
      </c>
      <c r="CY277" s="255">
        <v>0</v>
      </c>
      <c r="CZ277" s="255">
        <v>0</v>
      </c>
      <c r="DA277" s="255">
        <v>0</v>
      </c>
      <c r="DB277" s="255">
        <v>0</v>
      </c>
      <c r="DC277" s="255">
        <v>0</v>
      </c>
      <c r="DD277" s="255">
        <v>0</v>
      </c>
      <c r="DE277" s="255"/>
      <c r="DF277" s="255">
        <v>0</v>
      </c>
      <c r="DG277" s="255">
        <f>SUM(TBBP[[#This Row],[Coluna287]:[Coluna298]])</f>
        <v>0</v>
      </c>
      <c r="DH277" s="255">
        <v>0</v>
      </c>
      <c r="DI277" s="255">
        <v>0</v>
      </c>
      <c r="DJ277" s="255">
        <v>0</v>
      </c>
      <c r="DK277" s="255">
        <v>0</v>
      </c>
      <c r="DL277" s="255">
        <v>0</v>
      </c>
      <c r="DM277" s="255">
        <v>0</v>
      </c>
      <c r="DP277" s="30">
        <f>IF(OR(MID(TBBP[[#This Row],[Coluna1]],1,1)="1",MID(TBBP[[#This Row],[Coluna1]],1,1)="2"),"-",SUMIFS(277:277,listaPeriodos,$DR$1,listaPeriodos,$DR$2))</f>
        <v>0</v>
      </c>
      <c r="DQ277" s="30"/>
      <c r="DR277" s="30">
        <f t="shared" si="181"/>
        <v>0</v>
      </c>
      <c r="DS277" s="30"/>
      <c r="DT277" s="30"/>
      <c r="DU277"/>
    </row>
    <row r="278" spans="1:125" x14ac:dyDescent="0.3">
      <c r="A278" s="7" t="s">
        <v>463</v>
      </c>
      <c r="B278" t="s">
        <v>589</v>
      </c>
      <c r="C278" s="4">
        <v>0</v>
      </c>
      <c r="D278" s="4">
        <v>0</v>
      </c>
      <c r="E278" s="4">
        <v>0</v>
      </c>
      <c r="F278" s="4">
        <v>0</v>
      </c>
      <c r="G278" s="4">
        <v>-445.49</v>
      </c>
      <c r="H278" s="4">
        <v>-366</v>
      </c>
      <c r="I278" s="4">
        <v>0</v>
      </c>
      <c r="J278" s="4">
        <v>-1134.2</v>
      </c>
      <c r="K278" s="4">
        <v>0</v>
      </c>
      <c r="L278" s="4">
        <v>-89.6</v>
      </c>
      <c r="M278" s="4">
        <v>0</v>
      </c>
      <c r="N278" s="4">
        <v>-57.46</v>
      </c>
      <c r="O278" s="4">
        <v>-1191.3599999999999</v>
      </c>
      <c r="P278" s="4">
        <v>0</v>
      </c>
      <c r="Q278" s="4">
        <v>0</v>
      </c>
      <c r="R278" s="4">
        <v>-1241.05</v>
      </c>
      <c r="S278" s="4">
        <v>0</v>
      </c>
      <c r="T278" s="4">
        <f>IF(OR(MID(TBBP[[#This Row],[Coluna1]],1,1)="1",MID(TBBP[[#This Row],[Coluna1]],1,1)="2"),TBBP[[#This Row],[Coluna19]],SUM(H278:S278))</f>
        <v>-4079.67</v>
      </c>
      <c r="U278" s="4">
        <v>-2499</v>
      </c>
      <c r="V278" s="4">
        <v>-100.86</v>
      </c>
      <c r="W278" s="4">
        <v>-688.11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f>IF(OR(MID(TBBP[[#This Row],[Coluna1]],1,1)="1",MID(TBBP[[#This Row],[Coluna1]],1,1)="2"),TBBP[[#This Row],[Coluna32]],SUM(U278:AF278))</f>
        <v>-3287.9700000000003</v>
      </c>
      <c r="AH278" s="4">
        <v>0</v>
      </c>
      <c r="AI278" s="4">
        <v>-883.79</v>
      </c>
      <c r="AJ278" s="4">
        <v>0</v>
      </c>
      <c r="AK278" s="4">
        <v>0</v>
      </c>
      <c r="AL278" s="4">
        <v>0</v>
      </c>
      <c r="AM278" s="4">
        <v>-213</v>
      </c>
      <c r="AN278" s="4">
        <v>-867.67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f>IF(OR(MID(TBBP[[#This Row],[Coluna1]],1,1)="1",MID(TBBP[[#This Row],[Coluna1]],1,1)="2"),TBBP[[#This Row],[Coluna45]],SUM(AH278:AS278))</f>
        <v>-1964.46</v>
      </c>
      <c r="AU278" s="4">
        <v>0</v>
      </c>
      <c r="AV278" s="4">
        <v>-230</v>
      </c>
      <c r="AW278" s="4">
        <v>0</v>
      </c>
      <c r="AX278" s="4">
        <v>0</v>
      </c>
      <c r="AY278" s="4">
        <v>0</v>
      </c>
      <c r="AZ278" s="4">
        <v>0</v>
      </c>
      <c r="BA278" s="4">
        <v>0</v>
      </c>
      <c r="BB278" s="4">
        <v>0</v>
      </c>
      <c r="BC278" s="4">
        <v>0</v>
      </c>
      <c r="BD278" s="4">
        <v>0</v>
      </c>
      <c r="BE278" s="4">
        <v>0</v>
      </c>
      <c r="BF278" s="4">
        <v>0</v>
      </c>
      <c r="BG278" s="4">
        <f>IF(OR(MID(TBBP[[#This Row],[Coluna1]],1,1)="1",MID(TBBP[[#This Row],[Coluna1]],1,1)="2"),TBBP[[#This Row],[Coluna58]],SUM(AU278:BF278))</f>
        <v>-230</v>
      </c>
      <c r="BH278" s="4">
        <v>0</v>
      </c>
      <c r="BI278" s="4">
        <v>0</v>
      </c>
      <c r="BJ278" s="4">
        <v>0</v>
      </c>
      <c r="BK278" s="4">
        <v>0</v>
      </c>
      <c r="BL278" s="4">
        <v>0</v>
      </c>
      <c r="BM278" s="4">
        <v>0</v>
      </c>
      <c r="BN278" s="4">
        <v>0</v>
      </c>
      <c r="BO278" s="4">
        <v>0</v>
      </c>
      <c r="BP278" s="4">
        <v>0</v>
      </c>
      <c r="BQ278" s="4">
        <v>0</v>
      </c>
      <c r="BR278" s="4">
        <v>0</v>
      </c>
      <c r="BS278" s="4">
        <v>0</v>
      </c>
      <c r="BT278" s="4">
        <f>IF(OR(MID(TBBP[[#This Row],[Coluna1]],1,1)="1",MID(TBBP[[#This Row],[Coluna1]],1,1)="2"),TBBP[[#This Row],[Coluna127]],SUM(BH278:BS278))</f>
        <v>0</v>
      </c>
      <c r="BU278" s="4">
        <v>0</v>
      </c>
      <c r="BV278" s="4">
        <v>0</v>
      </c>
      <c r="BW278" s="4">
        <v>0</v>
      </c>
      <c r="BX278" s="4">
        <v>0</v>
      </c>
      <c r="BY278" s="4">
        <v>0</v>
      </c>
      <c r="BZ278" s="4">
        <v>0</v>
      </c>
      <c r="CA278" s="4">
        <v>0</v>
      </c>
      <c r="CB278" s="4">
        <v>0</v>
      </c>
      <c r="CC278" s="4">
        <v>0</v>
      </c>
      <c r="CD278" s="4">
        <v>0</v>
      </c>
      <c r="CE278" s="4">
        <v>0</v>
      </c>
      <c r="CF278" s="4">
        <v>0</v>
      </c>
      <c r="CG278" s="4">
        <f>IF(OR(MID(TBBP[[#This Row],[Coluna1]],1,1)="1",MID(TBBP[[#This Row],[Coluna1]],1,1)="2"),CF278,SUM(BU278:CF278))</f>
        <v>0</v>
      </c>
      <c r="CH278" s="4">
        <v>0</v>
      </c>
      <c r="CI278" s="4">
        <v>0</v>
      </c>
      <c r="CJ278" s="4">
        <v>0</v>
      </c>
      <c r="CK278" s="4" t="s">
        <v>1134</v>
      </c>
      <c r="CL278" s="4">
        <v>0</v>
      </c>
      <c r="CM278" s="4" t="s">
        <v>1134</v>
      </c>
      <c r="CN278" s="4">
        <v>-5595.2</v>
      </c>
      <c r="CO278" s="4">
        <v>0</v>
      </c>
      <c r="CP278" s="4">
        <v>-78.98</v>
      </c>
      <c r="CQ278" s="4">
        <v>0</v>
      </c>
      <c r="CR278" s="4">
        <v>0</v>
      </c>
      <c r="CS278" s="4">
        <v>0</v>
      </c>
      <c r="CT278" s="4">
        <f>IF(OR(MID(TBBP[[#This Row],[Coluna1]],1,1)="1",MID(TBBP[[#This Row],[Coluna1]],1,1)="2"),CS278,SUM(CH278:CS278))</f>
        <v>-5674.1799999999994</v>
      </c>
      <c r="CU278" s="255">
        <v>0</v>
      </c>
      <c r="CV278" s="255">
        <v>0</v>
      </c>
      <c r="CW278" s="255">
        <v>-165.9</v>
      </c>
      <c r="CX278" s="255">
        <v>0</v>
      </c>
      <c r="CY278" s="255">
        <v>-400</v>
      </c>
      <c r="CZ278" s="255">
        <v>0</v>
      </c>
      <c r="DA278" s="255">
        <v>0</v>
      </c>
      <c r="DB278" s="255">
        <v>0</v>
      </c>
      <c r="DC278" s="255">
        <v>0</v>
      </c>
      <c r="DD278" s="255">
        <v>0</v>
      </c>
      <c r="DE278" s="255">
        <v>0</v>
      </c>
      <c r="DF278" s="255">
        <v>0</v>
      </c>
      <c r="DG278" s="255">
        <f>SUM(TBBP[[#This Row],[Coluna287]:[Coluna298]])</f>
        <v>-565.9</v>
      </c>
      <c r="DH278" s="255">
        <v>0</v>
      </c>
      <c r="DI278" s="255">
        <v>0</v>
      </c>
      <c r="DJ278" s="255">
        <v>-151.80000000000001</v>
      </c>
      <c r="DK278" s="255">
        <v>0</v>
      </c>
      <c r="DL278" s="255">
        <v>0</v>
      </c>
      <c r="DM278" s="255">
        <v>0</v>
      </c>
      <c r="DP278" s="30">
        <f>IF(OR(MID(TBBP[[#This Row],[Coluna1]],1,1)="1",MID(TBBP[[#This Row],[Coluna1]],1,1)="2"),"-",SUMIFS(278:278,listaPeriodos,$DR$1,listaPeriodos,$DR$2))</f>
        <v>-151.80000000000001</v>
      </c>
      <c r="DQ278" s="30"/>
      <c r="DR278" s="30">
        <f t="shared" si="181"/>
        <v>0</v>
      </c>
      <c r="DS278" s="30"/>
      <c r="DT278" s="30"/>
      <c r="DU278"/>
    </row>
    <row r="279" spans="1:125" x14ac:dyDescent="0.3">
      <c r="A279" s="7" t="s">
        <v>464</v>
      </c>
      <c r="B279" t="s">
        <v>590</v>
      </c>
      <c r="C279" s="4">
        <v>0</v>
      </c>
      <c r="D279" s="4">
        <v>0</v>
      </c>
      <c r="E279" s="4">
        <v>0</v>
      </c>
      <c r="F279" s="4">
        <v>0</v>
      </c>
      <c r="G279" s="4">
        <v>-1860.14</v>
      </c>
      <c r="H279" s="4">
        <v>0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f>IF(OR(MID(TBBP[[#This Row],[Coluna1]],1,1)="1",MID(TBBP[[#This Row],[Coluna1]],1,1)="2"),TBBP[[#This Row],[Coluna19]],SUM(H279:S279))</f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f>IF(OR(MID(TBBP[[#This Row],[Coluna1]],1,1)="1",MID(TBBP[[#This Row],[Coluna1]],1,1)="2"),TBBP[[#This Row],[Coluna32]],SUM(U279:AF279))</f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f>IF(OR(MID(TBBP[[#This Row],[Coluna1]],1,1)="1",MID(TBBP[[#This Row],[Coluna1]],1,1)="2"),TBBP[[#This Row],[Coluna45]],SUM(AH279:AS279))</f>
        <v>0</v>
      </c>
      <c r="AU279" s="4">
        <v>0</v>
      </c>
      <c r="AV279" s="4">
        <v>0</v>
      </c>
      <c r="AW279" s="4">
        <v>0</v>
      </c>
      <c r="AX279" s="4">
        <v>0</v>
      </c>
      <c r="AY279" s="4">
        <v>0</v>
      </c>
      <c r="AZ279" s="4">
        <v>0</v>
      </c>
      <c r="BA279" s="4">
        <v>0</v>
      </c>
      <c r="BB279" s="4">
        <v>0</v>
      </c>
      <c r="BC279" s="4">
        <v>0</v>
      </c>
      <c r="BD279" s="4">
        <v>0</v>
      </c>
      <c r="BE279" s="4">
        <v>0</v>
      </c>
      <c r="BF279" s="4">
        <v>0</v>
      </c>
      <c r="BG279" s="4">
        <f>IF(OR(MID(TBBP[[#This Row],[Coluna1]],1,1)="1",MID(TBBP[[#This Row],[Coluna1]],1,1)="2"),TBBP[[#This Row],[Coluna58]],SUM(AU279:BF279))</f>
        <v>0</v>
      </c>
      <c r="BH279" s="4">
        <v>0</v>
      </c>
      <c r="BI279" s="4">
        <v>0</v>
      </c>
      <c r="BJ279" s="4">
        <v>0</v>
      </c>
      <c r="BK279" s="4">
        <v>0</v>
      </c>
      <c r="BL279" s="4">
        <v>0</v>
      </c>
      <c r="BM279" s="4">
        <v>0</v>
      </c>
      <c r="BN279" s="4">
        <v>0</v>
      </c>
      <c r="BO279" s="4">
        <v>0</v>
      </c>
      <c r="BP279" s="4">
        <v>0</v>
      </c>
      <c r="BQ279" s="4">
        <v>0</v>
      </c>
      <c r="BR279" s="4">
        <v>0</v>
      </c>
      <c r="BS279" s="4">
        <v>0</v>
      </c>
      <c r="BT279" s="4">
        <f>IF(OR(MID(TBBP[[#This Row],[Coluna1]],1,1)="1",MID(TBBP[[#This Row],[Coluna1]],1,1)="2"),TBBP[[#This Row],[Coluna127]],SUM(BH279:BS279))</f>
        <v>0</v>
      </c>
      <c r="BU279" s="4">
        <v>-6505.24</v>
      </c>
      <c r="BV279" s="4">
        <v>0</v>
      </c>
      <c r="BW279" s="4">
        <v>0</v>
      </c>
      <c r="BX279" s="4">
        <v>0</v>
      </c>
      <c r="BY279" s="4">
        <v>0</v>
      </c>
      <c r="BZ279" s="4">
        <v>0</v>
      </c>
      <c r="CA279" s="4">
        <v>0</v>
      </c>
      <c r="CB279" s="4">
        <v>0</v>
      </c>
      <c r="CC279" s="4">
        <v>0</v>
      </c>
      <c r="CD279" s="4">
        <v>0</v>
      </c>
      <c r="CE279" s="4">
        <v>0</v>
      </c>
      <c r="CF279" s="4">
        <v>0</v>
      </c>
      <c r="CG279" s="4">
        <f>IF(OR(MID(TBBP[[#This Row],[Coluna1]],1,1)="1",MID(TBBP[[#This Row],[Coluna1]],1,1)="2"),CF279,SUM(BU279:CF279))</f>
        <v>-6505.24</v>
      </c>
      <c r="CH279" s="4">
        <v>-650.16999999999996</v>
      </c>
      <c r="CI279" s="4">
        <v>0</v>
      </c>
      <c r="CJ279" s="4">
        <v>0</v>
      </c>
      <c r="CK279" s="4">
        <v>0</v>
      </c>
      <c r="CL279" s="4">
        <v>0</v>
      </c>
      <c r="CM279" s="4">
        <v>0</v>
      </c>
      <c r="CN279" s="4">
        <v>-99.64</v>
      </c>
      <c r="CO279" s="4">
        <v>0</v>
      </c>
      <c r="CP279" s="4">
        <v>0</v>
      </c>
      <c r="CQ279" s="4">
        <v>0</v>
      </c>
      <c r="CR279" s="4">
        <v>0</v>
      </c>
      <c r="CS279" s="4">
        <v>0</v>
      </c>
      <c r="CT279" s="4">
        <f>IF(OR(MID(TBBP[[#This Row],[Coluna1]],1,1)="1",MID(TBBP[[#This Row],[Coluna1]],1,1)="2"),CS279,SUM(CH279:CS279))</f>
        <v>-749.81</v>
      </c>
      <c r="CU279" s="255">
        <v>0</v>
      </c>
      <c r="CV279" s="255">
        <v>0</v>
      </c>
      <c r="CW279" s="255">
        <v>0</v>
      </c>
      <c r="CX279" s="255">
        <v>0</v>
      </c>
      <c r="CY279" s="255">
        <v>0</v>
      </c>
      <c r="CZ279" s="255">
        <v>0</v>
      </c>
      <c r="DA279" s="255">
        <v>0</v>
      </c>
      <c r="DB279" s="255">
        <v>0</v>
      </c>
      <c r="DC279" s="255">
        <v>0</v>
      </c>
      <c r="DD279" s="255">
        <v>0</v>
      </c>
      <c r="DE279" s="255"/>
      <c r="DF279" s="255">
        <v>0</v>
      </c>
      <c r="DG279" s="255">
        <f>SUM(TBBP[[#This Row],[Coluna287]:[Coluna298]])</f>
        <v>0</v>
      </c>
      <c r="DH279" s="255">
        <v>0</v>
      </c>
      <c r="DI279" s="255">
        <v>0</v>
      </c>
      <c r="DJ279" s="255">
        <v>0</v>
      </c>
      <c r="DK279" s="255">
        <v>0</v>
      </c>
      <c r="DL279" s="255">
        <v>0</v>
      </c>
      <c r="DM279" s="255">
        <v>0</v>
      </c>
      <c r="DP279" s="30">
        <f>IF(OR(MID(TBBP[[#This Row],[Coluna1]],1,1)="1",MID(TBBP[[#This Row],[Coluna1]],1,1)="2"),"-",SUMIFS(279:279,listaPeriodos,$DR$1,listaPeriodos,$DR$2))</f>
        <v>0</v>
      </c>
      <c r="DQ279" s="30"/>
      <c r="DR279" s="30">
        <f t="shared" si="181"/>
        <v>0</v>
      </c>
      <c r="DS279" s="30"/>
      <c r="DT279" s="30"/>
      <c r="DU279"/>
    </row>
    <row r="280" spans="1:125" x14ac:dyDescent="0.3">
      <c r="A280" s="7" t="s">
        <v>465</v>
      </c>
      <c r="B280" t="s">
        <v>591</v>
      </c>
      <c r="C280" s="4">
        <v>0</v>
      </c>
      <c r="D280" s="4">
        <v>0</v>
      </c>
      <c r="E280" s="4">
        <v>0</v>
      </c>
      <c r="F280" s="4">
        <v>0</v>
      </c>
      <c r="G280" s="4">
        <v>-5524.95</v>
      </c>
      <c r="H280" s="4">
        <v>0</v>
      </c>
      <c r="I280" s="4">
        <v>0</v>
      </c>
      <c r="J280" s="4">
        <v>-434.4</v>
      </c>
      <c r="K280" s="4">
        <v>0</v>
      </c>
      <c r="L280" s="4">
        <v>0</v>
      </c>
      <c r="M280" s="4">
        <v>-635.70000000000005</v>
      </c>
      <c r="N280" s="4">
        <v>0</v>
      </c>
      <c r="O280" s="4">
        <v>0</v>
      </c>
      <c r="P280" s="4">
        <v>-1134.75</v>
      </c>
      <c r="Q280" s="4">
        <v>-1062.03</v>
      </c>
      <c r="R280" s="4">
        <v>0</v>
      </c>
      <c r="S280" s="4">
        <v>-12.99</v>
      </c>
      <c r="T280" s="4">
        <f>IF(OR(MID(TBBP[[#This Row],[Coluna1]],1,1)="1",MID(TBBP[[#This Row],[Coluna1]],1,1)="2"),TBBP[[#This Row],[Coluna19]],SUM(H280:S280))</f>
        <v>-3279.87</v>
      </c>
      <c r="U280" s="4">
        <v>0</v>
      </c>
      <c r="V280" s="4">
        <v>0</v>
      </c>
      <c r="W280" s="4">
        <v>0</v>
      </c>
      <c r="X280" s="4">
        <v>-2356.1</v>
      </c>
      <c r="Y280" s="4">
        <v>-53.18</v>
      </c>
      <c r="Z280" s="4">
        <v>-518.54</v>
      </c>
      <c r="AA280" s="4">
        <v>0</v>
      </c>
      <c r="AB280" s="4">
        <v>0</v>
      </c>
      <c r="AC280" s="4">
        <v>-2636.34</v>
      </c>
      <c r="AD280" s="4">
        <v>-7591.23</v>
      </c>
      <c r="AE280" s="4">
        <v>-53.18</v>
      </c>
      <c r="AF280" s="4">
        <v>-171.6</v>
      </c>
      <c r="AG280" s="4">
        <f>IF(OR(MID(TBBP[[#This Row],[Coluna1]],1,1)="1",MID(TBBP[[#This Row],[Coluna1]],1,1)="2"),TBBP[[#This Row],[Coluna32]],SUM(U280:AF280))</f>
        <v>-13380.17</v>
      </c>
      <c r="AH280" s="4">
        <v>-185.8</v>
      </c>
      <c r="AI280" s="4">
        <v>-1628.47</v>
      </c>
      <c r="AJ280" s="4">
        <v>0</v>
      </c>
      <c r="AK280" s="4">
        <v>-2109.5</v>
      </c>
      <c r="AL280" s="4">
        <v>0</v>
      </c>
      <c r="AM280" s="4">
        <v>-57.95</v>
      </c>
      <c r="AN280" s="4">
        <v>0</v>
      </c>
      <c r="AO280" s="4">
        <v>0</v>
      </c>
      <c r="AP280" s="4">
        <v>-27.9</v>
      </c>
      <c r="AQ280" s="4">
        <v>-319.99</v>
      </c>
      <c r="AR280" s="4">
        <v>0</v>
      </c>
      <c r="AS280" s="4">
        <v>0</v>
      </c>
      <c r="AT280" s="4">
        <f>IF(OR(MID(TBBP[[#This Row],[Coluna1]],1,1)="1",MID(TBBP[[#This Row],[Coluna1]],1,1)="2"),TBBP[[#This Row],[Coluna45]],SUM(AH280:AS280))</f>
        <v>-4329.6099999999997</v>
      </c>
      <c r="AU280" s="4">
        <v>-1650.07</v>
      </c>
      <c r="AV280" s="4">
        <v>0</v>
      </c>
      <c r="AW280" s="4">
        <v>0</v>
      </c>
      <c r="AX280" s="4">
        <v>-3934.72</v>
      </c>
      <c r="AY280" s="4">
        <v>0</v>
      </c>
      <c r="AZ280" s="4">
        <v>-601.01</v>
      </c>
      <c r="BA280" s="4">
        <v>-41.6</v>
      </c>
      <c r="BB280" s="4">
        <v>-1163.55</v>
      </c>
      <c r="BC280" s="4">
        <v>-112.3</v>
      </c>
      <c r="BD280" s="4">
        <v>-41.6</v>
      </c>
      <c r="BE280" s="4">
        <v>-260.55</v>
      </c>
      <c r="BF280" s="4">
        <v>-169.29</v>
      </c>
      <c r="BG280" s="4">
        <f>IF(OR(MID(TBBP[[#This Row],[Coluna1]],1,1)="1",MID(TBBP[[#This Row],[Coluna1]],1,1)="2"),TBBP[[#This Row],[Coluna58]],SUM(AU280:BF280))</f>
        <v>-7974.6900000000014</v>
      </c>
      <c r="BH280" s="4">
        <v>-41.6</v>
      </c>
      <c r="BI280" s="4">
        <v>-321.7</v>
      </c>
      <c r="BJ280" s="4">
        <v>0</v>
      </c>
      <c r="BK280" s="4">
        <v>0</v>
      </c>
      <c r="BL280" s="4">
        <v>-465.98</v>
      </c>
      <c r="BM280" s="4">
        <v>-34.32</v>
      </c>
      <c r="BN280" s="4">
        <v>-1897.21</v>
      </c>
      <c r="BO280" s="4">
        <v>-44.96</v>
      </c>
      <c r="BP280" s="4">
        <v>0</v>
      </c>
      <c r="BQ280" s="4">
        <v>-86.53</v>
      </c>
      <c r="BR280" s="4">
        <v>0</v>
      </c>
      <c r="BS280" s="4">
        <v>-2600</v>
      </c>
      <c r="BT280" s="4">
        <f>IF(OR(MID(TBBP[[#This Row],[Coluna1]],1,1)="1",MID(TBBP[[#This Row],[Coluna1]],1,1)="2"),TBBP[[#This Row],[Coluna127]],SUM(BH280:BS280))</f>
        <v>-5492.3</v>
      </c>
      <c r="BU280" s="4">
        <v>-12.25</v>
      </c>
      <c r="BV280" s="4">
        <v>0</v>
      </c>
      <c r="BW280" s="4">
        <v>-166.26</v>
      </c>
      <c r="BX280" s="4">
        <v>-24.5</v>
      </c>
      <c r="BY280" s="4">
        <v>-70111.460000000006</v>
      </c>
      <c r="BZ280" s="4">
        <v>0</v>
      </c>
      <c r="CA280" s="4">
        <v>-1966.15</v>
      </c>
      <c r="CB280" s="4">
        <v>-50</v>
      </c>
      <c r="CC280" s="4">
        <v>-130.08000000000001</v>
      </c>
      <c r="CD280" s="4">
        <v>0</v>
      </c>
      <c r="CE280" s="4">
        <v>-204.12</v>
      </c>
      <c r="CF280" s="4">
        <v>-12.25</v>
      </c>
      <c r="CG280" s="4">
        <f>IF(OR(MID(TBBP[[#This Row],[Coluna1]],1,1)="1",MID(TBBP[[#This Row],[Coluna1]],1,1)="2"),CF280,SUM(BU280:CF280))</f>
        <v>-72677.069999999992</v>
      </c>
      <c r="CH280" s="4">
        <v>0</v>
      </c>
      <c r="CI280" s="4">
        <v>-1411.59</v>
      </c>
      <c r="CJ280" s="4">
        <v>-25.32</v>
      </c>
      <c r="CK280" s="4">
        <v>-48.4</v>
      </c>
      <c r="CL280" s="4">
        <v>-91.99</v>
      </c>
      <c r="CM280" s="4">
        <v>-16.54</v>
      </c>
      <c r="CN280" s="4">
        <v>-24.81</v>
      </c>
      <c r="CO280" s="4">
        <v>0</v>
      </c>
      <c r="CP280" s="4">
        <v>-1853.8</v>
      </c>
      <c r="CQ280" s="4">
        <v>-2824</v>
      </c>
      <c r="CR280" s="4">
        <v>-294.14999999999998</v>
      </c>
      <c r="CS280" s="4">
        <v>0</v>
      </c>
      <c r="CT280" s="4">
        <f>IF(OR(MID(TBBP[[#This Row],[Coluna1]],1,1)="1",MID(TBBP[[#This Row],[Coluna1]],1,1)="2"),CS280,SUM(CH280:CS280))</f>
        <v>-6590.5999999999995</v>
      </c>
      <c r="CU280" s="255">
        <v>0</v>
      </c>
      <c r="CV280" s="255">
        <v>-2397.1400000000003</v>
      </c>
      <c r="CW280" s="255">
        <v>-870.95</v>
      </c>
      <c r="CX280" s="255">
        <v>-1408.66</v>
      </c>
      <c r="CY280" s="255">
        <v>-175.9</v>
      </c>
      <c r="CZ280" s="255">
        <v>-13.24</v>
      </c>
      <c r="DA280" s="255">
        <v>-637.42999999999995</v>
      </c>
      <c r="DB280" s="255">
        <v>0</v>
      </c>
      <c r="DC280" s="255">
        <v>0</v>
      </c>
      <c r="DD280" s="255">
        <v>0</v>
      </c>
      <c r="DE280" s="255">
        <v>0</v>
      </c>
      <c r="DF280" s="255">
        <v>0</v>
      </c>
      <c r="DG280" s="255">
        <f>SUM(TBBP[[#This Row],[Coluna287]:[Coluna298]])</f>
        <v>-5503.32</v>
      </c>
      <c r="DH280" s="255">
        <v>-106.23</v>
      </c>
      <c r="DI280" s="255">
        <v>-868.3</v>
      </c>
      <c r="DJ280" s="255">
        <v>-86.94</v>
      </c>
      <c r="DK280" s="255">
        <v>-317.88</v>
      </c>
      <c r="DL280" s="255">
        <v>-138.29</v>
      </c>
      <c r="DM280" s="255">
        <v>0</v>
      </c>
      <c r="DO280" t="s">
        <v>465</v>
      </c>
      <c r="DP280" s="30">
        <f>IF(OR(MID(TBBP[[#This Row],[Coluna1]],1,1)="1",MID(TBBP[[#This Row],[Coluna1]],1,1)="2"),"-",SUMIFS(280:280,listaPeriodos,$DR$1,listaPeriodos,$DR$2))</f>
        <v>-1517.6399999999999</v>
      </c>
      <c r="DQ280" s="30">
        <v>-137.71</v>
      </c>
      <c r="DR280" s="30">
        <f t="shared" si="181"/>
        <v>-826.26</v>
      </c>
      <c r="DS280" s="30"/>
      <c r="DT280" s="30"/>
      <c r="DU280"/>
    </row>
    <row r="281" spans="1:125" x14ac:dyDescent="0.3">
      <c r="A281" s="7" t="s">
        <v>466</v>
      </c>
      <c r="B281" t="s">
        <v>592</v>
      </c>
      <c r="C281" s="4">
        <v>0</v>
      </c>
      <c r="D281" s="4">
        <v>0</v>
      </c>
      <c r="E281" s="4">
        <v>0</v>
      </c>
      <c r="F281" s="4">
        <v>0</v>
      </c>
      <c r="G281" s="4">
        <v>-8215</v>
      </c>
      <c r="H281" s="4">
        <v>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f>IF(OR(MID(TBBP[[#This Row],[Coluna1]],1,1)="1",MID(TBBP[[#This Row],[Coluna1]],1,1)="2"),TBBP[[#This Row],[Coluna19]],SUM(H281:S281))</f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-2625</v>
      </c>
      <c r="AG281" s="4">
        <f>IF(OR(MID(TBBP[[#This Row],[Coluna1]],1,1)="1",MID(TBBP[[#This Row],[Coluna1]],1,1)="2"),TBBP[[#This Row],[Coluna32]],SUM(U281:AF281))</f>
        <v>-2625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f>IF(OR(MID(TBBP[[#This Row],[Coluna1]],1,1)="1",MID(TBBP[[#This Row],[Coluna1]],1,1)="2"),TBBP[[#This Row],[Coluna45]],SUM(AH281:AS281))</f>
        <v>0</v>
      </c>
      <c r="AU281" s="4">
        <v>0</v>
      </c>
      <c r="AV281" s="4">
        <v>0</v>
      </c>
      <c r="AW281" s="4">
        <v>0</v>
      </c>
      <c r="AX281" s="4">
        <v>0</v>
      </c>
      <c r="AY281" s="4">
        <v>0</v>
      </c>
      <c r="AZ281" s="4">
        <v>0</v>
      </c>
      <c r="BA281" s="4">
        <v>0</v>
      </c>
      <c r="BB281" s="4">
        <v>0</v>
      </c>
      <c r="BC281" s="4">
        <v>0</v>
      </c>
      <c r="BD281" s="4">
        <v>0</v>
      </c>
      <c r="BE281" s="4">
        <v>0</v>
      </c>
      <c r="BF281" s="4">
        <v>-3127</v>
      </c>
      <c r="BG281" s="4">
        <f>IF(OR(MID(TBBP[[#This Row],[Coluna1]],1,1)="1",MID(TBBP[[#This Row],[Coluna1]],1,1)="2"),TBBP[[#This Row],[Coluna58]],SUM(AU281:BF281))</f>
        <v>-3127</v>
      </c>
      <c r="BH281" s="4">
        <v>0</v>
      </c>
      <c r="BI281" s="4">
        <v>0</v>
      </c>
      <c r="BJ281" s="4">
        <v>0</v>
      </c>
      <c r="BK281" s="4">
        <v>0</v>
      </c>
      <c r="BL281" s="4">
        <v>-562.04</v>
      </c>
      <c r="BM281" s="4">
        <v>0</v>
      </c>
      <c r="BN281" s="4">
        <v>-1050</v>
      </c>
      <c r="BO281" s="4">
        <v>0</v>
      </c>
      <c r="BP281" s="4">
        <v>0</v>
      </c>
      <c r="BQ281" s="4">
        <v>0</v>
      </c>
      <c r="BR281" s="4">
        <v>0</v>
      </c>
      <c r="BS281" s="4">
        <v>-3730</v>
      </c>
      <c r="BT281" s="4">
        <f>IF(OR(MID(TBBP[[#This Row],[Coluna1]],1,1)="1",MID(TBBP[[#This Row],[Coluna1]],1,1)="2"),TBBP[[#This Row],[Coluna127]],SUM(BH281:BS281))</f>
        <v>-5342.04</v>
      </c>
      <c r="BU281" s="4">
        <v>-3200</v>
      </c>
      <c r="BV281" s="4">
        <v>0</v>
      </c>
      <c r="BW281" s="4">
        <v>0</v>
      </c>
      <c r="BX281" s="4">
        <v>0</v>
      </c>
      <c r="BY281" s="4">
        <v>0</v>
      </c>
      <c r="BZ281" s="4">
        <v>-1584</v>
      </c>
      <c r="CA281" s="4">
        <v>0</v>
      </c>
      <c r="CB281" s="4">
        <v>0</v>
      </c>
      <c r="CC281" s="4">
        <v>0</v>
      </c>
      <c r="CD281" s="4">
        <v>0</v>
      </c>
      <c r="CE281" s="4">
        <v>0</v>
      </c>
      <c r="CF281" s="4">
        <v>-34333.54</v>
      </c>
      <c r="CG281" s="4">
        <f>IF(OR(MID(TBBP[[#This Row],[Coluna1]],1,1)="1",MID(TBBP[[#This Row],[Coluna1]],1,1)="2"),CF281,SUM(BU281:CF281))</f>
        <v>-39117.54</v>
      </c>
      <c r="CH281" s="4">
        <v>-4869.18</v>
      </c>
      <c r="CI281" s="4">
        <v>0</v>
      </c>
      <c r="CJ281" s="4">
        <v>0</v>
      </c>
      <c r="CK281" s="4">
        <v>0</v>
      </c>
      <c r="CL281" s="4">
        <v>0</v>
      </c>
      <c r="CM281" s="4">
        <v>-596.14</v>
      </c>
      <c r="CN281" s="4">
        <v>-5795.19</v>
      </c>
      <c r="CO281" s="4">
        <v>-1790.91</v>
      </c>
      <c r="CP281" s="4">
        <v>-100</v>
      </c>
      <c r="CQ281" s="4">
        <v>-1989.19</v>
      </c>
      <c r="CR281" s="4">
        <v>-7350.34</v>
      </c>
      <c r="CS281" s="4">
        <v>-37752.129999999997</v>
      </c>
      <c r="CT281" s="4">
        <f>IF(OR(MID(TBBP[[#This Row],[Coluna1]],1,1)="1",MID(TBBP[[#This Row],[Coluna1]],1,1)="2"),CS281,SUM(CH281:CS281))</f>
        <v>-60243.08</v>
      </c>
      <c r="CU281" s="255">
        <v>-2683.96</v>
      </c>
      <c r="CV281" s="255">
        <v>0</v>
      </c>
      <c r="CW281" s="255">
        <v>0</v>
      </c>
      <c r="CX281" s="255">
        <v>0</v>
      </c>
      <c r="CY281" s="255">
        <v>0</v>
      </c>
      <c r="CZ281" s="255">
        <v>-3865.49</v>
      </c>
      <c r="DA281" s="255">
        <v>-25780.37</v>
      </c>
      <c r="DB281" s="255">
        <v>0</v>
      </c>
      <c r="DC281" s="255">
        <v>0</v>
      </c>
      <c r="DD281" s="255">
        <v>-10616.48</v>
      </c>
      <c r="DE281" s="255">
        <v>-10954.48</v>
      </c>
      <c r="DF281" s="255">
        <v>-67366.14</v>
      </c>
      <c r="DG281" s="255">
        <f>SUM(TBBP[[#This Row],[Coluna287]:[Coluna298]])</f>
        <v>-121266.92</v>
      </c>
      <c r="DH281" s="255">
        <v>-975.69</v>
      </c>
      <c r="DI281" s="255">
        <v>-730</v>
      </c>
      <c r="DJ281" s="255">
        <v>-3412.85</v>
      </c>
      <c r="DK281" s="255">
        <v>0</v>
      </c>
      <c r="DL281" s="255">
        <v>-2092</v>
      </c>
      <c r="DM281" s="255">
        <v>0</v>
      </c>
      <c r="DP281" s="30">
        <f>IF(OR(MID(TBBP[[#This Row],[Coluna1]],1,1)="1",MID(TBBP[[#This Row],[Coluna1]],1,1)="2"),"-",SUMIFS(281:281,listaPeriodos,$DR$1,listaPeriodos,$DR$2))</f>
        <v>-7210.54</v>
      </c>
      <c r="DQ281" s="30"/>
      <c r="DR281" s="30">
        <f t="shared" si="181"/>
        <v>0</v>
      </c>
      <c r="DS281" s="30"/>
      <c r="DT281" s="30"/>
      <c r="DU281"/>
    </row>
    <row r="282" spans="1:125" x14ac:dyDescent="0.3">
      <c r="A282" s="7" t="s">
        <v>1039</v>
      </c>
      <c r="B282" t="s">
        <v>1040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4">
        <v>0</v>
      </c>
      <c r="AW282" s="4">
        <v>0</v>
      </c>
      <c r="AX282" s="4">
        <v>0</v>
      </c>
      <c r="AY282" s="4">
        <v>0</v>
      </c>
      <c r="AZ282" s="4">
        <v>0</v>
      </c>
      <c r="BA282" s="4">
        <v>0</v>
      </c>
      <c r="BB282" s="4">
        <v>0</v>
      </c>
      <c r="BC282" s="4">
        <v>0</v>
      </c>
      <c r="BD282" s="4">
        <v>0</v>
      </c>
      <c r="BE282" s="4">
        <v>0</v>
      </c>
      <c r="BF282" s="4">
        <v>0</v>
      </c>
      <c r="BG282" s="4">
        <v>0</v>
      </c>
      <c r="BH282" s="4">
        <v>0</v>
      </c>
      <c r="BI282" s="4">
        <v>0</v>
      </c>
      <c r="BJ282" s="4">
        <v>0</v>
      </c>
      <c r="BK282" s="4">
        <v>0</v>
      </c>
      <c r="BL282" s="4">
        <v>0</v>
      </c>
      <c r="BM282" s="4">
        <v>0</v>
      </c>
      <c r="BN282" s="4">
        <v>0</v>
      </c>
      <c r="BO282" s="4">
        <v>0</v>
      </c>
      <c r="BP282" s="4">
        <v>0</v>
      </c>
      <c r="BQ282" s="4">
        <v>0</v>
      </c>
      <c r="BR282" s="4">
        <v>0</v>
      </c>
      <c r="BS282" s="4">
        <v>0</v>
      </c>
      <c r="BT282" s="4">
        <f>IF(OR(MID(TBBP[[#This Row],[Coluna1]],1,1)="1",MID(TBBP[[#This Row],[Coluna1]],1,1)="2"),TBBP[[#This Row],[Coluna127]],SUM(BH282:BS282))</f>
        <v>0</v>
      </c>
      <c r="BU282" s="4">
        <v>0</v>
      </c>
      <c r="BV282" s="4">
        <v>0</v>
      </c>
      <c r="BW282" s="4">
        <v>-5391.5</v>
      </c>
      <c r="BX282" s="4">
        <v>-11820.44</v>
      </c>
      <c r="BY282" s="4">
        <v>-15014.44</v>
      </c>
      <c r="BZ282" s="4">
        <v>-11761.24</v>
      </c>
      <c r="CA282" s="4">
        <v>-11655.44</v>
      </c>
      <c r="CB282" s="4">
        <v>-10290.540000000001</v>
      </c>
      <c r="CC282" s="4">
        <v>-13237.88</v>
      </c>
      <c r="CD282" s="4">
        <v>-9759.74</v>
      </c>
      <c r="CE282" s="4">
        <v>-10503.44</v>
      </c>
      <c r="CF282" s="4">
        <v>-8113.23</v>
      </c>
      <c r="CG282" s="4">
        <f>IF(OR(MID(TBBP[[#This Row],[Coluna1]],1,1)="1",MID(TBBP[[#This Row],[Coluna1]],1,1)="2"),CF282,SUM(BU282:CF282))</f>
        <v>-107547.89000000001</v>
      </c>
      <c r="CH282" s="4">
        <v>-11788.94</v>
      </c>
      <c r="CI282" s="4">
        <v>-9177.17</v>
      </c>
      <c r="CJ282" s="4">
        <v>-25017.69</v>
      </c>
      <c r="CK282" s="4">
        <v>-5491</v>
      </c>
      <c r="CL282" s="4">
        <v>-5449</v>
      </c>
      <c r="CM282" s="4">
        <v>-5646</v>
      </c>
      <c r="CN282" s="4">
        <v>-15986.14</v>
      </c>
      <c r="CO282" s="4">
        <v>-29121.919999999998</v>
      </c>
      <c r="CP282" s="4">
        <v>-11406.57</v>
      </c>
      <c r="CQ282" s="4">
        <v>-6296.85</v>
      </c>
      <c r="CR282" s="4">
        <v>-6818.6</v>
      </c>
      <c r="CS282" s="4">
        <v>-12628.37</v>
      </c>
      <c r="CT282" s="4">
        <f>IF(OR(MID(TBBP[[#This Row],[Coluna1]],1,1)="1",MID(TBBP[[#This Row],[Coluna1]],1,1)="2"),CS282,SUM(CH282:CS282))</f>
        <v>-144828.25</v>
      </c>
      <c r="CU282" s="255">
        <v>-9042.2000000000007</v>
      </c>
      <c r="CV282" s="255">
        <v>-7621.5</v>
      </c>
      <c r="CW282" s="255">
        <v>-16450.89</v>
      </c>
      <c r="CX282" s="255">
        <v>-6804.1</v>
      </c>
      <c r="CY282" s="255">
        <v>-17920.78</v>
      </c>
      <c r="CZ282" s="255">
        <v>-10768.38</v>
      </c>
      <c r="DA282" s="255">
        <v>-10611.02</v>
      </c>
      <c r="DB282" s="255">
        <v>-11717.69</v>
      </c>
      <c r="DC282" s="255">
        <v>-57279.39</v>
      </c>
      <c r="DD282" s="255">
        <v>-14448.39</v>
      </c>
      <c r="DE282" s="255">
        <v>-7435</v>
      </c>
      <c r="DF282" s="255">
        <v>-11003.89</v>
      </c>
      <c r="DG282" s="255">
        <f>SUM(TBBP[[#This Row],[Coluna287]:[Coluna298]])</f>
        <v>-181103.23000000004</v>
      </c>
      <c r="DH282" s="255">
        <v>-11671.39</v>
      </c>
      <c r="DI282" s="255">
        <v>-12754.49</v>
      </c>
      <c r="DJ282" s="255">
        <v>-8477.39</v>
      </c>
      <c r="DK282" s="255">
        <v>-11749.59</v>
      </c>
      <c r="DL282" s="255">
        <v>-21838.98</v>
      </c>
      <c r="DM282" s="255">
        <v>-7584.88</v>
      </c>
      <c r="DP282" s="30">
        <f>IF(OR(MID(TBBP[[#This Row],[Coluna1]],1,1)="1",MID(TBBP[[#This Row],[Coluna1]],1,1)="2"),"-",SUMIFS(282:282,listaPeriodos,$DR$1,listaPeriodos,$DR$2))</f>
        <v>-74076.72</v>
      </c>
      <c r="DQ282" s="30"/>
      <c r="DR282" s="30"/>
      <c r="DS282" s="30"/>
      <c r="DT282" s="30"/>
      <c r="DU282"/>
    </row>
    <row r="283" spans="1:125" x14ac:dyDescent="0.3">
      <c r="A283" s="7" t="s">
        <v>133</v>
      </c>
      <c r="B283" t="s">
        <v>593</v>
      </c>
      <c r="C283" s="4">
        <v>0</v>
      </c>
      <c r="D283" s="4">
        <v>0</v>
      </c>
      <c r="E283" s="4">
        <v>0</v>
      </c>
      <c r="F283" s="4">
        <v>0</v>
      </c>
      <c r="G283" s="4">
        <v>-23248.12</v>
      </c>
      <c r="H283" s="4">
        <v>-42.74</v>
      </c>
      <c r="I283" s="4">
        <v>-25.68</v>
      </c>
      <c r="J283" s="4">
        <v>-1385.63</v>
      </c>
      <c r="K283" s="4">
        <v>-4116.83</v>
      </c>
      <c r="L283" s="4">
        <v>-538.80999999999995</v>
      </c>
      <c r="M283" s="4">
        <v>-583.33000000000004</v>
      </c>
      <c r="N283" s="4">
        <v>-36769.83</v>
      </c>
      <c r="O283" s="4">
        <v>-154.88</v>
      </c>
      <c r="P283" s="4">
        <v>-2816.97</v>
      </c>
      <c r="Q283" s="4">
        <v>-24.23</v>
      </c>
      <c r="R283" s="4">
        <v>-539.41999999999996</v>
      </c>
      <c r="S283" s="4">
        <v>-50.57</v>
      </c>
      <c r="T283" s="4">
        <f>IF(OR(MID(TBBP[[#This Row],[Coluna1]],1,1)="1",MID(TBBP[[#This Row],[Coluna1]],1,1)="2"),TBBP[[#This Row],[Coluna19]],SUM(H283:S283))</f>
        <v>-47048.920000000006</v>
      </c>
      <c r="U283" s="4">
        <v>-190.06</v>
      </c>
      <c r="V283" s="4">
        <v>-549.92999999999995</v>
      </c>
      <c r="W283" s="4">
        <v>-7671.08</v>
      </c>
      <c r="X283" s="4">
        <v>-4118.32</v>
      </c>
      <c r="Y283" s="4">
        <v>-5753.29</v>
      </c>
      <c r="Z283" s="4">
        <v>0</v>
      </c>
      <c r="AA283" s="4">
        <v>-1630.21</v>
      </c>
      <c r="AB283" s="4">
        <v>-963.01</v>
      </c>
      <c r="AC283" s="4">
        <v>-969.93</v>
      </c>
      <c r="AD283" s="4">
        <v>-15434.83</v>
      </c>
      <c r="AE283" s="4">
        <v>-2064.4899999999998</v>
      </c>
      <c r="AF283" s="4">
        <v>-1425.92</v>
      </c>
      <c r="AG283" s="4">
        <f>IF(OR(MID(TBBP[[#This Row],[Coluna1]],1,1)="1",MID(TBBP[[#This Row],[Coluna1]],1,1)="2"),TBBP[[#This Row],[Coluna32]],SUM(U283:AF283))</f>
        <v>-40771.069999999992</v>
      </c>
      <c r="AH283" s="4">
        <v>-1150.27</v>
      </c>
      <c r="AI283" s="4">
        <v>-7941.9</v>
      </c>
      <c r="AJ283" s="4">
        <v>-15546.61</v>
      </c>
      <c r="AK283" s="4">
        <v>-6167.14</v>
      </c>
      <c r="AL283" s="4">
        <v>-423.59</v>
      </c>
      <c r="AM283" s="4">
        <v>-22539.81</v>
      </c>
      <c r="AN283" s="4">
        <v>-3337.15</v>
      </c>
      <c r="AO283" s="4">
        <v>-391.79</v>
      </c>
      <c r="AP283" s="4">
        <v>-20165.36</v>
      </c>
      <c r="AQ283" s="4">
        <v>-2590.0300000000002</v>
      </c>
      <c r="AR283" s="4">
        <v>-423.07</v>
      </c>
      <c r="AS283" s="4">
        <v>-12.21</v>
      </c>
      <c r="AT283" s="4">
        <f>IF(OR(MID(TBBP[[#This Row],[Coluna1]],1,1)="1",MID(TBBP[[#This Row],[Coluna1]],1,1)="2"),TBBP[[#This Row],[Coluna45]],SUM(AH283:AS283))</f>
        <v>-80688.930000000008</v>
      </c>
      <c r="AU283" s="4">
        <v>-2658.42</v>
      </c>
      <c r="AV283" s="4">
        <v>-12805.15</v>
      </c>
      <c r="AW283" s="4">
        <v>-973.6</v>
      </c>
      <c r="AX283" s="4">
        <v>-3770.93</v>
      </c>
      <c r="AY283" s="4">
        <v>-17.68</v>
      </c>
      <c r="AZ283" s="4">
        <v>-26.87</v>
      </c>
      <c r="BA283" s="4">
        <v>-23842.38</v>
      </c>
      <c r="BB283" s="4">
        <v>-1329.55</v>
      </c>
      <c r="BC283" s="4">
        <v>-928.54</v>
      </c>
      <c r="BD283" s="4">
        <v>-18813.310000000001</v>
      </c>
      <c r="BE283" s="4">
        <v>-3974.91</v>
      </c>
      <c r="BF283" s="4">
        <v>-336.49</v>
      </c>
      <c r="BG283" s="4">
        <f>IF(OR(MID(TBBP[[#This Row],[Coluna1]],1,1)="1",MID(TBBP[[#This Row],[Coluna1]],1,1)="2"),TBBP[[#This Row],[Coluna58]],SUM(AU283:BF283))</f>
        <v>-69477.830000000016</v>
      </c>
      <c r="BH283" s="4">
        <v>-2390.5</v>
      </c>
      <c r="BI283" s="4">
        <v>-18126.36</v>
      </c>
      <c r="BJ283" s="4">
        <v>-1148.07</v>
      </c>
      <c r="BK283" s="4">
        <v>-17030.650000000001</v>
      </c>
      <c r="BL283" s="4">
        <v>-2082.35</v>
      </c>
      <c r="BM283" s="4">
        <v>-2263.23</v>
      </c>
      <c r="BN283" s="4">
        <v>-5898.4</v>
      </c>
      <c r="BO283" s="4">
        <v>-304.2</v>
      </c>
      <c r="BP283" s="4">
        <v>-3289.03</v>
      </c>
      <c r="BQ283" s="4">
        <v>-5000.99</v>
      </c>
      <c r="BR283" s="4">
        <v>-71.77</v>
      </c>
      <c r="BS283" s="4">
        <v>-171.35</v>
      </c>
      <c r="BT283" s="4">
        <f>IF(OR(MID(TBBP[[#This Row],[Coluna1]],1,1)="1",MID(TBBP[[#This Row],[Coluna1]],1,1)="2"),TBBP[[#This Row],[Coluna127]],SUM(BH283:BS283))</f>
        <v>-57776.899999999994</v>
      </c>
      <c r="BU283" s="4">
        <v>-9741.74</v>
      </c>
      <c r="BV283" s="4">
        <v>-17178.039999999997</v>
      </c>
      <c r="BW283" s="4">
        <v>-6807.7</v>
      </c>
      <c r="BX283" s="4">
        <v>-35419.550000000003</v>
      </c>
      <c r="BY283" s="4">
        <v>-7991.02</v>
      </c>
      <c r="BZ283" s="4">
        <v>-5395.82</v>
      </c>
      <c r="CA283" s="4">
        <v>-49637.72</v>
      </c>
      <c r="CB283" s="4">
        <v>-55355.86</v>
      </c>
      <c r="CC283" s="4">
        <v>-10124.06</v>
      </c>
      <c r="CD283" s="4">
        <v>-40683.85</v>
      </c>
      <c r="CE283" s="4">
        <v>-17850.91</v>
      </c>
      <c r="CF283" s="4">
        <v>-10581.9</v>
      </c>
      <c r="CG283" s="4">
        <f>IF(OR(MID(TBBP[[#This Row],[Coluna1]],1,1)="1",MID(TBBP[[#This Row],[Coluna1]],1,1)="2"),CF283,SUM(BU283:CF283))</f>
        <v>-266768.17000000004</v>
      </c>
      <c r="CH283" s="4">
        <v>-12442.41</v>
      </c>
      <c r="CI283" s="4">
        <v>-60607.75</v>
      </c>
      <c r="CJ283" s="4">
        <v>3528.16</v>
      </c>
      <c r="CK283" s="4">
        <v>-23234.19</v>
      </c>
      <c r="CL283" s="4">
        <v>-33819.21</v>
      </c>
      <c r="CM283" s="4">
        <v>-14835.26</v>
      </c>
      <c r="CN283" s="4">
        <v>-19512.47</v>
      </c>
      <c r="CO283" s="4">
        <v>-39860.43</v>
      </c>
      <c r="CP283" s="4">
        <v>-61240.69</v>
      </c>
      <c r="CQ283" s="4">
        <v>-30743.31</v>
      </c>
      <c r="CR283" s="4">
        <v>-33729.57</v>
      </c>
      <c r="CS283" s="4">
        <v>-46276.35</v>
      </c>
      <c r="CT283" s="4">
        <f>IF(OR(MID(TBBP[[#This Row],[Coluna1]],1,1)="1",MID(TBBP[[#This Row],[Coluna1]],1,1)="2"),CS283,SUM(CH283:CS283))</f>
        <v>-372773.48</v>
      </c>
      <c r="CU283" s="255">
        <v>-25674.61</v>
      </c>
      <c r="CV283" s="255">
        <v>-34902.589999999997</v>
      </c>
      <c r="CW283" s="255">
        <v>-36632.65</v>
      </c>
      <c r="CX283" s="255">
        <v>-36742.379999999997</v>
      </c>
      <c r="CY283" s="255">
        <v>-31747.52</v>
      </c>
      <c r="CZ283" s="255">
        <v>-502630.29</v>
      </c>
      <c r="DA283" s="255">
        <v>-35977.800000000003</v>
      </c>
      <c r="DB283" s="255">
        <v>-8373.56</v>
      </c>
      <c r="DC283" s="255">
        <v>-92515.33</v>
      </c>
      <c r="DD283" s="255">
        <v>-20570.57</v>
      </c>
      <c r="DE283" s="255">
        <v>-19735.87</v>
      </c>
      <c r="DF283" s="255">
        <v>-77072.2</v>
      </c>
      <c r="DG283" s="255">
        <f>SUM(TBBP[[#This Row],[Coluna287]:[Coluna298]])</f>
        <v>-922575.37</v>
      </c>
      <c r="DH283" s="255">
        <v>-33183.82</v>
      </c>
      <c r="DI283" s="255">
        <v>-123.4</v>
      </c>
      <c r="DJ283" s="255">
        <v>-50.08</v>
      </c>
      <c r="DK283" s="255">
        <v>-2536.73</v>
      </c>
      <c r="DL283" s="255">
        <v>-12370.609999999999</v>
      </c>
      <c r="DM283" s="255">
        <v>-37059.01</v>
      </c>
      <c r="DO283" t="s">
        <v>133</v>
      </c>
      <c r="DP283" s="30">
        <f>IF(OR(MID(TBBP[[#This Row],[Coluna1]],1,1)="1",MID(TBBP[[#This Row],[Coluna1]],1,1)="2"),"-",SUMIFS(283:283,listaPeriodos,$DR$1,listaPeriodos,$DR$2))</f>
        <v>-85323.650000000009</v>
      </c>
      <c r="DQ283" s="30">
        <v>-13084.98</v>
      </c>
      <c r="DR283" s="30">
        <f t="shared" si="181"/>
        <v>-78509.88</v>
      </c>
      <c r="DS283" s="30"/>
      <c r="DT283" s="30"/>
      <c r="DU283"/>
    </row>
    <row r="284" spans="1:125" x14ac:dyDescent="0.3">
      <c r="A284" s="7" t="s">
        <v>467</v>
      </c>
      <c r="B284" t="s">
        <v>594</v>
      </c>
      <c r="C284" s="4">
        <v>0</v>
      </c>
      <c r="D284" s="4">
        <v>0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  <c r="J284" s="4">
        <v>0</v>
      </c>
      <c r="K284" s="4">
        <v>-3083.43</v>
      </c>
      <c r="L284" s="4">
        <v>0</v>
      </c>
      <c r="M284" s="4">
        <v>0</v>
      </c>
      <c r="N284" s="4">
        <v>-36447.82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f>IF(OR(MID(TBBP[[#This Row],[Coluna1]],1,1)="1",MID(TBBP[[#This Row],[Coluna1]],1,1)="2"),TBBP[[#This Row],[Coluna19]],SUM(H284:S284))</f>
        <v>-39531.25</v>
      </c>
      <c r="U284" s="4">
        <v>0</v>
      </c>
      <c r="V284" s="4">
        <v>0</v>
      </c>
      <c r="W284" s="4">
        <v>-7659.98</v>
      </c>
      <c r="X284" s="4">
        <v>-3183.89</v>
      </c>
      <c r="Y284" s="4">
        <v>0</v>
      </c>
      <c r="Z284" s="4">
        <v>0</v>
      </c>
      <c r="AA284" s="4">
        <v>-766</v>
      </c>
      <c r="AB284" s="4">
        <v>-766</v>
      </c>
      <c r="AC284" s="4">
        <v>-766</v>
      </c>
      <c r="AD284" s="4">
        <v>-766</v>
      </c>
      <c r="AE284" s="4">
        <v>0</v>
      </c>
      <c r="AF284" s="4">
        <v>-765.91</v>
      </c>
      <c r="AG284" s="4">
        <f>IF(OR(MID(TBBP[[#This Row],[Coluna1]],1,1)="1",MID(TBBP[[#This Row],[Coluna1]],1,1)="2"),TBBP[[#This Row],[Coluna32]],SUM(U284:AF284))</f>
        <v>-14673.779999999999</v>
      </c>
      <c r="AH284" s="4">
        <v>0</v>
      </c>
      <c r="AI284" s="4">
        <v>-7502.99</v>
      </c>
      <c r="AJ284" s="4">
        <v>0</v>
      </c>
      <c r="AK284" s="4">
        <v>-3253.28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f>IF(OR(MID(TBBP[[#This Row],[Coluna1]],1,1)="1",MID(TBBP[[#This Row],[Coluna1]],1,1)="2"),TBBP[[#This Row],[Coluna45]],SUM(AH284:AS284))</f>
        <v>-10756.27</v>
      </c>
      <c r="AU284" s="4">
        <v>0</v>
      </c>
      <c r="AV284" s="4">
        <v>-12156.96</v>
      </c>
      <c r="AW284" s="4">
        <v>0</v>
      </c>
      <c r="AX284" s="4">
        <v>0</v>
      </c>
      <c r="AY284" s="4">
        <v>0</v>
      </c>
      <c r="AZ284" s="4">
        <v>0</v>
      </c>
      <c r="BA284" s="4">
        <v>0</v>
      </c>
      <c r="BB284" s="4">
        <v>0</v>
      </c>
      <c r="BC284" s="4">
        <v>0</v>
      </c>
      <c r="BD284" s="4">
        <v>-3790.49</v>
      </c>
      <c r="BE284" s="4">
        <v>0</v>
      </c>
      <c r="BF284" s="4">
        <v>0</v>
      </c>
      <c r="BG284" s="4">
        <f>IF(OR(MID(TBBP[[#This Row],[Coluna1]],1,1)="1",MID(TBBP[[#This Row],[Coluna1]],1,1)="2"),TBBP[[#This Row],[Coluna58]],SUM(AU284:BF284))</f>
        <v>-15947.449999999999</v>
      </c>
      <c r="BH284" s="4">
        <v>0</v>
      </c>
      <c r="BI284" s="4">
        <v>-15978.62</v>
      </c>
      <c r="BJ284" s="4">
        <v>0</v>
      </c>
      <c r="BK284" s="4">
        <v>-4244.5200000000004</v>
      </c>
      <c r="BL284" s="4">
        <v>0</v>
      </c>
      <c r="BM284" s="4">
        <v>0</v>
      </c>
      <c r="BN284" s="4">
        <v>-2924.58</v>
      </c>
      <c r="BO284" s="4">
        <v>0</v>
      </c>
      <c r="BP284" s="4">
        <v>0</v>
      </c>
      <c r="BQ284" s="4">
        <v>0</v>
      </c>
      <c r="BR284" s="4">
        <v>0</v>
      </c>
      <c r="BS284" s="4">
        <v>0</v>
      </c>
      <c r="BT284" s="4">
        <f>IF(OR(MID(TBBP[[#This Row],[Coluna1]],1,1)="1",MID(TBBP[[#This Row],[Coluna1]],1,1)="2"),TBBP[[#This Row],[Coluna127]],SUM(BH284:BS284))</f>
        <v>-23147.72</v>
      </c>
      <c r="BU284" s="4">
        <v>0</v>
      </c>
      <c r="BV284" s="4">
        <v>-14044.79</v>
      </c>
      <c r="BW284" s="4">
        <v>0</v>
      </c>
      <c r="BX284" s="4">
        <v>-4565.18</v>
      </c>
      <c r="BY284" s="4">
        <v>-3817.6</v>
      </c>
      <c r="BZ284" s="4">
        <v>0</v>
      </c>
      <c r="CA284" s="4">
        <v>0</v>
      </c>
      <c r="CB284" s="4">
        <v>0</v>
      </c>
      <c r="CC284" s="4">
        <v>0</v>
      </c>
      <c r="CD284" s="4">
        <v>0</v>
      </c>
      <c r="CE284" s="4">
        <v>0</v>
      </c>
      <c r="CF284" s="4">
        <v>0</v>
      </c>
      <c r="CG284" s="4">
        <f>IF(OR(MID(TBBP[[#This Row],[Coluna1]],1,1)="1",MID(TBBP[[#This Row],[Coluna1]],1,1)="2"),CF284,SUM(BU284:CF284))</f>
        <v>-22427.57</v>
      </c>
      <c r="CH284" s="4">
        <v>0</v>
      </c>
      <c r="CI284" s="4">
        <v>-20894.79</v>
      </c>
      <c r="CJ284" s="4">
        <v>0</v>
      </c>
      <c r="CK284" s="4">
        <v>-4731.54</v>
      </c>
      <c r="CL284" s="4">
        <v>-4173.1899999999996</v>
      </c>
      <c r="CM284" s="4">
        <v>0</v>
      </c>
      <c r="CN284" s="4">
        <v>0</v>
      </c>
      <c r="CO284" s="4">
        <v>0</v>
      </c>
      <c r="CP284" s="4">
        <v>-21252.15</v>
      </c>
      <c r="CQ284" s="4">
        <v>-2678.72</v>
      </c>
      <c r="CR284" s="4">
        <v>-2678.72</v>
      </c>
      <c r="CS284" s="4">
        <v>-2678.72</v>
      </c>
      <c r="CT284" s="4">
        <f>IF(OR(MID(TBBP[[#This Row],[Coluna1]],1,1)="1",MID(TBBP[[#This Row],[Coluna1]],1,1)="2"),CS284,SUM(CH284:CS284))</f>
        <v>-59087.83</v>
      </c>
      <c r="CU284" s="255">
        <v>-2494.08</v>
      </c>
      <c r="CV284" s="255">
        <v>0</v>
      </c>
      <c r="CW284" s="255">
        <v>-4860.99</v>
      </c>
      <c r="CX284" s="255">
        <v>0</v>
      </c>
      <c r="CY284" s="255">
        <v>0</v>
      </c>
      <c r="CZ284" s="255">
        <v>-70078.75</v>
      </c>
      <c r="DA284" s="255">
        <v>0</v>
      </c>
      <c r="DB284" s="255">
        <v>0</v>
      </c>
      <c r="DC284" s="255">
        <v>0</v>
      </c>
      <c r="DD284" s="255">
        <v>0</v>
      </c>
      <c r="DE284" s="255">
        <v>0</v>
      </c>
      <c r="DF284" s="255">
        <v>0</v>
      </c>
      <c r="DG284" s="255">
        <f>SUM(TBBP[[#This Row],[Coluna287]:[Coluna298]])</f>
        <v>-77433.820000000007</v>
      </c>
      <c r="DH284" s="255">
        <v>0</v>
      </c>
      <c r="DI284" s="255">
        <v>0</v>
      </c>
      <c r="DJ284" s="255">
        <v>0</v>
      </c>
      <c r="DK284" s="255">
        <v>0</v>
      </c>
      <c r="DL284" s="255">
        <v>0</v>
      </c>
      <c r="DM284" s="255">
        <v>0</v>
      </c>
      <c r="DP284" s="30">
        <f>IF(OR(MID(TBBP[[#This Row],[Coluna1]],1,1)="1",MID(TBBP[[#This Row],[Coluna1]],1,1)="2"),"-",SUMIFS(284:284,listaPeriodos,$DR$1,listaPeriodos,$DR$2))</f>
        <v>0</v>
      </c>
      <c r="DQ284" s="30"/>
      <c r="DR284" s="30">
        <f t="shared" si="181"/>
        <v>0</v>
      </c>
      <c r="DS284" s="30"/>
      <c r="DT284" s="30"/>
      <c r="DU284"/>
    </row>
    <row r="285" spans="1:125" x14ac:dyDescent="0.3">
      <c r="A285" s="7" t="s">
        <v>468</v>
      </c>
      <c r="B285" t="s">
        <v>595</v>
      </c>
      <c r="C285" s="4">
        <v>0</v>
      </c>
      <c r="D285" s="4">
        <v>0</v>
      </c>
      <c r="E285" s="4">
        <v>0</v>
      </c>
      <c r="F285" s="4">
        <v>0</v>
      </c>
      <c r="G285" s="4">
        <v>-8953.7800000000007</v>
      </c>
      <c r="H285" s="4">
        <v>-26.04</v>
      </c>
      <c r="I285" s="4">
        <v>0</v>
      </c>
      <c r="J285" s="4">
        <v>0</v>
      </c>
      <c r="K285" s="4">
        <v>-884.38</v>
      </c>
      <c r="L285" s="4">
        <v>-526.26</v>
      </c>
      <c r="M285" s="4">
        <v>-538.72</v>
      </c>
      <c r="N285" s="4">
        <v>-302.87</v>
      </c>
      <c r="O285" s="4">
        <v>-41.85</v>
      </c>
      <c r="P285" s="4">
        <v>-813.86</v>
      </c>
      <c r="Q285" s="4">
        <v>0</v>
      </c>
      <c r="R285" s="4">
        <v>-460.93</v>
      </c>
      <c r="S285" s="4">
        <v>-25.7</v>
      </c>
      <c r="T285" s="4">
        <f>IF(OR(MID(TBBP[[#This Row],[Coluna1]],1,1)="1",MID(TBBP[[#This Row],[Coluna1]],1,1)="2"),TBBP[[#This Row],[Coluna19]],SUM(H285:S285))</f>
        <v>-3620.6099999999997</v>
      </c>
      <c r="U285" s="4">
        <v>-151.84</v>
      </c>
      <c r="V285" s="4">
        <v>-535.33000000000004</v>
      </c>
      <c r="W285" s="4">
        <v>0</v>
      </c>
      <c r="X285" s="4">
        <v>-920.39</v>
      </c>
      <c r="Y285" s="4">
        <v>-5745.55</v>
      </c>
      <c r="Z285" s="4">
        <v>-497.65</v>
      </c>
      <c r="AA285" s="4">
        <v>-830.76</v>
      </c>
      <c r="AB285" s="4">
        <v>-178</v>
      </c>
      <c r="AC285" s="4">
        <v>-177.79</v>
      </c>
      <c r="AD285" s="4">
        <v>-14627.54</v>
      </c>
      <c r="AE285" s="4">
        <v>-192.63</v>
      </c>
      <c r="AF285" s="4">
        <v>-642.95000000000005</v>
      </c>
      <c r="AG285" s="4">
        <f>IF(OR(MID(TBBP[[#This Row],[Coluna1]],1,1)="1",MID(TBBP[[#This Row],[Coluna1]],1,1)="2"),TBBP[[#This Row],[Coluna32]],SUM(U285:AF285))</f>
        <v>-24500.430000000004</v>
      </c>
      <c r="AH285" s="4">
        <v>-519.4</v>
      </c>
      <c r="AI285" s="4">
        <v>0.1</v>
      </c>
      <c r="AJ285" s="4">
        <v>-15529.27</v>
      </c>
      <c r="AK285" s="4">
        <v>-2433.46</v>
      </c>
      <c r="AL285" s="4">
        <v>-410.83</v>
      </c>
      <c r="AM285" s="4">
        <v>-22523.98</v>
      </c>
      <c r="AN285" s="4">
        <v>-3321.32</v>
      </c>
      <c r="AO285" s="4">
        <v>-212.27</v>
      </c>
      <c r="AP285" s="4">
        <v>-20160.14</v>
      </c>
      <c r="AQ285" s="4">
        <v>-2578.79</v>
      </c>
      <c r="AR285" s="4">
        <v>-414</v>
      </c>
      <c r="AS285" s="4">
        <v>0</v>
      </c>
      <c r="AT285" s="4">
        <f>IF(OR(MID(TBBP[[#This Row],[Coluna1]],1,1)="1",MID(TBBP[[#This Row],[Coluna1]],1,1)="2"),TBBP[[#This Row],[Coluna45]],SUM(AH285:AS285))</f>
        <v>-68103.359999999986</v>
      </c>
      <c r="AU285" s="4">
        <v>-2641.25</v>
      </c>
      <c r="AV285" s="4">
        <v>-636.74</v>
      </c>
      <c r="AW285" s="4">
        <v>-966.26</v>
      </c>
      <c r="AX285" s="4">
        <v>-3751.84</v>
      </c>
      <c r="AY285" s="4">
        <v>0</v>
      </c>
      <c r="AZ285" s="4">
        <v>0</v>
      </c>
      <c r="BA285" s="4">
        <v>-23803.93</v>
      </c>
      <c r="BB285" s="4">
        <v>-1294.9100000000001</v>
      </c>
      <c r="BC285" s="4">
        <v>-386.61</v>
      </c>
      <c r="BD285" s="4">
        <v>-14968.69</v>
      </c>
      <c r="BE285" s="4">
        <v>0</v>
      </c>
      <c r="BF285" s="4">
        <v>-251.85000000000002</v>
      </c>
      <c r="BG285" s="4">
        <f>IF(OR(MID(TBBP[[#This Row],[Coluna1]],1,1)="1",MID(TBBP[[#This Row],[Coluna1]],1,1)="2"),TBBP[[#This Row],[Coluna58]],SUM(AU285:BF285))</f>
        <v>-48702.080000000002</v>
      </c>
      <c r="BH285" s="4">
        <v>-2318.69</v>
      </c>
      <c r="BI285" s="4">
        <v>-2077.31</v>
      </c>
      <c r="BJ285" s="4">
        <v>-995.75</v>
      </c>
      <c r="BK285" s="4">
        <v>-12667.63</v>
      </c>
      <c r="BL285" s="4">
        <v>-2010.08</v>
      </c>
      <c r="BM285" s="4">
        <v>0</v>
      </c>
      <c r="BN285" s="4">
        <v>-2922.27</v>
      </c>
      <c r="BO285" s="4">
        <v>-241.78</v>
      </c>
      <c r="BP285" s="4">
        <v>-745.03</v>
      </c>
      <c r="BQ285" s="4">
        <v>-2733.69</v>
      </c>
      <c r="BR285" s="4">
        <v>0</v>
      </c>
      <c r="BS285" s="4">
        <v>-107.64</v>
      </c>
      <c r="BT285" s="4">
        <f>IF(OR(MID(TBBP[[#This Row],[Coluna1]],1,1)="1",MID(TBBP[[#This Row],[Coluna1]],1,1)="2"),TBBP[[#This Row],[Coluna127]],SUM(BH285:BS285))</f>
        <v>-26819.869999999995</v>
      </c>
      <c r="BU285" s="4">
        <v>-9545.36</v>
      </c>
      <c r="BV285" s="4">
        <v>-4076.07</v>
      </c>
      <c r="BW285" s="4">
        <v>-6794.54</v>
      </c>
      <c r="BX285" s="4">
        <v>-29417.23</v>
      </c>
      <c r="BY285" s="4">
        <v>-3857.52</v>
      </c>
      <c r="BZ285" s="4">
        <v>-3255.2</v>
      </c>
      <c r="CA285" s="4">
        <v>-44649.599999999999</v>
      </c>
      <c r="CB285" s="4">
        <v>-26893.119999999999</v>
      </c>
      <c r="CC285" s="4">
        <v>-8699.4</v>
      </c>
      <c r="CD285" s="4">
        <v>-39403.800000000003</v>
      </c>
      <c r="CE285" s="4">
        <v>-15664.35</v>
      </c>
      <c r="CF285" s="4">
        <v>-10529.21</v>
      </c>
      <c r="CG285" s="4">
        <f>IF(OR(MID(TBBP[[#This Row],[Coluna1]],1,1)="1",MID(TBBP[[#This Row],[Coluna1]],1,1)="2"),CF285,SUM(BU285:CF285))</f>
        <v>-202785.39999999997</v>
      </c>
      <c r="CH285" s="4">
        <v>-12282.29</v>
      </c>
      <c r="CI285" s="4">
        <v>-39658.300000000003</v>
      </c>
      <c r="CJ285" s="4">
        <v>-15533.59</v>
      </c>
      <c r="CK285" s="4">
        <v>-12487.32</v>
      </c>
      <c r="CL285" s="4">
        <v>-24079.55</v>
      </c>
      <c r="CM285" s="4">
        <v>-10154.629999999999</v>
      </c>
      <c r="CN285" s="4">
        <v>-18182.8</v>
      </c>
      <c r="CO285" s="4">
        <v>-37496.519999999997</v>
      </c>
      <c r="CP285" s="4">
        <v>-39905.449999999997</v>
      </c>
      <c r="CQ285" s="4">
        <v>-26188.19</v>
      </c>
      <c r="CR285" s="4">
        <v>-30924.01</v>
      </c>
      <c r="CS285" s="4">
        <v>-43363.579999999994</v>
      </c>
      <c r="CT285" s="4">
        <f>IF(OR(MID(TBBP[[#This Row],[Coluna1]],1,1)="1",MID(TBBP[[#This Row],[Coluna1]],1,1)="2"),CS285,SUM(CH285:CS285))</f>
        <v>-310256.23000000004</v>
      </c>
      <c r="CU285" s="255">
        <v>-23005.21</v>
      </c>
      <c r="CV285" s="255">
        <v>-34818.089999999997</v>
      </c>
      <c r="CW285" s="255">
        <v>-30478.78</v>
      </c>
      <c r="CX285" s="255">
        <v>-36455.589999999997</v>
      </c>
      <c r="CY285" s="255">
        <v>-31449.55</v>
      </c>
      <c r="CZ285" s="255">
        <v>-237780.08</v>
      </c>
      <c r="DA285" s="255">
        <v>-35879.51</v>
      </c>
      <c r="DB285" s="255">
        <v>-8281.73</v>
      </c>
      <c r="DC285" s="255">
        <v>-92443.09</v>
      </c>
      <c r="DD285" s="255">
        <v>-20450.019999999997</v>
      </c>
      <c r="DE285" s="255">
        <v>-19631.38</v>
      </c>
      <c r="DF285" s="255">
        <v>-73915.44</v>
      </c>
      <c r="DG285" s="255">
        <f>SUM(TBBP[[#This Row],[Coluna287]:[Coluna298]])</f>
        <v>-644588.47</v>
      </c>
      <c r="DH285" s="255">
        <v>-33065.089999999997</v>
      </c>
      <c r="DI285" s="255">
        <v>0</v>
      </c>
      <c r="DJ285" s="255">
        <v>0</v>
      </c>
      <c r="DK285" s="255">
        <v>-2482.04</v>
      </c>
      <c r="DL285" s="255">
        <v>-12293.589999999998</v>
      </c>
      <c r="DM285" s="255">
        <v>-36998.870000000003</v>
      </c>
      <c r="DP285" s="30">
        <f>IF(OR(MID(TBBP[[#This Row],[Coluna1]],1,1)="1",MID(TBBP[[#This Row],[Coluna1]],1,1)="2"),"-",SUMIFS(285:285,listaPeriodos,$DR$1,listaPeriodos,$DR$2))</f>
        <v>-84839.59</v>
      </c>
      <c r="DQ285" s="30"/>
      <c r="DR285" s="30">
        <f t="shared" si="181"/>
        <v>0</v>
      </c>
      <c r="DS285" s="30"/>
      <c r="DT285" s="30"/>
      <c r="DU285"/>
    </row>
    <row r="286" spans="1:125" x14ac:dyDescent="0.3">
      <c r="A286" s="7" t="s">
        <v>469</v>
      </c>
      <c r="B286" t="s">
        <v>596</v>
      </c>
      <c r="C286" s="4">
        <v>0</v>
      </c>
      <c r="D286" s="4">
        <v>0</v>
      </c>
      <c r="E286" s="4">
        <v>0</v>
      </c>
      <c r="F286" s="4">
        <v>0</v>
      </c>
      <c r="G286" s="4">
        <v>-10060.6</v>
      </c>
      <c r="H286" s="4">
        <v>-16.7</v>
      </c>
      <c r="I286" s="4">
        <v>-25.68</v>
      </c>
      <c r="J286" s="4">
        <v>-20.92</v>
      </c>
      <c r="K286" s="4">
        <v>-20.52</v>
      </c>
      <c r="L286" s="4">
        <v>-12.55</v>
      </c>
      <c r="M286" s="4">
        <v>-44.61</v>
      </c>
      <c r="N286" s="4">
        <v>-19.14</v>
      </c>
      <c r="O286" s="4">
        <v>-113.03</v>
      </c>
      <c r="P286" s="4">
        <v>-37.76</v>
      </c>
      <c r="Q286" s="4">
        <v>-24.23</v>
      </c>
      <c r="R286" s="4">
        <v>-78.489999999999995</v>
      </c>
      <c r="S286" s="4">
        <v>-24.87</v>
      </c>
      <c r="T286" s="4">
        <f>IF(OR(MID(TBBP[[#This Row],[Coluna1]],1,1)="1",MID(TBBP[[#This Row],[Coluna1]],1,1)="2"),TBBP[[#This Row],[Coluna19]],SUM(H286:S286))</f>
        <v>-438.5</v>
      </c>
      <c r="U286" s="4">
        <v>-38.22</v>
      </c>
      <c r="V286" s="4">
        <v>-14.6</v>
      </c>
      <c r="W286" s="4">
        <v>-11.1</v>
      </c>
      <c r="X286" s="4">
        <v>-14.04</v>
      </c>
      <c r="Y286" s="4">
        <v>-7.74</v>
      </c>
      <c r="Z286" s="4">
        <v>-20.89</v>
      </c>
      <c r="AA286" s="4">
        <v>-33.450000000000003</v>
      </c>
      <c r="AB286" s="4">
        <v>-19.010000000000002</v>
      </c>
      <c r="AC286" s="4">
        <v>-26.14</v>
      </c>
      <c r="AD286" s="4">
        <v>-41.29</v>
      </c>
      <c r="AE286" s="4">
        <v>-14.16</v>
      </c>
      <c r="AF286" s="4">
        <v>-17.059999999999999</v>
      </c>
      <c r="AG286" s="4">
        <f>IF(OR(MID(TBBP[[#This Row],[Coluna1]],1,1)="1",MID(TBBP[[#This Row],[Coluna1]],1,1)="2"),TBBP[[#This Row],[Coluna32]],SUM(U286:AF286))</f>
        <v>-257.7</v>
      </c>
      <c r="AH286" s="4">
        <v>-33.840000000000003</v>
      </c>
      <c r="AI286" s="4">
        <v>-17.11</v>
      </c>
      <c r="AJ286" s="4">
        <v>-17.34</v>
      </c>
      <c r="AK286" s="4">
        <v>-19.43</v>
      </c>
      <c r="AL286" s="4">
        <v>-12.76</v>
      </c>
      <c r="AM286" s="4">
        <v>-15.83</v>
      </c>
      <c r="AN286" s="4">
        <v>-15.83</v>
      </c>
      <c r="AO286" s="4">
        <v>-18.2</v>
      </c>
      <c r="AP286" s="4">
        <v>-5.22</v>
      </c>
      <c r="AQ286" s="4">
        <v>-11.24</v>
      </c>
      <c r="AR286" s="4">
        <v>-9.07</v>
      </c>
      <c r="AS286" s="4">
        <v>-12.21</v>
      </c>
      <c r="AT286" s="4">
        <f>IF(OR(MID(TBBP[[#This Row],[Coluna1]],1,1)="1",MID(TBBP[[#This Row],[Coluna1]],1,1)="2"),TBBP[[#This Row],[Coluna45]],SUM(AH286:AS286))</f>
        <v>-188.08</v>
      </c>
      <c r="AU286" s="4">
        <v>-17.170000000000002</v>
      </c>
      <c r="AV286" s="4">
        <v>-11.45</v>
      </c>
      <c r="AW286" s="4">
        <v>-7.34</v>
      </c>
      <c r="AX286" s="4">
        <v>-19.09</v>
      </c>
      <c r="AY286" s="4">
        <v>-17.68</v>
      </c>
      <c r="AZ286" s="4">
        <v>-26.87</v>
      </c>
      <c r="BA286" s="4">
        <v>-38.450000000000003</v>
      </c>
      <c r="BB286" s="4">
        <v>-34.64</v>
      </c>
      <c r="BC286" s="4">
        <v>-541.92999999999995</v>
      </c>
      <c r="BD286" s="4">
        <v>-54.13</v>
      </c>
      <c r="BE286" s="4">
        <v>-3974.91</v>
      </c>
      <c r="BF286" s="4">
        <v>-84.64</v>
      </c>
      <c r="BG286" s="4">
        <f>IF(OR(MID(TBBP[[#This Row],[Coluna1]],1,1)="1",MID(TBBP[[#This Row],[Coluna1]],1,1)="2"),TBBP[[#This Row],[Coluna58]],SUM(AU286:BF286))</f>
        <v>-4828.3</v>
      </c>
      <c r="BH286" s="4">
        <v>-71.81</v>
      </c>
      <c r="BI286" s="4">
        <v>-70.430000000000007</v>
      </c>
      <c r="BJ286" s="4">
        <v>-152.32</v>
      </c>
      <c r="BK286" s="4">
        <v>-118.5</v>
      </c>
      <c r="BL286" s="4">
        <v>-72.27</v>
      </c>
      <c r="BM286" s="4">
        <v>-105.54</v>
      </c>
      <c r="BN286" s="4">
        <v>-51.55</v>
      </c>
      <c r="BO286" s="4">
        <v>-62.42</v>
      </c>
      <c r="BP286" s="4">
        <v>-155.19</v>
      </c>
      <c r="BQ286" s="4">
        <v>-69.349999999999994</v>
      </c>
      <c r="BR286" s="4">
        <v>-71.77</v>
      </c>
      <c r="BS286" s="4">
        <v>-63.71</v>
      </c>
      <c r="BT286" s="4">
        <f>IF(OR(MID(TBBP[[#This Row],[Coluna1]],1,1)="1",MID(TBBP[[#This Row],[Coluna1]],1,1)="2"),TBBP[[#This Row],[Coluna127]],SUM(BH286:BS286))</f>
        <v>-1064.8599999999999</v>
      </c>
      <c r="BU286" s="4">
        <v>-196.38</v>
      </c>
      <c r="BV286" s="4">
        <v>-69.239999999999995</v>
      </c>
      <c r="BW286" s="4">
        <v>-105.95</v>
      </c>
      <c r="BX286" s="4">
        <v>-1437.14</v>
      </c>
      <c r="BY286" s="4">
        <v>-115.9</v>
      </c>
      <c r="BZ286" s="4">
        <v>-88.82</v>
      </c>
      <c r="CA286" s="4">
        <v>-297.47000000000003</v>
      </c>
      <c r="CB286" s="4">
        <v>-87.22</v>
      </c>
      <c r="CC286" s="4">
        <v>-134.16</v>
      </c>
      <c r="CD286" s="4">
        <v>-214.96</v>
      </c>
      <c r="CE286" s="4">
        <v>-804.42</v>
      </c>
      <c r="CF286" s="4">
        <v>-52.69</v>
      </c>
      <c r="CG286" s="4">
        <f>IF(OR(MID(TBBP[[#This Row],[Coluna1]],1,1)="1",MID(TBBP[[#This Row],[Coluna1]],1,1)="2"),CF286,SUM(BU286:CF286))</f>
        <v>-3604.35</v>
      </c>
      <c r="CH286" s="4">
        <v>-160.12</v>
      </c>
      <c r="CI286" s="4">
        <v>-54.66</v>
      </c>
      <c r="CJ286" s="4">
        <v>-4573.18</v>
      </c>
      <c r="CK286" s="4">
        <v>-84.21</v>
      </c>
      <c r="CL286" s="4">
        <v>-234.37</v>
      </c>
      <c r="CM286" s="4">
        <v>-758.87</v>
      </c>
      <c r="CN286" s="4">
        <v>-84.92</v>
      </c>
      <c r="CO286" s="4">
        <v>-917.99</v>
      </c>
      <c r="CP286" s="4">
        <v>-83.09</v>
      </c>
      <c r="CQ286" s="4">
        <v>-90.95</v>
      </c>
      <c r="CR286" s="4">
        <v>-126.84</v>
      </c>
      <c r="CS286" s="4">
        <v>-234.05</v>
      </c>
      <c r="CT286" s="4">
        <f>IF(OR(MID(TBBP[[#This Row],[Coluna1]],1,1)="1",MID(TBBP[[#This Row],[Coluna1]],1,1)="2"),CS286,SUM(CH286:CS286))</f>
        <v>-7403.25</v>
      </c>
      <c r="CU286" s="255">
        <v>-175.32</v>
      </c>
      <c r="CV286" s="255">
        <v>-84.5</v>
      </c>
      <c r="CW286" s="255">
        <v>-47.94</v>
      </c>
      <c r="CX286" s="255">
        <v>-68.66</v>
      </c>
      <c r="CY286" s="255">
        <v>-297.97000000000003</v>
      </c>
      <c r="CZ286" s="255">
        <v>-1630.72</v>
      </c>
      <c r="DA286" s="255">
        <v>-98.29</v>
      </c>
      <c r="DB286" s="255">
        <v>-91.83</v>
      </c>
      <c r="DC286" s="255">
        <v>-72.239999999999995</v>
      </c>
      <c r="DD286" s="255">
        <v>-120.55</v>
      </c>
      <c r="DE286" s="255">
        <v>-104.49</v>
      </c>
      <c r="DF286" s="255">
        <v>-156.76</v>
      </c>
      <c r="DG286" s="255">
        <f>SUM(TBBP[[#This Row],[Coluna287]:[Coluna298]])</f>
        <v>-2949.2699999999995</v>
      </c>
      <c r="DH286" s="255">
        <v>-118.73</v>
      </c>
      <c r="DI286" s="255">
        <v>-123.4</v>
      </c>
      <c r="DJ286" s="255">
        <v>-50.08</v>
      </c>
      <c r="DK286" s="255">
        <v>-54.69</v>
      </c>
      <c r="DL286" s="255">
        <v>-77.02</v>
      </c>
      <c r="DM286" s="255">
        <v>-60.14</v>
      </c>
      <c r="DP286" s="30">
        <f>IF(OR(MID(TBBP[[#This Row],[Coluna1]],1,1)="1",MID(TBBP[[#This Row],[Coluna1]],1,1)="2"),"-",SUMIFS(286:286,listaPeriodos,$DR$1,listaPeriodos,$DR$2))</f>
        <v>-484.05999999999995</v>
      </c>
      <c r="DQ286" s="30"/>
      <c r="DR286" s="30">
        <f t="shared" si="181"/>
        <v>0</v>
      </c>
      <c r="DS286" s="30"/>
      <c r="DT286" s="30"/>
      <c r="DU286"/>
    </row>
    <row r="287" spans="1:125" x14ac:dyDescent="0.3">
      <c r="A287" s="7" t="s">
        <v>134</v>
      </c>
      <c r="B287" t="s">
        <v>597</v>
      </c>
      <c r="C287" s="4">
        <v>0</v>
      </c>
      <c r="D287" s="4">
        <v>0</v>
      </c>
      <c r="E287" s="4">
        <v>0</v>
      </c>
      <c r="F287" s="4">
        <v>0</v>
      </c>
      <c r="G287" s="4">
        <v>-574287.56000000006</v>
      </c>
      <c r="H287" s="4">
        <v>-55673.62</v>
      </c>
      <c r="I287" s="4">
        <v>-55673.62</v>
      </c>
      <c r="J287" s="4">
        <v>-53323.62</v>
      </c>
      <c r="K287" s="4">
        <v>-53323.62</v>
      </c>
      <c r="L287" s="4">
        <v>-53323.62</v>
      </c>
      <c r="M287" s="4">
        <v>-53323.62</v>
      </c>
      <c r="N287" s="4">
        <v>-53323.62</v>
      </c>
      <c r="O287" s="4">
        <v>-50616.04</v>
      </c>
      <c r="P287" s="4">
        <v>-57966.83</v>
      </c>
      <c r="Q287" s="4">
        <v>-52466.84</v>
      </c>
      <c r="R287" s="4">
        <v>-57498.36</v>
      </c>
      <c r="S287" s="4">
        <v>-57498.37</v>
      </c>
      <c r="T287" s="4">
        <f>IF(OR(MID(TBBP[[#This Row],[Coluna1]],1,1)="1",MID(TBBP[[#This Row],[Coluna1]],1,1)="2"),TBBP[[#This Row],[Coluna19]],SUM(H287:S287))</f>
        <v>-654011.78</v>
      </c>
      <c r="U287" s="4">
        <v>-57720.32</v>
      </c>
      <c r="V287" s="4">
        <v>-55982.8</v>
      </c>
      <c r="W287" s="4">
        <v>-57089.79</v>
      </c>
      <c r="X287" s="4">
        <v>-58394.77</v>
      </c>
      <c r="Y287" s="4">
        <v>-58931.24</v>
      </c>
      <c r="Z287" s="4">
        <v>-58121.29</v>
      </c>
      <c r="AA287" s="4">
        <v>-58467.81</v>
      </c>
      <c r="AB287" s="4">
        <v>-59340.2</v>
      </c>
      <c r="AC287" s="4">
        <v>-58259.38</v>
      </c>
      <c r="AD287" s="4">
        <v>-52704.95</v>
      </c>
      <c r="AE287" s="4">
        <v>-62762.32</v>
      </c>
      <c r="AF287" s="4">
        <v>-62931.72</v>
      </c>
      <c r="AG287" s="4">
        <f>IF(OR(MID(TBBP[[#This Row],[Coluna1]],1,1)="1",MID(TBBP[[#This Row],[Coluna1]],1,1)="2"),TBBP[[#This Row],[Coluna32]],SUM(U287:AF287))</f>
        <v>-700706.58999999985</v>
      </c>
      <c r="AH287" s="4">
        <v>-64793.57</v>
      </c>
      <c r="AI287" s="4">
        <v>-65276.99</v>
      </c>
      <c r="AJ287" s="4">
        <v>-65511.3</v>
      </c>
      <c r="AK287" s="4">
        <v>-66357.039999999994</v>
      </c>
      <c r="AL287" s="4">
        <v>-66450.3</v>
      </c>
      <c r="AM287" s="4">
        <v>-70921.89</v>
      </c>
      <c r="AN287" s="4">
        <v>-73047.19</v>
      </c>
      <c r="AO287" s="4">
        <v>-74105.210000000006</v>
      </c>
      <c r="AP287" s="4">
        <v>-76659.100000000006</v>
      </c>
      <c r="AQ287" s="4">
        <v>-79223.27</v>
      </c>
      <c r="AR287" s="4">
        <v>-79154.73</v>
      </c>
      <c r="AS287" s="4">
        <v>-81225.88</v>
      </c>
      <c r="AT287" s="4">
        <f>IF(OR(MID(TBBP[[#This Row],[Coluna1]],1,1)="1",MID(TBBP[[#This Row],[Coluna1]],1,1)="2"),TBBP[[#This Row],[Coluna45]],SUM(AH287:AS287))</f>
        <v>-862726.47</v>
      </c>
      <c r="AU287" s="4">
        <v>-82131.63</v>
      </c>
      <c r="AV287" s="4">
        <v>-83812.84</v>
      </c>
      <c r="AW287" s="4">
        <v>-69789.429999999993</v>
      </c>
      <c r="AX287" s="4">
        <v>-70094.080000000002</v>
      </c>
      <c r="AY287" s="4">
        <v>-71434.91</v>
      </c>
      <c r="AZ287" s="4">
        <v>-72968.83</v>
      </c>
      <c r="BA287" s="4">
        <v>-75052.52</v>
      </c>
      <c r="BB287" s="4">
        <v>-71089.81</v>
      </c>
      <c r="BC287" s="4">
        <v>-72526.289999999994</v>
      </c>
      <c r="BD287" s="4">
        <v>-73428.41</v>
      </c>
      <c r="BE287" s="4">
        <v>-73863.23</v>
      </c>
      <c r="BF287" s="4">
        <v>277684.63</v>
      </c>
      <c r="BG287" s="4">
        <f>IF(OR(MID(TBBP[[#This Row],[Coluna1]],1,1)="1",MID(TBBP[[#This Row],[Coluna1]],1,1)="2"),TBBP[[#This Row],[Coluna58]],SUM(AU287:BF287))</f>
        <v>-538507.35000000009</v>
      </c>
      <c r="BH287" s="4">
        <v>-70197.56</v>
      </c>
      <c r="BI287" s="4">
        <v>-59132.88</v>
      </c>
      <c r="BJ287" s="4">
        <v>-57405.760000000002</v>
      </c>
      <c r="BK287" s="4">
        <v>-62336.14</v>
      </c>
      <c r="BL287" s="4">
        <v>-64290.13</v>
      </c>
      <c r="BM287" s="4">
        <v>-66905.89</v>
      </c>
      <c r="BN287" s="4">
        <v>-67244.740000000005</v>
      </c>
      <c r="BO287" s="4">
        <v>-67662.990000000005</v>
      </c>
      <c r="BP287" s="4">
        <v>-66551.039999999994</v>
      </c>
      <c r="BQ287" s="4">
        <v>-66982.64</v>
      </c>
      <c r="BR287" s="4">
        <v>-75325.89</v>
      </c>
      <c r="BS287" s="4">
        <v>-76562.36</v>
      </c>
      <c r="BT287" s="4">
        <f>IF(OR(MID(TBBP[[#This Row],[Coluna1]],1,1)="1",MID(TBBP[[#This Row],[Coluna1]],1,1)="2"),TBBP[[#This Row],[Coluna127]],SUM(BH287:BS287))</f>
        <v>-800598.02</v>
      </c>
      <c r="BU287" s="4">
        <v>-76722.5</v>
      </c>
      <c r="BV287" s="4">
        <v>-77110.92</v>
      </c>
      <c r="BW287" s="4">
        <v>-77528.479999999996</v>
      </c>
      <c r="BX287" s="4">
        <v>-77611.95</v>
      </c>
      <c r="BY287" s="4">
        <v>-81143.91</v>
      </c>
      <c r="BZ287" s="4">
        <v>-81838.16</v>
      </c>
      <c r="CA287" s="4">
        <v>-86951.19</v>
      </c>
      <c r="CB287" s="4">
        <v>-95802.3</v>
      </c>
      <c r="CC287" s="4">
        <v>-98949.53</v>
      </c>
      <c r="CD287" s="4">
        <v>-100910.86</v>
      </c>
      <c r="CE287" s="4">
        <v>-103347.38</v>
      </c>
      <c r="CF287" s="4">
        <v>-108887.54</v>
      </c>
      <c r="CG287" s="4">
        <f>IF(OR(MID(TBBP[[#This Row],[Coluna1]],1,1)="1",MID(TBBP[[#This Row],[Coluna1]],1,1)="2"),CF287,SUM(BU287:CF287))</f>
        <v>-1066804.7200000002</v>
      </c>
      <c r="CH287" s="4">
        <v>-109275.19</v>
      </c>
      <c r="CI287" s="4">
        <v>-112499.84</v>
      </c>
      <c r="CJ287" s="4">
        <v>-113863.82</v>
      </c>
      <c r="CK287" s="4">
        <v>-126671.67</v>
      </c>
      <c r="CL287" s="4">
        <v>-128038.33</v>
      </c>
      <c r="CM287" s="4">
        <v>-210621.66</v>
      </c>
      <c r="CN287" s="4">
        <v>-225697.44</v>
      </c>
      <c r="CO287" s="4">
        <v>-229557.01</v>
      </c>
      <c r="CP287" s="4">
        <v>-237062.95</v>
      </c>
      <c r="CQ287" s="4">
        <v>-231401.34</v>
      </c>
      <c r="CR287" s="4">
        <v>-224500.13</v>
      </c>
      <c r="CS287" s="4">
        <v>-226558.58</v>
      </c>
      <c r="CT287" s="4">
        <f>IF(OR(MID(TBBP[[#This Row],[Coluna1]],1,1)="1",MID(TBBP[[#This Row],[Coluna1]],1,1)="2"),CS287,SUM(CH287:CS287))</f>
        <v>-2175747.96</v>
      </c>
      <c r="CU287" s="255">
        <v>-227746.17</v>
      </c>
      <c r="CV287" s="255">
        <v>-228653.32</v>
      </c>
      <c r="CW287" s="255">
        <v>-234063.23</v>
      </c>
      <c r="CX287" s="255">
        <v>-233156.5</v>
      </c>
      <c r="CY287" s="255">
        <v>-233436.43999999997</v>
      </c>
      <c r="CZ287" s="255">
        <v>-237204.69</v>
      </c>
      <c r="DA287" s="255">
        <v>-237556.19</v>
      </c>
      <c r="DB287" s="255">
        <v>-244273.9</v>
      </c>
      <c r="DC287" s="255">
        <v>-241290.25</v>
      </c>
      <c r="DD287" s="255">
        <v>-240534.17</v>
      </c>
      <c r="DE287" s="255">
        <v>-240636.83</v>
      </c>
      <c r="DF287" s="255">
        <v>-240084.72</v>
      </c>
      <c r="DG287" s="255">
        <f>SUM(TBBP[[#This Row],[Coluna287]:[Coluna298]])</f>
        <v>-2838636.4099999997</v>
      </c>
      <c r="DH287" s="255">
        <v>-242347.08</v>
      </c>
      <c r="DI287" s="255">
        <v>-243756.74</v>
      </c>
      <c r="DJ287" s="255">
        <v>-242817.01</v>
      </c>
      <c r="DK287" s="255">
        <v>-242817.01</v>
      </c>
      <c r="DL287" s="255">
        <v>-245155.72</v>
      </c>
      <c r="DM287" s="255">
        <v>-242744.38</v>
      </c>
      <c r="DO287" t="s">
        <v>134</v>
      </c>
      <c r="DP287" s="30">
        <f>IF(OR(MID(TBBP[[#This Row],[Coluna1]],1,1)="1",MID(TBBP[[#This Row],[Coluna1]],1,1)="2"),"-",SUMIFS(287:287,listaPeriodos,$DR$1,listaPeriodos,$DR$2))</f>
        <v>-1459637.94</v>
      </c>
      <c r="DQ287" s="30">
        <v>-248614.56</v>
      </c>
      <c r="DR287" s="30">
        <f t="shared" si="181"/>
        <v>-1491687.3599999999</v>
      </c>
      <c r="DS287" s="30"/>
      <c r="DT287" s="30"/>
      <c r="DU287"/>
    </row>
    <row r="288" spans="1:125" x14ac:dyDescent="0.3">
      <c r="A288" s="7" t="s">
        <v>470</v>
      </c>
      <c r="B288" t="s">
        <v>598</v>
      </c>
      <c r="C288" s="4">
        <v>0</v>
      </c>
      <c r="D288" s="4">
        <v>0</v>
      </c>
      <c r="E288" s="4">
        <v>0</v>
      </c>
      <c r="F288" s="4">
        <v>0</v>
      </c>
      <c r="G288" s="4">
        <v>-543644.12</v>
      </c>
      <c r="H288" s="4">
        <v>-53120</v>
      </c>
      <c r="I288" s="4">
        <v>-53120</v>
      </c>
      <c r="J288" s="4">
        <v>-50770</v>
      </c>
      <c r="K288" s="4">
        <v>-50770</v>
      </c>
      <c r="L288" s="4">
        <v>-50770</v>
      </c>
      <c r="M288" s="4">
        <v>-50770</v>
      </c>
      <c r="N288" s="4">
        <v>-50770</v>
      </c>
      <c r="O288" s="4">
        <v>-48062.42</v>
      </c>
      <c r="P288" s="4">
        <v>-55413.21</v>
      </c>
      <c r="Q288" s="4">
        <v>-49913.22</v>
      </c>
      <c r="R288" s="4">
        <v>-54944.74</v>
      </c>
      <c r="S288" s="4">
        <v>-54944.75</v>
      </c>
      <c r="T288" s="4">
        <f>IF(OR(MID(TBBP[[#This Row],[Coluna1]],1,1)="1",MID(TBBP[[#This Row],[Coluna1]],1,1)="2"),TBBP[[#This Row],[Coluna19]],SUM(H288:S288))</f>
        <v>-623368.34</v>
      </c>
      <c r="U288" s="4">
        <v>-55166.7</v>
      </c>
      <c r="V288" s="4">
        <v>-53429.18</v>
      </c>
      <c r="W288" s="4">
        <v>-54536.17</v>
      </c>
      <c r="X288" s="4">
        <v>-55841.15</v>
      </c>
      <c r="Y288" s="4">
        <v>-56377.62</v>
      </c>
      <c r="Z288" s="4">
        <v>-55567.67</v>
      </c>
      <c r="AA288" s="4">
        <v>-55914.19</v>
      </c>
      <c r="AB288" s="4">
        <v>-56786.58</v>
      </c>
      <c r="AC288" s="4">
        <v>-56824.44</v>
      </c>
      <c r="AD288" s="4">
        <v>-52704.95</v>
      </c>
      <c r="AE288" s="4">
        <v>-57762.32</v>
      </c>
      <c r="AF288" s="4">
        <v>-57931.72</v>
      </c>
      <c r="AG288" s="4">
        <f>IF(OR(MID(TBBP[[#This Row],[Coluna1]],1,1)="1",MID(TBBP[[#This Row],[Coluna1]],1,1)="2"),TBBP[[#This Row],[Coluna32]],SUM(U288:AF288))</f>
        <v>-668842.68999999994</v>
      </c>
      <c r="AH288" s="4">
        <v>-59793.57</v>
      </c>
      <c r="AI288" s="4">
        <v>-60276.99</v>
      </c>
      <c r="AJ288" s="4">
        <v>-60511.3</v>
      </c>
      <c r="AK288" s="4">
        <v>-61357.04</v>
      </c>
      <c r="AL288" s="4">
        <v>-61450.3</v>
      </c>
      <c r="AM288" s="4">
        <v>-65921.89</v>
      </c>
      <c r="AN288" s="4">
        <v>-68047.19</v>
      </c>
      <c r="AO288" s="4">
        <v>-69105.210000000006</v>
      </c>
      <c r="AP288" s="4">
        <v>-71166.34</v>
      </c>
      <c r="AQ288" s="4">
        <v>-73730.509999999995</v>
      </c>
      <c r="AR288" s="4">
        <v>-73661.97</v>
      </c>
      <c r="AS288" s="4">
        <v>-75733.119999999995</v>
      </c>
      <c r="AT288" s="4">
        <f>IF(OR(MID(TBBP[[#This Row],[Coluna1]],1,1)="1",MID(TBBP[[#This Row],[Coluna1]],1,1)="2"),TBBP[[#This Row],[Coluna45]],SUM(AH288:AS288))</f>
        <v>-800755.43</v>
      </c>
      <c r="AU288" s="4">
        <v>-76394.009999999995</v>
      </c>
      <c r="AV288" s="4">
        <v>-78075.22</v>
      </c>
      <c r="AW288" s="4">
        <v>-64051.81</v>
      </c>
      <c r="AX288" s="4">
        <v>-64356.46</v>
      </c>
      <c r="AY288" s="4">
        <v>-65697.289999999994</v>
      </c>
      <c r="AZ288" s="4">
        <v>-67231.210000000006</v>
      </c>
      <c r="BA288" s="4">
        <v>-69314.899999999994</v>
      </c>
      <c r="BB288" s="4">
        <v>-65352.19</v>
      </c>
      <c r="BC288" s="4">
        <v>-66788.67</v>
      </c>
      <c r="BD288" s="4">
        <v>-67381.17</v>
      </c>
      <c r="BE288" s="4">
        <v>-67815.990000000005</v>
      </c>
      <c r="BF288" s="4">
        <v>277731.92</v>
      </c>
      <c r="BG288" s="4">
        <f>IF(OR(MID(TBBP[[#This Row],[Coluna1]],1,1)="1",MID(TBBP[[#This Row],[Coluna1]],1,1)="2"),TBBP[[#This Row],[Coluna58]],SUM(AU288:BF288))</f>
        <v>-474727.00000000017</v>
      </c>
      <c r="BH288" s="4">
        <v>-64150.32</v>
      </c>
      <c r="BI288" s="4">
        <v>-53085.64</v>
      </c>
      <c r="BJ288" s="4">
        <v>-51358.52</v>
      </c>
      <c r="BK288" s="4">
        <v>-55880.22</v>
      </c>
      <c r="BL288" s="4">
        <v>-57834.21</v>
      </c>
      <c r="BM288" s="4">
        <v>-60449.97</v>
      </c>
      <c r="BN288" s="4">
        <v>-60788.82</v>
      </c>
      <c r="BO288" s="4">
        <v>-61207.07</v>
      </c>
      <c r="BP288" s="4">
        <v>-60095.12</v>
      </c>
      <c r="BQ288" s="4">
        <v>-60526.720000000001</v>
      </c>
      <c r="BR288" s="4">
        <v>-64703.3</v>
      </c>
      <c r="BS288" s="4">
        <v>-65939.77</v>
      </c>
      <c r="BT288" s="4">
        <f>IF(OR(MID(TBBP[[#This Row],[Coluna1]],1,1)="1",MID(TBBP[[#This Row],[Coluna1]],1,1)="2"),TBBP[[#This Row],[Coluna127]],SUM(BH288:BS288))</f>
        <v>-716019.68</v>
      </c>
      <c r="BU288" s="4">
        <v>-66099.91</v>
      </c>
      <c r="BV288" s="4">
        <v>-66488.33</v>
      </c>
      <c r="BW288" s="4">
        <v>-66905.89</v>
      </c>
      <c r="BX288" s="4">
        <v>-66989.36</v>
      </c>
      <c r="BY288" s="4">
        <v>-70202.820000000007</v>
      </c>
      <c r="BZ288" s="4">
        <v>-70897.070000000007</v>
      </c>
      <c r="CA288" s="4">
        <v>-71874.880000000005</v>
      </c>
      <c r="CB288" s="4">
        <v>-72392.66</v>
      </c>
      <c r="CC288" s="4">
        <v>-75539.89</v>
      </c>
      <c r="CD288" s="4">
        <v>-77501.22</v>
      </c>
      <c r="CE288" s="4">
        <v>-79937.740000000005</v>
      </c>
      <c r="CF288" s="4">
        <v>-85477.9</v>
      </c>
      <c r="CG288" s="4">
        <f>IF(OR(MID(TBBP[[#This Row],[Coluna1]],1,1)="1",MID(TBBP[[#This Row],[Coluna1]],1,1)="2"),CF288,SUM(BU288:CF288))</f>
        <v>-870307.67</v>
      </c>
      <c r="CH288" s="4">
        <v>-85865.55</v>
      </c>
      <c r="CI288" s="4">
        <v>-89090.2</v>
      </c>
      <c r="CJ288" s="4">
        <v>-90454.18</v>
      </c>
      <c r="CK288" s="4">
        <v>-103262.03</v>
      </c>
      <c r="CL288" s="4">
        <v>-104628.69</v>
      </c>
      <c r="CM288" s="4">
        <v>-185549.94</v>
      </c>
      <c r="CN288" s="4">
        <v>-200625.72</v>
      </c>
      <c r="CO288" s="4">
        <v>-204485.29</v>
      </c>
      <c r="CP288" s="4">
        <v>-211991.23</v>
      </c>
      <c r="CQ288" s="4">
        <v>-211329.62</v>
      </c>
      <c r="CR288" s="4">
        <v>-204460.22</v>
      </c>
      <c r="CS288" s="4">
        <v>-206486.86</v>
      </c>
      <c r="CT288" s="4">
        <f>IF(OR(MID(TBBP[[#This Row],[Coluna1]],1,1)="1",MID(TBBP[[#This Row],[Coluna1]],1,1)="2"),CS288,SUM(CH288:CS288))</f>
        <v>-1898229.5299999998</v>
      </c>
      <c r="CU288" s="255">
        <v>-207728.45</v>
      </c>
      <c r="CV288" s="255">
        <v>-208581.6</v>
      </c>
      <c r="CW288" s="255">
        <v>-208928.11</v>
      </c>
      <c r="CX288" s="255">
        <v>-208021.38</v>
      </c>
      <c r="CY288" s="255">
        <v>-208301.31999999998</v>
      </c>
      <c r="CZ288" s="255">
        <v>-212069.57</v>
      </c>
      <c r="DA288" s="255">
        <v>-211421.07</v>
      </c>
      <c r="DB288" s="255">
        <v>-218138.78</v>
      </c>
      <c r="DC288" s="255">
        <v>-215647.89</v>
      </c>
      <c r="DD288" s="255">
        <v>-214891.81</v>
      </c>
      <c r="DE288" s="255">
        <v>-214994.47</v>
      </c>
      <c r="DF288" s="255">
        <v>-214442.36</v>
      </c>
      <c r="DG288" s="255">
        <f>SUM(TBBP[[#This Row],[Coluna287]:[Coluna298]])</f>
        <v>-2543166.81</v>
      </c>
      <c r="DH288" s="255">
        <v>-216949.58</v>
      </c>
      <c r="DI288" s="255">
        <v>-218359.24</v>
      </c>
      <c r="DJ288" s="255">
        <v>-217419.51</v>
      </c>
      <c r="DK288" s="255">
        <v>-217419.51</v>
      </c>
      <c r="DL288" s="255">
        <v>-218708.22</v>
      </c>
      <c r="DM288" s="255">
        <v>-216296.88</v>
      </c>
      <c r="DP288" s="30">
        <f>IF(OR(MID(TBBP[[#This Row],[Coluna1]],1,1)="1",MID(TBBP[[#This Row],[Coluna1]],1,1)="2"),"-",SUMIFS(288:288,listaPeriodos,$DR$1,listaPeriodos,$DR$2))</f>
        <v>-1305152.94</v>
      </c>
      <c r="DQ288" s="30"/>
      <c r="DR288" s="30">
        <f t="shared" si="181"/>
        <v>0</v>
      </c>
      <c r="DS288" s="30"/>
      <c r="DT288" s="30"/>
      <c r="DU288"/>
    </row>
    <row r="289" spans="1:125" x14ac:dyDescent="0.3">
      <c r="A289" s="7" t="s">
        <v>471</v>
      </c>
      <c r="B289" t="s">
        <v>599</v>
      </c>
      <c r="C289" s="4">
        <v>0</v>
      </c>
      <c r="D289" s="4">
        <v>0</v>
      </c>
      <c r="E289" s="4">
        <v>0</v>
      </c>
      <c r="F289" s="4">
        <v>0</v>
      </c>
      <c r="G289" s="4">
        <v>-30643.439999999999</v>
      </c>
      <c r="H289" s="4">
        <v>-2553.62</v>
      </c>
      <c r="I289" s="4">
        <v>-2553.62</v>
      </c>
      <c r="J289" s="4">
        <v>-2553.62</v>
      </c>
      <c r="K289" s="4">
        <v>-2553.62</v>
      </c>
      <c r="L289" s="4">
        <v>-2553.62</v>
      </c>
      <c r="M289" s="4">
        <v>-2553.62</v>
      </c>
      <c r="N289" s="4">
        <v>-2553.62</v>
      </c>
      <c r="O289" s="4">
        <v>-2553.62</v>
      </c>
      <c r="P289" s="4">
        <v>-2553.62</v>
      </c>
      <c r="Q289" s="4">
        <v>-2553.62</v>
      </c>
      <c r="R289" s="4">
        <v>-2553.62</v>
      </c>
      <c r="S289" s="4">
        <v>-2553.62</v>
      </c>
      <c r="T289" s="4">
        <f>IF(OR(MID(TBBP[[#This Row],[Coluna1]],1,1)="1",MID(TBBP[[#This Row],[Coluna1]],1,1)="2"),TBBP[[#This Row],[Coluna19]],SUM(H289:S289))</f>
        <v>-30643.439999999991</v>
      </c>
      <c r="U289" s="4">
        <v>-2553.62</v>
      </c>
      <c r="V289" s="4">
        <v>-2553.62</v>
      </c>
      <c r="W289" s="4">
        <v>-2553.62</v>
      </c>
      <c r="X289" s="4">
        <v>-2553.62</v>
      </c>
      <c r="Y289" s="4">
        <v>-2553.62</v>
      </c>
      <c r="Z289" s="4">
        <v>-2553.62</v>
      </c>
      <c r="AA289" s="4">
        <v>-2553.62</v>
      </c>
      <c r="AB289" s="4">
        <v>-2553.62</v>
      </c>
      <c r="AC289" s="4">
        <v>-1434.94</v>
      </c>
      <c r="AD289" s="4">
        <v>0</v>
      </c>
      <c r="AE289" s="4">
        <v>-5000</v>
      </c>
      <c r="AF289" s="4">
        <v>-5000</v>
      </c>
      <c r="AG289" s="4">
        <f>IF(OR(MID(TBBP[[#This Row],[Coluna1]],1,1)="1",MID(TBBP[[#This Row],[Coluna1]],1,1)="2"),TBBP[[#This Row],[Coluna32]],SUM(U289:AF289))</f>
        <v>-31863.899999999994</v>
      </c>
      <c r="AH289" s="4">
        <v>-5000</v>
      </c>
      <c r="AI289" s="4">
        <v>-5000</v>
      </c>
      <c r="AJ289" s="4">
        <v>-5000</v>
      </c>
      <c r="AK289" s="4">
        <v>-5000</v>
      </c>
      <c r="AL289" s="4">
        <v>-5000</v>
      </c>
      <c r="AM289" s="4">
        <v>-5000</v>
      </c>
      <c r="AN289" s="4">
        <v>-5000</v>
      </c>
      <c r="AO289" s="4">
        <v>-5000</v>
      </c>
      <c r="AP289" s="4">
        <v>-5492.76</v>
      </c>
      <c r="AQ289" s="4">
        <v>-5492.76</v>
      </c>
      <c r="AR289" s="4">
        <v>-5492.76</v>
      </c>
      <c r="AS289" s="4">
        <v>-5492.76</v>
      </c>
      <c r="AT289" s="4">
        <f>IF(OR(MID(TBBP[[#This Row],[Coluna1]],1,1)="1",MID(TBBP[[#This Row],[Coluna1]],1,1)="2"),TBBP[[#This Row],[Coluna45]],SUM(AH289:AS289))</f>
        <v>-61971.040000000008</v>
      </c>
      <c r="AU289" s="4">
        <v>-5737.62</v>
      </c>
      <c r="AV289" s="4">
        <v>-5737.62</v>
      </c>
      <c r="AW289" s="4">
        <v>-5737.62</v>
      </c>
      <c r="AX289" s="4">
        <v>-5737.62</v>
      </c>
      <c r="AY289" s="4">
        <v>-5737.62</v>
      </c>
      <c r="AZ289" s="4">
        <v>-5737.62</v>
      </c>
      <c r="BA289" s="4">
        <v>-5737.62</v>
      </c>
      <c r="BB289" s="4">
        <v>-5737.62</v>
      </c>
      <c r="BC289" s="4">
        <v>-5737.62</v>
      </c>
      <c r="BD289" s="4">
        <v>-6047.24</v>
      </c>
      <c r="BE289" s="4">
        <v>-6047.24</v>
      </c>
      <c r="BF289" s="4">
        <v>-47.289999999999964</v>
      </c>
      <c r="BG289" s="4">
        <f>IF(OR(MID(TBBP[[#This Row],[Coluna1]],1,1)="1",MID(TBBP[[#This Row],[Coluna1]],1,1)="2"),TBBP[[#This Row],[Coluna58]],SUM(AU289:BF289))</f>
        <v>-63780.350000000006</v>
      </c>
      <c r="BH289" s="4">
        <v>-6047.24</v>
      </c>
      <c r="BI289" s="4">
        <v>-6047.24</v>
      </c>
      <c r="BJ289" s="4">
        <v>-6047.24</v>
      </c>
      <c r="BK289" s="4">
        <v>-6455.92</v>
      </c>
      <c r="BL289" s="4">
        <v>-6455.92</v>
      </c>
      <c r="BM289" s="4">
        <v>-6455.92</v>
      </c>
      <c r="BN289" s="4">
        <v>-6455.92</v>
      </c>
      <c r="BO289" s="4">
        <v>-6455.92</v>
      </c>
      <c r="BP289" s="4">
        <v>-6455.92</v>
      </c>
      <c r="BQ289" s="4">
        <v>-6455.92</v>
      </c>
      <c r="BR289" s="4">
        <v>-10622.59</v>
      </c>
      <c r="BS289" s="4">
        <v>-10622.59</v>
      </c>
      <c r="BT289" s="4">
        <f>IF(OR(MID(TBBP[[#This Row],[Coluna1]],1,1)="1",MID(TBBP[[#This Row],[Coluna1]],1,1)="2"),TBBP[[#This Row],[Coluna127]],SUM(BH289:BS289))</f>
        <v>-84578.339999999982</v>
      </c>
      <c r="BU289" s="4">
        <v>-10622.59</v>
      </c>
      <c r="BV289" s="4">
        <v>-10622.59</v>
      </c>
      <c r="BW289" s="4">
        <v>-10622.59</v>
      </c>
      <c r="BX289" s="4">
        <v>-10622.59</v>
      </c>
      <c r="BY289" s="4">
        <v>-10941.09</v>
      </c>
      <c r="BZ289" s="4">
        <v>-10941.09</v>
      </c>
      <c r="CA289" s="4">
        <v>-15076.31</v>
      </c>
      <c r="CB289" s="4">
        <v>-23409.64</v>
      </c>
      <c r="CC289" s="4">
        <v>-23409.64</v>
      </c>
      <c r="CD289" s="4">
        <v>-23409.64</v>
      </c>
      <c r="CE289" s="4">
        <v>-23409.64</v>
      </c>
      <c r="CF289" s="4">
        <v>-23409.64</v>
      </c>
      <c r="CG289" s="4">
        <f>IF(OR(MID(TBBP[[#This Row],[Coluna1]],1,1)="1",MID(TBBP[[#This Row],[Coluna1]],1,1)="2"),CF289,SUM(BU289:CF289))</f>
        <v>-196497.05</v>
      </c>
      <c r="CH289" s="4">
        <v>-23409.64</v>
      </c>
      <c r="CI289" s="4">
        <v>-23409.64</v>
      </c>
      <c r="CJ289" s="4">
        <v>-23409.64</v>
      </c>
      <c r="CK289" s="4">
        <v>-23409.64</v>
      </c>
      <c r="CL289" s="4">
        <v>-23409.64</v>
      </c>
      <c r="CM289" s="4">
        <v>-25071.72</v>
      </c>
      <c r="CN289" s="4">
        <v>-25071.72</v>
      </c>
      <c r="CO289" s="4">
        <v>-25071.72</v>
      </c>
      <c r="CP289" s="4">
        <v>-25071.72</v>
      </c>
      <c r="CQ289" s="4">
        <v>-20071.72</v>
      </c>
      <c r="CR289" s="4">
        <v>-20039.91</v>
      </c>
      <c r="CS289" s="4">
        <v>-20071.72</v>
      </c>
      <c r="CT289" s="4">
        <f>IF(OR(MID(TBBP[[#This Row],[Coluna1]],1,1)="1",MID(TBBP[[#This Row],[Coluna1]],1,1)="2"),CS289,SUM(CH289:CS289))</f>
        <v>-277518.43</v>
      </c>
      <c r="CU289" s="255">
        <v>-20017.72</v>
      </c>
      <c r="CV289" s="255">
        <v>-20071.72</v>
      </c>
      <c r="CW289" s="255">
        <v>-25135.119999999999</v>
      </c>
      <c r="CX289" s="255">
        <v>-25135.119999999999</v>
      </c>
      <c r="CY289" s="255">
        <v>-25135.119999999999</v>
      </c>
      <c r="CZ289" s="255">
        <v>-25135.119999999999</v>
      </c>
      <c r="DA289" s="255">
        <v>-26135.119999999999</v>
      </c>
      <c r="DB289" s="255">
        <v>-26135.119999999999</v>
      </c>
      <c r="DC289" s="255">
        <v>-25642.36</v>
      </c>
      <c r="DD289" s="255">
        <v>-25642.36</v>
      </c>
      <c r="DE289" s="255">
        <v>-25642.36</v>
      </c>
      <c r="DF289" s="255">
        <v>-25642.36</v>
      </c>
      <c r="DG289" s="255">
        <f>SUM(TBBP[[#This Row],[Coluna287]:[Coluna298]])</f>
        <v>-295469.59999999992</v>
      </c>
      <c r="DH289" s="255">
        <v>-25397.5</v>
      </c>
      <c r="DI289" s="255">
        <v>-25397.5</v>
      </c>
      <c r="DJ289" s="255">
        <v>-25397.5</v>
      </c>
      <c r="DK289" s="255">
        <v>-25397.5</v>
      </c>
      <c r="DL289" s="255">
        <v>-26447.5</v>
      </c>
      <c r="DM289" s="255">
        <v>-26447.5</v>
      </c>
      <c r="DP289" s="30">
        <f>IF(OR(MID(TBBP[[#This Row],[Coluna1]],1,1)="1",MID(TBBP[[#This Row],[Coluna1]],1,1)="2"),"-",SUMIFS(289:289,listaPeriodos,$DR$1,listaPeriodos,$DR$2))</f>
        <v>-154485</v>
      </c>
      <c r="DQ289" s="30"/>
      <c r="DR289" s="30">
        <f t="shared" si="181"/>
        <v>0</v>
      </c>
      <c r="DS289" s="30"/>
      <c r="DT289" s="30"/>
      <c r="DU289"/>
    </row>
    <row r="290" spans="1:125" x14ac:dyDescent="0.3">
      <c r="A290" s="7" t="s">
        <v>988</v>
      </c>
      <c r="B290" t="s">
        <v>989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0</v>
      </c>
      <c r="AK290" s="4">
        <v>0</v>
      </c>
      <c r="AL290" s="4">
        <v>0</v>
      </c>
      <c r="AM290" s="4">
        <v>0</v>
      </c>
      <c r="AN290" s="4">
        <v>0</v>
      </c>
      <c r="AO290" s="4">
        <v>0</v>
      </c>
      <c r="AP290" s="4">
        <v>0</v>
      </c>
      <c r="AQ290" s="4">
        <v>0</v>
      </c>
      <c r="AR290" s="4">
        <v>0</v>
      </c>
      <c r="AS290" s="4">
        <v>0</v>
      </c>
      <c r="AT290" s="4">
        <v>0</v>
      </c>
      <c r="AU290" s="4">
        <v>0</v>
      </c>
      <c r="AV290" s="4">
        <v>0</v>
      </c>
      <c r="AW290" s="4">
        <v>0</v>
      </c>
      <c r="AX290" s="4">
        <v>0</v>
      </c>
      <c r="AY290" s="4">
        <v>0</v>
      </c>
      <c r="AZ290" s="4">
        <v>0</v>
      </c>
      <c r="BA290" s="4">
        <v>0</v>
      </c>
      <c r="BB290" s="4">
        <v>0</v>
      </c>
      <c r="BC290" s="4">
        <v>0</v>
      </c>
      <c r="BD290" s="4">
        <v>0</v>
      </c>
      <c r="BE290" s="4">
        <v>0</v>
      </c>
      <c r="BF290" s="4">
        <v>0</v>
      </c>
      <c r="BG290" s="4">
        <v>0</v>
      </c>
      <c r="BH290" s="4">
        <v>0</v>
      </c>
      <c r="BI290" s="4">
        <v>0</v>
      </c>
      <c r="BJ290" s="4">
        <v>0</v>
      </c>
      <c r="BK290" s="4">
        <v>0</v>
      </c>
      <c r="BL290" s="4">
        <v>0</v>
      </c>
      <c r="BM290" s="4">
        <v>0</v>
      </c>
      <c r="BN290" s="4">
        <v>0</v>
      </c>
      <c r="BO290" s="4">
        <v>0</v>
      </c>
      <c r="BP290" s="4">
        <v>-35000</v>
      </c>
      <c r="BQ290" s="4">
        <v>0</v>
      </c>
      <c r="BR290" s="4">
        <v>0</v>
      </c>
      <c r="BS290" s="4">
        <v>-3000</v>
      </c>
      <c r="BT290" s="4">
        <f>IF(OR(MID(TBBP[[#This Row],[Coluna1]],1,1)="1",MID(TBBP[[#This Row],[Coluna1]],1,1)="2"),TBBP[[#This Row],[Coluna127]],SUM(BH290:BS290))</f>
        <v>-38000</v>
      </c>
      <c r="BU290" s="4">
        <v>0</v>
      </c>
      <c r="BV290" s="4">
        <v>0</v>
      </c>
      <c r="BW290" s="4">
        <v>0</v>
      </c>
      <c r="BX290" s="4">
        <v>0</v>
      </c>
      <c r="BY290" s="4">
        <v>0</v>
      </c>
      <c r="BZ290" s="4">
        <v>0</v>
      </c>
      <c r="CA290" s="4">
        <v>0</v>
      </c>
      <c r="CB290" s="4">
        <v>0</v>
      </c>
      <c r="CC290" s="4">
        <v>0</v>
      </c>
      <c r="CD290" s="4">
        <v>0</v>
      </c>
      <c r="CE290" s="4">
        <v>0</v>
      </c>
      <c r="CF290" s="4">
        <v>-80000</v>
      </c>
      <c r="CG290" s="4">
        <f>IF(OR(MID(TBBP[[#This Row],[Coluna1]],1,1)="1",MID(TBBP[[#This Row],[Coluna1]],1,1)="2"),CF290,SUM(BU290:CF290))</f>
        <v>-80000</v>
      </c>
      <c r="CH290" s="4">
        <v>0</v>
      </c>
      <c r="CI290" s="4">
        <v>0</v>
      </c>
      <c r="CJ290" s="4">
        <v>0</v>
      </c>
      <c r="CK290" s="4" t="s">
        <v>1134</v>
      </c>
      <c r="CL290" s="4">
        <v>0</v>
      </c>
      <c r="CM290" s="4" t="s">
        <v>1134</v>
      </c>
      <c r="CN290" s="4">
        <v>0</v>
      </c>
      <c r="CO290" s="4">
        <v>0</v>
      </c>
      <c r="CP290" s="4">
        <v>0</v>
      </c>
      <c r="CQ290" s="4" t="s">
        <v>1134</v>
      </c>
      <c r="CR290" s="4" t="s">
        <v>1134</v>
      </c>
      <c r="CS290" s="4">
        <v>-115000</v>
      </c>
      <c r="CT290" s="4">
        <f>IF(OR(MID(TBBP[[#This Row],[Coluna1]],1,1)="1",MID(TBBP[[#This Row],[Coluna1]],1,1)="2"),CS290,SUM(CH290:CS290))</f>
        <v>-115000</v>
      </c>
      <c r="CU290" s="255">
        <v>0</v>
      </c>
      <c r="CV290" s="255">
        <v>0</v>
      </c>
      <c r="CW290" s="255">
        <v>0</v>
      </c>
      <c r="CX290" s="255">
        <v>0</v>
      </c>
      <c r="CY290" s="255">
        <v>0</v>
      </c>
      <c r="CZ290" s="255">
        <v>0</v>
      </c>
      <c r="DA290" s="255">
        <v>0</v>
      </c>
      <c r="DB290" s="255">
        <v>0</v>
      </c>
      <c r="DC290" s="255">
        <v>0</v>
      </c>
      <c r="DD290" s="255">
        <v>0</v>
      </c>
      <c r="DE290" s="255"/>
      <c r="DF290" s="255">
        <v>-196000</v>
      </c>
      <c r="DG290" s="255">
        <f>SUM(TBBP[[#This Row],[Coluna287]:[Coluna298]])</f>
        <v>-196000</v>
      </c>
      <c r="DH290" s="255">
        <v>0</v>
      </c>
      <c r="DI290" s="255">
        <v>-144.34</v>
      </c>
      <c r="DJ290" s="255">
        <v>-144.34</v>
      </c>
      <c r="DK290" s="255">
        <v>-2144.34</v>
      </c>
      <c r="DL290" s="255">
        <v>-1144.3399999999999</v>
      </c>
      <c r="DM290" s="255">
        <v>-1144.3399999999999</v>
      </c>
      <c r="DP290" s="30">
        <f>IF(OR(MID(TBBP[[#This Row],[Coluna1]],1,1)="1",MID(TBBP[[#This Row],[Coluna1]],1,1)="2"),"-",SUMIFS(290:290,listaPeriodos,$DR$1,listaPeriodos,$DR$2))</f>
        <v>-4721.7</v>
      </c>
      <c r="DQ290" s="30"/>
      <c r="DR290" s="30">
        <f t="shared" si="181"/>
        <v>0</v>
      </c>
      <c r="DS290" s="30"/>
      <c r="DT290" s="30"/>
      <c r="DU290"/>
    </row>
    <row r="291" spans="1:125" x14ac:dyDescent="0.3">
      <c r="A291" s="7" t="s">
        <v>991</v>
      </c>
      <c r="B291" t="s">
        <v>990</v>
      </c>
      <c r="C291" s="4">
        <v>0</v>
      </c>
      <c r="D291" s="4">
        <v>0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0</v>
      </c>
      <c r="AK291" s="4">
        <v>0</v>
      </c>
      <c r="AL291" s="4">
        <v>0</v>
      </c>
      <c r="AM291" s="4">
        <v>0</v>
      </c>
      <c r="AN291" s="4">
        <v>0</v>
      </c>
      <c r="AO291" s="4">
        <v>0</v>
      </c>
      <c r="AP291" s="4">
        <v>0</v>
      </c>
      <c r="AQ291" s="4">
        <v>0</v>
      </c>
      <c r="AR291" s="4">
        <v>0</v>
      </c>
      <c r="AS291" s="4">
        <v>0</v>
      </c>
      <c r="AT291" s="4">
        <v>0</v>
      </c>
      <c r="AU291" s="4">
        <v>0</v>
      </c>
      <c r="AV291" s="4">
        <v>0</v>
      </c>
      <c r="AW291" s="4">
        <v>0</v>
      </c>
      <c r="AX291" s="4">
        <v>0</v>
      </c>
      <c r="AY291" s="4">
        <v>0</v>
      </c>
      <c r="AZ291" s="4">
        <v>0</v>
      </c>
      <c r="BA291" s="4">
        <v>0</v>
      </c>
      <c r="BB291" s="4">
        <v>0</v>
      </c>
      <c r="BC291" s="4">
        <v>0</v>
      </c>
      <c r="BD291" s="4">
        <v>0</v>
      </c>
      <c r="BE291" s="4">
        <v>0</v>
      </c>
      <c r="BF291" s="4">
        <v>0</v>
      </c>
      <c r="BG291" s="4">
        <v>0</v>
      </c>
      <c r="BH291" s="4">
        <v>0</v>
      </c>
      <c r="BI291" s="4">
        <v>0</v>
      </c>
      <c r="BJ291" s="4">
        <v>0</v>
      </c>
      <c r="BK291" s="4">
        <v>0</v>
      </c>
      <c r="BL291" s="4">
        <v>0</v>
      </c>
      <c r="BM291" s="4">
        <v>0</v>
      </c>
      <c r="BN291" s="4">
        <v>0</v>
      </c>
      <c r="BO291" s="4">
        <v>0</v>
      </c>
      <c r="BP291" s="4">
        <v>-35000</v>
      </c>
      <c r="BQ291" s="4">
        <v>0</v>
      </c>
      <c r="BR291" s="4">
        <v>0</v>
      </c>
      <c r="BS291" s="4">
        <v>-3000</v>
      </c>
      <c r="BT291" s="4">
        <f>IF(OR(MID(TBBP[[#This Row],[Coluna1]],1,1)="1",MID(TBBP[[#This Row],[Coluna1]],1,1)="2"),TBBP[[#This Row],[Coluna127]],SUM(BH291:BS291))</f>
        <v>-38000</v>
      </c>
      <c r="BU291" s="4">
        <v>0</v>
      </c>
      <c r="BV291" s="4">
        <v>0</v>
      </c>
      <c r="BW291" s="4">
        <v>0</v>
      </c>
      <c r="BX291" s="4">
        <v>0</v>
      </c>
      <c r="BY291" s="4">
        <v>0</v>
      </c>
      <c r="BZ291" s="4">
        <v>0</v>
      </c>
      <c r="CA291" s="4">
        <v>0</v>
      </c>
      <c r="CB291" s="4">
        <v>0</v>
      </c>
      <c r="CC291" s="4">
        <v>0</v>
      </c>
      <c r="CD291" s="4">
        <v>0</v>
      </c>
      <c r="CE291" s="4">
        <v>0</v>
      </c>
      <c r="CF291" s="4">
        <v>-80000</v>
      </c>
      <c r="CG291" s="4">
        <f>IF(OR(MID(TBBP[[#This Row],[Coluna1]],1,1)="1",MID(TBBP[[#This Row],[Coluna1]],1,1)="2"),CF291,SUM(BU291:CF291))</f>
        <v>-80000</v>
      </c>
      <c r="CH291" s="4">
        <v>0</v>
      </c>
      <c r="CI291" s="4">
        <v>0</v>
      </c>
      <c r="CJ291" s="4">
        <v>0</v>
      </c>
      <c r="CK291" s="4" t="s">
        <v>1134</v>
      </c>
      <c r="CL291" s="4">
        <v>0</v>
      </c>
      <c r="CM291" s="4" t="s">
        <v>1134</v>
      </c>
      <c r="CN291" s="4">
        <v>0</v>
      </c>
      <c r="CO291" s="4">
        <v>0</v>
      </c>
      <c r="CP291" s="4">
        <v>0</v>
      </c>
      <c r="CQ291" s="4" t="s">
        <v>1134</v>
      </c>
      <c r="CR291" s="4" t="s">
        <v>1134</v>
      </c>
      <c r="CS291" s="4">
        <v>-115000</v>
      </c>
      <c r="CT291" s="4">
        <f>IF(OR(MID(TBBP[[#This Row],[Coluna1]],1,1)="1",MID(TBBP[[#This Row],[Coluna1]],1,1)="2"),CS291,SUM(CH291:CS291))</f>
        <v>-115000</v>
      </c>
      <c r="CU291" s="255">
        <v>0</v>
      </c>
      <c r="CV291" s="255">
        <v>0</v>
      </c>
      <c r="CW291" s="255">
        <v>0</v>
      </c>
      <c r="CX291" s="255">
        <v>0</v>
      </c>
      <c r="CY291" s="255">
        <v>0</v>
      </c>
      <c r="CZ291" s="255">
        <v>0</v>
      </c>
      <c r="DA291" s="255">
        <v>0</v>
      </c>
      <c r="DB291" s="255">
        <v>0</v>
      </c>
      <c r="DC291" s="255">
        <v>0</v>
      </c>
      <c r="DD291" s="255">
        <v>0</v>
      </c>
      <c r="DE291" s="255"/>
      <c r="DF291" s="255">
        <v>-196000</v>
      </c>
      <c r="DG291" s="255">
        <f>SUM(TBBP[[#This Row],[Coluna287]:[Coluna298]])</f>
        <v>-196000</v>
      </c>
      <c r="DH291" s="255">
        <v>0</v>
      </c>
      <c r="DI291" s="255">
        <v>-144.34</v>
      </c>
      <c r="DJ291" s="255">
        <v>-144.34</v>
      </c>
      <c r="DK291" s="255">
        <v>-2144.34</v>
      </c>
      <c r="DL291" s="255">
        <v>-1144.3399999999999</v>
      </c>
      <c r="DM291" s="255">
        <v>-1144.3399999999999</v>
      </c>
      <c r="DP291" s="30">
        <f>IF(OR(MID(TBBP[[#This Row],[Coluna1]],1,1)="1",MID(TBBP[[#This Row],[Coluna1]],1,1)="2"),"-",SUMIFS(291:291,listaPeriodos,$DR$1,listaPeriodos,$DR$2))</f>
        <v>-4721.7</v>
      </c>
      <c r="DQ291" s="30"/>
      <c r="DR291" s="30">
        <f t="shared" si="181"/>
        <v>0</v>
      </c>
      <c r="DS291" s="30"/>
      <c r="DT291" s="30"/>
      <c r="DU291"/>
    </row>
    <row r="292" spans="1:125" x14ac:dyDescent="0.3">
      <c r="A292" s="7" t="s">
        <v>135</v>
      </c>
      <c r="B292" t="s">
        <v>600</v>
      </c>
      <c r="C292" s="4">
        <v>0</v>
      </c>
      <c r="D292" s="4">
        <v>0</v>
      </c>
      <c r="E292" s="4">
        <v>0</v>
      </c>
      <c r="F292" s="4">
        <v>0</v>
      </c>
      <c r="G292" s="4">
        <v>-140109.19</v>
      </c>
      <c r="H292" s="4">
        <v>31119.59</v>
      </c>
      <c r="I292" s="4">
        <v>5038.1900000000005</v>
      </c>
      <c r="J292" s="4">
        <v>8676.6100000000024</v>
      </c>
      <c r="K292" s="4">
        <v>21931.29</v>
      </c>
      <c r="L292" s="4">
        <v>9884.9600000000009</v>
      </c>
      <c r="M292" s="4">
        <v>19616.04</v>
      </c>
      <c r="N292" s="4">
        <v>-2795.15</v>
      </c>
      <c r="O292" s="4">
        <v>22418.84</v>
      </c>
      <c r="P292" s="4">
        <v>2730.19</v>
      </c>
      <c r="Q292" s="4">
        <v>10862.22</v>
      </c>
      <c r="R292" s="4">
        <v>1630.74</v>
      </c>
      <c r="S292" s="4">
        <v>-10908.38</v>
      </c>
      <c r="T292" s="4">
        <f>IF(OR(MID(TBBP[[#This Row],[Coluna1]],1,1)="1",MID(TBBP[[#This Row],[Coluna1]],1,1)="2"),TBBP[[#This Row],[Coluna19]],SUM(H292:S292))</f>
        <v>120205.13999999998</v>
      </c>
      <c r="U292" s="4">
        <v>44458.89</v>
      </c>
      <c r="V292" s="4">
        <v>-4267.46</v>
      </c>
      <c r="W292" s="4">
        <v>23364.86</v>
      </c>
      <c r="X292" s="4">
        <v>13241.57</v>
      </c>
      <c r="Y292" s="4">
        <v>20445.97</v>
      </c>
      <c r="Z292" s="4">
        <v>32781.269999999997</v>
      </c>
      <c r="AA292" s="4">
        <v>60141.49</v>
      </c>
      <c r="AB292" s="4">
        <v>-40754.870000000003</v>
      </c>
      <c r="AC292" s="4">
        <v>18253.939999999999</v>
      </c>
      <c r="AD292" s="4">
        <v>21365.43</v>
      </c>
      <c r="AE292" s="4">
        <v>-15820.199999999997</v>
      </c>
      <c r="AF292" s="4">
        <v>43802.7</v>
      </c>
      <c r="AG292" s="4">
        <f>IF(OR(MID(TBBP[[#This Row],[Coluna1]],1,1)="1",MID(TBBP[[#This Row],[Coluna1]],1,1)="2"),TBBP[[#This Row],[Coluna32]],SUM(U292:AF292))</f>
        <v>217013.59000000003</v>
      </c>
      <c r="AH292" s="4">
        <v>-38540.959999999999</v>
      </c>
      <c r="AI292" s="4">
        <v>-41436.230000000003</v>
      </c>
      <c r="AJ292" s="4">
        <v>-118886.04999999999</v>
      </c>
      <c r="AK292" s="4">
        <v>-43308.890000000007</v>
      </c>
      <c r="AL292" s="4">
        <v>-56482.51</v>
      </c>
      <c r="AM292" s="4">
        <v>31990.139999999996</v>
      </c>
      <c r="AN292" s="4">
        <v>-4688.8600000000006</v>
      </c>
      <c r="AO292" s="4">
        <v>-72097.64</v>
      </c>
      <c r="AP292" s="4">
        <v>76394.929999999993</v>
      </c>
      <c r="AQ292" s="4">
        <v>9131.18</v>
      </c>
      <c r="AR292" s="4">
        <v>-30499.68</v>
      </c>
      <c r="AS292" s="4">
        <v>5030.7900000000009</v>
      </c>
      <c r="AT292" s="4">
        <f>IF(OR(MID(TBBP[[#This Row],[Coluna1]],1,1)="1",MID(TBBP[[#This Row],[Coluna1]],1,1)="2"),TBBP[[#This Row],[Coluna45]],SUM(AH292:AS292))</f>
        <v>-283393.78000000003</v>
      </c>
      <c r="AU292" s="4">
        <v>75149.569999999992</v>
      </c>
      <c r="AV292" s="4">
        <v>-34628.660000000003</v>
      </c>
      <c r="AW292" s="4">
        <v>-44165.36</v>
      </c>
      <c r="AX292" s="4">
        <v>52154.69</v>
      </c>
      <c r="AY292" s="4">
        <v>17145.32</v>
      </c>
      <c r="AZ292" s="4">
        <v>-47046.449999999983</v>
      </c>
      <c r="BA292" s="4">
        <v>10337.199999999997</v>
      </c>
      <c r="BB292" s="4">
        <v>10905.57</v>
      </c>
      <c r="BC292" s="4">
        <v>69609.740000000005</v>
      </c>
      <c r="BD292" s="4">
        <v>66437.489999999991</v>
      </c>
      <c r="BE292" s="4">
        <v>-46394</v>
      </c>
      <c r="BF292" s="4">
        <v>31414.999999999993</v>
      </c>
      <c r="BG292" s="4">
        <f>IF(OR(MID(TBBP[[#This Row],[Coluna1]],1,1)="1",MID(TBBP[[#This Row],[Coluna1]],1,1)="2"),TBBP[[#This Row],[Coluna58]],SUM(AU292:BF292))</f>
        <v>160920.11000000002</v>
      </c>
      <c r="BH292" s="4">
        <v>-52078.47</v>
      </c>
      <c r="BI292" s="4">
        <v>-25679.939999999988</v>
      </c>
      <c r="BJ292" s="4">
        <v>-450413.47000000003</v>
      </c>
      <c r="BK292" s="4">
        <v>126786.44</v>
      </c>
      <c r="BL292" s="4">
        <v>-5206.25</v>
      </c>
      <c r="BM292" s="4">
        <v>-202745.78000000003</v>
      </c>
      <c r="BN292" s="4">
        <v>94612.32</v>
      </c>
      <c r="BO292" s="4">
        <v>144966.82999999999</v>
      </c>
      <c r="BP292" s="4">
        <v>-459834.57000000007</v>
      </c>
      <c r="BQ292" s="4">
        <v>120349.65</v>
      </c>
      <c r="BR292" s="4">
        <v>80605.710000000006</v>
      </c>
      <c r="BS292" s="4">
        <v>-373195.32000000007</v>
      </c>
      <c r="BT292" s="4">
        <f>IF(OR(MID(TBBP[[#This Row],[Coluna1]],1,1)="1",MID(TBBP[[#This Row],[Coluna1]],1,1)="2"),TBBP[[#This Row],[Coluna127]],SUM(BH292:BS292))</f>
        <v>-1001832.8500000001</v>
      </c>
      <c r="BU292" s="4">
        <v>120915.78000000001</v>
      </c>
      <c r="BV292" s="4">
        <v>15381.899999999994</v>
      </c>
      <c r="BW292" s="4">
        <v>-275855.28000000003</v>
      </c>
      <c r="BX292" s="4">
        <v>113348.7</v>
      </c>
      <c r="BY292" s="4">
        <v>105748.25</v>
      </c>
      <c r="BZ292" s="4">
        <v>-244547.24000000005</v>
      </c>
      <c r="CA292" s="4">
        <v>176497.79000000004</v>
      </c>
      <c r="CB292" s="4">
        <v>13150.140000000014</v>
      </c>
      <c r="CC292" s="4">
        <v>-410421.30999999994</v>
      </c>
      <c r="CD292" s="4">
        <v>80313.179999999993</v>
      </c>
      <c r="CE292" s="4">
        <v>159270.72999999998</v>
      </c>
      <c r="CF292" s="4">
        <v>-312902.43999999994</v>
      </c>
      <c r="CG292" s="4">
        <f>IF(OR(MID(TBBP[[#This Row],[Coluna1]],1,1)="1",MID(TBBP[[#This Row],[Coluna1]],1,1)="2"),CF292,SUM(BU292:CF292))</f>
        <v>-459099.79999999993</v>
      </c>
      <c r="CH292" s="4">
        <v>21769.590000000026</v>
      </c>
      <c r="CI292" s="4">
        <v>18840.48000000001</v>
      </c>
      <c r="CJ292" s="4">
        <v>-382141.01</v>
      </c>
      <c r="CK292" s="4">
        <v>-68375.929999999993</v>
      </c>
      <c r="CL292" s="4">
        <v>51397.72</v>
      </c>
      <c r="CM292" s="4">
        <v>-700149.09</v>
      </c>
      <c r="CN292" s="4">
        <v>-21932.340000000026</v>
      </c>
      <c r="CO292" s="4">
        <v>20743.349999999977</v>
      </c>
      <c r="CP292" s="4">
        <v>53667.439999999944</v>
      </c>
      <c r="CQ292" s="4">
        <v>-605766.79999999993</v>
      </c>
      <c r="CR292" s="4">
        <v>-779992.32000000007</v>
      </c>
      <c r="CS292" s="4">
        <v>-1013783.63</v>
      </c>
      <c r="CT292" s="4">
        <f>IF(OR(MID(TBBP[[#This Row],[Coluna1]],1,1)="1",MID(TBBP[[#This Row],[Coluna1]],1,1)="2"),CS292,SUM(CH292:CS292))</f>
        <v>-3405722.54</v>
      </c>
      <c r="CU292" s="255">
        <v>291018.20000000007</v>
      </c>
      <c r="CV292" s="255">
        <v>97010.26999999996</v>
      </c>
      <c r="CW292" s="255">
        <v>-34785.590000000026</v>
      </c>
      <c r="CX292" s="255">
        <v>-24140.190000000061</v>
      </c>
      <c r="CY292" s="255">
        <v>130427.87</v>
      </c>
      <c r="CZ292" s="255">
        <v>-66670.549999999959</v>
      </c>
      <c r="DA292" s="255">
        <v>-685023.59000000008</v>
      </c>
      <c r="DB292" s="255">
        <v>278764.31999999995</v>
      </c>
      <c r="DC292" s="255">
        <v>242990.24000000005</v>
      </c>
      <c r="DD292" s="255">
        <v>-149863.87</v>
      </c>
      <c r="DE292" s="255">
        <v>-68922.700000000012</v>
      </c>
      <c r="DF292" s="255">
        <v>212474.47999999998</v>
      </c>
      <c r="DG292" s="255">
        <f>SUM(TBBP[[#This Row],[Coluna287]:[Coluna298]])</f>
        <v>223278.8899999999</v>
      </c>
      <c r="DH292" s="255">
        <v>51564.770000000019</v>
      </c>
      <c r="DI292" s="255">
        <v>145480.56</v>
      </c>
      <c r="DJ292" s="255">
        <v>-193445</v>
      </c>
      <c r="DK292" s="255">
        <v>834887.81</v>
      </c>
      <c r="DL292" s="255">
        <v>-215449.54000000004</v>
      </c>
      <c r="DM292" s="255">
        <v>-421981.91</v>
      </c>
      <c r="DP292" s="30">
        <f>IF(OR(MID(TBBP[[#This Row],[Coluna1]],1,1)="1",MID(TBBP[[#This Row],[Coluna1]],1,1)="2"),"-",SUMIFS(292:292,listaPeriodos,$DR$1,listaPeriodos,$DR$2))</f>
        <v>201056.69000000012</v>
      </c>
      <c r="DQ292" s="30"/>
      <c r="DR292" s="30">
        <f t="shared" si="181"/>
        <v>0</v>
      </c>
      <c r="DS292" s="30"/>
      <c r="DT292" s="30"/>
      <c r="DU292"/>
    </row>
    <row r="293" spans="1:125" x14ac:dyDescent="0.3">
      <c r="A293" s="7" t="s">
        <v>472</v>
      </c>
      <c r="B293" t="s">
        <v>600</v>
      </c>
      <c r="C293" s="4">
        <v>0</v>
      </c>
      <c r="D293" s="4">
        <v>0</v>
      </c>
      <c r="E293" s="4">
        <v>0</v>
      </c>
      <c r="F293" s="4">
        <v>0</v>
      </c>
      <c r="G293" s="4">
        <v>-140109.19</v>
      </c>
      <c r="H293" s="4">
        <v>31119.59</v>
      </c>
      <c r="I293" s="4">
        <v>5038.1900000000005</v>
      </c>
      <c r="J293" s="4">
        <v>8676.6100000000024</v>
      </c>
      <c r="K293" s="4">
        <v>21931.29</v>
      </c>
      <c r="L293" s="4">
        <v>9884.9600000000009</v>
      </c>
      <c r="M293" s="4">
        <v>19616.04</v>
      </c>
      <c r="N293" s="4">
        <v>-2795.15</v>
      </c>
      <c r="O293" s="4">
        <v>22418.84</v>
      </c>
      <c r="P293" s="4">
        <v>2730.19</v>
      </c>
      <c r="Q293" s="4">
        <v>10862.22</v>
      </c>
      <c r="R293" s="4">
        <v>1630.74</v>
      </c>
      <c r="S293" s="4">
        <v>-10908.38</v>
      </c>
      <c r="T293" s="4">
        <f>IF(OR(MID(TBBP[[#This Row],[Coluna1]],1,1)="1",MID(TBBP[[#This Row],[Coluna1]],1,1)="2"),TBBP[[#This Row],[Coluna19]],SUM(H293:S293))</f>
        <v>120205.13999999998</v>
      </c>
      <c r="U293" s="4">
        <v>44458.89</v>
      </c>
      <c r="V293" s="4">
        <v>-4267.46</v>
      </c>
      <c r="W293" s="4">
        <v>23364.86</v>
      </c>
      <c r="X293" s="4">
        <v>13241.57</v>
      </c>
      <c r="Y293" s="4">
        <v>20445.97</v>
      </c>
      <c r="Z293" s="4">
        <v>32781.269999999997</v>
      </c>
      <c r="AA293" s="4">
        <v>60141.49</v>
      </c>
      <c r="AB293" s="4">
        <v>-40754.870000000003</v>
      </c>
      <c r="AC293" s="4">
        <v>18253.939999999999</v>
      </c>
      <c r="AD293" s="4">
        <v>21365.43</v>
      </c>
      <c r="AE293" s="4">
        <v>-15820.199999999997</v>
      </c>
      <c r="AF293" s="4">
        <v>43802.7</v>
      </c>
      <c r="AG293" s="4">
        <f>IF(OR(MID(TBBP[[#This Row],[Coluna1]],1,1)="1",MID(TBBP[[#This Row],[Coluna1]],1,1)="2"),TBBP[[#This Row],[Coluna32]],SUM(U293:AF293))</f>
        <v>217013.59000000003</v>
      </c>
      <c r="AH293" s="4">
        <v>-38540.959999999999</v>
      </c>
      <c r="AI293" s="4">
        <v>-41436.230000000003</v>
      </c>
      <c r="AJ293" s="4">
        <v>-118886.04999999999</v>
      </c>
      <c r="AK293" s="4">
        <v>-43308.890000000007</v>
      </c>
      <c r="AL293" s="4">
        <v>-56482.51</v>
      </c>
      <c r="AM293" s="4">
        <v>31990.139999999996</v>
      </c>
      <c r="AN293" s="4">
        <v>-4688.8600000000006</v>
      </c>
      <c r="AO293" s="4">
        <v>-72097.64</v>
      </c>
      <c r="AP293" s="4">
        <v>76394.929999999993</v>
      </c>
      <c r="AQ293" s="4">
        <v>9131.18</v>
      </c>
      <c r="AR293" s="4">
        <v>-30499.68</v>
      </c>
      <c r="AS293" s="4">
        <v>5030.7900000000009</v>
      </c>
      <c r="AT293" s="4">
        <f>IF(OR(MID(TBBP[[#This Row],[Coluna1]],1,1)="1",MID(TBBP[[#This Row],[Coluna1]],1,1)="2"),TBBP[[#This Row],[Coluna45]],SUM(AH293:AS293))</f>
        <v>-283393.78000000003</v>
      </c>
      <c r="AU293" s="4">
        <v>75149.569999999992</v>
      </c>
      <c r="AV293" s="4">
        <v>-34628.660000000003</v>
      </c>
      <c r="AW293" s="4">
        <v>-44165.36</v>
      </c>
      <c r="AX293" s="4">
        <v>52154.69</v>
      </c>
      <c r="AY293" s="4">
        <v>17145.32</v>
      </c>
      <c r="AZ293" s="4">
        <v>-47046.449999999983</v>
      </c>
      <c r="BA293" s="4">
        <v>10337.199999999997</v>
      </c>
      <c r="BB293" s="4">
        <v>10905.57</v>
      </c>
      <c r="BC293" s="4">
        <v>69609.740000000005</v>
      </c>
      <c r="BD293" s="4">
        <v>66437.489999999991</v>
      </c>
      <c r="BE293" s="4">
        <v>-46394</v>
      </c>
      <c r="BF293" s="4">
        <v>31414.999999999993</v>
      </c>
      <c r="BG293" s="4">
        <f>IF(OR(MID(TBBP[[#This Row],[Coluna1]],1,1)="1",MID(TBBP[[#This Row],[Coluna1]],1,1)="2"),TBBP[[#This Row],[Coluna58]],SUM(AU293:BF293))</f>
        <v>160920.11000000002</v>
      </c>
      <c r="BH293" s="4">
        <v>-52078.47</v>
      </c>
      <c r="BI293" s="4">
        <v>-25679.939999999988</v>
      </c>
      <c r="BJ293" s="4">
        <v>-450413.47000000003</v>
      </c>
      <c r="BK293" s="4">
        <v>126786.44</v>
      </c>
      <c r="BL293" s="4">
        <v>-5206.25</v>
      </c>
      <c r="BM293" s="4">
        <v>-202745.78000000003</v>
      </c>
      <c r="BN293" s="4">
        <v>94612.32</v>
      </c>
      <c r="BO293" s="4">
        <v>144966.82999999999</v>
      </c>
      <c r="BP293" s="4">
        <v>-459834.57000000007</v>
      </c>
      <c r="BQ293" s="4">
        <v>120349.65</v>
      </c>
      <c r="BR293" s="4">
        <v>80605.710000000006</v>
      </c>
      <c r="BS293" s="4">
        <v>-373195.32000000007</v>
      </c>
      <c r="BT293" s="4">
        <f>IF(OR(MID(TBBP[[#This Row],[Coluna1]],1,1)="1",MID(TBBP[[#This Row],[Coluna1]],1,1)="2"),TBBP[[#This Row],[Coluna127]],SUM(BH293:BS293))</f>
        <v>-1001832.8500000001</v>
      </c>
      <c r="BU293" s="4">
        <v>120915.78000000001</v>
      </c>
      <c r="BV293" s="4">
        <v>15381.899999999994</v>
      </c>
      <c r="BW293" s="4">
        <v>-275855.28000000003</v>
      </c>
      <c r="BX293" s="4">
        <v>113348.7</v>
      </c>
      <c r="BY293" s="4">
        <v>105748.25</v>
      </c>
      <c r="BZ293" s="4">
        <v>-244547.24000000005</v>
      </c>
      <c r="CA293" s="4">
        <v>176497.79000000004</v>
      </c>
      <c r="CB293" s="4">
        <v>13150.140000000014</v>
      </c>
      <c r="CC293" s="4">
        <v>-410421.30999999994</v>
      </c>
      <c r="CD293" s="4">
        <v>80313.179999999993</v>
      </c>
      <c r="CE293" s="4">
        <v>159270.72999999998</v>
      </c>
      <c r="CF293" s="4">
        <v>-312902.43999999994</v>
      </c>
      <c r="CG293" s="4">
        <f>IF(OR(MID(TBBP[[#This Row],[Coluna1]],1,1)="1",MID(TBBP[[#This Row],[Coluna1]],1,1)="2"),CF293,SUM(BU293:CF293))</f>
        <v>-459099.79999999993</v>
      </c>
      <c r="CH293" s="4">
        <v>21769.590000000026</v>
      </c>
      <c r="CI293" s="4">
        <v>18840.48000000001</v>
      </c>
      <c r="CJ293" s="4">
        <v>-382141.01</v>
      </c>
      <c r="CK293" s="4">
        <v>-68375.929999999993</v>
      </c>
      <c r="CL293" s="4">
        <v>51397.72</v>
      </c>
      <c r="CM293" s="4">
        <v>-700149.09</v>
      </c>
      <c r="CN293" s="4">
        <v>-21932.340000000026</v>
      </c>
      <c r="CO293" s="4">
        <v>20743.349999999977</v>
      </c>
      <c r="CP293" s="4">
        <v>53667.439999999944</v>
      </c>
      <c r="CQ293" s="4">
        <v>-605766.79999999993</v>
      </c>
      <c r="CR293" s="4">
        <v>-779992.32000000007</v>
      </c>
      <c r="CS293" s="4">
        <v>-1013783.63</v>
      </c>
      <c r="CT293" s="4">
        <f>IF(OR(MID(TBBP[[#This Row],[Coluna1]],1,1)="1",MID(TBBP[[#This Row],[Coluna1]],1,1)="2"),CS293,SUM(CH293:CS293))</f>
        <v>-3405722.54</v>
      </c>
      <c r="CU293" s="255">
        <v>291018.20000000007</v>
      </c>
      <c r="CV293" s="255">
        <v>97010.26999999996</v>
      </c>
      <c r="CW293" s="255">
        <v>-34785.590000000026</v>
      </c>
      <c r="CX293" s="255">
        <v>-24140.190000000061</v>
      </c>
      <c r="CY293" s="255">
        <v>130427.87</v>
      </c>
      <c r="CZ293" s="255">
        <v>-66670.549999999959</v>
      </c>
      <c r="DA293" s="255">
        <v>-685023.59000000008</v>
      </c>
      <c r="DB293" s="255">
        <v>278764.31999999995</v>
      </c>
      <c r="DC293" s="255">
        <v>242990.24000000005</v>
      </c>
      <c r="DD293" s="255">
        <v>-149863.87</v>
      </c>
      <c r="DE293" s="255">
        <v>-68922.700000000012</v>
      </c>
      <c r="DF293" s="255">
        <v>212474.47999999998</v>
      </c>
      <c r="DG293" s="255">
        <f>SUM(TBBP[[#This Row],[Coluna287]:[Coluna298]])</f>
        <v>223278.8899999999</v>
      </c>
      <c r="DH293" s="255">
        <v>51564.770000000019</v>
      </c>
      <c r="DI293" s="255">
        <v>145480.56</v>
      </c>
      <c r="DJ293" s="255">
        <v>-193445</v>
      </c>
      <c r="DK293" s="255">
        <v>834887.81</v>
      </c>
      <c r="DL293" s="255">
        <v>-215449.54000000004</v>
      </c>
      <c r="DM293" s="255">
        <v>-421981.91</v>
      </c>
      <c r="DP293" s="30">
        <f>IF(OR(MID(TBBP[[#This Row],[Coluna1]],1,1)="1",MID(TBBP[[#This Row],[Coluna1]],1,1)="2"),"-",SUMIFS(293:293,listaPeriodos,$DR$1,listaPeriodos,$DR$2))</f>
        <v>201056.69000000012</v>
      </c>
      <c r="DQ293" s="30"/>
      <c r="DR293" s="30">
        <f t="shared" si="181"/>
        <v>0</v>
      </c>
      <c r="DS293" s="30"/>
      <c r="DT293" s="30"/>
      <c r="DU293"/>
    </row>
    <row r="294" spans="1:125" x14ac:dyDescent="0.3">
      <c r="A294" s="7" t="s">
        <v>473</v>
      </c>
      <c r="B294" t="s">
        <v>601</v>
      </c>
      <c r="C294" s="4">
        <v>0</v>
      </c>
      <c r="D294" s="4">
        <v>0</v>
      </c>
      <c r="E294" s="4">
        <v>0</v>
      </c>
      <c r="F294" s="4">
        <v>0</v>
      </c>
      <c r="G294" s="4">
        <v>-140109.19</v>
      </c>
      <c r="H294" s="4">
        <v>31119.59</v>
      </c>
      <c r="I294" s="4">
        <v>5038.1900000000005</v>
      </c>
      <c r="J294" s="4">
        <v>8676.6100000000024</v>
      </c>
      <c r="K294" s="4">
        <v>21931.29</v>
      </c>
      <c r="L294" s="4">
        <v>9884.9600000000009</v>
      </c>
      <c r="M294" s="4">
        <v>19616.04</v>
      </c>
      <c r="N294" s="4">
        <v>-2795.15</v>
      </c>
      <c r="O294" s="4">
        <v>22418.84</v>
      </c>
      <c r="P294" s="4">
        <v>2730.19</v>
      </c>
      <c r="Q294" s="4">
        <v>10862.22</v>
      </c>
      <c r="R294" s="4">
        <v>1630.74</v>
      </c>
      <c r="S294" s="4">
        <v>-10908.38</v>
      </c>
      <c r="T294" s="4">
        <f>IF(OR(MID(TBBP[[#This Row],[Coluna1]],1,1)="1",MID(TBBP[[#This Row],[Coluna1]],1,1)="2"),TBBP[[#This Row],[Coluna19]],SUM(H294:S294))</f>
        <v>120205.13999999998</v>
      </c>
      <c r="U294" s="4">
        <v>44458.89</v>
      </c>
      <c r="V294" s="4">
        <v>-4267.46</v>
      </c>
      <c r="W294" s="4">
        <v>23364.86</v>
      </c>
      <c r="X294" s="4">
        <v>13241.57</v>
      </c>
      <c r="Y294" s="4">
        <v>20445.97</v>
      </c>
      <c r="Z294" s="4">
        <v>32781.269999999997</v>
      </c>
      <c r="AA294" s="4">
        <v>60141.49</v>
      </c>
      <c r="AB294" s="4">
        <v>-40754.870000000003</v>
      </c>
      <c r="AC294" s="4">
        <v>18253.939999999999</v>
      </c>
      <c r="AD294" s="4">
        <v>21365.43</v>
      </c>
      <c r="AE294" s="4">
        <v>-15820.199999999997</v>
      </c>
      <c r="AF294" s="4">
        <v>43802.7</v>
      </c>
      <c r="AG294" s="4">
        <f>IF(OR(MID(TBBP[[#This Row],[Coluna1]],1,1)="1",MID(TBBP[[#This Row],[Coluna1]],1,1)="2"),TBBP[[#This Row],[Coluna32]],SUM(U294:AF294))</f>
        <v>217013.59000000003</v>
      </c>
      <c r="AH294" s="4">
        <v>-38540.959999999999</v>
      </c>
      <c r="AI294" s="4">
        <v>-41436.230000000003</v>
      </c>
      <c r="AJ294" s="4">
        <v>-118886.04999999999</v>
      </c>
      <c r="AK294" s="4">
        <v>-43308.890000000007</v>
      </c>
      <c r="AL294" s="4">
        <v>-56482.51</v>
      </c>
      <c r="AM294" s="4">
        <v>31990.139999999996</v>
      </c>
      <c r="AN294" s="4">
        <v>-4688.8600000000006</v>
      </c>
      <c r="AO294" s="4">
        <v>-72097.64</v>
      </c>
      <c r="AP294" s="4">
        <v>76394.929999999993</v>
      </c>
      <c r="AQ294" s="4">
        <v>9131.18</v>
      </c>
      <c r="AR294" s="4">
        <v>-30499.68</v>
      </c>
      <c r="AS294" s="4">
        <v>5030.7900000000009</v>
      </c>
      <c r="AT294" s="4">
        <f>IF(OR(MID(TBBP[[#This Row],[Coluna1]],1,1)="1",MID(TBBP[[#This Row],[Coluna1]],1,1)="2"),TBBP[[#This Row],[Coluna45]],SUM(AH294:AS294))</f>
        <v>-283393.78000000003</v>
      </c>
      <c r="AU294" s="4">
        <v>75149.569999999992</v>
      </c>
      <c r="AV294" s="4">
        <v>-34628.660000000003</v>
      </c>
      <c r="AW294" s="4">
        <v>-44165.36</v>
      </c>
      <c r="AX294" s="4">
        <v>52154.69</v>
      </c>
      <c r="AY294" s="4">
        <v>17145.32</v>
      </c>
      <c r="AZ294" s="4">
        <v>-47046.449999999983</v>
      </c>
      <c r="BA294" s="4">
        <v>10337.199999999997</v>
      </c>
      <c r="BB294" s="4">
        <v>10905.57</v>
      </c>
      <c r="BC294" s="4">
        <v>69609.740000000005</v>
      </c>
      <c r="BD294" s="4">
        <v>66437.489999999991</v>
      </c>
      <c r="BE294" s="4">
        <v>-46394</v>
      </c>
      <c r="BF294" s="4">
        <v>31414.999999999993</v>
      </c>
      <c r="BG294" s="4">
        <f>IF(OR(MID(TBBP[[#This Row],[Coluna1]],1,1)="1",MID(TBBP[[#This Row],[Coluna1]],1,1)="2"),TBBP[[#This Row],[Coluna58]],SUM(AU294:BF294))</f>
        <v>160920.11000000002</v>
      </c>
      <c r="BH294" s="4">
        <v>-52078.47</v>
      </c>
      <c r="BI294" s="4">
        <v>-25679.939999999988</v>
      </c>
      <c r="BJ294" s="4">
        <v>-450413.47000000003</v>
      </c>
      <c r="BK294" s="4">
        <v>126786.44</v>
      </c>
      <c r="BL294" s="4">
        <v>-5206.25</v>
      </c>
      <c r="BM294" s="4">
        <v>-202745.78000000003</v>
      </c>
      <c r="BN294" s="4">
        <v>94612.32</v>
      </c>
      <c r="BO294" s="4">
        <v>144966.82999999999</v>
      </c>
      <c r="BP294" s="4">
        <v>-459834.57000000007</v>
      </c>
      <c r="BQ294" s="4">
        <v>120349.65</v>
      </c>
      <c r="BR294" s="4">
        <v>80605.710000000006</v>
      </c>
      <c r="BS294" s="4">
        <v>-373195.32000000007</v>
      </c>
      <c r="BT294" s="4">
        <f>IF(OR(MID(TBBP[[#This Row],[Coluna1]],1,1)="1",MID(TBBP[[#This Row],[Coluna1]],1,1)="2"),TBBP[[#This Row],[Coluna127]],SUM(BH294:BS294))</f>
        <v>-1001832.8500000001</v>
      </c>
      <c r="BU294" s="4">
        <v>120915.78000000001</v>
      </c>
      <c r="BV294" s="4">
        <v>15381.899999999994</v>
      </c>
      <c r="BW294" s="4">
        <v>-275855.28000000003</v>
      </c>
      <c r="BX294" s="4">
        <v>113348.7</v>
      </c>
      <c r="BY294" s="4">
        <v>105748.25</v>
      </c>
      <c r="BZ294" s="4">
        <v>-244547.24000000005</v>
      </c>
      <c r="CA294" s="4">
        <v>176497.79000000004</v>
      </c>
      <c r="CB294" s="4">
        <v>13150.140000000014</v>
      </c>
      <c r="CC294" s="4">
        <v>-410421.30999999994</v>
      </c>
      <c r="CD294" s="4">
        <v>80313.179999999993</v>
      </c>
      <c r="CE294" s="4">
        <v>159270.72999999998</v>
      </c>
      <c r="CF294" s="4">
        <v>-312902.43999999994</v>
      </c>
      <c r="CG294" s="4">
        <f>IF(OR(MID(TBBP[[#This Row],[Coluna1]],1,1)="1",MID(TBBP[[#This Row],[Coluna1]],1,1)="2"),CF294,SUM(BU294:CF294))</f>
        <v>-459099.79999999993</v>
      </c>
      <c r="CH294" s="4">
        <v>21769.590000000026</v>
      </c>
      <c r="CI294" s="4">
        <v>18840.48000000001</v>
      </c>
      <c r="CJ294" s="4">
        <v>-382141.01</v>
      </c>
      <c r="CK294" s="4">
        <v>-68375.929999999993</v>
      </c>
      <c r="CL294" s="4">
        <v>51397.72</v>
      </c>
      <c r="CM294" s="4">
        <v>-700149.09</v>
      </c>
      <c r="CN294" s="4">
        <v>-21932.340000000026</v>
      </c>
      <c r="CO294" s="4">
        <v>20743.349999999977</v>
      </c>
      <c r="CP294" s="4">
        <v>53667.439999999944</v>
      </c>
      <c r="CQ294" s="4">
        <v>-605766.79999999993</v>
      </c>
      <c r="CR294" s="4">
        <v>-779992.32000000007</v>
      </c>
      <c r="CS294" s="4">
        <v>-1013783.63</v>
      </c>
      <c r="CT294" s="4">
        <f>IF(OR(MID(TBBP[[#This Row],[Coluna1]],1,1)="1",MID(TBBP[[#This Row],[Coluna1]],1,1)="2"),CS294,SUM(CH294:CS294))</f>
        <v>-3405722.54</v>
      </c>
      <c r="CU294" s="255">
        <v>291018.20000000007</v>
      </c>
      <c r="CV294" s="255">
        <v>97010.26999999996</v>
      </c>
      <c r="CW294" s="255">
        <v>-34785.590000000026</v>
      </c>
      <c r="CX294" s="255">
        <v>-24140.190000000061</v>
      </c>
      <c r="CY294" s="255">
        <v>130427.87</v>
      </c>
      <c r="CZ294" s="255">
        <v>-66670.549999999959</v>
      </c>
      <c r="DA294" s="255">
        <v>-685023.59000000008</v>
      </c>
      <c r="DB294" s="255">
        <v>278764.31999999995</v>
      </c>
      <c r="DC294" s="255">
        <v>242990.24000000005</v>
      </c>
      <c r="DD294" s="255">
        <v>-149863.87</v>
      </c>
      <c r="DE294" s="255">
        <v>-68922.700000000012</v>
      </c>
      <c r="DF294" s="255">
        <v>212474.47999999998</v>
      </c>
      <c r="DG294" s="255">
        <f>SUM(TBBP[[#This Row],[Coluna287]:[Coluna298]])</f>
        <v>223278.8899999999</v>
      </c>
      <c r="DH294" s="255">
        <v>51564.770000000019</v>
      </c>
      <c r="DI294" s="255">
        <v>145480.56</v>
      </c>
      <c r="DJ294" s="255">
        <v>-193445</v>
      </c>
      <c r="DK294" s="255">
        <v>834887.81</v>
      </c>
      <c r="DL294" s="255">
        <v>-215449.54000000004</v>
      </c>
      <c r="DM294" s="255">
        <v>-421981.91</v>
      </c>
      <c r="DP294" s="30">
        <f>IF(OR(MID(TBBP[[#This Row],[Coluna1]],1,1)="1",MID(TBBP[[#This Row],[Coluna1]],1,1)="2"),"-",SUMIFS(294:294,listaPeriodos,$DR$1,listaPeriodos,$DR$2))</f>
        <v>201056.69000000012</v>
      </c>
      <c r="DQ294" s="30"/>
      <c r="DR294" s="30">
        <f t="shared" si="181"/>
        <v>0</v>
      </c>
      <c r="DS294" s="30"/>
      <c r="DT294" s="30"/>
      <c r="DU294"/>
    </row>
    <row r="295" spans="1:125" x14ac:dyDescent="0.3">
      <c r="A295" s="7" t="s">
        <v>138</v>
      </c>
      <c r="B295" t="s">
        <v>602</v>
      </c>
      <c r="C295" s="4">
        <v>0</v>
      </c>
      <c r="D295" s="4">
        <v>0</v>
      </c>
      <c r="E295" s="4">
        <v>0</v>
      </c>
      <c r="F295" s="4">
        <v>0</v>
      </c>
      <c r="G295" s="4">
        <v>-357752.22</v>
      </c>
      <c r="H295" s="4">
        <v>45408.14</v>
      </c>
      <c r="I295" s="4">
        <v>17053.71</v>
      </c>
      <c r="J295" s="4">
        <v>17258.240000000002</v>
      </c>
      <c r="K295" s="4">
        <v>27577.8</v>
      </c>
      <c r="L295" s="4">
        <v>15865.07</v>
      </c>
      <c r="M295" s="4">
        <v>17468.3</v>
      </c>
      <c r="N295" s="4">
        <v>15628.77</v>
      </c>
      <c r="O295" s="4">
        <v>18661.72</v>
      </c>
      <c r="P295" s="4">
        <v>20504.71</v>
      </c>
      <c r="Q295" s="4">
        <v>29789.39</v>
      </c>
      <c r="R295" s="4">
        <v>19411.78</v>
      </c>
      <c r="S295" s="4">
        <v>16147.63</v>
      </c>
      <c r="T295" s="4">
        <f>IF(OR(MID(TBBP[[#This Row],[Coluna1]],1,1)="1",MID(TBBP[[#This Row],[Coluna1]],1,1)="2"),TBBP[[#This Row],[Coluna19]],SUM(H295:S295))</f>
        <v>260775.25999999998</v>
      </c>
      <c r="U295" s="4">
        <v>19777.47</v>
      </c>
      <c r="V295" s="4">
        <v>20916.189999999999</v>
      </c>
      <c r="W295" s="4">
        <v>21304.14</v>
      </c>
      <c r="X295" s="4">
        <v>25219.82</v>
      </c>
      <c r="Y295" s="4">
        <v>29796.33</v>
      </c>
      <c r="Z295" s="4">
        <v>19383.8</v>
      </c>
      <c r="AA295" s="4">
        <v>36898.639999999999</v>
      </c>
      <c r="AB295" s="4">
        <v>21861.01</v>
      </c>
      <c r="AC295" s="4">
        <v>21080.639999999999</v>
      </c>
      <c r="AD295" s="4">
        <v>25202.35</v>
      </c>
      <c r="AE295" s="4">
        <v>13634.62</v>
      </c>
      <c r="AF295" s="4">
        <v>24563.03</v>
      </c>
      <c r="AG295" s="4">
        <f>IF(OR(MID(TBBP[[#This Row],[Coluna1]],1,1)="1",MID(TBBP[[#This Row],[Coluna1]],1,1)="2"),TBBP[[#This Row],[Coluna32]],SUM(U295:AF295))</f>
        <v>279638.04000000004</v>
      </c>
      <c r="AH295" s="4">
        <v>20402.7</v>
      </c>
      <c r="AI295" s="4">
        <v>15596.42</v>
      </c>
      <c r="AJ295" s="4">
        <v>-3032.75</v>
      </c>
      <c r="AK295" s="4">
        <v>4291.5200000000004</v>
      </c>
      <c r="AL295" s="4">
        <v>10264.67</v>
      </c>
      <c r="AM295" s="4">
        <v>10482.280000000001</v>
      </c>
      <c r="AN295" s="4">
        <v>19851.3</v>
      </c>
      <c r="AO295" s="4">
        <v>12023.6</v>
      </c>
      <c r="AP295" s="4">
        <v>15138.6</v>
      </c>
      <c r="AQ295" s="4">
        <v>15232.84</v>
      </c>
      <c r="AR295" s="4">
        <v>16129.49</v>
      </c>
      <c r="AS295" s="4">
        <v>18320.36</v>
      </c>
      <c r="AT295" s="4">
        <f>IF(OR(MID(TBBP[[#This Row],[Coluna1]],1,1)="1",MID(TBBP[[#This Row],[Coluna1]],1,1)="2"),TBBP[[#This Row],[Coluna45]],SUM(AH295:AS295))</f>
        <v>154701.03000000003</v>
      </c>
      <c r="AU295" s="4">
        <v>18251.489999999998</v>
      </c>
      <c r="AV295" s="4">
        <v>12667.91</v>
      </c>
      <c r="AW295" s="4">
        <v>23122.47</v>
      </c>
      <c r="AX295" s="4">
        <v>23413.17</v>
      </c>
      <c r="AY295" s="4">
        <v>29890.799999999999</v>
      </c>
      <c r="AZ295" s="4">
        <v>65596.37</v>
      </c>
      <c r="BA295" s="4">
        <v>36023.229999999996</v>
      </c>
      <c r="BB295" s="4">
        <v>40039.75</v>
      </c>
      <c r="BC295" s="4">
        <v>30744.639999999999</v>
      </c>
      <c r="BD295" s="4">
        <v>60277.33</v>
      </c>
      <c r="BE295" s="4">
        <v>48647.11</v>
      </c>
      <c r="BF295" s="4">
        <v>83956.74</v>
      </c>
      <c r="BG295" s="4">
        <f>IF(OR(MID(TBBP[[#This Row],[Coluna1]],1,1)="1",MID(TBBP[[#This Row],[Coluna1]],1,1)="2"),TBBP[[#This Row],[Coluna58]],SUM(AU295:BF295))</f>
        <v>472631.01</v>
      </c>
      <c r="BH295" s="4">
        <v>54298.600000000006</v>
      </c>
      <c r="BI295" s="4">
        <v>71454.39</v>
      </c>
      <c r="BJ295" s="4">
        <v>111764.22</v>
      </c>
      <c r="BK295" s="4">
        <v>113003.93</v>
      </c>
      <c r="BL295" s="4">
        <v>136687.13</v>
      </c>
      <c r="BM295" s="4">
        <v>144714.93</v>
      </c>
      <c r="BN295" s="4">
        <v>138071.63</v>
      </c>
      <c r="BO295" s="4">
        <v>176201.60000000001</v>
      </c>
      <c r="BP295" s="4">
        <v>148184.94</v>
      </c>
      <c r="BQ295" s="4">
        <v>145122.87</v>
      </c>
      <c r="BR295" s="4">
        <v>140270.73000000001</v>
      </c>
      <c r="BS295" s="4">
        <v>149480.04999999999</v>
      </c>
      <c r="BT295" s="4">
        <f>IF(OR(MID(TBBP[[#This Row],[Coluna1]],1,1)="1",MID(TBBP[[#This Row],[Coluna1]],1,1)="2"),TBBP[[#This Row],[Coluna127]],SUM(BH295:BS295))</f>
        <v>1529255.0199999998</v>
      </c>
      <c r="BU295" s="4">
        <v>155874.54</v>
      </c>
      <c r="BV295" s="4">
        <v>128257.07</v>
      </c>
      <c r="BW295" s="4">
        <v>173576.94</v>
      </c>
      <c r="BX295" s="4">
        <v>136088.29999999999</v>
      </c>
      <c r="BY295" s="4">
        <v>189371.88</v>
      </c>
      <c r="BZ295" s="4">
        <v>181551.46</v>
      </c>
      <c r="CA295" s="4">
        <v>184247.33</v>
      </c>
      <c r="CB295" s="4">
        <v>189450.65</v>
      </c>
      <c r="CC295" s="4">
        <v>158968.4</v>
      </c>
      <c r="CD295" s="4">
        <v>177131.66</v>
      </c>
      <c r="CE295" s="4">
        <v>143165.23000000001</v>
      </c>
      <c r="CF295" s="4">
        <v>134003.69</v>
      </c>
      <c r="CG295" s="4">
        <f>IF(OR(MID(TBBP[[#This Row],[Coluna1]],1,1)="1",MID(TBBP[[#This Row],[Coluna1]],1,1)="2"),CF295,SUM(BU295:CF295))</f>
        <v>1951687.1499999997</v>
      </c>
      <c r="CH295" s="4">
        <v>169676.54</v>
      </c>
      <c r="CI295" s="4">
        <v>113485.34</v>
      </c>
      <c r="CJ295" s="4">
        <v>144458.45000000001</v>
      </c>
      <c r="CK295" s="4">
        <v>143874.66</v>
      </c>
      <c r="CL295" s="4">
        <v>140419.73000000001</v>
      </c>
      <c r="CM295" s="4">
        <v>109726.24</v>
      </c>
      <c r="CN295" s="4">
        <v>95312.16</v>
      </c>
      <c r="CO295" s="4">
        <v>144333.4</v>
      </c>
      <c r="CP295" s="4">
        <v>151929.96</v>
      </c>
      <c r="CQ295" s="4">
        <v>181571.17</v>
      </c>
      <c r="CR295" s="4">
        <v>147757.48000000001</v>
      </c>
      <c r="CS295" s="4">
        <v>166455.23000000001</v>
      </c>
      <c r="CT295" s="4">
        <f>IF(OR(MID(TBBP[[#This Row],[Coluna1]],1,1)="1",MID(TBBP[[#This Row],[Coluna1]],1,1)="2"),CS295,SUM(CH295:CS295))</f>
        <v>1709000.3599999999</v>
      </c>
      <c r="CU295" s="255">
        <v>207419.24</v>
      </c>
      <c r="CV295" s="255">
        <v>207044.82</v>
      </c>
      <c r="CW295" s="255">
        <v>172462.47</v>
      </c>
      <c r="CX295" s="255">
        <v>178860.42</v>
      </c>
      <c r="CY295" s="255">
        <v>161940.12999999998</v>
      </c>
      <c r="CZ295" s="255">
        <v>137885.5</v>
      </c>
      <c r="DA295" s="255">
        <v>203141.73</v>
      </c>
      <c r="DB295" s="255">
        <v>208420.52</v>
      </c>
      <c r="DC295" s="255">
        <v>211310.68</v>
      </c>
      <c r="DD295" s="255">
        <v>250066.63</v>
      </c>
      <c r="DE295" s="255">
        <v>220903.88</v>
      </c>
      <c r="DF295" s="255">
        <v>240631.22</v>
      </c>
      <c r="DG295" s="255">
        <f>SUM(TBBP[[#This Row],[Coluna287]:[Coluna298]])</f>
        <v>2400087.2400000002</v>
      </c>
      <c r="DH295" s="255">
        <v>252039.7</v>
      </c>
      <c r="DI295" s="255">
        <v>172136.82</v>
      </c>
      <c r="DJ295" s="255">
        <v>189940.51</v>
      </c>
      <c r="DK295" s="255">
        <v>183729.27</v>
      </c>
      <c r="DL295" s="255">
        <v>154394.82</v>
      </c>
      <c r="DM295" s="255">
        <v>155520.65</v>
      </c>
      <c r="DP295" s="30">
        <f>IF(OR(MID(TBBP[[#This Row],[Coluna1]],1,1)="1",MID(TBBP[[#This Row],[Coluna1]],1,1)="2"),"-",SUMIFS(295:295,listaPeriodos,$DR$1,listaPeriodos,$DR$2))</f>
        <v>1107761.77</v>
      </c>
      <c r="DQ295" s="30"/>
      <c r="DR295" s="30">
        <f t="shared" si="181"/>
        <v>0</v>
      </c>
      <c r="DS295" s="30"/>
      <c r="DT295" s="30"/>
      <c r="DU295"/>
    </row>
    <row r="296" spans="1:125" x14ac:dyDescent="0.3">
      <c r="A296" s="7" t="s">
        <v>474</v>
      </c>
      <c r="B296" t="s">
        <v>603</v>
      </c>
      <c r="C296" s="4">
        <v>0</v>
      </c>
      <c r="D296" s="4">
        <v>0</v>
      </c>
      <c r="E296" s="4">
        <v>0</v>
      </c>
      <c r="F296" s="4">
        <v>0</v>
      </c>
      <c r="G296" s="4">
        <v>-265815.06</v>
      </c>
      <c r="H296" s="4">
        <v>12712.41</v>
      </c>
      <c r="I296" s="4">
        <v>10994.58</v>
      </c>
      <c r="J296" s="4">
        <v>15157.67</v>
      </c>
      <c r="K296" s="4">
        <v>19156.68</v>
      </c>
      <c r="L296" s="4">
        <v>11833.1</v>
      </c>
      <c r="M296" s="4">
        <v>10627.85</v>
      </c>
      <c r="N296" s="4">
        <v>13191.24</v>
      </c>
      <c r="O296" s="4">
        <v>14371.65</v>
      </c>
      <c r="P296" s="4">
        <v>13918.81</v>
      </c>
      <c r="Q296" s="4">
        <v>18275.080000000002</v>
      </c>
      <c r="R296" s="4">
        <v>15675.17</v>
      </c>
      <c r="S296" s="4">
        <v>13351.4</v>
      </c>
      <c r="T296" s="4">
        <f>IF(OR(MID(TBBP[[#This Row],[Coluna1]],1,1)="1",MID(TBBP[[#This Row],[Coluna1]],1,1)="2"),TBBP[[#This Row],[Coluna19]],SUM(H296:S296))</f>
        <v>169265.64</v>
      </c>
      <c r="U296" s="4">
        <v>15511.71</v>
      </c>
      <c r="V296" s="4">
        <v>16000.48</v>
      </c>
      <c r="W296" s="4">
        <v>16840.22</v>
      </c>
      <c r="X296" s="4">
        <v>19290.919999999998</v>
      </c>
      <c r="Y296" s="4">
        <v>17929.349999999999</v>
      </c>
      <c r="Z296" s="4">
        <v>14432.88</v>
      </c>
      <c r="AA296" s="4">
        <v>18152.28</v>
      </c>
      <c r="AB296" s="4">
        <v>14275.87</v>
      </c>
      <c r="AC296" s="4">
        <v>17252.36</v>
      </c>
      <c r="AD296" s="4">
        <v>18227.740000000002</v>
      </c>
      <c r="AE296" s="4">
        <v>9658.1</v>
      </c>
      <c r="AF296" s="4">
        <v>9772.2099999999991</v>
      </c>
      <c r="AG296" s="4">
        <f>IF(OR(MID(TBBP[[#This Row],[Coluna1]],1,1)="1",MID(TBBP[[#This Row],[Coluna1]],1,1)="2"),TBBP[[#This Row],[Coluna32]],SUM(U296:AF296))</f>
        <v>187344.12</v>
      </c>
      <c r="AH296" s="4">
        <v>9746.11</v>
      </c>
      <c r="AI296" s="4">
        <v>9795.2099999999991</v>
      </c>
      <c r="AJ296" s="4">
        <v>-10798.55</v>
      </c>
      <c r="AK296" s="4">
        <v>-3772.13</v>
      </c>
      <c r="AL296" s="4">
        <v>7101.44</v>
      </c>
      <c r="AM296" s="4">
        <v>6706.23</v>
      </c>
      <c r="AN296" s="4">
        <v>9014.93</v>
      </c>
      <c r="AO296" s="4">
        <v>7726.5800000000008</v>
      </c>
      <c r="AP296" s="4">
        <v>9770.2000000000007</v>
      </c>
      <c r="AQ296" s="4">
        <v>9649.84</v>
      </c>
      <c r="AR296" s="4">
        <v>9606.2300000000014</v>
      </c>
      <c r="AS296" s="4">
        <v>12691.37</v>
      </c>
      <c r="AT296" s="4">
        <f>IF(OR(MID(TBBP[[#This Row],[Coluna1]],1,1)="1",MID(TBBP[[#This Row],[Coluna1]],1,1)="2"),TBBP[[#This Row],[Coluna45]],SUM(AH296:AS296))</f>
        <v>77237.460000000006</v>
      </c>
      <c r="AU296" s="4">
        <v>11368.88</v>
      </c>
      <c r="AV296" s="4">
        <v>10113.59</v>
      </c>
      <c r="AW296" s="4">
        <v>16530.89</v>
      </c>
      <c r="AX296" s="4">
        <v>17568.86</v>
      </c>
      <c r="AY296" s="4">
        <v>24115.89</v>
      </c>
      <c r="AZ296" s="4">
        <v>26533.57</v>
      </c>
      <c r="BA296" s="4">
        <v>25925</v>
      </c>
      <c r="BB296" s="4">
        <v>28891.64</v>
      </c>
      <c r="BC296" s="4">
        <v>23506.559999999998</v>
      </c>
      <c r="BD296" s="4">
        <v>55886.21</v>
      </c>
      <c r="BE296" s="4">
        <v>38907.919999999998</v>
      </c>
      <c r="BF296" s="4">
        <v>71801.759999999995</v>
      </c>
      <c r="BG296" s="4">
        <f>IF(OR(MID(TBBP[[#This Row],[Coluna1]],1,1)="1",MID(TBBP[[#This Row],[Coluna1]],1,1)="2"),TBBP[[#This Row],[Coluna58]],SUM(AU296:BF296))</f>
        <v>351150.77</v>
      </c>
      <c r="BH296" s="4">
        <v>38967.819999999992</v>
      </c>
      <c r="BI296" s="4">
        <v>61473.729999999996</v>
      </c>
      <c r="BJ296" s="4">
        <v>103848.42</v>
      </c>
      <c r="BK296" s="4">
        <v>106028.14</v>
      </c>
      <c r="BL296" s="4">
        <v>115382.93</v>
      </c>
      <c r="BM296" s="4">
        <v>116021.71</v>
      </c>
      <c r="BN296" s="4">
        <v>114079.44</v>
      </c>
      <c r="BO296" s="4">
        <v>131942.18</v>
      </c>
      <c r="BP296" s="4">
        <v>134577.62</v>
      </c>
      <c r="BQ296" s="4">
        <v>138738.82</v>
      </c>
      <c r="BR296" s="4">
        <v>131046.75</v>
      </c>
      <c r="BS296" s="4">
        <v>138459.13</v>
      </c>
      <c r="BT296" s="4">
        <f>IF(OR(MID(TBBP[[#This Row],[Coluna1]],1,1)="1",MID(TBBP[[#This Row],[Coluna1]],1,1)="2"),TBBP[[#This Row],[Coluna127]],SUM(BH296:BS296))</f>
        <v>1330566.69</v>
      </c>
      <c r="BU296" s="4">
        <v>145926.69</v>
      </c>
      <c r="BV296" s="4">
        <v>120487.56</v>
      </c>
      <c r="BW296" s="4">
        <v>159421.51</v>
      </c>
      <c r="BX296" s="4">
        <v>122857.72</v>
      </c>
      <c r="BY296" s="4">
        <v>173476.23</v>
      </c>
      <c r="BZ296" s="4">
        <v>166876.57</v>
      </c>
      <c r="CA296" s="4">
        <v>169090.35</v>
      </c>
      <c r="CB296" s="4">
        <v>180929.00999999998</v>
      </c>
      <c r="CC296" s="4">
        <v>144978.07</v>
      </c>
      <c r="CD296" s="4">
        <v>142565.57999999999</v>
      </c>
      <c r="CE296" s="4">
        <v>131591.35999999999</v>
      </c>
      <c r="CF296" s="4">
        <v>122452.1</v>
      </c>
      <c r="CG296" s="4">
        <f>IF(OR(MID(TBBP[[#This Row],[Coluna1]],1,1)="1",MID(TBBP[[#This Row],[Coluna1]],1,1)="2"),CF296,SUM(BU296:CF296))</f>
        <v>1780652.7500000005</v>
      </c>
      <c r="CH296" s="4">
        <v>144406.32</v>
      </c>
      <c r="CI296" s="4">
        <v>103222.49</v>
      </c>
      <c r="CJ296" s="4">
        <v>122009.49</v>
      </c>
      <c r="CK296" s="4">
        <v>128720.09</v>
      </c>
      <c r="CL296" s="4">
        <v>123317.46</v>
      </c>
      <c r="CM296" s="4">
        <v>94788.94</v>
      </c>
      <c r="CN296" s="4">
        <v>75648.11</v>
      </c>
      <c r="CO296" s="4">
        <v>132265.70000000001</v>
      </c>
      <c r="CP296" s="4">
        <v>143810.51999999999</v>
      </c>
      <c r="CQ296" s="4">
        <v>158207.32</v>
      </c>
      <c r="CR296" s="4">
        <v>140223.42000000001</v>
      </c>
      <c r="CS296" s="4">
        <v>156098.78</v>
      </c>
      <c r="CT296" s="4">
        <f>IF(OR(MID(TBBP[[#This Row],[Coluna1]],1,1)="1",MID(TBBP[[#This Row],[Coluna1]],1,1)="2"),CS296,SUM(CH296:CS296))</f>
        <v>1522718.6400000001</v>
      </c>
      <c r="CU296" s="255">
        <v>191251.05</v>
      </c>
      <c r="CV296" s="255">
        <v>160909.12</v>
      </c>
      <c r="CW296" s="255">
        <v>137785.07999999999</v>
      </c>
      <c r="CX296" s="255">
        <v>137349.22</v>
      </c>
      <c r="CY296" s="255">
        <v>146628.07</v>
      </c>
      <c r="CZ296" s="255">
        <v>126849.88</v>
      </c>
      <c r="DA296" s="255">
        <v>182145.68</v>
      </c>
      <c r="DB296" s="255">
        <v>183535.71</v>
      </c>
      <c r="DC296" s="255">
        <v>185422.81</v>
      </c>
      <c r="DD296" s="255">
        <v>216342.1</v>
      </c>
      <c r="DE296" s="255">
        <v>189628.38</v>
      </c>
      <c r="DF296" s="255">
        <v>217156.37</v>
      </c>
      <c r="DG296" s="255">
        <f>SUM(TBBP[[#This Row],[Coluna287]:[Coluna298]])</f>
        <v>2075003.4700000002</v>
      </c>
      <c r="DH296" s="255">
        <v>229566.09</v>
      </c>
      <c r="DI296" s="255">
        <v>156030.67000000001</v>
      </c>
      <c r="DJ296" s="255">
        <v>161973.32</v>
      </c>
      <c r="DK296" s="255">
        <v>154931.20000000001</v>
      </c>
      <c r="DL296" s="255">
        <v>106056.24</v>
      </c>
      <c r="DM296" s="255">
        <v>134686.76</v>
      </c>
      <c r="DP296" s="30">
        <f>IF(OR(MID(TBBP[[#This Row],[Coluna1]],1,1)="1",MID(TBBP[[#This Row],[Coluna1]],1,1)="2"),"-",SUMIFS(296:296,listaPeriodos,$DR$1,listaPeriodos,$DR$2))</f>
        <v>943244.28</v>
      </c>
      <c r="DQ296" s="30"/>
      <c r="DR296" s="30">
        <f t="shared" si="181"/>
        <v>0</v>
      </c>
      <c r="DS296" s="30"/>
      <c r="DT296" s="30"/>
      <c r="DU296"/>
    </row>
    <row r="297" spans="1:125" x14ac:dyDescent="0.3">
      <c r="A297" s="7" t="s">
        <v>475</v>
      </c>
      <c r="B297" t="s">
        <v>604</v>
      </c>
      <c r="C297" s="4">
        <v>0</v>
      </c>
      <c r="D297" s="4">
        <v>0</v>
      </c>
      <c r="E297" s="4">
        <v>0</v>
      </c>
      <c r="F297" s="4">
        <v>0</v>
      </c>
      <c r="G297" s="4">
        <v>-76621.97</v>
      </c>
      <c r="H297" s="4">
        <v>4543.9399999999996</v>
      </c>
      <c r="I297" s="4">
        <v>5581.19</v>
      </c>
      <c r="J297" s="4">
        <v>1650.41</v>
      </c>
      <c r="K297" s="4">
        <v>7936.51</v>
      </c>
      <c r="L297" s="4">
        <v>3814.13</v>
      </c>
      <c r="M297" s="4">
        <v>5609.66</v>
      </c>
      <c r="N297" s="4">
        <v>1880.03</v>
      </c>
      <c r="O297" s="4">
        <v>3882.53</v>
      </c>
      <c r="P297" s="4">
        <v>6308.86</v>
      </c>
      <c r="Q297" s="4">
        <v>11512.59</v>
      </c>
      <c r="R297" s="4">
        <v>3736.38</v>
      </c>
      <c r="S297" s="4">
        <v>2762.62</v>
      </c>
      <c r="T297" s="4">
        <f>IF(OR(MID(TBBP[[#This Row],[Coluna1]],1,1)="1",MID(TBBP[[#This Row],[Coluna1]],1,1)="2"),TBBP[[#This Row],[Coluna19]],SUM(H297:S297))</f>
        <v>59218.850000000006</v>
      </c>
      <c r="U297" s="4">
        <v>4245.33</v>
      </c>
      <c r="V297" s="4">
        <v>4888.59</v>
      </c>
      <c r="W297" s="4">
        <v>6514.79</v>
      </c>
      <c r="X297" s="4">
        <v>5763.21</v>
      </c>
      <c r="Y297" s="4">
        <v>11193.12</v>
      </c>
      <c r="Z297" s="4">
        <v>4890.6499999999996</v>
      </c>
      <c r="AA297" s="4">
        <v>18693.099999999999</v>
      </c>
      <c r="AB297" s="4">
        <v>6781.16</v>
      </c>
      <c r="AC297" s="4">
        <v>3828.07</v>
      </c>
      <c r="AD297" s="4">
        <v>6914.41</v>
      </c>
      <c r="AE297" s="4">
        <v>3842.99</v>
      </c>
      <c r="AF297" s="4">
        <v>14279.13</v>
      </c>
      <c r="AG297" s="4">
        <f>IF(OR(MID(TBBP[[#This Row],[Coluna1]],1,1)="1",MID(TBBP[[#This Row],[Coluna1]],1,1)="2"),TBBP[[#This Row],[Coluna32]],SUM(U297:AF297))</f>
        <v>91834.550000000017</v>
      </c>
      <c r="AH297" s="4">
        <v>10656.51</v>
      </c>
      <c r="AI297" s="4">
        <v>5799.11</v>
      </c>
      <c r="AJ297" s="4">
        <v>7764.28</v>
      </c>
      <c r="AK297" s="4">
        <v>7690.86</v>
      </c>
      <c r="AL297" s="4">
        <v>3132.51</v>
      </c>
      <c r="AM297" s="4">
        <v>3421.2</v>
      </c>
      <c r="AN297" s="4">
        <v>10075.56</v>
      </c>
      <c r="AO297" s="4">
        <v>4180.22</v>
      </c>
      <c r="AP297" s="4">
        <v>5368.34</v>
      </c>
      <c r="AQ297" s="4">
        <v>5576.42</v>
      </c>
      <c r="AR297" s="4">
        <v>6523.18</v>
      </c>
      <c r="AS297" s="4">
        <v>5472.74</v>
      </c>
      <c r="AT297" s="4">
        <f>IF(OR(MID(TBBP[[#This Row],[Coluna1]],1,1)="1",MID(TBBP[[#This Row],[Coluna1]],1,1)="2"),TBBP[[#This Row],[Coluna45]],SUM(AH297:AS297))</f>
        <v>75660.930000000008</v>
      </c>
      <c r="AU297" s="4">
        <v>6881.92</v>
      </c>
      <c r="AV297" s="4">
        <v>2553.83</v>
      </c>
      <c r="AW297" s="4">
        <v>5541</v>
      </c>
      <c r="AX297" s="4">
        <v>5843.91</v>
      </c>
      <c r="AY297" s="4">
        <v>5772.78</v>
      </c>
      <c r="AZ297" s="4">
        <v>39062.35</v>
      </c>
      <c r="BA297" s="4">
        <v>10098.07</v>
      </c>
      <c r="BB297" s="4">
        <v>10339.81</v>
      </c>
      <c r="BC297" s="4">
        <v>7219.72</v>
      </c>
      <c r="BD297" s="4">
        <v>4389.6499999999996</v>
      </c>
      <c r="BE297" s="4">
        <v>9737.09</v>
      </c>
      <c r="BF297" s="4">
        <v>12153.93</v>
      </c>
      <c r="BG297" s="4">
        <f>IF(OR(MID(TBBP[[#This Row],[Coluna1]],1,1)="1",MID(TBBP[[#This Row],[Coluna1]],1,1)="2"),TBBP[[#This Row],[Coluna58]],SUM(AU297:BF297))</f>
        <v>119594.05999999997</v>
      </c>
      <c r="BH297" s="4">
        <v>15328.59</v>
      </c>
      <c r="BI297" s="4">
        <v>9980.57</v>
      </c>
      <c r="BJ297" s="4">
        <v>7915.48</v>
      </c>
      <c r="BK297" s="4">
        <v>6773.02</v>
      </c>
      <c r="BL297" s="4">
        <v>10284.370000000001</v>
      </c>
      <c r="BM297" s="4">
        <v>9025.5</v>
      </c>
      <c r="BN297" s="4">
        <v>10892.02</v>
      </c>
      <c r="BO297" s="4">
        <v>16122.24</v>
      </c>
      <c r="BP297" s="4">
        <v>13524.66</v>
      </c>
      <c r="BQ297" s="4">
        <v>6301.09</v>
      </c>
      <c r="BR297" s="4">
        <v>9223.74</v>
      </c>
      <c r="BS297" s="4">
        <v>10797.73</v>
      </c>
      <c r="BT297" s="4">
        <f>IF(OR(MID(TBBP[[#This Row],[Coluna1]],1,1)="1",MID(TBBP[[#This Row],[Coluna1]],1,1)="2"),TBBP[[#This Row],[Coluna127]],SUM(BH297:BS297))</f>
        <v>126169.01000000001</v>
      </c>
      <c r="BU297" s="4">
        <v>9877.4</v>
      </c>
      <c r="BV297" s="4">
        <v>7769.41</v>
      </c>
      <c r="BW297" s="4">
        <v>13665.41</v>
      </c>
      <c r="BX297" s="4">
        <v>13230.43</v>
      </c>
      <c r="BY297" s="4">
        <v>15686.53</v>
      </c>
      <c r="BZ297" s="4">
        <v>14569.83</v>
      </c>
      <c r="CA297" s="4">
        <v>15142.48</v>
      </c>
      <c r="CB297" s="4">
        <v>8499.94</v>
      </c>
      <c r="CC297" s="4">
        <v>13920.05</v>
      </c>
      <c r="CD297" s="4">
        <v>34475.86</v>
      </c>
      <c r="CE297" s="4">
        <v>11573.04</v>
      </c>
      <c r="CF297" s="4">
        <v>11545.46</v>
      </c>
      <c r="CG297" s="4">
        <f>IF(OR(MID(TBBP[[#This Row],[Coluna1]],1,1)="1",MID(TBBP[[#This Row],[Coluna1]],1,1)="2"),CF297,SUM(BU297:CF297))</f>
        <v>169955.84</v>
      </c>
      <c r="CH297" s="4">
        <v>25267.22</v>
      </c>
      <c r="CI297" s="4">
        <v>10261.709999999999</v>
      </c>
      <c r="CJ297" s="4">
        <v>22441.03</v>
      </c>
      <c r="CK297" s="4">
        <v>15114.05</v>
      </c>
      <c r="CL297" s="4">
        <v>17033.830000000002</v>
      </c>
      <c r="CM297" s="4">
        <v>14651.39</v>
      </c>
      <c r="CN297" s="4">
        <v>19585.18</v>
      </c>
      <c r="CO297" s="4">
        <v>11462.57</v>
      </c>
      <c r="CP297" s="4">
        <v>7889.52</v>
      </c>
      <c r="CQ297" s="4">
        <v>23127.71</v>
      </c>
      <c r="CR297" s="4">
        <v>7164.41</v>
      </c>
      <c r="CS297" s="4">
        <v>9676.19</v>
      </c>
      <c r="CT297" s="4">
        <f>IF(OR(MID(TBBP[[#This Row],[Coluna1]],1,1)="1",MID(TBBP[[#This Row],[Coluna1]],1,1)="2"),CS297,SUM(CH297:CS297))</f>
        <v>183674.81</v>
      </c>
      <c r="CU297" s="255">
        <v>11050.02</v>
      </c>
      <c r="CV297" s="255">
        <v>42699.040000000001</v>
      </c>
      <c r="CW297" s="255">
        <v>31333.07</v>
      </c>
      <c r="CX297" s="255">
        <v>40451.699999999997</v>
      </c>
      <c r="CY297" s="255">
        <v>14797.9</v>
      </c>
      <c r="CZ297" s="255">
        <v>10768.65</v>
      </c>
      <c r="DA297" s="255">
        <v>20847.670000000002</v>
      </c>
      <c r="DB297" s="255">
        <v>19432.3</v>
      </c>
      <c r="DC297" s="255">
        <v>25369.03</v>
      </c>
      <c r="DD297" s="255">
        <v>33628.120000000003</v>
      </c>
      <c r="DE297" s="255">
        <v>31219.94</v>
      </c>
      <c r="DF297" s="255">
        <v>23473.86</v>
      </c>
      <c r="DG297" s="255">
        <f>SUM(TBBP[[#This Row],[Coluna287]:[Coluna298]])</f>
        <v>305071.3</v>
      </c>
      <c r="DH297" s="255">
        <v>22204.43</v>
      </c>
      <c r="DI297" s="255">
        <v>15839.31</v>
      </c>
      <c r="DJ297" s="255">
        <v>27963.14</v>
      </c>
      <c r="DK297" s="255">
        <v>28674.5</v>
      </c>
      <c r="DL297" s="255">
        <v>17179.41</v>
      </c>
      <c r="DM297" s="255">
        <v>20821.88</v>
      </c>
      <c r="DP297" s="30">
        <f>IF(OR(MID(TBBP[[#This Row],[Coluna1]],1,1)="1",MID(TBBP[[#This Row],[Coluna1]],1,1)="2"),"-",SUMIFS(297:297,listaPeriodos,$DR$1,listaPeriodos,$DR$2))</f>
        <v>132682.67000000001</v>
      </c>
      <c r="DQ297" s="30"/>
      <c r="DR297" s="30">
        <f t="shared" si="181"/>
        <v>0</v>
      </c>
      <c r="DS297" s="30"/>
      <c r="DT297" s="30"/>
      <c r="DU297"/>
    </row>
    <row r="298" spans="1:125" x14ac:dyDescent="0.3">
      <c r="A298" s="7" t="s">
        <v>476</v>
      </c>
      <c r="B298" t="s">
        <v>605</v>
      </c>
      <c r="C298" s="4">
        <v>0</v>
      </c>
      <c r="D298" s="4">
        <v>0</v>
      </c>
      <c r="E298" s="4">
        <v>0</v>
      </c>
      <c r="F298" s="4">
        <v>0</v>
      </c>
      <c r="G298" s="4">
        <v>-12685.35</v>
      </c>
      <c r="H298" s="4">
        <v>95.5</v>
      </c>
      <c r="I298" s="4">
        <v>477.94</v>
      </c>
      <c r="J298" s="4">
        <v>450.16</v>
      </c>
      <c r="K298" s="4">
        <v>23.68</v>
      </c>
      <c r="L298" s="4">
        <v>197.17</v>
      </c>
      <c r="M298" s="4">
        <v>1191.26</v>
      </c>
      <c r="N298" s="4">
        <v>557.5</v>
      </c>
      <c r="O298" s="4">
        <v>407.54</v>
      </c>
      <c r="P298" s="4">
        <v>277.04000000000002</v>
      </c>
      <c r="Q298" s="4">
        <v>1.72</v>
      </c>
      <c r="R298" s="4">
        <v>0.23</v>
      </c>
      <c r="S298" s="4">
        <v>33.61</v>
      </c>
      <c r="T298" s="4">
        <f>IF(OR(MID(TBBP[[#This Row],[Coluna1]],1,1)="1",MID(TBBP[[#This Row],[Coluna1]],1,1)="2"),TBBP[[#This Row],[Coluna19]],SUM(H298:S298))</f>
        <v>3713.35</v>
      </c>
      <c r="U298" s="4">
        <v>20.43</v>
      </c>
      <c r="V298" s="4">
        <v>-27.12</v>
      </c>
      <c r="W298" s="4">
        <v>18.170000000000002</v>
      </c>
      <c r="X298" s="4">
        <v>165.69</v>
      </c>
      <c r="Y298" s="4">
        <v>673.86</v>
      </c>
      <c r="Z298" s="4">
        <v>60.27</v>
      </c>
      <c r="AA298" s="4">
        <v>53.26</v>
      </c>
      <c r="AB298" s="4">
        <v>803.32</v>
      </c>
      <c r="AC298" s="4">
        <v>0.21</v>
      </c>
      <c r="AD298" s="4">
        <v>60.2</v>
      </c>
      <c r="AE298" s="4">
        <v>133.53</v>
      </c>
      <c r="AF298" s="4">
        <v>511.69</v>
      </c>
      <c r="AG298" s="4">
        <f>IF(OR(MID(TBBP[[#This Row],[Coluna1]],1,1)="1",MID(TBBP[[#This Row],[Coluna1]],1,1)="2"),TBBP[[#This Row],[Coluna32]],SUM(U298:AF298))</f>
        <v>2473.5100000000002</v>
      </c>
      <c r="AH298" s="4">
        <v>0.08</v>
      </c>
      <c r="AI298" s="4">
        <v>2.1</v>
      </c>
      <c r="AJ298" s="4">
        <v>1.52</v>
      </c>
      <c r="AK298" s="4">
        <v>372.79</v>
      </c>
      <c r="AL298" s="4">
        <v>30.72</v>
      </c>
      <c r="AM298" s="4">
        <v>354.85</v>
      </c>
      <c r="AN298" s="4">
        <v>760.81</v>
      </c>
      <c r="AO298" s="4">
        <v>116.8</v>
      </c>
      <c r="AP298" s="4">
        <v>0.06</v>
      </c>
      <c r="AQ298" s="4">
        <v>6.58</v>
      </c>
      <c r="AR298" s="4">
        <v>0.08</v>
      </c>
      <c r="AS298" s="4">
        <v>156.25</v>
      </c>
      <c r="AT298" s="4">
        <f>IF(OR(MID(TBBP[[#This Row],[Coluna1]],1,1)="1",MID(TBBP[[#This Row],[Coluna1]],1,1)="2"),TBBP[[#This Row],[Coluna45]],SUM(AH298:AS298))</f>
        <v>1802.6399999999996</v>
      </c>
      <c r="AU298" s="4">
        <v>0.69</v>
      </c>
      <c r="AV298" s="4">
        <v>0.49</v>
      </c>
      <c r="AW298" s="4">
        <v>1050.58</v>
      </c>
      <c r="AX298" s="4">
        <v>0.4</v>
      </c>
      <c r="AY298" s="4">
        <v>2.13</v>
      </c>
      <c r="AZ298" s="4">
        <v>0.45</v>
      </c>
      <c r="BA298" s="4">
        <v>0.16</v>
      </c>
      <c r="BB298" s="4">
        <v>808.3</v>
      </c>
      <c r="BC298" s="4">
        <v>18.36</v>
      </c>
      <c r="BD298" s="4">
        <v>1.47</v>
      </c>
      <c r="BE298" s="4">
        <v>2.1</v>
      </c>
      <c r="BF298" s="4">
        <v>1.05</v>
      </c>
      <c r="BG298" s="4">
        <f>IF(OR(MID(TBBP[[#This Row],[Coluna1]],1,1)="1",MID(TBBP[[#This Row],[Coluna1]],1,1)="2"),TBBP[[#This Row],[Coluna58]],SUM(AU298:BF298))</f>
        <v>1886.18</v>
      </c>
      <c r="BH298" s="4">
        <v>2.19</v>
      </c>
      <c r="BI298" s="4">
        <v>0.09</v>
      </c>
      <c r="BJ298" s="4">
        <v>0.32</v>
      </c>
      <c r="BK298" s="4">
        <v>202.77</v>
      </c>
      <c r="BL298" s="4">
        <v>11019.83</v>
      </c>
      <c r="BM298" s="4">
        <v>19667.72</v>
      </c>
      <c r="BN298" s="4">
        <v>13100.17</v>
      </c>
      <c r="BO298" s="4">
        <v>28137.18</v>
      </c>
      <c r="BP298" s="4">
        <v>82.660000000000082</v>
      </c>
      <c r="BQ298" s="4">
        <v>82.96</v>
      </c>
      <c r="BR298" s="4">
        <v>0.24</v>
      </c>
      <c r="BS298" s="4">
        <v>223.19</v>
      </c>
      <c r="BT298" s="4">
        <f>IF(OR(MID(TBBP[[#This Row],[Coluna1]],1,1)="1",MID(TBBP[[#This Row],[Coluna1]],1,1)="2"),TBBP[[#This Row],[Coluna127]],SUM(BH298:BS298))</f>
        <v>72519.320000000022</v>
      </c>
      <c r="BU298" s="4">
        <v>70.45</v>
      </c>
      <c r="BV298" s="4">
        <v>0.1</v>
      </c>
      <c r="BW298" s="4">
        <v>490.02</v>
      </c>
      <c r="BX298" s="4">
        <v>0.15</v>
      </c>
      <c r="BY298" s="4">
        <v>209.12</v>
      </c>
      <c r="BZ298" s="4">
        <v>105.06</v>
      </c>
      <c r="CA298" s="4">
        <v>14.5</v>
      </c>
      <c r="CB298" s="4">
        <v>21.7</v>
      </c>
      <c r="CC298" s="4">
        <v>70.28</v>
      </c>
      <c r="CD298" s="4">
        <v>90.22</v>
      </c>
      <c r="CE298" s="4">
        <v>0.83</v>
      </c>
      <c r="CF298" s="4">
        <v>6.13</v>
      </c>
      <c r="CG298" s="4">
        <f>IF(OR(MID(TBBP[[#This Row],[Coluna1]],1,1)="1",MID(TBBP[[#This Row],[Coluna1]],1,1)="2"),CF298,SUM(BU298:CF298))</f>
        <v>1078.56</v>
      </c>
      <c r="CH298" s="4">
        <v>3</v>
      </c>
      <c r="CI298" s="4">
        <v>1.1399999999999999</v>
      </c>
      <c r="CJ298" s="4">
        <v>7.93</v>
      </c>
      <c r="CK298" s="4">
        <v>40.520000000000003</v>
      </c>
      <c r="CL298" s="4">
        <v>68.44</v>
      </c>
      <c r="CM298" s="4">
        <v>285.91000000000003</v>
      </c>
      <c r="CN298" s="4">
        <v>78.87</v>
      </c>
      <c r="CO298" s="4">
        <v>605.13</v>
      </c>
      <c r="CP298" s="4">
        <v>229.92</v>
      </c>
      <c r="CQ298" s="4">
        <v>236.14</v>
      </c>
      <c r="CR298" s="4">
        <v>369.65</v>
      </c>
      <c r="CS298" s="4">
        <v>680.26</v>
      </c>
      <c r="CT298" s="4">
        <f>IF(OR(MID(TBBP[[#This Row],[Coluna1]],1,1)="1",MID(TBBP[[#This Row],[Coluna1]],1,1)="2"),CS298,SUM(CH298:CS298))</f>
        <v>2606.91</v>
      </c>
      <c r="CU298" s="255">
        <v>5118.17</v>
      </c>
      <c r="CV298" s="255">
        <v>3436.66</v>
      </c>
      <c r="CW298" s="255">
        <v>3344.32</v>
      </c>
      <c r="CX298" s="255">
        <v>1059.5</v>
      </c>
      <c r="CY298" s="255">
        <v>514.16</v>
      </c>
      <c r="CZ298" s="255">
        <v>266.97000000000003</v>
      </c>
      <c r="DA298" s="255">
        <v>148.38</v>
      </c>
      <c r="DB298" s="255">
        <v>5452.51</v>
      </c>
      <c r="DC298" s="255">
        <v>518.84</v>
      </c>
      <c r="DD298" s="255">
        <v>96.41</v>
      </c>
      <c r="DE298" s="255">
        <v>55.56</v>
      </c>
      <c r="DF298" s="255">
        <v>0.99</v>
      </c>
      <c r="DG298" s="255">
        <f>SUM(TBBP[[#This Row],[Coluna287]:[Coluna298]])</f>
        <v>20012.47</v>
      </c>
      <c r="DH298" s="255">
        <v>269.18</v>
      </c>
      <c r="DI298" s="255">
        <v>266.83999999999997</v>
      </c>
      <c r="DJ298" s="255">
        <v>4.05</v>
      </c>
      <c r="DK298" s="255">
        <v>123.57</v>
      </c>
      <c r="DL298" s="255">
        <v>31159.17</v>
      </c>
      <c r="DM298" s="255">
        <v>12.01</v>
      </c>
      <c r="DP298" s="30">
        <f>IF(OR(MID(TBBP[[#This Row],[Coluna1]],1,1)="1",MID(TBBP[[#This Row],[Coluna1]],1,1)="2"),"-",SUMIFS(298:298,listaPeriodos,$DR$1,listaPeriodos,$DR$2))</f>
        <v>31834.819999999996</v>
      </c>
      <c r="DQ298" s="30"/>
      <c r="DR298" s="30">
        <f t="shared" si="181"/>
        <v>0</v>
      </c>
      <c r="DS298" s="30"/>
      <c r="DT298" s="30"/>
      <c r="DU298"/>
    </row>
    <row r="299" spans="1:125" x14ac:dyDescent="0.3">
      <c r="A299" s="7" t="s">
        <v>477</v>
      </c>
      <c r="B299" t="s">
        <v>606</v>
      </c>
      <c r="C299" s="4">
        <v>0</v>
      </c>
      <c r="D299" s="4">
        <v>0</v>
      </c>
      <c r="E299" s="4">
        <v>0</v>
      </c>
      <c r="F299" s="4">
        <v>0</v>
      </c>
      <c r="G299" s="4">
        <v>-2629.84</v>
      </c>
      <c r="H299" s="4">
        <v>28056.29</v>
      </c>
      <c r="I299" s="4">
        <v>0</v>
      </c>
      <c r="J299" s="4">
        <v>0</v>
      </c>
      <c r="K299" s="4">
        <v>460.93</v>
      </c>
      <c r="L299" s="4">
        <v>20.67</v>
      </c>
      <c r="M299" s="4">
        <v>39.53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f>IF(OR(MID(TBBP[[#This Row],[Coluna1]],1,1)="1",MID(TBBP[[#This Row],[Coluna1]],1,1)="2"),TBBP[[#This Row],[Coluna19]],SUM(H299:S299))</f>
        <v>28577.42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f>IF(OR(MID(TBBP[[#This Row],[Coluna1]],1,1)="1",MID(TBBP[[#This Row],[Coluna1]],1,1)="2"),TBBP[[#This Row],[Coluna32]],SUM(U299:AF299))</f>
        <v>0</v>
      </c>
      <c r="AH299" s="4">
        <v>0</v>
      </c>
      <c r="AI299" s="4">
        <v>0</v>
      </c>
      <c r="AJ299" s="4">
        <v>0</v>
      </c>
      <c r="AK299" s="4">
        <v>0</v>
      </c>
      <c r="AL299" s="4">
        <v>0</v>
      </c>
      <c r="AM299" s="4">
        <v>0</v>
      </c>
      <c r="AN299" s="4">
        <v>0</v>
      </c>
      <c r="AO299" s="4">
        <v>0</v>
      </c>
      <c r="AP299" s="4">
        <v>0</v>
      </c>
      <c r="AQ299" s="4">
        <v>0</v>
      </c>
      <c r="AR299" s="4">
        <v>0</v>
      </c>
      <c r="AS299" s="4">
        <v>0</v>
      </c>
      <c r="AT299" s="4">
        <f>IF(OR(MID(TBBP[[#This Row],[Coluna1]],1,1)="1",MID(TBBP[[#This Row],[Coluna1]],1,1)="2"),TBBP[[#This Row],[Coluna45]],SUM(AH299:AS299))</f>
        <v>0</v>
      </c>
      <c r="AU299" s="4">
        <v>0</v>
      </c>
      <c r="AV299" s="4">
        <v>0</v>
      </c>
      <c r="AW299" s="4">
        <v>0</v>
      </c>
      <c r="AX299" s="4">
        <v>0</v>
      </c>
      <c r="AY299" s="4">
        <v>0</v>
      </c>
      <c r="AZ299" s="4">
        <v>0</v>
      </c>
      <c r="BA299" s="4">
        <v>0</v>
      </c>
      <c r="BB299" s="4">
        <v>0</v>
      </c>
      <c r="BC299" s="4">
        <v>0</v>
      </c>
      <c r="BD299" s="4">
        <v>0</v>
      </c>
      <c r="BE299" s="4">
        <v>0</v>
      </c>
      <c r="BF299" s="4">
        <v>0</v>
      </c>
      <c r="BG299" s="4">
        <f>IF(OR(MID(TBBP[[#This Row],[Coluna1]],1,1)="1",MID(TBBP[[#This Row],[Coluna1]],1,1)="2"),TBBP[[#This Row],[Coluna58]],SUM(AU299:BF299))</f>
        <v>0</v>
      </c>
      <c r="BH299" s="4">
        <v>0</v>
      </c>
      <c r="BI299" s="4">
        <v>0</v>
      </c>
      <c r="BJ299" s="4">
        <v>0</v>
      </c>
      <c r="BK299" s="4">
        <v>0</v>
      </c>
      <c r="BL299" s="4">
        <v>0</v>
      </c>
      <c r="BM299" s="4">
        <v>0</v>
      </c>
      <c r="BN299" s="4">
        <v>0</v>
      </c>
      <c r="BO299" s="4">
        <v>0</v>
      </c>
      <c r="BP299" s="4">
        <v>0</v>
      </c>
      <c r="BQ299" s="4">
        <v>0</v>
      </c>
      <c r="BR299" s="4">
        <v>0</v>
      </c>
      <c r="BS299" s="4">
        <v>0</v>
      </c>
      <c r="BT299" s="4">
        <f>IF(OR(MID(TBBP[[#This Row],[Coluna1]],1,1)="1",MID(TBBP[[#This Row],[Coluna1]],1,1)="2"),TBBP[[#This Row],[Coluna127]],SUM(BH299:BS299))</f>
        <v>0</v>
      </c>
      <c r="BU299" s="4">
        <v>0</v>
      </c>
      <c r="BV299" s="4">
        <v>0</v>
      </c>
      <c r="BW299" s="4">
        <v>0</v>
      </c>
      <c r="BX299" s="4">
        <v>0</v>
      </c>
      <c r="BY299" s="4">
        <v>0</v>
      </c>
      <c r="BZ299" s="4">
        <v>0</v>
      </c>
      <c r="CA299" s="4">
        <v>0</v>
      </c>
      <c r="CB299" s="4">
        <v>0</v>
      </c>
      <c r="CC299" s="4">
        <v>0</v>
      </c>
      <c r="CD299" s="4">
        <v>0</v>
      </c>
      <c r="CE299" s="4">
        <v>0</v>
      </c>
      <c r="CF299" s="4">
        <v>0</v>
      </c>
      <c r="CG299" s="4">
        <f>IF(OR(MID(TBBP[[#This Row],[Coluna1]],1,1)="1",MID(TBBP[[#This Row],[Coluna1]],1,1)="2"),CF299,SUM(BU299:CF299))</f>
        <v>0</v>
      </c>
      <c r="CH299" s="4">
        <v>0</v>
      </c>
      <c r="CI299" s="4">
        <v>0</v>
      </c>
      <c r="CJ299" s="4">
        <v>0</v>
      </c>
      <c r="CK299" s="4" t="s">
        <v>1134</v>
      </c>
      <c r="CL299" s="4">
        <v>0</v>
      </c>
      <c r="CM299" s="4" t="s">
        <v>1134</v>
      </c>
      <c r="CN299" s="4">
        <v>0</v>
      </c>
      <c r="CO299" s="4">
        <v>0</v>
      </c>
      <c r="CP299" s="4">
        <v>0</v>
      </c>
      <c r="CQ299" s="4" t="s">
        <v>1134</v>
      </c>
      <c r="CR299" s="4" t="s">
        <v>1134</v>
      </c>
      <c r="CS299" s="4" t="s">
        <v>1134</v>
      </c>
      <c r="CT299" s="4">
        <f>IF(OR(MID(TBBP[[#This Row],[Coluna1]],1,1)="1",MID(TBBP[[#This Row],[Coluna1]],1,1)="2"),CS299,SUM(CH299:CS299))</f>
        <v>0</v>
      </c>
      <c r="CU299" s="255">
        <v>0</v>
      </c>
      <c r="CV299" s="255">
        <v>0</v>
      </c>
      <c r="CW299" s="255">
        <v>0</v>
      </c>
      <c r="CX299" s="255">
        <v>0</v>
      </c>
      <c r="CY299" s="255">
        <v>0</v>
      </c>
      <c r="CZ299" s="255">
        <v>0</v>
      </c>
      <c r="DA299" s="255">
        <v>0</v>
      </c>
      <c r="DB299" s="255">
        <v>0</v>
      </c>
      <c r="DC299" s="255">
        <v>0</v>
      </c>
      <c r="DD299" s="255">
        <v>0</v>
      </c>
      <c r="DE299" s="255"/>
      <c r="DF299" s="255">
        <v>0</v>
      </c>
      <c r="DG299" s="255">
        <f>SUM(TBBP[[#This Row],[Coluna287]:[Coluna298]])</f>
        <v>0</v>
      </c>
      <c r="DH299" s="255">
        <v>0</v>
      </c>
      <c r="DI299" s="255">
        <v>0</v>
      </c>
      <c r="DJ299" s="255">
        <v>0</v>
      </c>
      <c r="DK299" s="255">
        <v>0</v>
      </c>
      <c r="DL299" s="255">
        <v>0</v>
      </c>
      <c r="DM299" s="255">
        <v>0</v>
      </c>
      <c r="DP299" s="30">
        <f>IF(OR(MID(TBBP[[#This Row],[Coluna1]],1,1)="1",MID(TBBP[[#This Row],[Coluna1]],1,1)="2"),"-",SUMIFS(299:299,listaPeriodos,$DR$1,listaPeriodos,$DR$2))</f>
        <v>0</v>
      </c>
      <c r="DQ299" s="30"/>
      <c r="DR299" s="30">
        <f t="shared" si="181"/>
        <v>0</v>
      </c>
      <c r="DS299" s="30"/>
      <c r="DT299" s="30"/>
      <c r="DU299"/>
    </row>
    <row r="300" spans="1:125" x14ac:dyDescent="0.3">
      <c r="A300" s="7" t="s">
        <v>137</v>
      </c>
      <c r="B300" t="s">
        <v>607</v>
      </c>
      <c r="C300" s="4">
        <v>0</v>
      </c>
      <c r="D300" s="4">
        <v>0</v>
      </c>
      <c r="E300" s="4">
        <v>0</v>
      </c>
      <c r="F300" s="4">
        <v>0</v>
      </c>
      <c r="G300" s="4">
        <v>-203555.34</v>
      </c>
      <c r="H300" s="4">
        <v>-15495.08</v>
      </c>
      <c r="I300" s="4">
        <v>-14298.16</v>
      </c>
      <c r="J300" s="4">
        <v>-9719.2800000000007</v>
      </c>
      <c r="K300" s="4">
        <v>-10916.95</v>
      </c>
      <c r="L300" s="4">
        <v>-12493.21</v>
      </c>
      <c r="M300" s="4">
        <v>-9307.17</v>
      </c>
      <c r="N300" s="4">
        <v>-9863.34</v>
      </c>
      <c r="O300" s="4">
        <v>-7628.37</v>
      </c>
      <c r="P300" s="4">
        <v>-14617.8</v>
      </c>
      <c r="Q300" s="4">
        <v>-14653.61</v>
      </c>
      <c r="R300" s="4">
        <v>-10922.32</v>
      </c>
      <c r="S300" s="4">
        <v>-11380.42</v>
      </c>
      <c r="T300" s="4">
        <f>IF(OR(MID(TBBP[[#This Row],[Coluna1]],1,1)="1",MID(TBBP[[#This Row],[Coluna1]],1,1)="2"),TBBP[[#This Row],[Coluna19]],SUM(H300:S300))</f>
        <v>-141295.71000000002</v>
      </c>
      <c r="U300" s="4">
        <v>-10680.21</v>
      </c>
      <c r="V300" s="4">
        <v>-9674.74</v>
      </c>
      <c r="W300" s="4">
        <v>-8761.82</v>
      </c>
      <c r="X300" s="4">
        <v>-11124.68</v>
      </c>
      <c r="Y300" s="4">
        <v>-9812.64</v>
      </c>
      <c r="Z300" s="4">
        <v>-8372.7999999999993</v>
      </c>
      <c r="AA300" s="4">
        <v>-7810.15</v>
      </c>
      <c r="AB300" s="4">
        <v>-14497.33</v>
      </c>
      <c r="AC300" s="4">
        <v>-12755.09</v>
      </c>
      <c r="AD300" s="4">
        <v>-12270.15</v>
      </c>
      <c r="AE300" s="4">
        <v>-12065.19</v>
      </c>
      <c r="AF300" s="4">
        <v>-11365.45</v>
      </c>
      <c r="AG300" s="4">
        <f>IF(OR(MID(TBBP[[#This Row],[Coluna1]],1,1)="1",MID(TBBP[[#This Row],[Coluna1]],1,1)="2"),TBBP[[#This Row],[Coluna32]],SUM(U300:AF300))</f>
        <v>-129190.24999999999</v>
      </c>
      <c r="AH300" s="4">
        <v>-11361.03</v>
      </c>
      <c r="AI300" s="4">
        <v>-11078.93</v>
      </c>
      <c r="AJ300" s="4">
        <v>-15664.49</v>
      </c>
      <c r="AK300" s="4">
        <v>-17505.38</v>
      </c>
      <c r="AL300" s="4">
        <v>-15552.06</v>
      </c>
      <c r="AM300" s="4">
        <v>-16898.04</v>
      </c>
      <c r="AN300" s="4">
        <v>-20132.150000000001</v>
      </c>
      <c r="AO300" s="4">
        <v>-112769.16</v>
      </c>
      <c r="AP300" s="4">
        <v>-15889.45</v>
      </c>
      <c r="AQ300" s="4">
        <v>-15446.03</v>
      </c>
      <c r="AR300" s="4">
        <v>-16033.01</v>
      </c>
      <c r="AS300" s="4">
        <v>-14883.66</v>
      </c>
      <c r="AT300" s="4">
        <f>IF(OR(MID(TBBP[[#This Row],[Coluna1]],1,1)="1",MID(TBBP[[#This Row],[Coluna1]],1,1)="2"),TBBP[[#This Row],[Coluna45]],SUM(AH300:AS300))</f>
        <v>-283213.38999999996</v>
      </c>
      <c r="AU300" s="4">
        <v>-16351.92</v>
      </c>
      <c r="AV300" s="4">
        <v>-12943.07</v>
      </c>
      <c r="AW300" s="4">
        <v>-19773.080000000002</v>
      </c>
      <c r="AX300" s="4">
        <v>-20944.349999999999</v>
      </c>
      <c r="AY300" s="4">
        <v>-14980.37</v>
      </c>
      <c r="AZ300" s="4">
        <v>-25955.3</v>
      </c>
      <c r="BA300" s="4">
        <v>-59415.78</v>
      </c>
      <c r="BB300" s="4">
        <v>-26321.23</v>
      </c>
      <c r="BC300" s="4">
        <v>-25747.61</v>
      </c>
      <c r="BD300" s="4">
        <v>-29288.78</v>
      </c>
      <c r="BE300" s="4">
        <v>-44788.74</v>
      </c>
      <c r="BF300" s="4">
        <v>-30168.780000000002</v>
      </c>
      <c r="BG300" s="4">
        <f>IF(OR(MID(TBBP[[#This Row],[Coluna1]],1,1)="1",MID(TBBP[[#This Row],[Coluna1]],1,1)="2"),TBBP[[#This Row],[Coluna58]],SUM(AU300:BF300))</f>
        <v>-326679.01000000007</v>
      </c>
      <c r="BH300" s="4">
        <v>-30359.96</v>
      </c>
      <c r="BI300" s="4">
        <v>-27954.75</v>
      </c>
      <c r="BJ300" s="4">
        <v>-530755.26</v>
      </c>
      <c r="BK300" s="4">
        <v>-46820.53</v>
      </c>
      <c r="BL300" s="4">
        <v>-34679.93</v>
      </c>
      <c r="BM300" s="4">
        <v>-525854.5</v>
      </c>
      <c r="BN300" s="4">
        <v>-52674.68</v>
      </c>
      <c r="BO300" s="4">
        <v>-23070.29</v>
      </c>
      <c r="BP300" s="4">
        <v>-546776.42999999993</v>
      </c>
      <c r="BQ300" s="4">
        <v>-103170.42</v>
      </c>
      <c r="BR300" s="4">
        <v>-27563.89</v>
      </c>
      <c r="BS300" s="4">
        <v>-530795.54</v>
      </c>
      <c r="BT300" s="4">
        <f>IF(OR(MID(TBBP[[#This Row],[Coluna1]],1,1)="1",MID(TBBP[[#This Row],[Coluna1]],1,1)="2"),TBBP[[#This Row],[Coluna127]],SUM(BH300:BS300))</f>
        <v>-2480476.1799999997</v>
      </c>
      <c r="BU300" s="4">
        <v>-63340.66</v>
      </c>
      <c r="BV300" s="4">
        <v>-52325.91</v>
      </c>
      <c r="BW300" s="4">
        <v>-525091.77</v>
      </c>
      <c r="BX300" s="4">
        <v>-64838.03</v>
      </c>
      <c r="BY300" s="4">
        <v>-42252.520000000004</v>
      </c>
      <c r="BZ300" s="4">
        <v>-541869.19999999995</v>
      </c>
      <c r="CA300" s="4">
        <v>-57829.51</v>
      </c>
      <c r="CB300" s="4">
        <v>-63252.61</v>
      </c>
      <c r="CC300" s="4">
        <v>-533175.07999999996</v>
      </c>
      <c r="CD300" s="4">
        <v>-59484.59</v>
      </c>
      <c r="CE300" s="4">
        <v>-49232.22</v>
      </c>
      <c r="CF300" s="4">
        <v>-530132.19999999995</v>
      </c>
      <c r="CG300" s="4">
        <f>IF(OR(MID(TBBP[[#This Row],[Coluna1]],1,1)="1",MID(TBBP[[#This Row],[Coluna1]],1,1)="2"),CF300,SUM(BU300:CF300))</f>
        <v>-2582824.2999999998</v>
      </c>
      <c r="CH300" s="4">
        <v>-51145.24</v>
      </c>
      <c r="CI300" s="4">
        <v>-75665.09</v>
      </c>
      <c r="CJ300" s="4">
        <v>-520238.44999999995</v>
      </c>
      <c r="CK300" s="4">
        <v>-81983.490000000005</v>
      </c>
      <c r="CL300" s="4">
        <v>-90697.72</v>
      </c>
      <c r="CM300" s="4">
        <v>-568254.66</v>
      </c>
      <c r="CN300" s="4">
        <v>-98093.89</v>
      </c>
      <c r="CO300" s="4">
        <v>-173305.57</v>
      </c>
      <c r="CP300" s="4">
        <v>-240640.34</v>
      </c>
      <c r="CQ300" s="4">
        <v>-385762.02999999997</v>
      </c>
      <c r="CR300" s="4">
        <v>-421458.5</v>
      </c>
      <c r="CS300" s="4">
        <v>-886493.72</v>
      </c>
      <c r="CT300" s="4">
        <f>IF(OR(MID(TBBP[[#This Row],[Coluna1]],1,1)="1",MID(TBBP[[#This Row],[Coluna1]],1,1)="2"),CS300,SUM(CH300:CS300))</f>
        <v>-3593738.7</v>
      </c>
      <c r="CU300" s="255">
        <v>-414088.99</v>
      </c>
      <c r="CV300" s="255">
        <v>-204394.61000000002</v>
      </c>
      <c r="CW300" s="255">
        <v>-444817.46</v>
      </c>
      <c r="CX300" s="255">
        <v>-438625.94</v>
      </c>
      <c r="CY300" s="255">
        <v>-458424.37</v>
      </c>
      <c r="CZ300" s="255">
        <v>-230627.01</v>
      </c>
      <c r="DA300" s="255">
        <v>-506508.5</v>
      </c>
      <c r="DB300" s="255">
        <v>-419696.58</v>
      </c>
      <c r="DC300" s="255">
        <v>-218499.03</v>
      </c>
      <c r="DD300" s="255">
        <v>-170318.23</v>
      </c>
      <c r="DE300" s="255">
        <v>-412419.57</v>
      </c>
      <c r="DF300" s="255">
        <v>-226024.94</v>
      </c>
      <c r="DG300" s="255">
        <f>SUM(TBBP[[#This Row],[Coluna287]:[Coluna298]])</f>
        <v>-4144445.2299999995</v>
      </c>
      <c r="DH300" s="255">
        <v>-182146.28</v>
      </c>
      <c r="DI300" s="255">
        <v>-198620.03</v>
      </c>
      <c r="DJ300" s="255">
        <v>-197147.96</v>
      </c>
      <c r="DK300" s="255">
        <v>-186339.94</v>
      </c>
      <c r="DL300" s="255">
        <v>-196572.93000000002</v>
      </c>
      <c r="DM300" s="255">
        <v>-236403.47</v>
      </c>
      <c r="DP300" s="30">
        <f>IF(OR(MID(TBBP[[#This Row],[Coluna1]],1,1)="1",MID(TBBP[[#This Row],[Coluna1]],1,1)="2"),"-",SUMIFS(300:300,listaPeriodos,$DR$1,listaPeriodos,$DR$2))</f>
        <v>-1197230.6100000001</v>
      </c>
      <c r="DQ300" s="30"/>
      <c r="DR300" s="30">
        <f t="shared" si="181"/>
        <v>0</v>
      </c>
      <c r="DS300" s="30"/>
      <c r="DT300" s="30"/>
      <c r="DU300"/>
    </row>
    <row r="301" spans="1:125" x14ac:dyDescent="0.3">
      <c r="A301" s="7" t="s">
        <v>478</v>
      </c>
      <c r="B301" t="s">
        <v>608</v>
      </c>
      <c r="C301" s="4">
        <v>0</v>
      </c>
      <c r="D301" s="4">
        <v>0</v>
      </c>
      <c r="E301" s="4">
        <v>0</v>
      </c>
      <c r="F301" s="4">
        <v>0</v>
      </c>
      <c r="G301" s="4">
        <v>-94140.24</v>
      </c>
      <c r="H301" s="4">
        <v>-6224.58</v>
      </c>
      <c r="I301" s="4">
        <v>-6716.5</v>
      </c>
      <c r="J301" s="4">
        <v>-5186.26</v>
      </c>
      <c r="K301" s="4">
        <v>-567.66</v>
      </c>
      <c r="L301" s="4">
        <v>-567.66</v>
      </c>
      <c r="M301" s="4">
        <v>-567.66</v>
      </c>
      <c r="N301" s="4">
        <v>-4497.97</v>
      </c>
      <c r="O301" s="4">
        <v>-567.66</v>
      </c>
      <c r="P301" s="4">
        <v>-567.66</v>
      </c>
      <c r="Q301" s="4">
        <v>-567.66</v>
      </c>
      <c r="R301" s="4">
        <v>-567.66</v>
      </c>
      <c r="S301" s="4">
        <v>-567.66</v>
      </c>
      <c r="T301" s="4">
        <f>IF(OR(MID(TBBP[[#This Row],[Coluna1]],1,1)="1",MID(TBBP[[#This Row],[Coluna1]],1,1)="2"),TBBP[[#This Row],[Coluna19]],SUM(H301:S301))</f>
        <v>-27166.59</v>
      </c>
      <c r="U301" s="4">
        <v>-567.66</v>
      </c>
      <c r="V301" s="4">
        <v>-4903.12</v>
      </c>
      <c r="W301" s="4">
        <v>-6414.43</v>
      </c>
      <c r="X301" s="4">
        <v>-7914.85</v>
      </c>
      <c r="Y301" s="4">
        <v>7454.78</v>
      </c>
      <c r="Z301" s="4">
        <v>-5835.61</v>
      </c>
      <c r="AA301" s="4">
        <v>-4186.9399999999996</v>
      </c>
      <c r="AB301" s="4">
        <v>-9732.32</v>
      </c>
      <c r="AC301" s="4">
        <v>-9578.69</v>
      </c>
      <c r="AD301" s="4">
        <v>-9229.2000000000007</v>
      </c>
      <c r="AE301" s="4">
        <v>-9429.08</v>
      </c>
      <c r="AF301" s="4">
        <v>-9085.2999999999993</v>
      </c>
      <c r="AG301" s="4">
        <f>IF(OR(MID(TBBP[[#This Row],[Coluna1]],1,1)="1",MID(TBBP[[#This Row],[Coluna1]],1,1)="2"),TBBP[[#This Row],[Coluna32]],SUM(U301:AF301))</f>
        <v>-69422.42</v>
      </c>
      <c r="AH301" s="4">
        <v>-8980.4</v>
      </c>
      <c r="AI301" s="4">
        <v>-8876.19</v>
      </c>
      <c r="AJ301" s="4">
        <v>-13185.02</v>
      </c>
      <c r="AK301" s="4">
        <v>-12835.58</v>
      </c>
      <c r="AL301" s="4">
        <v>-12937.1</v>
      </c>
      <c r="AM301" s="4">
        <v>-12588.06</v>
      </c>
      <c r="AN301" s="4">
        <v>-12588.06</v>
      </c>
      <c r="AO301" s="4">
        <v>-107879.32</v>
      </c>
      <c r="AP301" s="4">
        <v>-6980.26</v>
      </c>
      <c r="AQ301" s="4">
        <v>-4320.01</v>
      </c>
      <c r="AR301" s="4">
        <v>-9506.4699999999993</v>
      </c>
      <c r="AS301" s="4">
        <v>-9506.4699999999993</v>
      </c>
      <c r="AT301" s="4">
        <f>IF(OR(MID(TBBP[[#This Row],[Coluna1]],1,1)="1",MID(TBBP[[#This Row],[Coluna1]],1,1)="2"),TBBP[[#This Row],[Coluna45]],SUM(AH301:AS301))</f>
        <v>-220182.94000000003</v>
      </c>
      <c r="AU301" s="4">
        <v>-9506.4699999999993</v>
      </c>
      <c r="AV301" s="4">
        <v>-9506.4699999999993</v>
      </c>
      <c r="AW301" s="4">
        <v>-9506.4699999999993</v>
      </c>
      <c r="AX301" s="4">
        <v>-9506.4699999999993</v>
      </c>
      <c r="AY301" s="4">
        <v>-9506.4699999999993</v>
      </c>
      <c r="AZ301" s="4">
        <v>-19799.09</v>
      </c>
      <c r="BA301" s="4">
        <v>-19799.09</v>
      </c>
      <c r="BB301" s="4">
        <v>-19799.03</v>
      </c>
      <c r="BC301" s="4">
        <v>-15964.49</v>
      </c>
      <c r="BD301" s="4">
        <v>-17903.310000000001</v>
      </c>
      <c r="BE301" s="4">
        <v>-19607.13</v>
      </c>
      <c r="BF301" s="4">
        <v>-19698.29</v>
      </c>
      <c r="BG301" s="4">
        <f>IF(OR(MID(TBBP[[#This Row],[Coluna1]],1,1)="1",MID(TBBP[[#This Row],[Coluna1]],1,1)="2"),TBBP[[#This Row],[Coluna58]],SUM(AU301:BF301))</f>
        <v>-180102.78000000003</v>
      </c>
      <c r="BH301" s="4">
        <v>-19791.13</v>
      </c>
      <c r="BI301" s="4">
        <v>-15964.49</v>
      </c>
      <c r="BJ301" s="4">
        <v>-23295.51</v>
      </c>
      <c r="BK301" s="4">
        <v>-19759.68</v>
      </c>
      <c r="BL301" s="4">
        <v>-19844.55</v>
      </c>
      <c r="BM301" s="4">
        <v>-19930.990000000002</v>
      </c>
      <c r="BN301" s="4">
        <v>-20013.330000000002</v>
      </c>
      <c r="BO301" s="4">
        <v>-15710.44</v>
      </c>
      <c r="BP301" s="4">
        <v>-18769.919999999998</v>
      </c>
      <c r="BQ301" s="4">
        <v>-54516.38</v>
      </c>
      <c r="BR301" s="4">
        <v>-19854.099999999999</v>
      </c>
      <c r="BS301" s="4">
        <v>-19930.79</v>
      </c>
      <c r="BT301" s="4">
        <f>IF(OR(MID(TBBP[[#This Row],[Coluna1]],1,1)="1",MID(TBBP[[#This Row],[Coluna1]],1,1)="2"),TBBP[[#This Row],[Coluna127]],SUM(BH301:BS301))</f>
        <v>-267381.31</v>
      </c>
      <c r="BU301" s="4">
        <v>-50877.05</v>
      </c>
      <c r="BV301" s="4">
        <v>-45281.68</v>
      </c>
      <c r="BW301" s="4">
        <v>-20154.439999999999</v>
      </c>
      <c r="BX301" s="4">
        <v>-45522.29</v>
      </c>
      <c r="BY301" s="4">
        <v>-38706.61</v>
      </c>
      <c r="BZ301" s="4">
        <v>-35731.279999999999</v>
      </c>
      <c r="CA301" s="4">
        <v>-43437.67</v>
      </c>
      <c r="CB301" s="4">
        <v>-37787.89</v>
      </c>
      <c r="CC301" s="4">
        <v>-25611.040000000001</v>
      </c>
      <c r="CD301" s="4">
        <v>-51434.9</v>
      </c>
      <c r="CE301" s="4">
        <v>-40232.81</v>
      </c>
      <c r="CF301" s="4">
        <v>-24470.76</v>
      </c>
      <c r="CG301" s="4">
        <f>IF(OR(MID(TBBP[[#This Row],[Coluna1]],1,1)="1",MID(TBBP[[#This Row],[Coluna1]],1,1)="2"),CF301,SUM(BU301:CF301))</f>
        <v>-459248.42000000004</v>
      </c>
      <c r="CH301" s="4">
        <v>-35287.760000000002</v>
      </c>
      <c r="CI301" s="4">
        <v>-14877.04</v>
      </c>
      <c r="CJ301" s="4">
        <v>-10833.13</v>
      </c>
      <c r="CK301" s="4">
        <v>-35166.44</v>
      </c>
      <c r="CL301" s="4">
        <v>-72328.429999999993</v>
      </c>
      <c r="CM301" s="4">
        <v>-42548.66</v>
      </c>
      <c r="CN301" s="4">
        <v>-33699.46</v>
      </c>
      <c r="CO301" s="4">
        <v>-110225.86</v>
      </c>
      <c r="CP301" s="4">
        <v>-187497.79</v>
      </c>
      <c r="CQ301" s="4">
        <v>-71766.11</v>
      </c>
      <c r="CR301" s="4">
        <v>-109992.62</v>
      </c>
      <c r="CS301" s="4">
        <v>-198429.05</v>
      </c>
      <c r="CT301" s="4">
        <f>IF(OR(MID(TBBP[[#This Row],[Coluna1]],1,1)="1",MID(TBBP[[#This Row],[Coluna1]],1,1)="2"),CS301,SUM(CH301:CS301))</f>
        <v>-922652.34999999986</v>
      </c>
      <c r="CU301" s="255">
        <v>-93227.12</v>
      </c>
      <c r="CV301" s="255">
        <v>-134873.18</v>
      </c>
      <c r="CW301" s="255">
        <v>-137288.39000000001</v>
      </c>
      <c r="CX301" s="255">
        <v>-117211.78</v>
      </c>
      <c r="CY301" s="255">
        <v>-121722.26</v>
      </c>
      <c r="CZ301" s="255">
        <v>-156175.51999999999</v>
      </c>
      <c r="DA301" s="255">
        <v>-190458.9</v>
      </c>
      <c r="DB301" s="255">
        <v>-152659.25</v>
      </c>
      <c r="DC301" s="255">
        <v>-164429.79</v>
      </c>
      <c r="DD301" s="255">
        <v>-139224.44</v>
      </c>
      <c r="DE301" s="255">
        <v>-134216.6</v>
      </c>
      <c r="DF301" s="255">
        <v>-150887.29</v>
      </c>
      <c r="DG301" s="255">
        <f>SUM(TBBP[[#This Row],[Coluna287]:[Coluna298]])</f>
        <v>-1692374.52</v>
      </c>
      <c r="DH301" s="255">
        <v>-122486.99</v>
      </c>
      <c r="DI301" s="255">
        <v>-144254.96</v>
      </c>
      <c r="DJ301" s="255">
        <v>-127893.47</v>
      </c>
      <c r="DK301" s="255">
        <v>-126556.61</v>
      </c>
      <c r="DL301" s="255">
        <v>-136990.9</v>
      </c>
      <c r="DM301" s="255">
        <v>-140228.76</v>
      </c>
      <c r="DP301" s="30">
        <f>IF(OR(MID(TBBP[[#This Row],[Coluna1]],1,1)="1",MID(TBBP[[#This Row],[Coluna1]],1,1)="2"),"-",SUMIFS(301:301,listaPeriodos,$DR$1,listaPeriodos,$DR$2))</f>
        <v>-798411.69000000006</v>
      </c>
      <c r="DQ301" s="30"/>
      <c r="DR301" s="30">
        <f t="shared" si="181"/>
        <v>0</v>
      </c>
      <c r="DS301" s="30"/>
      <c r="DT301" s="30"/>
      <c r="DU301"/>
    </row>
    <row r="302" spans="1:125" x14ac:dyDescent="0.3">
      <c r="A302" s="7" t="s">
        <v>479</v>
      </c>
      <c r="B302" t="s">
        <v>609</v>
      </c>
      <c r="C302" s="4">
        <v>0</v>
      </c>
      <c r="D302" s="4">
        <v>0</v>
      </c>
      <c r="E302" s="4">
        <v>0</v>
      </c>
      <c r="F302" s="4">
        <v>0</v>
      </c>
      <c r="G302" s="4">
        <v>-12983.23</v>
      </c>
      <c r="H302" s="4">
        <v>-1424.39</v>
      </c>
      <c r="I302" s="4">
        <v>-1281.72</v>
      </c>
      <c r="J302" s="4">
        <v>-1118.95</v>
      </c>
      <c r="K302" s="4">
        <v>-6077.18</v>
      </c>
      <c r="L302" s="4">
        <v>-5423.75</v>
      </c>
      <c r="M302" s="4">
        <v>-5533.17</v>
      </c>
      <c r="N302" s="4">
        <v>-1981.4</v>
      </c>
      <c r="O302" s="4">
        <v>-5012.42</v>
      </c>
      <c r="P302" s="4">
        <v>-6211.29</v>
      </c>
      <c r="Q302" s="4">
        <v>-11333.62</v>
      </c>
      <c r="R302" s="4">
        <v>-7074.18</v>
      </c>
      <c r="S302" s="4">
        <v>-6456.02</v>
      </c>
      <c r="T302" s="4">
        <f>IF(OR(MID(TBBP[[#This Row],[Coluna1]],1,1)="1",MID(TBBP[[#This Row],[Coluna1]],1,1)="2"),TBBP[[#This Row],[Coluna19]],SUM(H302:S302))</f>
        <v>-58928.090000000011</v>
      </c>
      <c r="U302" s="4">
        <v>-6025.08</v>
      </c>
      <c r="V302" s="4">
        <v>-2053.9299999999998</v>
      </c>
      <c r="W302" s="4">
        <v>-32.200000000000003</v>
      </c>
      <c r="X302" s="4">
        <v>-12.82</v>
      </c>
      <c r="Y302" s="4">
        <v>0</v>
      </c>
      <c r="Z302" s="4">
        <v>-72.42</v>
      </c>
      <c r="AA302" s="4">
        <v>-606.85</v>
      </c>
      <c r="AB302" s="4">
        <v>-31.86</v>
      </c>
      <c r="AC302" s="4">
        <v>-1.04</v>
      </c>
      <c r="AD302" s="4">
        <v>-5.47</v>
      </c>
      <c r="AE302" s="4">
        <v>-655.43</v>
      </c>
      <c r="AF302" s="4">
        <v>-13.8</v>
      </c>
      <c r="AG302" s="4">
        <f>IF(OR(MID(TBBP[[#This Row],[Coluna1]],1,1)="1",MID(TBBP[[#This Row],[Coluna1]],1,1)="2"),TBBP[[#This Row],[Coluna32]],SUM(U302:AF302))</f>
        <v>-9510.9</v>
      </c>
      <c r="AH302" s="4">
        <v>-23.22</v>
      </c>
      <c r="AI302" s="4">
        <v>-0.43</v>
      </c>
      <c r="AJ302" s="4">
        <v>-0.06</v>
      </c>
      <c r="AK302" s="4">
        <v>-297.57</v>
      </c>
      <c r="AL302" s="4">
        <v>-388.79</v>
      </c>
      <c r="AM302" s="4">
        <v>-579.57000000000005</v>
      </c>
      <c r="AN302" s="4">
        <v>-6.94</v>
      </c>
      <c r="AO302" s="4">
        <v>-55.55</v>
      </c>
      <c r="AP302" s="4">
        <v>-14.100000000000001</v>
      </c>
      <c r="AQ302" s="4">
        <v>-5206.29</v>
      </c>
      <c r="AR302" s="4">
        <v>-31.79</v>
      </c>
      <c r="AS302" s="4">
        <v>-39.17</v>
      </c>
      <c r="AT302" s="4">
        <f>IF(OR(MID(TBBP[[#This Row],[Coluna1]],1,1)="1",MID(TBBP[[#This Row],[Coluna1]],1,1)="2"),TBBP[[#This Row],[Coluna45]],SUM(AH302:AS302))</f>
        <v>-6643.48</v>
      </c>
      <c r="AU302" s="4">
        <v>-214.03</v>
      </c>
      <c r="AV302" s="4">
        <v>-52.22</v>
      </c>
      <c r="AW302" s="4">
        <v>-533.44000000000005</v>
      </c>
      <c r="AX302" s="4">
        <v>-85.35</v>
      </c>
      <c r="AY302" s="4">
        <v>-3.17</v>
      </c>
      <c r="AZ302" s="4">
        <v>-426.5</v>
      </c>
      <c r="BA302" s="4">
        <v>-6.75</v>
      </c>
      <c r="BB302" s="4">
        <v>-96.74</v>
      </c>
      <c r="BC302" s="4">
        <v>-3758.18</v>
      </c>
      <c r="BD302" s="4">
        <v>-1644.32</v>
      </c>
      <c r="BE302" s="4">
        <v>-7.08</v>
      </c>
      <c r="BF302" s="4">
        <v>-0.06</v>
      </c>
      <c r="BG302" s="4">
        <f>IF(OR(MID(TBBP[[#This Row],[Coluna1]],1,1)="1",MID(TBBP[[#This Row],[Coluna1]],1,1)="2"),TBBP[[#This Row],[Coluna58]],SUM(AU302:BF302))</f>
        <v>-6827.84</v>
      </c>
      <c r="BH302" s="4">
        <v>-2.02</v>
      </c>
      <c r="BI302" s="4">
        <v>-41.57</v>
      </c>
      <c r="BJ302" s="4">
        <v>-1013.51</v>
      </c>
      <c r="BK302" s="4">
        <v>-1868.34</v>
      </c>
      <c r="BL302" s="4">
        <v>-690.41</v>
      </c>
      <c r="BM302" s="4">
        <v>-1187.3399999999999</v>
      </c>
      <c r="BN302" s="4">
        <v>-56.83</v>
      </c>
      <c r="BO302" s="4">
        <v>-4139.13</v>
      </c>
      <c r="BP302" s="4">
        <v>-1240.46</v>
      </c>
      <c r="BQ302" s="4">
        <v>-172.65</v>
      </c>
      <c r="BR302" s="4">
        <v>-16.190000000000001</v>
      </c>
      <c r="BS302" s="4">
        <v>-12.33</v>
      </c>
      <c r="BT302" s="4">
        <f>IF(OR(MID(TBBP[[#This Row],[Coluna1]],1,1)="1",MID(TBBP[[#This Row],[Coluna1]],1,1)="2"),TBBP[[#This Row],[Coluna127]],SUM(BH302:BS302))</f>
        <v>-10440.780000000001</v>
      </c>
      <c r="BU302" s="4">
        <v>-38.72</v>
      </c>
      <c r="BV302" s="4">
        <v>-1393</v>
      </c>
      <c r="BW302" s="4">
        <v>-13.51</v>
      </c>
      <c r="BX302" s="4">
        <v>-9891.58</v>
      </c>
      <c r="BY302" s="4">
        <v>-14.65</v>
      </c>
      <c r="BZ302" s="4">
        <v>-17.64</v>
      </c>
      <c r="CA302" s="4">
        <v>-11312.85</v>
      </c>
      <c r="CB302" s="4">
        <v>-23.26</v>
      </c>
      <c r="CC302" s="4">
        <v>-20.85</v>
      </c>
      <c r="CD302" s="4">
        <v>-88.46</v>
      </c>
      <c r="CE302" s="4">
        <v>-1.05</v>
      </c>
      <c r="CF302" s="4">
        <v>-3.39</v>
      </c>
      <c r="CG302" s="4">
        <f>IF(OR(MID(TBBP[[#This Row],[Coluna1]],1,1)="1",MID(TBBP[[#This Row],[Coluna1]],1,1)="2"),CF302,SUM(BU302:CF302))</f>
        <v>-22818.959999999992</v>
      </c>
      <c r="CH302" s="4">
        <v>-6064.94</v>
      </c>
      <c r="CI302" s="4">
        <v>-41246.879999999997</v>
      </c>
      <c r="CJ302" s="4">
        <v>393.03</v>
      </c>
      <c r="CK302" s="4">
        <v>339.71999999999997</v>
      </c>
      <c r="CL302" s="4">
        <v>-2067.41</v>
      </c>
      <c r="CM302" s="4">
        <v>-160.32999999999998</v>
      </c>
      <c r="CN302" s="4">
        <v>95.559999999999988</v>
      </c>
      <c r="CO302" s="4">
        <v>21.25</v>
      </c>
      <c r="CP302" s="4">
        <v>-13.65</v>
      </c>
      <c r="CQ302" s="4">
        <v>-848.9</v>
      </c>
      <c r="CR302" s="4">
        <v>275.70999999999998</v>
      </c>
      <c r="CS302" s="4">
        <v>-11.01</v>
      </c>
      <c r="CT302" s="4">
        <f>IF(OR(MID(TBBP[[#This Row],[Coluna1]],1,1)="1",MID(TBBP[[#This Row],[Coluna1]],1,1)="2"),CS302,SUM(CH302:CS302))</f>
        <v>-49287.850000000006</v>
      </c>
      <c r="CU302" s="255">
        <v>-2547.88</v>
      </c>
      <c r="CV302" s="255">
        <v>-12.37</v>
      </c>
      <c r="CW302" s="255">
        <v>-396.08</v>
      </c>
      <c r="CX302" s="255">
        <v>-542.53</v>
      </c>
      <c r="CY302" s="255">
        <v>-8547.49</v>
      </c>
      <c r="CZ302" s="255">
        <v>-183.15</v>
      </c>
      <c r="DA302" s="255">
        <v>-2552.23</v>
      </c>
      <c r="DB302" s="255">
        <v>-1725.36</v>
      </c>
      <c r="DC302" s="255">
        <v>-64.760000000000005</v>
      </c>
      <c r="DD302" s="255">
        <v>-296.48</v>
      </c>
      <c r="DE302" s="255">
        <v>-5828.86</v>
      </c>
      <c r="DF302" s="255">
        <v>-5145.55</v>
      </c>
      <c r="DG302" s="255">
        <f>SUM(TBBP[[#This Row],[Coluna287]:[Coluna298]])</f>
        <v>-27842.739999999994</v>
      </c>
      <c r="DH302" s="255">
        <v>-134.46</v>
      </c>
      <c r="DI302" s="255">
        <v>-2166.04</v>
      </c>
      <c r="DJ302" s="255">
        <v>-13338.94</v>
      </c>
      <c r="DK302" s="255">
        <v>-3227.99</v>
      </c>
      <c r="DL302" s="255">
        <v>-4322.4399999999996</v>
      </c>
      <c r="DM302" s="255">
        <v>-194.22</v>
      </c>
      <c r="DP302" s="30">
        <f>IF(OR(MID(TBBP[[#This Row],[Coluna1]],1,1)="1",MID(TBBP[[#This Row],[Coluna1]],1,1)="2"),"-",SUMIFS(302:302,listaPeriodos,$DR$1,listaPeriodos,$DR$2))</f>
        <v>-23384.09</v>
      </c>
      <c r="DQ302" s="30"/>
      <c r="DR302" s="30">
        <f t="shared" si="181"/>
        <v>0</v>
      </c>
      <c r="DS302" s="30"/>
      <c r="DT302" s="30"/>
      <c r="DU302"/>
    </row>
    <row r="303" spans="1:125" x14ac:dyDescent="0.3">
      <c r="A303" s="7" t="s">
        <v>480</v>
      </c>
      <c r="B303" t="s">
        <v>610</v>
      </c>
      <c r="C303" s="4">
        <v>0</v>
      </c>
      <c r="D303" s="4">
        <v>0</v>
      </c>
      <c r="E303" s="4">
        <v>0</v>
      </c>
      <c r="F303" s="4">
        <v>0</v>
      </c>
      <c r="G303" s="4">
        <v>-56569.85</v>
      </c>
      <c r="H303" s="4">
        <v>-4917.95</v>
      </c>
      <c r="I303" s="4">
        <v>-4256.2299999999996</v>
      </c>
      <c r="J303" s="4">
        <v>-1315.72</v>
      </c>
      <c r="K303" s="4">
        <v>-2040.54</v>
      </c>
      <c r="L303" s="4">
        <v>-4288.42</v>
      </c>
      <c r="M303" s="4">
        <v>-606.89</v>
      </c>
      <c r="N303" s="4">
        <v>-986.95</v>
      </c>
      <c r="O303" s="4">
        <v>-264.01</v>
      </c>
      <c r="P303" s="4">
        <v>-5825.26</v>
      </c>
      <c r="Q303" s="4">
        <v>-753.6</v>
      </c>
      <c r="R303" s="4">
        <v>-542.6</v>
      </c>
      <c r="S303" s="4">
        <v>-3314.57</v>
      </c>
      <c r="T303" s="4">
        <f>IF(OR(MID(TBBP[[#This Row],[Coluna1]],1,1)="1",MID(TBBP[[#This Row],[Coluna1]],1,1)="2"),TBBP[[#This Row],[Coluna19]],SUM(H303:S303))</f>
        <v>-29112.739999999998</v>
      </c>
      <c r="U303" s="4">
        <v>-368.47</v>
      </c>
      <c r="V303" s="4">
        <v>-254.64</v>
      </c>
      <c r="W303" s="4">
        <v>-169.92</v>
      </c>
      <c r="X303" s="4">
        <v>-974.2</v>
      </c>
      <c r="Y303" s="4">
        <v>-112.36</v>
      </c>
      <c r="Z303" s="4">
        <v>-294.89999999999998</v>
      </c>
      <c r="AA303" s="4">
        <v>-225.62</v>
      </c>
      <c r="AB303" s="4">
        <v>-2421.67</v>
      </c>
      <c r="AC303" s="4">
        <v>-1197.6500000000001</v>
      </c>
      <c r="AD303" s="4">
        <v>-857.39</v>
      </c>
      <c r="AE303" s="4">
        <v>-264.29000000000002</v>
      </c>
      <c r="AF303" s="4">
        <v>-549.65</v>
      </c>
      <c r="AG303" s="4">
        <f>IF(OR(MID(TBBP[[#This Row],[Coluna1]],1,1)="1",MID(TBBP[[#This Row],[Coluna1]],1,1)="2"),TBBP[[#This Row],[Coluna32]],SUM(U303:AF303))</f>
        <v>-7690.76</v>
      </c>
      <c r="AH303" s="4">
        <v>-386.58</v>
      </c>
      <c r="AI303" s="4">
        <v>-278.5</v>
      </c>
      <c r="AJ303" s="4">
        <v>-351.78</v>
      </c>
      <c r="AK303" s="4">
        <v>-2970.25</v>
      </c>
      <c r="AL303" s="4">
        <v>-188.06</v>
      </c>
      <c r="AM303" s="4">
        <v>-1515.29</v>
      </c>
      <c r="AN303" s="4">
        <v>-5260.07</v>
      </c>
      <c r="AO303" s="4">
        <v>-2818.1</v>
      </c>
      <c r="AP303" s="4">
        <v>-6633.42</v>
      </c>
      <c r="AQ303" s="4">
        <v>-3919.2</v>
      </c>
      <c r="AR303" s="4">
        <v>-4148.43</v>
      </c>
      <c r="AS303" s="4">
        <v>-2870.29</v>
      </c>
      <c r="AT303" s="4">
        <f>IF(OR(MID(TBBP[[#This Row],[Coluna1]],1,1)="1",MID(TBBP[[#This Row],[Coluna1]],1,1)="2"),TBBP[[#This Row],[Coluna45]],SUM(AH303:AS303))</f>
        <v>-31339.97</v>
      </c>
      <c r="AU303" s="4">
        <v>-4282.67</v>
      </c>
      <c r="AV303" s="4">
        <v>-931.09</v>
      </c>
      <c r="AW303" s="4">
        <v>-7257.15</v>
      </c>
      <c r="AX303" s="4">
        <v>-8469.7800000000007</v>
      </c>
      <c r="AY303" s="4">
        <v>-2767.25</v>
      </c>
      <c r="AZ303" s="4">
        <v>-3042.98</v>
      </c>
      <c r="BA303" s="4">
        <v>-36925.160000000003</v>
      </c>
      <c r="BB303" s="4">
        <v>-3137.64</v>
      </c>
      <c r="BC303" s="4">
        <v>-3231.18</v>
      </c>
      <c r="BD303" s="4">
        <v>-6422.26</v>
      </c>
      <c r="BE303" s="4">
        <v>-19006.61</v>
      </c>
      <c r="BF303" s="4">
        <v>-7379.87</v>
      </c>
      <c r="BG303" s="4">
        <f>IF(OR(MID(TBBP[[#This Row],[Coluna1]],1,1)="1",MID(TBBP[[#This Row],[Coluna1]],1,1)="2"),TBBP[[#This Row],[Coluna58]],SUM(AU303:BF303))</f>
        <v>-102853.63999999998</v>
      </c>
      <c r="BH303" s="4">
        <v>-7372.06</v>
      </c>
      <c r="BI303" s="4">
        <v>-9447.1299999999992</v>
      </c>
      <c r="BJ303" s="4">
        <v>-3037.3799999999997</v>
      </c>
      <c r="BK303" s="4">
        <v>-22260.959999999999</v>
      </c>
      <c r="BL303" s="4">
        <v>-11444.78</v>
      </c>
      <c r="BM303" s="4">
        <v>-2971.69</v>
      </c>
      <c r="BN303" s="4">
        <v>-26276.21</v>
      </c>
      <c r="BO303" s="4">
        <v>-881.21</v>
      </c>
      <c r="BP303" s="4">
        <v>-22449.16</v>
      </c>
      <c r="BQ303" s="4">
        <v>-35882.22</v>
      </c>
      <c r="BR303" s="4">
        <v>-4990.67</v>
      </c>
      <c r="BS303" s="4">
        <v>-1972.4</v>
      </c>
      <c r="BT303" s="4">
        <f>IF(OR(MID(TBBP[[#This Row],[Coluna1]],1,1)="1",MID(TBBP[[#This Row],[Coluna1]],1,1)="2"),TBBP[[#This Row],[Coluna127]],SUM(BH303:BS303))</f>
        <v>-148985.87</v>
      </c>
      <c r="BU303" s="4">
        <v>-6753.12</v>
      </c>
      <c r="BV303" s="4">
        <v>-2695.5</v>
      </c>
      <c r="BW303" s="4">
        <v>-2247.9299999999998</v>
      </c>
      <c r="BX303" s="4">
        <v>-1635.76</v>
      </c>
      <c r="BY303" s="4">
        <v>-575.04</v>
      </c>
      <c r="BZ303" s="4">
        <v>-194.38</v>
      </c>
      <c r="CA303" s="4">
        <v>-259.44</v>
      </c>
      <c r="CB303" s="4">
        <v>-22056.35</v>
      </c>
      <c r="CC303" s="4">
        <v>-7.0000000000000007E-2</v>
      </c>
      <c r="CD303" s="4">
        <v>-234.7</v>
      </c>
      <c r="CE303" s="4">
        <v>-315.07</v>
      </c>
      <c r="CF303" s="4">
        <v>-311.18</v>
      </c>
      <c r="CG303" s="4">
        <f>IF(OR(MID(TBBP[[#This Row],[Coluna1]],1,1)="1",MID(TBBP[[#This Row],[Coluna1]],1,1)="2"),CF303,SUM(BU303:CF303))</f>
        <v>-37278.539999999994</v>
      </c>
      <c r="CH303" s="4">
        <v>-1899.94</v>
      </c>
      <c r="CI303" s="4">
        <v>-449.34</v>
      </c>
      <c r="CJ303" s="4">
        <v>-346.7</v>
      </c>
      <c r="CK303" s="4">
        <v>-39579.360000000001</v>
      </c>
      <c r="CL303" s="4">
        <v>-4770.53</v>
      </c>
      <c r="CM303" s="4">
        <v>-12099.9</v>
      </c>
      <c r="CN303" s="4">
        <v>-6851.02</v>
      </c>
      <c r="CO303" s="4">
        <v>-20166.47</v>
      </c>
      <c r="CP303" s="4">
        <v>-19796.72</v>
      </c>
      <c r="CQ303" s="4">
        <v>-20572.64</v>
      </c>
      <c r="CR303" s="4">
        <v>-9459.25</v>
      </c>
      <c r="CS303" s="4">
        <v>-122633.5</v>
      </c>
      <c r="CT303" s="4">
        <f>IF(OR(MID(TBBP[[#This Row],[Coluna1]],1,1)="1",MID(TBBP[[#This Row],[Coluna1]],1,1)="2"),CS303,SUM(CH303:CS303))</f>
        <v>-258625.37</v>
      </c>
      <c r="CU303" s="255">
        <v>-19804.37</v>
      </c>
      <c r="CV303" s="255">
        <v>-22264.97</v>
      </c>
      <c r="CW303" s="255">
        <v>-3284</v>
      </c>
      <c r="CX303" s="255">
        <v>-23435.03</v>
      </c>
      <c r="CY303" s="255">
        <v>-24969.99</v>
      </c>
      <c r="CZ303" s="255">
        <v>-22025.77</v>
      </c>
      <c r="DA303" s="255">
        <v>-24840.77</v>
      </c>
      <c r="DB303" s="255">
        <v>-30463.3</v>
      </c>
      <c r="DC303" s="255">
        <v>-5068.7</v>
      </c>
      <c r="DD303" s="255">
        <v>-5127.59</v>
      </c>
      <c r="DE303" s="255">
        <v>-4533.9399999999996</v>
      </c>
      <c r="DF303" s="255">
        <v>-4404.7</v>
      </c>
      <c r="DG303" s="255">
        <f>SUM(TBBP[[#This Row],[Coluna287]:[Coluna298]])</f>
        <v>-190223.13</v>
      </c>
      <c r="DH303" s="255">
        <v>-5100.47</v>
      </c>
      <c r="DI303" s="255">
        <v>-3174</v>
      </c>
      <c r="DJ303" s="255">
        <v>-3185.36</v>
      </c>
      <c r="DK303" s="255">
        <v>-4315.9799999999996</v>
      </c>
      <c r="DL303" s="255">
        <v>-3299.73</v>
      </c>
      <c r="DM303" s="255">
        <v>-3955.51</v>
      </c>
      <c r="DP303" s="30">
        <f>IF(OR(MID(TBBP[[#This Row],[Coluna1]],1,1)="1",MID(TBBP[[#This Row],[Coluna1]],1,1)="2"),"-",SUMIFS(303:303,listaPeriodos,$DR$1,listaPeriodos,$DR$2))</f>
        <v>-23031.050000000003</v>
      </c>
      <c r="DQ303" s="30"/>
      <c r="DR303" s="30">
        <f t="shared" si="181"/>
        <v>0</v>
      </c>
      <c r="DS303" s="30"/>
      <c r="DT303" s="30"/>
      <c r="DU303"/>
    </row>
    <row r="304" spans="1:125" x14ac:dyDescent="0.3">
      <c r="A304" s="7" t="s">
        <v>481</v>
      </c>
      <c r="B304" t="s">
        <v>611</v>
      </c>
      <c r="C304" s="4">
        <v>0</v>
      </c>
      <c r="D304" s="4">
        <v>0</v>
      </c>
      <c r="E304" s="4">
        <v>0</v>
      </c>
      <c r="F304" s="4">
        <v>0</v>
      </c>
      <c r="G304" s="4">
        <v>-24735.14</v>
      </c>
      <c r="H304" s="4">
        <v>-2334.92</v>
      </c>
      <c r="I304" s="4">
        <v>-2043.71</v>
      </c>
      <c r="J304" s="4">
        <v>-2098.35</v>
      </c>
      <c r="K304" s="4">
        <v>-2231.5700000000002</v>
      </c>
      <c r="L304" s="4">
        <v>-2213.38</v>
      </c>
      <c r="M304" s="4">
        <v>-2599.4499999999998</v>
      </c>
      <c r="N304" s="4">
        <v>-2397.02</v>
      </c>
      <c r="O304" s="4">
        <v>-591.48</v>
      </c>
      <c r="P304" s="4">
        <v>-2013.59</v>
      </c>
      <c r="Q304" s="4">
        <v>-1998.73</v>
      </c>
      <c r="R304" s="4">
        <v>-2737.88</v>
      </c>
      <c r="S304" s="4">
        <v>-1042.17</v>
      </c>
      <c r="T304" s="4">
        <f>IF(OR(MID(TBBP[[#This Row],[Coluna1]],1,1)="1",MID(TBBP[[#This Row],[Coluna1]],1,1)="2"),TBBP[[#This Row],[Coluna19]],SUM(H304:S304))</f>
        <v>-24302.25</v>
      </c>
      <c r="U304" s="4">
        <v>-3719</v>
      </c>
      <c r="V304" s="4">
        <v>-2463.0500000000002</v>
      </c>
      <c r="W304" s="4">
        <v>-2145.27</v>
      </c>
      <c r="X304" s="4">
        <v>-2222.81</v>
      </c>
      <c r="Y304" s="4">
        <v>-2245.8000000000002</v>
      </c>
      <c r="Z304" s="4">
        <v>-2169.87</v>
      </c>
      <c r="AA304" s="4">
        <v>-2790.74</v>
      </c>
      <c r="AB304" s="4">
        <v>-2311.48</v>
      </c>
      <c r="AC304" s="4">
        <v>-1977.71</v>
      </c>
      <c r="AD304" s="4">
        <v>-2178.09</v>
      </c>
      <c r="AE304" s="4">
        <v>-1716.39</v>
      </c>
      <c r="AF304" s="4">
        <v>-1716.7</v>
      </c>
      <c r="AG304" s="4">
        <f>IF(OR(MID(TBBP[[#This Row],[Coluna1]],1,1)="1",MID(TBBP[[#This Row],[Coluna1]],1,1)="2"),TBBP[[#This Row],[Coluna32]],SUM(U304:AF304))</f>
        <v>-27656.91</v>
      </c>
      <c r="AH304" s="4">
        <v>-1970.83</v>
      </c>
      <c r="AI304" s="4">
        <v>-1923.81</v>
      </c>
      <c r="AJ304" s="4">
        <v>-2127.63</v>
      </c>
      <c r="AK304" s="4">
        <v>-1401.98</v>
      </c>
      <c r="AL304" s="4">
        <v>-2038.11</v>
      </c>
      <c r="AM304" s="4">
        <v>-2215.12</v>
      </c>
      <c r="AN304" s="4">
        <v>-2277.08</v>
      </c>
      <c r="AO304" s="4">
        <v>-2016.19</v>
      </c>
      <c r="AP304" s="4">
        <v>-2261.67</v>
      </c>
      <c r="AQ304" s="4">
        <v>-2000.53</v>
      </c>
      <c r="AR304" s="4">
        <v>-2346.3200000000002</v>
      </c>
      <c r="AS304" s="4">
        <v>-2467.73</v>
      </c>
      <c r="AT304" s="4">
        <f>IF(OR(MID(TBBP[[#This Row],[Coluna1]],1,1)="1",MID(TBBP[[#This Row],[Coluna1]],1,1)="2"),TBBP[[#This Row],[Coluna45]],SUM(AH304:AS304))</f>
        <v>-25046.999999999996</v>
      </c>
      <c r="AU304" s="4">
        <v>-2348.75</v>
      </c>
      <c r="AV304" s="4">
        <v>-2453.29</v>
      </c>
      <c r="AW304" s="4">
        <v>-2476.02</v>
      </c>
      <c r="AX304" s="4">
        <v>-2882.75</v>
      </c>
      <c r="AY304" s="4">
        <v>-2703.48</v>
      </c>
      <c r="AZ304" s="4">
        <v>-2686.73</v>
      </c>
      <c r="BA304" s="4">
        <v>-2684.78</v>
      </c>
      <c r="BB304" s="4">
        <v>-3287.82</v>
      </c>
      <c r="BC304" s="4">
        <v>-2793.76</v>
      </c>
      <c r="BD304" s="4">
        <v>-3318.89</v>
      </c>
      <c r="BE304" s="4">
        <v>-6167.92</v>
      </c>
      <c r="BF304" s="4">
        <v>-3090.56</v>
      </c>
      <c r="BG304" s="4">
        <f>IF(OR(MID(TBBP[[#This Row],[Coluna1]],1,1)="1",MID(TBBP[[#This Row],[Coluna1]],1,1)="2"),TBBP[[#This Row],[Coluna58]],SUM(AU304:BF304))</f>
        <v>-36894.749999999993</v>
      </c>
      <c r="BH304" s="4">
        <v>-3194.75</v>
      </c>
      <c r="BI304" s="4">
        <v>-2501.56</v>
      </c>
      <c r="BJ304" s="4">
        <v>-3408.86</v>
      </c>
      <c r="BK304" s="4">
        <v>-2931.55</v>
      </c>
      <c r="BL304" s="4">
        <v>-2700.19</v>
      </c>
      <c r="BM304" s="4">
        <v>-1764.48</v>
      </c>
      <c r="BN304" s="4">
        <v>-6328.31</v>
      </c>
      <c r="BO304" s="4">
        <v>-2339.5100000000002</v>
      </c>
      <c r="BP304" s="4">
        <v>-4316.8900000000003</v>
      </c>
      <c r="BQ304" s="4">
        <v>-9111.0300000000007</v>
      </c>
      <c r="BR304" s="4">
        <v>-2702.93</v>
      </c>
      <c r="BS304" s="4">
        <v>-8880.02</v>
      </c>
      <c r="BT304" s="4">
        <f>IF(OR(MID(TBBP[[#This Row],[Coluna1]],1,1)="1",MID(TBBP[[#This Row],[Coluna1]],1,1)="2"),TBBP[[#This Row],[Coluna127]],SUM(BH304:BS304))</f>
        <v>-50180.08</v>
      </c>
      <c r="BU304" s="4">
        <v>-2588.33</v>
      </c>
      <c r="BV304" s="4">
        <v>-2955.73</v>
      </c>
      <c r="BW304" s="4">
        <v>-2675.89</v>
      </c>
      <c r="BX304" s="4">
        <v>-4186.1499999999996</v>
      </c>
      <c r="BY304" s="4">
        <v>-2956.22</v>
      </c>
      <c r="BZ304" s="4">
        <v>-3048</v>
      </c>
      <c r="CA304" s="4">
        <v>-2819.55</v>
      </c>
      <c r="CB304" s="4">
        <v>-3385.11</v>
      </c>
      <c r="CC304" s="4">
        <v>-5048.45</v>
      </c>
      <c r="CD304" s="4">
        <v>-4059.38</v>
      </c>
      <c r="CE304" s="4">
        <v>-5453.62</v>
      </c>
      <c r="CF304" s="4">
        <v>-3188.57</v>
      </c>
      <c r="CG304" s="4">
        <f>IF(OR(MID(TBBP[[#This Row],[Coluna1]],1,1)="1",MID(TBBP[[#This Row],[Coluna1]],1,1)="2"),CF304,SUM(BU304:CF304))</f>
        <v>-42365</v>
      </c>
      <c r="CH304" s="4">
        <v>-4904.13</v>
      </c>
      <c r="CI304" s="4">
        <v>-8490.6200000000008</v>
      </c>
      <c r="CJ304" s="4">
        <v>-7645.46</v>
      </c>
      <c r="CK304" s="4">
        <v>-5296.7</v>
      </c>
      <c r="CL304" s="4">
        <v>-5135.47</v>
      </c>
      <c r="CM304" s="4">
        <v>-4828.9799999999996</v>
      </c>
      <c r="CN304" s="4">
        <v>-6044.03</v>
      </c>
      <c r="CO304" s="4">
        <v>-12940.18</v>
      </c>
      <c r="CP304" s="4">
        <v>-11377.49</v>
      </c>
      <c r="CQ304" s="4">
        <v>-11619.99</v>
      </c>
      <c r="CR304" s="4">
        <v>-12078.65</v>
      </c>
      <c r="CS304" s="4">
        <v>-10323.040000000001</v>
      </c>
      <c r="CT304" s="4">
        <f>IF(OR(MID(TBBP[[#This Row],[Coluna1]],1,1)="1",MID(TBBP[[#This Row],[Coluna1]],1,1)="2"),CS304,SUM(CH304:CS304))</f>
        <v>-100684.73999999999</v>
      </c>
      <c r="CU304" s="255">
        <v>-11037.050000000001</v>
      </c>
      <c r="CV304" s="255">
        <v>-12885.97</v>
      </c>
      <c r="CW304" s="255">
        <v>-14660.63</v>
      </c>
      <c r="CX304" s="255">
        <v>-16523.79</v>
      </c>
      <c r="CY304" s="255">
        <v>-25705.56</v>
      </c>
      <c r="CZ304" s="255">
        <v>-21696.82</v>
      </c>
      <c r="DA304" s="255">
        <v>-28584.11</v>
      </c>
      <c r="DB304" s="255">
        <v>-27837.91</v>
      </c>
      <c r="DC304" s="255">
        <v>-37004.31</v>
      </c>
      <c r="DD304" s="255">
        <v>-11325.74</v>
      </c>
      <c r="DE304" s="255">
        <v>-6696.39</v>
      </c>
      <c r="DF304" s="255">
        <v>-48735.24</v>
      </c>
      <c r="DG304" s="255">
        <f>SUM(TBBP[[#This Row],[Coluna287]:[Coluna298]])</f>
        <v>-262693.52</v>
      </c>
      <c r="DH304" s="255">
        <v>-37905.83</v>
      </c>
      <c r="DI304" s="255">
        <v>-36112.49</v>
      </c>
      <c r="DJ304" s="255">
        <v>-37737.89</v>
      </c>
      <c r="DK304" s="255">
        <v>-44797.05</v>
      </c>
      <c r="DL304" s="255">
        <v>-42510.77</v>
      </c>
      <c r="DM304" s="255">
        <v>-81026.759999999995</v>
      </c>
      <c r="DP304" s="30">
        <f>IF(OR(MID(TBBP[[#This Row],[Coluna1]],1,1)="1",MID(TBBP[[#This Row],[Coluna1]],1,1)="2"),"-",SUMIFS(304:304,listaPeriodos,$DR$1,listaPeriodos,$DR$2))</f>
        <v>-280090.78999999998</v>
      </c>
      <c r="DQ304" s="30"/>
      <c r="DR304" s="30"/>
      <c r="DS304" s="30"/>
      <c r="DT304" s="30"/>
      <c r="DU304"/>
    </row>
    <row r="305" spans="1:125" x14ac:dyDescent="0.3">
      <c r="A305" s="7" t="s">
        <v>774</v>
      </c>
      <c r="B305" t="s">
        <v>775</v>
      </c>
      <c r="C305" s="4">
        <v>0</v>
      </c>
      <c r="D305" s="4">
        <v>0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f>IF(OR(MID(TBBP[[#This Row],[Coluna1]],1,1)="1",MID(TBBP[[#This Row],[Coluna1]],1,1)="2"),TBBP[[#This Row],[Coluna19]],SUM(U305:AF305))</f>
        <v>0</v>
      </c>
      <c r="AH305" s="4">
        <v>0</v>
      </c>
      <c r="AI305" s="4">
        <v>0</v>
      </c>
      <c r="AJ305" s="4">
        <v>0</v>
      </c>
      <c r="AK305" s="4">
        <v>0</v>
      </c>
      <c r="AL305" s="4">
        <v>0</v>
      </c>
      <c r="AM305" s="4">
        <v>0</v>
      </c>
      <c r="AN305" s="4">
        <v>0</v>
      </c>
      <c r="AO305" s="4">
        <v>0</v>
      </c>
      <c r="AP305" s="4">
        <v>0</v>
      </c>
      <c r="AQ305" s="4">
        <v>0</v>
      </c>
      <c r="AR305" s="4">
        <v>0</v>
      </c>
      <c r="AS305" s="4">
        <v>0</v>
      </c>
      <c r="AT305" s="4">
        <f>IF(OR(MID(TBBP[[#This Row],[Coluna1]],1,1)="1",MID(TBBP[[#This Row],[Coluna1]],1,1)="2"),TBBP[[#This Row],[Coluna45]],SUM(AH305:AS305))</f>
        <v>0</v>
      </c>
      <c r="AU305" s="4">
        <v>0</v>
      </c>
      <c r="AV305" s="4">
        <v>0</v>
      </c>
      <c r="AW305" s="4">
        <v>0</v>
      </c>
      <c r="AX305" s="4">
        <v>0</v>
      </c>
      <c r="AY305" s="4">
        <v>0</v>
      </c>
      <c r="AZ305" s="4">
        <v>0</v>
      </c>
      <c r="BA305" s="4">
        <v>0</v>
      </c>
      <c r="BB305" s="4">
        <v>0</v>
      </c>
      <c r="BC305" s="4">
        <v>0</v>
      </c>
      <c r="BD305" s="4">
        <v>0</v>
      </c>
      <c r="BE305" s="4">
        <v>0</v>
      </c>
      <c r="BF305" s="4">
        <v>0</v>
      </c>
      <c r="BG305" s="4">
        <f>IF(OR(MID(TBBP[[#This Row],[Coluna1]],1,1)="1",MID(TBBP[[#This Row],[Coluna1]],1,1)="2"),TBBP[[#This Row],[Coluna58]],SUM(AU305:BF305))</f>
        <v>0</v>
      </c>
      <c r="BH305" s="4">
        <v>0</v>
      </c>
      <c r="BI305" s="4">
        <v>0</v>
      </c>
      <c r="BJ305" s="4">
        <v>-500000</v>
      </c>
      <c r="BK305" s="4">
        <v>0</v>
      </c>
      <c r="BL305" s="4">
        <v>0</v>
      </c>
      <c r="BM305" s="4">
        <v>-500000</v>
      </c>
      <c r="BN305" s="4">
        <v>0</v>
      </c>
      <c r="BO305" s="4">
        <v>0</v>
      </c>
      <c r="BP305" s="4">
        <v>-500000</v>
      </c>
      <c r="BQ305" s="4">
        <v>0</v>
      </c>
      <c r="BR305" s="4">
        <v>0</v>
      </c>
      <c r="BS305" s="4">
        <v>-500000</v>
      </c>
      <c r="BT305" s="4">
        <f>IF(OR(MID(TBBP[[#This Row],[Coluna1]],1,1)="1",MID(TBBP[[#This Row],[Coluna1]],1,1)="2"),TBBP[[#This Row],[Coluna127]],SUM(BH305:BS305))</f>
        <v>-2000000</v>
      </c>
      <c r="BU305" s="4">
        <v>0</v>
      </c>
      <c r="BV305" s="4">
        <v>0</v>
      </c>
      <c r="BW305" s="4">
        <v>-500000</v>
      </c>
      <c r="BX305" s="4">
        <v>0</v>
      </c>
      <c r="BY305" s="4">
        <v>0</v>
      </c>
      <c r="BZ305" s="4">
        <v>-500000</v>
      </c>
      <c r="CA305" s="4">
        <v>0</v>
      </c>
      <c r="CB305" s="4">
        <v>0</v>
      </c>
      <c r="CC305" s="4">
        <v>-500000</v>
      </c>
      <c r="CD305" s="4">
        <v>0</v>
      </c>
      <c r="CE305" s="4">
        <v>0</v>
      </c>
      <c r="CF305" s="4">
        <v>-500000</v>
      </c>
      <c r="CG305" s="4">
        <f>IF(OR(MID(TBBP[[#This Row],[Coluna1]],1,1)="1",MID(TBBP[[#This Row],[Coluna1]],1,1)="2"),CF305,SUM(BU305:CF305))</f>
        <v>-2000000</v>
      </c>
      <c r="CH305" s="4">
        <v>0</v>
      </c>
      <c r="CI305" s="4">
        <v>0</v>
      </c>
      <c r="CJ305" s="4">
        <v>-500000</v>
      </c>
      <c r="CK305" s="4">
        <v>0</v>
      </c>
      <c r="CL305" s="4">
        <v>0</v>
      </c>
      <c r="CM305" s="4">
        <v>-500000</v>
      </c>
      <c r="CN305" s="4">
        <v>0</v>
      </c>
      <c r="CO305" s="4">
        <v>0</v>
      </c>
      <c r="CP305" s="4">
        <v>0</v>
      </c>
      <c r="CQ305" s="4">
        <v>-250000</v>
      </c>
      <c r="CR305" s="4">
        <v>-250000</v>
      </c>
      <c r="CS305" s="4">
        <v>-500000</v>
      </c>
      <c r="CT305" s="4">
        <f>IF(OR(MID(TBBP[[#This Row],[Coluna1]],1,1)="1",MID(TBBP[[#This Row],[Coluna1]],1,1)="2"),CS305,SUM(CH305:CS305))</f>
        <v>-2000000</v>
      </c>
      <c r="CU305" s="255">
        <v>-250000</v>
      </c>
      <c r="CV305" s="255">
        <v>0</v>
      </c>
      <c r="CW305" s="255">
        <v>-250000</v>
      </c>
      <c r="CX305" s="255">
        <v>-250000</v>
      </c>
      <c r="CY305" s="255">
        <v>-250000</v>
      </c>
      <c r="CZ305" s="255">
        <v>0</v>
      </c>
      <c r="DA305" s="255">
        <v>-250000</v>
      </c>
      <c r="DB305" s="255">
        <v>-200000</v>
      </c>
      <c r="DC305" s="255">
        <v>0</v>
      </c>
      <c r="DD305" s="255">
        <v>0</v>
      </c>
      <c r="DE305" s="255">
        <v>-250000</v>
      </c>
      <c r="DF305" s="255">
        <v>0</v>
      </c>
      <c r="DG305" s="255">
        <f>SUM(TBBP[[#This Row],[Coluna287]:[Coluna298]])</f>
        <v>-1700000</v>
      </c>
      <c r="DH305" s="255">
        <v>0</v>
      </c>
      <c r="DI305" s="255">
        <v>0</v>
      </c>
      <c r="DJ305" s="255">
        <v>0</v>
      </c>
      <c r="DK305" s="255">
        <v>0</v>
      </c>
      <c r="DL305" s="255">
        <v>0</v>
      </c>
      <c r="DM305" s="255">
        <v>0</v>
      </c>
      <c r="DP305" s="30">
        <f>IF(OR(MID(TBBP[[#This Row],[Coluna1]],1,1)="1",MID(TBBP[[#This Row],[Coluna1]],1,1)="2"),"-",SUMIFS(305:305,listaPeriodos,$DR$1,listaPeriodos,$DR$2))</f>
        <v>0</v>
      </c>
      <c r="DQ305" s="30"/>
      <c r="DR305" s="30">
        <f t="shared" ref="DR305:DR314" si="182">DQ305*$DS$1</f>
        <v>0</v>
      </c>
      <c r="DS305" s="30"/>
      <c r="DT305" s="30"/>
      <c r="DU305"/>
    </row>
    <row r="306" spans="1:125" x14ac:dyDescent="0.3">
      <c r="A306" s="7" t="s">
        <v>136</v>
      </c>
      <c r="B306" t="s">
        <v>612</v>
      </c>
      <c r="C306" s="4">
        <v>0</v>
      </c>
      <c r="D306" s="4">
        <v>0</v>
      </c>
      <c r="E306" s="4">
        <v>0</v>
      </c>
      <c r="F306" s="4">
        <v>0</v>
      </c>
      <c r="G306" s="4">
        <v>-14087.69</v>
      </c>
      <c r="H306" s="4">
        <v>1206.5300000000007</v>
      </c>
      <c r="I306" s="4">
        <v>2282.64</v>
      </c>
      <c r="J306" s="4">
        <v>1137.6500000000001</v>
      </c>
      <c r="K306" s="4">
        <v>5270.4400000000005</v>
      </c>
      <c r="L306" s="4">
        <v>6513.1</v>
      </c>
      <c r="M306" s="4">
        <v>11454.91</v>
      </c>
      <c r="N306" s="4">
        <v>-8560.58</v>
      </c>
      <c r="O306" s="4">
        <v>11385.49</v>
      </c>
      <c r="P306" s="4">
        <v>-3156.72</v>
      </c>
      <c r="Q306" s="4">
        <v>-4273.5600000000004</v>
      </c>
      <c r="R306" s="4">
        <v>-6858.72</v>
      </c>
      <c r="S306" s="4">
        <v>-15676.59</v>
      </c>
      <c r="T306" s="4">
        <f>IF(OR(MID(TBBP[[#This Row],[Coluna1]],1,1)="1",MID(TBBP[[#This Row],[Coluna1]],1,1)="2"),TBBP[[#This Row],[Coluna19]],SUM(H306:S306))</f>
        <v>724.58999999999651</v>
      </c>
      <c r="U306" s="4">
        <v>35361.629999999997</v>
      </c>
      <c r="V306" s="4">
        <v>-15508.91</v>
      </c>
      <c r="W306" s="4">
        <v>10822.54</v>
      </c>
      <c r="X306" s="4">
        <v>-853.57</v>
      </c>
      <c r="Y306" s="4">
        <v>462.28</v>
      </c>
      <c r="Z306" s="4">
        <v>21770.27</v>
      </c>
      <c r="AA306" s="4">
        <v>31053</v>
      </c>
      <c r="AB306" s="4">
        <v>-48118.55</v>
      </c>
      <c r="AC306" s="4">
        <v>9928.39</v>
      </c>
      <c r="AD306" s="4">
        <v>8433.23</v>
      </c>
      <c r="AE306" s="4">
        <v>-17389.63</v>
      </c>
      <c r="AF306" s="4">
        <v>30605.120000000003</v>
      </c>
      <c r="AG306" s="4">
        <f>IF(OR(MID(TBBP[[#This Row],[Coluna1]],1,1)="1",MID(TBBP[[#This Row],[Coluna1]],1,1)="2"),TBBP[[#This Row],[Coluna32]],SUM(U306:AF306))</f>
        <v>66565.799999999988</v>
      </c>
      <c r="AH306" s="4">
        <v>-47582.630000000005</v>
      </c>
      <c r="AI306" s="4">
        <v>-45953.72</v>
      </c>
      <c r="AJ306" s="4">
        <v>-100188.81</v>
      </c>
      <c r="AK306" s="4">
        <v>-30095.03</v>
      </c>
      <c r="AL306" s="4">
        <v>-51195.119999999995</v>
      </c>
      <c r="AM306" s="4">
        <v>38405.9</v>
      </c>
      <c r="AN306" s="4">
        <v>-4408.010000000002</v>
      </c>
      <c r="AO306" s="4">
        <v>28647.920000000002</v>
      </c>
      <c r="AP306" s="4">
        <v>77145.780000000013</v>
      </c>
      <c r="AQ306" s="4">
        <v>9344.369999999999</v>
      </c>
      <c r="AR306" s="4">
        <v>-30596.160000000003</v>
      </c>
      <c r="AS306" s="4">
        <v>1594.0900000000001</v>
      </c>
      <c r="AT306" s="4">
        <f>IF(OR(MID(TBBP[[#This Row],[Coluna1]],1,1)="1",MID(TBBP[[#This Row],[Coluna1]],1,1)="2"),TBBP[[#This Row],[Coluna45]],SUM(AH306:AS306))</f>
        <v>-154881.41999999998</v>
      </c>
      <c r="AU306" s="4">
        <v>73250</v>
      </c>
      <c r="AV306" s="4">
        <v>-34353.5</v>
      </c>
      <c r="AW306" s="4">
        <v>-47514.75</v>
      </c>
      <c r="AX306" s="4">
        <v>49685.87</v>
      </c>
      <c r="AY306" s="4">
        <v>2234.8900000000067</v>
      </c>
      <c r="AZ306" s="4">
        <v>-86687.51999999999</v>
      </c>
      <c r="BA306" s="4">
        <v>33729.75</v>
      </c>
      <c r="BB306" s="4">
        <v>-2812.9500000000044</v>
      </c>
      <c r="BC306" s="4">
        <v>64612.710000000006</v>
      </c>
      <c r="BD306" s="4">
        <v>35448.939999999988</v>
      </c>
      <c r="BE306" s="4">
        <v>-50252.369999999995</v>
      </c>
      <c r="BF306" s="4">
        <v>-22372.959999999999</v>
      </c>
      <c r="BG306" s="4">
        <f>IF(OR(MID(TBBP[[#This Row],[Coluna1]],1,1)="1",MID(TBBP[[#This Row],[Coluna1]],1,1)="2"),TBBP[[#This Row],[Coluna58]],SUM(AU306:BF306))</f>
        <v>14968.110000000008</v>
      </c>
      <c r="BH306" s="4">
        <v>-76017.109999999986</v>
      </c>
      <c r="BI306" s="4">
        <v>-69179.58</v>
      </c>
      <c r="BJ306" s="4">
        <v>-31422.429999999993</v>
      </c>
      <c r="BK306" s="4">
        <v>60603.040000000001</v>
      </c>
      <c r="BL306" s="4">
        <v>-107213.45</v>
      </c>
      <c r="BM306" s="4">
        <v>178393.78999999998</v>
      </c>
      <c r="BN306" s="4">
        <v>9215.3699999999953</v>
      </c>
      <c r="BO306" s="4">
        <v>-8164.48</v>
      </c>
      <c r="BP306" s="4">
        <v>-61243.08</v>
      </c>
      <c r="BQ306" s="4">
        <v>78397.199999999983</v>
      </c>
      <c r="BR306" s="4">
        <v>-32101.130000000005</v>
      </c>
      <c r="BS306" s="4">
        <v>8120.1699999999983</v>
      </c>
      <c r="BT306" s="4">
        <f>IF(OR(MID(TBBP[[#This Row],[Coluna1]],1,1)="1",MID(TBBP[[#This Row],[Coluna1]],1,1)="2"),TBBP[[#This Row],[Coluna127]],SUM(BH306:BS306))</f>
        <v>-50611.690000000017</v>
      </c>
      <c r="BU306" s="4">
        <v>28381.9</v>
      </c>
      <c r="BV306" s="4">
        <v>-60549.260000000009</v>
      </c>
      <c r="BW306" s="4">
        <v>75659.55</v>
      </c>
      <c r="BX306" s="4">
        <v>42098.430000000008</v>
      </c>
      <c r="BY306" s="4">
        <v>-41371.11</v>
      </c>
      <c r="BZ306" s="4">
        <v>115770.5</v>
      </c>
      <c r="CA306" s="4">
        <v>50079.97</v>
      </c>
      <c r="CB306" s="4">
        <v>-113047.9</v>
      </c>
      <c r="CC306" s="4">
        <v>-36214.630000000005</v>
      </c>
      <c r="CD306" s="4">
        <v>-37333.89</v>
      </c>
      <c r="CE306" s="4">
        <v>65337.720000000016</v>
      </c>
      <c r="CF306" s="4">
        <v>83226.070000000007</v>
      </c>
      <c r="CG306" s="4">
        <f>IF(OR(MID(TBBP[[#This Row],[Coluna1]],1,1)="1",MID(TBBP[[#This Row],[Coluna1]],1,1)="2"),CF306,SUM(BU306:CF306))</f>
        <v>172037.35000000003</v>
      </c>
      <c r="CH306" s="4">
        <v>-96761.709999999992</v>
      </c>
      <c r="CI306" s="4">
        <v>-18979.77</v>
      </c>
      <c r="CJ306" s="4">
        <v>-6361.01</v>
      </c>
      <c r="CK306" s="4">
        <v>-130267.09999999998</v>
      </c>
      <c r="CL306" s="4">
        <v>1675.7099999999919</v>
      </c>
      <c r="CM306" s="4">
        <v>-241620.66999999998</v>
      </c>
      <c r="CN306" s="4">
        <v>-19150.610000000015</v>
      </c>
      <c r="CO306" s="4">
        <v>49715.520000000004</v>
      </c>
      <c r="CP306" s="4">
        <v>142377.82</v>
      </c>
      <c r="CQ306" s="4">
        <v>-401575.94000000006</v>
      </c>
      <c r="CR306" s="4">
        <v>-506291.29999999993</v>
      </c>
      <c r="CS306" s="4">
        <v>-293745.14</v>
      </c>
      <c r="CT306" s="4">
        <f>IF(OR(MID(TBBP[[#This Row],[Coluna1]],1,1)="1",MID(TBBP[[#This Row],[Coluna1]],1,1)="2"),CS306,SUM(CH306:CS306))</f>
        <v>-1520984.2000000002</v>
      </c>
      <c r="CU306" s="255">
        <v>497687.95</v>
      </c>
      <c r="CV306" s="255">
        <v>94360.060000000012</v>
      </c>
      <c r="CW306" s="255">
        <v>237569.40000000002</v>
      </c>
      <c r="CX306" s="255">
        <v>235625.33000000002</v>
      </c>
      <c r="CY306" s="255">
        <v>426912.11</v>
      </c>
      <c r="CZ306" s="255">
        <v>26070.959999999999</v>
      </c>
      <c r="DA306" s="255">
        <v>-381656.81999999995</v>
      </c>
      <c r="DB306" s="255">
        <v>490040.37999999995</v>
      </c>
      <c r="DC306" s="255">
        <v>250178.59</v>
      </c>
      <c r="DD306" s="255">
        <v>-229612.27000000002</v>
      </c>
      <c r="DE306" s="255">
        <v>122592.98999999999</v>
      </c>
      <c r="DF306" s="255">
        <v>197868.2</v>
      </c>
      <c r="DG306" s="255">
        <f>SUM(TBBP[[#This Row],[Coluna287]:[Coluna298]])</f>
        <v>1967636.8800000001</v>
      </c>
      <c r="DH306" s="255">
        <v>-18328.650000000009</v>
      </c>
      <c r="DI306" s="255">
        <v>171963.77</v>
      </c>
      <c r="DJ306" s="255">
        <v>-186237.55</v>
      </c>
      <c r="DK306" s="255">
        <v>837498.4800000001</v>
      </c>
      <c r="DL306" s="255">
        <v>-173271.43</v>
      </c>
      <c r="DM306" s="255">
        <v>-341099.08999999997</v>
      </c>
      <c r="DP306" s="30">
        <f>IF(OR(MID(TBBP[[#This Row],[Coluna1]],1,1)="1",MID(TBBP[[#This Row],[Coluna1]],1,1)="2"),"-",SUMIFS(306:306,listaPeriodos,$DR$1,listaPeriodos,$DR$2))</f>
        <v>290525.53000000014</v>
      </c>
      <c r="DQ306" s="30"/>
      <c r="DR306" s="30">
        <f t="shared" si="182"/>
        <v>0</v>
      </c>
      <c r="DS306" s="30"/>
      <c r="DT306" s="30"/>
      <c r="DU306"/>
    </row>
    <row r="307" spans="1:125" x14ac:dyDescent="0.3">
      <c r="A307" s="7" t="s">
        <v>482</v>
      </c>
      <c r="B307" t="s">
        <v>613</v>
      </c>
      <c r="C307" s="4">
        <v>0</v>
      </c>
      <c r="D307" s="4">
        <v>0</v>
      </c>
      <c r="E307" s="4">
        <v>0</v>
      </c>
      <c r="F307" s="4">
        <v>0</v>
      </c>
      <c r="G307" s="4">
        <v>-34127.050000000003</v>
      </c>
      <c r="H307" s="4">
        <v>5840.93</v>
      </c>
      <c r="I307" s="4">
        <v>2313.4699999999998</v>
      </c>
      <c r="J307" s="4">
        <v>1344</v>
      </c>
      <c r="K307" s="4">
        <v>5373.81</v>
      </c>
      <c r="L307" s="4">
        <v>7146.51</v>
      </c>
      <c r="M307" s="4">
        <v>11631.77</v>
      </c>
      <c r="N307" s="4">
        <v>2409.52</v>
      </c>
      <c r="O307" s="4">
        <v>16478.8</v>
      </c>
      <c r="P307" s="4">
        <v>956.67</v>
      </c>
      <c r="Q307" s="4">
        <v>7774.17</v>
      </c>
      <c r="R307" s="4">
        <v>4811.09</v>
      </c>
      <c r="S307" s="4">
        <v>2401.29</v>
      </c>
      <c r="T307" s="4">
        <f>IF(OR(MID(TBBP[[#This Row],[Coluna1]],1,1)="1",MID(TBBP[[#This Row],[Coluna1]],1,1)="2"),TBBP[[#This Row],[Coluna19]],SUM(H307:S307))</f>
        <v>68482.029999999984</v>
      </c>
      <c r="U307" s="4">
        <v>48812.53</v>
      </c>
      <c r="V307" s="4">
        <v>6346.02</v>
      </c>
      <c r="W307" s="4">
        <v>15563.69</v>
      </c>
      <c r="X307" s="4">
        <v>3685.16</v>
      </c>
      <c r="Y307" s="4">
        <v>1421.41</v>
      </c>
      <c r="Z307" s="4">
        <v>28324.27</v>
      </c>
      <c r="AA307" s="4">
        <v>37486.720000000001</v>
      </c>
      <c r="AB307" s="4">
        <v>30408.34</v>
      </c>
      <c r="AC307" s="4">
        <v>10524.05</v>
      </c>
      <c r="AD307" s="4">
        <v>16445.41</v>
      </c>
      <c r="AE307" s="4">
        <v>12002.59</v>
      </c>
      <c r="AF307" s="4">
        <v>45816.3</v>
      </c>
      <c r="AG307" s="4">
        <f>IF(OR(MID(TBBP[[#This Row],[Coluna1]],1,1)="1",MID(TBBP[[#This Row],[Coluna1]],1,1)="2"),TBBP[[#This Row],[Coluna32]],SUM(U307:AF307))</f>
        <v>256836.49</v>
      </c>
      <c r="AH307" s="4">
        <v>18245.759999999998</v>
      </c>
      <c r="AI307" s="4">
        <v>24612.98</v>
      </c>
      <c r="AJ307" s="4">
        <v>87651.9</v>
      </c>
      <c r="AK307" s="4">
        <v>25958.32</v>
      </c>
      <c r="AL307" s="4">
        <v>988.55</v>
      </c>
      <c r="AM307" s="4">
        <v>46526.6</v>
      </c>
      <c r="AN307" s="4">
        <v>38952.239999999998</v>
      </c>
      <c r="AO307" s="4">
        <v>45356.800000000003</v>
      </c>
      <c r="AP307" s="4">
        <v>83240.570000000007</v>
      </c>
      <c r="AQ307" s="4">
        <v>13705.17</v>
      </c>
      <c r="AR307" s="4">
        <v>19933.53</v>
      </c>
      <c r="AS307" s="4">
        <v>19987.89</v>
      </c>
      <c r="AT307" s="4">
        <f>IF(OR(MID(TBBP[[#This Row],[Coluna1]],1,1)="1",MID(TBBP[[#This Row],[Coluna1]],1,1)="2"),TBBP[[#This Row],[Coluna45]],SUM(AH307:AS307))</f>
        <v>425160.30999999994</v>
      </c>
      <c r="AU307" s="4">
        <v>84702.21</v>
      </c>
      <c r="AV307" s="4">
        <v>5877.39</v>
      </c>
      <c r="AW307" s="4">
        <v>10497.72</v>
      </c>
      <c r="AX307" s="4">
        <v>107055.99</v>
      </c>
      <c r="AY307" s="4">
        <v>43964.41</v>
      </c>
      <c r="AZ307" s="4">
        <v>43117.48</v>
      </c>
      <c r="BA307" s="4">
        <v>55196.55</v>
      </c>
      <c r="BB307" s="4">
        <v>34657.129999999997</v>
      </c>
      <c r="BC307" s="4">
        <v>140807.54</v>
      </c>
      <c r="BD307" s="4">
        <v>102316.9</v>
      </c>
      <c r="BE307" s="4">
        <v>18288.740000000002</v>
      </c>
      <c r="BF307" s="4">
        <v>9139.51</v>
      </c>
      <c r="BG307" s="4">
        <f>IF(OR(MID(TBBP[[#This Row],[Coluna1]],1,1)="1",MID(TBBP[[#This Row],[Coluna1]],1,1)="2"),TBBP[[#This Row],[Coluna58]],SUM(AU307:BF307))</f>
        <v>655621.57000000007</v>
      </c>
      <c r="BH307" s="4">
        <v>39580.18</v>
      </c>
      <c r="BI307" s="4">
        <v>33966.11</v>
      </c>
      <c r="BJ307" s="4">
        <v>149531.26</v>
      </c>
      <c r="BK307" s="4">
        <v>70229.58</v>
      </c>
      <c r="BL307" s="4">
        <v>14771.25</v>
      </c>
      <c r="BM307" s="4">
        <v>311112.68</v>
      </c>
      <c r="BN307" s="4">
        <v>128643.87</v>
      </c>
      <c r="BO307" s="4">
        <v>21208.49</v>
      </c>
      <c r="BP307" s="4">
        <v>96830.61</v>
      </c>
      <c r="BQ307" s="4">
        <v>137647.49</v>
      </c>
      <c r="BR307" s="4">
        <v>69010.31</v>
      </c>
      <c r="BS307" s="4">
        <v>94849.31</v>
      </c>
      <c r="BT307" s="4">
        <f>IF(OR(MID(TBBP[[#This Row],[Coluna1]],1,1)="1",MID(TBBP[[#This Row],[Coluna1]],1,1)="2"),TBBP[[#This Row],[Coluna127]],SUM(BH307:BS307))</f>
        <v>1167381.1400000001</v>
      </c>
      <c r="BU307" s="4">
        <v>64422.75</v>
      </c>
      <c r="BV307" s="4">
        <v>23876.73</v>
      </c>
      <c r="BW307" s="4">
        <v>112950.16</v>
      </c>
      <c r="BX307" s="4">
        <v>63010.69</v>
      </c>
      <c r="BY307" s="4">
        <v>56003.66</v>
      </c>
      <c r="BZ307" s="4">
        <v>248761.2</v>
      </c>
      <c r="CA307" s="4">
        <v>82297.69</v>
      </c>
      <c r="CB307" s="4">
        <v>81887.600000000006</v>
      </c>
      <c r="CC307" s="4">
        <v>69325.509999999995</v>
      </c>
      <c r="CD307" s="4">
        <v>47905.97</v>
      </c>
      <c r="CE307" s="4">
        <v>168178.45</v>
      </c>
      <c r="CF307" s="4">
        <v>126599.33</v>
      </c>
      <c r="CG307" s="4">
        <f>IF(OR(MID(TBBP[[#This Row],[Coluna1]],1,1)="1",MID(TBBP[[#This Row],[Coluna1]],1,1)="2"),CF307,SUM(BU307:CF307))</f>
        <v>1145219.74</v>
      </c>
      <c r="CH307" s="4">
        <v>38693.160000000003</v>
      </c>
      <c r="CI307" s="4">
        <v>15604.16</v>
      </c>
      <c r="CJ307" s="4">
        <v>14458.37</v>
      </c>
      <c r="CK307" s="4">
        <v>153540.64000000001</v>
      </c>
      <c r="CL307" s="4">
        <v>117998.92</v>
      </c>
      <c r="CM307" s="4">
        <v>338978.42</v>
      </c>
      <c r="CN307" s="4">
        <v>212480.21</v>
      </c>
      <c r="CO307" s="4">
        <v>146337.48000000001</v>
      </c>
      <c r="CP307" s="4">
        <v>407913.73</v>
      </c>
      <c r="CQ307" s="4">
        <v>262149.96999999997</v>
      </c>
      <c r="CR307" s="4">
        <v>131049.52</v>
      </c>
      <c r="CS307" s="4">
        <v>61063.67</v>
      </c>
      <c r="CT307" s="4">
        <f>IF(OR(MID(TBBP[[#This Row],[Coluna1]],1,1)="1",MID(TBBP[[#This Row],[Coluna1]],1,1)="2"),CS307,SUM(CH307:CS307))</f>
        <v>1900268.2499999998</v>
      </c>
      <c r="CU307" s="255">
        <v>792304.36</v>
      </c>
      <c r="CV307" s="255">
        <v>167559.92000000001</v>
      </c>
      <c r="CW307" s="255">
        <v>296122.61</v>
      </c>
      <c r="CX307" s="255">
        <v>321473.83</v>
      </c>
      <c r="CY307" s="255">
        <v>507665.14</v>
      </c>
      <c r="CZ307" s="255">
        <v>72247.53</v>
      </c>
      <c r="DA307" s="255">
        <v>91837.15</v>
      </c>
      <c r="DB307" s="255">
        <v>638819.44999999995</v>
      </c>
      <c r="DC307" s="255">
        <v>406711.92</v>
      </c>
      <c r="DD307" s="255">
        <v>75330.44</v>
      </c>
      <c r="DE307" s="255">
        <v>204517.34</v>
      </c>
      <c r="DF307" s="255">
        <v>337506.14</v>
      </c>
      <c r="DG307" s="255">
        <f>SUM(TBBP[[#This Row],[Coluna287]:[Coluna298]])</f>
        <v>3912095.83</v>
      </c>
      <c r="DH307" s="255">
        <v>109823.03999999999</v>
      </c>
      <c r="DI307" s="255">
        <v>364415.25</v>
      </c>
      <c r="DJ307" s="255">
        <v>131072.57</v>
      </c>
      <c r="DK307" s="255">
        <v>1147054.8400000001</v>
      </c>
      <c r="DL307" s="255">
        <v>103534.06</v>
      </c>
      <c r="DM307" s="255">
        <v>129507.27</v>
      </c>
      <c r="DP307" s="30">
        <f>IF(OR(MID(TBBP[[#This Row],[Coluna1]],1,1)="1",MID(TBBP[[#This Row],[Coluna1]],1,1)="2"),"-",SUMIFS(307:307,listaPeriodos,$DR$1,listaPeriodos,$DR$2))</f>
        <v>1985407.0300000003</v>
      </c>
      <c r="DQ307" s="30"/>
      <c r="DR307" s="30">
        <f t="shared" si="182"/>
        <v>0</v>
      </c>
      <c r="DS307" s="30"/>
      <c r="DT307" s="30"/>
      <c r="DU307"/>
    </row>
    <row r="308" spans="1:125" x14ac:dyDescent="0.3">
      <c r="A308" s="7" t="s">
        <v>483</v>
      </c>
      <c r="B308" t="s">
        <v>614</v>
      </c>
      <c r="C308" s="4">
        <v>0</v>
      </c>
      <c r="D308" s="4">
        <v>0</v>
      </c>
      <c r="E308" s="4">
        <v>0</v>
      </c>
      <c r="F308" s="4">
        <v>0</v>
      </c>
      <c r="G308" s="4">
        <v>-48214.74</v>
      </c>
      <c r="H308" s="4">
        <v>-4634.3999999999996</v>
      </c>
      <c r="I308" s="4">
        <v>-30.83</v>
      </c>
      <c r="J308" s="4">
        <v>-206.35</v>
      </c>
      <c r="K308" s="4">
        <v>-103.37</v>
      </c>
      <c r="L308" s="4">
        <v>-633.41</v>
      </c>
      <c r="M308" s="4">
        <v>-176.86</v>
      </c>
      <c r="N308" s="4">
        <v>-10970.1</v>
      </c>
      <c r="O308" s="4">
        <v>-5093.3100000000004</v>
      </c>
      <c r="P308" s="4">
        <v>-4113.3900000000003</v>
      </c>
      <c r="Q308" s="4">
        <v>-12047.73</v>
      </c>
      <c r="R308" s="4">
        <v>-11669.81</v>
      </c>
      <c r="S308" s="4">
        <v>-18076.88</v>
      </c>
      <c r="T308" s="4">
        <f>IF(OR(MID(TBBP[[#This Row],[Coluna1]],1,1)="1",MID(TBBP[[#This Row],[Coluna1]],1,1)="2"),TBBP[[#This Row],[Coluna19]],SUM(H308:S308))</f>
        <v>-67756.44</v>
      </c>
      <c r="U308" s="4">
        <v>-13450.9</v>
      </c>
      <c r="V308" s="4">
        <v>-21854.93</v>
      </c>
      <c r="W308" s="4">
        <v>-4741.1499999999996</v>
      </c>
      <c r="X308" s="4">
        <v>-4538.7299999999996</v>
      </c>
      <c r="Y308" s="4">
        <v>-959.13</v>
      </c>
      <c r="Z308" s="4">
        <v>-6554</v>
      </c>
      <c r="AA308" s="4">
        <v>-6433.72</v>
      </c>
      <c r="AB308" s="4">
        <v>-78526.89</v>
      </c>
      <c r="AC308" s="4">
        <v>-595.66</v>
      </c>
      <c r="AD308" s="4">
        <v>-8012.18</v>
      </c>
      <c r="AE308" s="4">
        <v>-29392.22</v>
      </c>
      <c r="AF308" s="4">
        <v>-15211.18</v>
      </c>
      <c r="AG308" s="4">
        <f>IF(OR(MID(TBBP[[#This Row],[Coluna1]],1,1)="1",MID(TBBP[[#This Row],[Coluna1]],1,1)="2"),TBBP[[#This Row],[Coluna32]],SUM(U308:AF308))</f>
        <v>-190270.69</v>
      </c>
      <c r="AH308" s="4">
        <v>-65828.39</v>
      </c>
      <c r="AI308" s="4">
        <v>-70566.7</v>
      </c>
      <c r="AJ308" s="4">
        <v>-187840.71</v>
      </c>
      <c r="AK308" s="4">
        <v>-56053.35</v>
      </c>
      <c r="AL308" s="4">
        <v>-52183.67</v>
      </c>
      <c r="AM308" s="4">
        <v>-8120.7</v>
      </c>
      <c r="AN308" s="4">
        <v>-43360.25</v>
      </c>
      <c r="AO308" s="4">
        <v>-16708.88</v>
      </c>
      <c r="AP308" s="4">
        <v>-6094.79</v>
      </c>
      <c r="AQ308" s="4">
        <v>-4360.8</v>
      </c>
      <c r="AR308" s="4">
        <v>-50529.69</v>
      </c>
      <c r="AS308" s="4">
        <v>-18393.8</v>
      </c>
      <c r="AT308" s="4">
        <f>IF(OR(MID(TBBP[[#This Row],[Coluna1]],1,1)="1",MID(TBBP[[#This Row],[Coluna1]],1,1)="2"),TBBP[[#This Row],[Coluna45]],SUM(AH308:AS308))</f>
        <v>-580041.73</v>
      </c>
      <c r="AU308" s="4">
        <v>-11452.21</v>
      </c>
      <c r="AV308" s="4">
        <v>-40230.89</v>
      </c>
      <c r="AW308" s="4">
        <v>-58012.47</v>
      </c>
      <c r="AX308" s="4">
        <v>-57370.12</v>
      </c>
      <c r="AY308" s="4">
        <v>-41729.519999999997</v>
      </c>
      <c r="AZ308" s="4">
        <v>-129805</v>
      </c>
      <c r="BA308" s="4">
        <v>-21466.799999999999</v>
      </c>
      <c r="BB308" s="4">
        <v>-37470.080000000002</v>
      </c>
      <c r="BC308" s="4">
        <v>-76194.83</v>
      </c>
      <c r="BD308" s="4">
        <v>-66867.960000000006</v>
      </c>
      <c r="BE308" s="4">
        <v>-68541.11</v>
      </c>
      <c r="BF308" s="4">
        <v>-31512.47</v>
      </c>
      <c r="BG308" s="4">
        <f>IF(OR(MID(TBBP[[#This Row],[Coluna1]],1,1)="1",MID(TBBP[[#This Row],[Coluna1]],1,1)="2"),TBBP[[#This Row],[Coluna58]],SUM(AU308:BF308))</f>
        <v>-640653.46</v>
      </c>
      <c r="BH308" s="4">
        <v>-115597.29</v>
      </c>
      <c r="BI308" s="4">
        <v>-103145.69</v>
      </c>
      <c r="BJ308" s="4">
        <v>-180953.69</v>
      </c>
      <c r="BK308" s="4">
        <v>-9626.5400000000009</v>
      </c>
      <c r="BL308" s="4">
        <v>-121984.7</v>
      </c>
      <c r="BM308" s="4">
        <v>-132718.89000000001</v>
      </c>
      <c r="BN308" s="4">
        <v>-119428.5</v>
      </c>
      <c r="BO308" s="4">
        <v>-29372.97</v>
      </c>
      <c r="BP308" s="4">
        <v>-158073.69</v>
      </c>
      <c r="BQ308" s="4">
        <v>-59250.29</v>
      </c>
      <c r="BR308" s="4">
        <v>-101111.44</v>
      </c>
      <c r="BS308" s="4">
        <v>-86729.14</v>
      </c>
      <c r="BT308" s="4">
        <f>IF(OR(MID(TBBP[[#This Row],[Coluna1]],1,1)="1",MID(TBBP[[#This Row],[Coluna1]],1,1)="2"),TBBP[[#This Row],[Coluna127]],SUM(BH308:BS308))</f>
        <v>-1217992.8299999998</v>
      </c>
      <c r="BU308" s="4">
        <v>-36040.85</v>
      </c>
      <c r="BV308" s="4">
        <v>-84425.99</v>
      </c>
      <c r="BW308" s="4">
        <v>-37290.61</v>
      </c>
      <c r="BX308" s="4">
        <v>-20912.259999999998</v>
      </c>
      <c r="BY308" s="4">
        <v>-97374.77</v>
      </c>
      <c r="BZ308" s="4">
        <v>-132990.70000000001</v>
      </c>
      <c r="CA308" s="4">
        <v>-32217.72</v>
      </c>
      <c r="CB308" s="4">
        <v>-194935.5</v>
      </c>
      <c r="CC308" s="4">
        <v>-105540.14</v>
      </c>
      <c r="CD308" s="4">
        <v>-85239.86</v>
      </c>
      <c r="CE308" s="4">
        <v>-102840.73</v>
      </c>
      <c r="CF308" s="4">
        <v>-43373.26</v>
      </c>
      <c r="CG308" s="4">
        <f>IF(OR(MID(TBBP[[#This Row],[Coluna1]],1,1)="1",MID(TBBP[[#This Row],[Coluna1]],1,1)="2"),CF308,SUM(BU308:CF308))</f>
        <v>-973182.39</v>
      </c>
      <c r="CH308" s="4">
        <v>-135454.87</v>
      </c>
      <c r="CI308" s="4">
        <v>-34583.93</v>
      </c>
      <c r="CJ308" s="4">
        <v>-20819.38</v>
      </c>
      <c r="CK308" s="4">
        <v>-283807.74</v>
      </c>
      <c r="CL308" s="4">
        <v>-116323.21</v>
      </c>
      <c r="CM308" s="4">
        <v>-580599.09</v>
      </c>
      <c r="CN308" s="4">
        <v>-231630.82</v>
      </c>
      <c r="CO308" s="4">
        <v>-96621.96</v>
      </c>
      <c r="CP308" s="4">
        <v>-265535.90999999997</v>
      </c>
      <c r="CQ308" s="4">
        <v>-663725.91</v>
      </c>
      <c r="CR308" s="4">
        <v>-637340.81999999995</v>
      </c>
      <c r="CS308" s="4">
        <v>-354808.81</v>
      </c>
      <c r="CT308" s="4">
        <f>IF(OR(MID(TBBP[[#This Row],[Coluna1]],1,1)="1",MID(TBBP[[#This Row],[Coluna1]],1,1)="2"),CS308,SUM(CH308:CS308))</f>
        <v>-3421252.4499999997</v>
      </c>
      <c r="CU308" s="255">
        <v>-294616.40999999997</v>
      </c>
      <c r="CV308" s="255">
        <v>-73199.86</v>
      </c>
      <c r="CW308" s="255">
        <v>-58553.210000000006</v>
      </c>
      <c r="CX308" s="255">
        <v>-85848.5</v>
      </c>
      <c r="CY308" s="255">
        <v>-80753.03</v>
      </c>
      <c r="CZ308" s="255">
        <v>-46176.57</v>
      </c>
      <c r="DA308" s="255">
        <v>-473493.97</v>
      </c>
      <c r="DB308" s="255">
        <v>-148779.07</v>
      </c>
      <c r="DC308" s="255">
        <v>-156533.32999999999</v>
      </c>
      <c r="DD308" s="255">
        <v>-275364.11</v>
      </c>
      <c r="DE308" s="255">
        <v>-81924.350000000006</v>
      </c>
      <c r="DF308" s="255">
        <v>-139637.94</v>
      </c>
      <c r="DG308" s="255">
        <f>SUM(TBBP[[#This Row],[Coluna287]:[Coluna298]])</f>
        <v>-1914880.35</v>
      </c>
      <c r="DH308" s="255">
        <v>-128151.69</v>
      </c>
      <c r="DI308" s="255">
        <v>-192451.48</v>
      </c>
      <c r="DJ308" s="255">
        <v>-306909.49</v>
      </c>
      <c r="DK308" s="255">
        <v>-309556.36</v>
      </c>
      <c r="DL308" s="255">
        <v>-276805.49</v>
      </c>
      <c r="DM308" s="255">
        <v>-470606.36</v>
      </c>
      <c r="DP308" s="30">
        <f>IF(OR(MID(TBBP[[#This Row],[Coluna1]],1,1)="1",MID(TBBP[[#This Row],[Coluna1]],1,1)="2"),"-",SUMIFS(308:308,listaPeriodos,$DR$1,listaPeriodos,$DR$2))</f>
        <v>-1684480.87</v>
      </c>
      <c r="DQ308" s="30"/>
      <c r="DR308" s="30">
        <f t="shared" si="182"/>
        <v>0</v>
      </c>
      <c r="DS308" s="30"/>
      <c r="DT308" s="30"/>
      <c r="DU308"/>
    </row>
    <row r="309" spans="1:125" x14ac:dyDescent="0.3">
      <c r="A309" s="7" t="s">
        <v>140</v>
      </c>
      <c r="B309" t="s">
        <v>615</v>
      </c>
      <c r="C309" s="4">
        <v>0</v>
      </c>
      <c r="D309" s="4">
        <v>0</v>
      </c>
      <c r="E309" s="4">
        <v>0</v>
      </c>
      <c r="F309" s="4">
        <v>0</v>
      </c>
      <c r="G309" s="4">
        <v>-18660.93</v>
      </c>
      <c r="H309" s="4">
        <v>800</v>
      </c>
      <c r="I309" s="4">
        <v>0</v>
      </c>
      <c r="J309" s="4">
        <v>-1000</v>
      </c>
      <c r="K309" s="4">
        <v>-5000</v>
      </c>
      <c r="L309" s="4">
        <v>-3000</v>
      </c>
      <c r="M309" s="4">
        <v>0</v>
      </c>
      <c r="N309" s="4">
        <v>-114854.45</v>
      </c>
      <c r="O309" s="4">
        <v>70000</v>
      </c>
      <c r="P309" s="4">
        <v>-49666.67</v>
      </c>
      <c r="Q309" s="4">
        <v>17000</v>
      </c>
      <c r="R309" s="4">
        <v>0</v>
      </c>
      <c r="S309" s="4">
        <v>0</v>
      </c>
      <c r="T309" s="4">
        <f>IF(OR(MID(TBBP[[#This Row],[Coluna1]],1,1)="1",MID(TBBP[[#This Row],[Coluna1]],1,1)="2"),TBBP[[#This Row],[Coluna19]],SUM(H309:S309))</f>
        <v>-85721.12</v>
      </c>
      <c r="U309" s="4"/>
      <c r="V309" s="4"/>
      <c r="W309" s="4"/>
      <c r="X309" s="4"/>
      <c r="Y309" s="4"/>
      <c r="Z309" s="4"/>
      <c r="AA309" s="4"/>
      <c r="AB309" s="4">
        <v>0</v>
      </c>
      <c r="AC309" s="4">
        <v>0</v>
      </c>
      <c r="AD309" s="4">
        <v>-4400</v>
      </c>
      <c r="AE309" s="4">
        <v>-25000</v>
      </c>
      <c r="AF309" s="4">
        <v>0</v>
      </c>
      <c r="AG309" s="4">
        <f>IF(OR(MID(TBBP[[#This Row],[Coluna1]],1,1)="1",MID(TBBP[[#This Row],[Coluna1]],1,1)="2"),TBBP[[#This Row],[Coluna32]],SUM(U309:AF309))</f>
        <v>-29400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-4500</v>
      </c>
      <c r="AP309" s="4">
        <v>-900</v>
      </c>
      <c r="AQ309" s="4">
        <v>0</v>
      </c>
      <c r="AR309" s="4">
        <v>124299.00000000003</v>
      </c>
      <c r="AS309" s="4">
        <v>-3000</v>
      </c>
      <c r="AT309" s="4">
        <f>IF(OR(MID(TBBP[[#This Row],[Coluna1]],1,1)="1",MID(TBBP[[#This Row],[Coluna1]],1,1)="2"),TBBP[[#This Row],[Coluna45]],SUM(AH309:AS309))</f>
        <v>115899.00000000003</v>
      </c>
      <c r="AU309" s="4">
        <v>0</v>
      </c>
      <c r="AV309" s="4">
        <v>0</v>
      </c>
      <c r="AW309" s="4">
        <v>0</v>
      </c>
      <c r="AX309" s="4">
        <v>4664.1699999999983</v>
      </c>
      <c r="AY309" s="4">
        <v>0</v>
      </c>
      <c r="AZ309" s="4">
        <v>0</v>
      </c>
      <c r="BA309" s="4">
        <v>0</v>
      </c>
      <c r="BB309" s="4">
        <v>1600.6500000000233</v>
      </c>
      <c r="BC309" s="4">
        <v>0</v>
      </c>
      <c r="BD309" s="4">
        <v>1525</v>
      </c>
      <c r="BE309" s="4">
        <v>67191.67</v>
      </c>
      <c r="BF309" s="4">
        <v>247702.22999999998</v>
      </c>
      <c r="BG309" s="4">
        <f>IF(OR(MID(TBBP[[#This Row],[Coluna1]],1,1)="1",MID(TBBP[[#This Row],[Coluna1]],1,1)="2"),TBBP[[#This Row],[Coluna58]],SUM(AU309:BF309))</f>
        <v>322683.71999999997</v>
      </c>
      <c r="BH309" s="4">
        <v>26833.330000000016</v>
      </c>
      <c r="BI309" s="4">
        <v>36136.339999999851</v>
      </c>
      <c r="BJ309" s="4">
        <v>6241.6699999999837</v>
      </c>
      <c r="BK309" s="4">
        <v>1525</v>
      </c>
      <c r="BL309" s="4">
        <v>1525</v>
      </c>
      <c r="BM309" s="4">
        <v>-14475</v>
      </c>
      <c r="BN309" s="4">
        <v>4087.77</v>
      </c>
      <c r="BO309" s="4">
        <v>1525</v>
      </c>
      <c r="BP309" s="4">
        <v>145431.39000000001</v>
      </c>
      <c r="BQ309" s="4">
        <v>-133.23000000000002</v>
      </c>
      <c r="BR309" s="4">
        <v>1525</v>
      </c>
      <c r="BS309" s="4">
        <v>1525</v>
      </c>
      <c r="BT309" s="4">
        <f>IF(OR(MID(TBBP[[#This Row],[Coluna1]],1,1)="1",MID(TBBP[[#This Row],[Coluna1]],1,1)="2"),TBBP[[#This Row],[Coluna127]],SUM(BH309:BS309))</f>
        <v>211747.26999999984</v>
      </c>
      <c r="BU309" s="4">
        <v>1525</v>
      </c>
      <c r="BV309" s="4">
        <v>1525</v>
      </c>
      <c r="BW309" s="4">
        <v>1525</v>
      </c>
      <c r="BX309" s="4">
        <v>1525</v>
      </c>
      <c r="BY309" s="4">
        <v>1525</v>
      </c>
      <c r="BZ309" s="4">
        <v>1525</v>
      </c>
      <c r="CA309" s="4">
        <v>4035.62</v>
      </c>
      <c r="CB309" s="4">
        <v>1525</v>
      </c>
      <c r="CC309" s="4">
        <v>2525</v>
      </c>
      <c r="CD309" s="4">
        <v>1525</v>
      </c>
      <c r="CE309" s="4">
        <v>-41016.660000000003</v>
      </c>
      <c r="CF309" s="4">
        <v>-2263</v>
      </c>
      <c r="CG309" s="4">
        <f>IF(OR(MID(TBBP[[#This Row],[Coluna1]],1,1)="1",MID(TBBP[[#This Row],[Coluna1]],1,1)="2"),CF309,SUM(BU309:CF309))</f>
        <v>-24519.040000000005</v>
      </c>
      <c r="CH309" s="4">
        <v>-475</v>
      </c>
      <c r="CI309" s="4">
        <v>-1975</v>
      </c>
      <c r="CJ309" s="4">
        <v>1525</v>
      </c>
      <c r="CK309" s="4">
        <v>-3491.9</v>
      </c>
      <c r="CL309" s="4">
        <v>550</v>
      </c>
      <c r="CM309" s="4">
        <v>-475</v>
      </c>
      <c r="CN309" s="4">
        <v>11525</v>
      </c>
      <c r="CO309" s="4">
        <v>11525</v>
      </c>
      <c r="CP309" s="4">
        <v>10000</v>
      </c>
      <c r="CQ309" s="4">
        <v>10000</v>
      </c>
      <c r="CR309" s="4">
        <v>-27333.320000000007</v>
      </c>
      <c r="CS309" s="4">
        <v>10000</v>
      </c>
      <c r="CT309" s="4">
        <f>IF(OR(MID(TBBP[[#This Row],[Coluna1]],1,1)="1",MID(TBBP[[#This Row],[Coluna1]],1,1)="2"),CS309,SUM(CH309:CS309))</f>
        <v>21374.779999999992</v>
      </c>
      <c r="CU309" s="255">
        <v>10000</v>
      </c>
      <c r="CV309" s="255">
        <v>10001.799999999999</v>
      </c>
      <c r="CW309" s="255">
        <v>8200</v>
      </c>
      <c r="CX309" s="255">
        <v>18592.47</v>
      </c>
      <c r="CY309" s="255">
        <v>5898.97</v>
      </c>
      <c r="CZ309" s="255">
        <v>8444.4500000000007</v>
      </c>
      <c r="DA309" s="255">
        <v>8444.4500000000007</v>
      </c>
      <c r="DB309" s="255">
        <v>8444.4500000000007</v>
      </c>
      <c r="DC309" s="255">
        <v>8976.4500000000007</v>
      </c>
      <c r="DD309" s="255">
        <v>6776.4599999999627</v>
      </c>
      <c r="DE309" s="255">
        <v>27932</v>
      </c>
      <c r="DF309" s="255">
        <v>8976.4500000000007</v>
      </c>
      <c r="DG309" s="255">
        <f>SUM(TBBP[[#This Row],[Coluna287]:[Coluna298]])</f>
        <v>130687.94999999995</v>
      </c>
      <c r="DH309" s="255">
        <v>8976.4500000000007</v>
      </c>
      <c r="DI309" s="255">
        <v>10532</v>
      </c>
      <c r="DJ309" s="255">
        <v>85532</v>
      </c>
      <c r="DK309" s="255">
        <v>9532</v>
      </c>
      <c r="DL309" s="255">
        <v>10352.9</v>
      </c>
      <c r="DM309" s="255">
        <v>53270</v>
      </c>
      <c r="DP309" s="30">
        <f>IF(OR(MID(TBBP[[#This Row],[Coluna1]],1,1)="1",MID(TBBP[[#This Row],[Coluna1]],1,1)="2"),"-",SUMIFS(309:309,listaPeriodos,$DR$1,listaPeriodos,$DR$2))</f>
        <v>178195.34999999998</v>
      </c>
      <c r="DQ309" s="30"/>
      <c r="DR309" s="30">
        <f t="shared" si="182"/>
        <v>0</v>
      </c>
      <c r="DS309" s="30"/>
      <c r="DT309" s="30"/>
      <c r="DU309"/>
    </row>
    <row r="310" spans="1:125" x14ac:dyDescent="0.3">
      <c r="A310" s="7" t="s">
        <v>484</v>
      </c>
      <c r="B310" t="s">
        <v>616</v>
      </c>
      <c r="C310" s="4">
        <v>0</v>
      </c>
      <c r="D310" s="4">
        <v>0</v>
      </c>
      <c r="E310" s="4">
        <v>0</v>
      </c>
      <c r="F310" s="4">
        <v>0</v>
      </c>
      <c r="G310" s="4">
        <v>-18660.93</v>
      </c>
      <c r="H310" s="4">
        <v>800</v>
      </c>
      <c r="I310" s="4">
        <v>0</v>
      </c>
      <c r="J310" s="4">
        <v>-1000</v>
      </c>
      <c r="K310" s="4">
        <v>-5000</v>
      </c>
      <c r="L310" s="4">
        <v>-3000</v>
      </c>
      <c r="M310" s="4">
        <v>0</v>
      </c>
      <c r="N310" s="4">
        <v>-114854.45</v>
      </c>
      <c r="O310" s="4">
        <v>70000</v>
      </c>
      <c r="P310" s="4">
        <v>-49666.67</v>
      </c>
      <c r="Q310" s="4">
        <v>17000</v>
      </c>
      <c r="R310" s="4">
        <v>0</v>
      </c>
      <c r="S310" s="4">
        <v>0</v>
      </c>
      <c r="T310" s="4">
        <f>IF(OR(MID(TBBP[[#This Row],[Coluna1]],1,1)="1",MID(TBBP[[#This Row],[Coluna1]],1,1)="2"),TBBP[[#This Row],[Coluna19]],SUM(H310:S310))</f>
        <v>-85721.12</v>
      </c>
      <c r="U310" s="4"/>
      <c r="V310" s="4"/>
      <c r="W310" s="4"/>
      <c r="X310" s="4"/>
      <c r="Y310" s="4"/>
      <c r="Z310" s="4"/>
      <c r="AA310" s="4"/>
      <c r="AB310" s="4">
        <v>0</v>
      </c>
      <c r="AC310" s="4">
        <v>0</v>
      </c>
      <c r="AD310" s="4">
        <v>-4400</v>
      </c>
      <c r="AE310" s="4">
        <v>-25000</v>
      </c>
      <c r="AF310" s="4">
        <v>0</v>
      </c>
      <c r="AG310" s="4">
        <f>IF(OR(MID(TBBP[[#This Row],[Coluna1]],1,1)="1",MID(TBBP[[#This Row],[Coluna1]],1,1)="2"),TBBP[[#This Row],[Coluna32]],SUM(U310:AF310))</f>
        <v>-29400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-4500</v>
      </c>
      <c r="AP310" s="4">
        <v>-900</v>
      </c>
      <c r="AQ310" s="4">
        <v>0</v>
      </c>
      <c r="AR310" s="4">
        <v>124299.00000000003</v>
      </c>
      <c r="AS310" s="4">
        <v>-3000</v>
      </c>
      <c r="AT310" s="4">
        <f>IF(OR(MID(TBBP[[#This Row],[Coluna1]],1,1)="1",MID(TBBP[[#This Row],[Coluna1]],1,1)="2"),TBBP[[#This Row],[Coluna45]],SUM(AH310:AS310))</f>
        <v>115899.00000000003</v>
      </c>
      <c r="AU310" s="4">
        <v>0</v>
      </c>
      <c r="AV310" s="4">
        <v>0</v>
      </c>
      <c r="AW310" s="4">
        <v>0</v>
      </c>
      <c r="AX310" s="4">
        <v>4664.1699999999983</v>
      </c>
      <c r="AY310" s="4">
        <v>0</v>
      </c>
      <c r="AZ310" s="4">
        <v>0</v>
      </c>
      <c r="BA310" s="4">
        <v>0</v>
      </c>
      <c r="BB310" s="4">
        <v>1600.6500000000233</v>
      </c>
      <c r="BC310" s="4">
        <v>0</v>
      </c>
      <c r="BD310" s="4">
        <v>1525</v>
      </c>
      <c r="BE310" s="4">
        <v>67191.67</v>
      </c>
      <c r="BF310" s="4">
        <v>247702.22999999998</v>
      </c>
      <c r="BG310" s="4">
        <f>IF(OR(MID(TBBP[[#This Row],[Coluna1]],1,1)="1",MID(TBBP[[#This Row],[Coluna1]],1,1)="2"),TBBP[[#This Row],[Coluna58]],SUM(AU310:BF310))</f>
        <v>322683.71999999997</v>
      </c>
      <c r="BH310" s="4">
        <v>26833.330000000016</v>
      </c>
      <c r="BI310" s="4">
        <v>36136.339999999851</v>
      </c>
      <c r="BJ310" s="4">
        <v>6241.6699999999837</v>
      </c>
      <c r="BK310" s="4">
        <v>1525</v>
      </c>
      <c r="BL310" s="4">
        <v>1525</v>
      </c>
      <c r="BM310" s="4">
        <v>-14475</v>
      </c>
      <c r="BN310" s="4">
        <v>4087.77</v>
      </c>
      <c r="BO310" s="4">
        <v>1525</v>
      </c>
      <c r="BP310" s="4">
        <v>145431.39000000001</v>
      </c>
      <c r="BQ310" s="4">
        <v>-133.23000000000002</v>
      </c>
      <c r="BR310" s="4">
        <v>1525</v>
      </c>
      <c r="BS310" s="4">
        <v>1525</v>
      </c>
      <c r="BT310" s="4">
        <f>IF(OR(MID(TBBP[[#This Row],[Coluna1]],1,1)="1",MID(TBBP[[#This Row],[Coluna1]],1,1)="2"),TBBP[[#This Row],[Coluna127]],SUM(BH310:BS310))</f>
        <v>211747.26999999984</v>
      </c>
      <c r="BU310" s="4">
        <v>1525</v>
      </c>
      <c r="BV310" s="4">
        <v>1525</v>
      </c>
      <c r="BW310" s="4">
        <v>1525</v>
      </c>
      <c r="BX310" s="4">
        <v>1525</v>
      </c>
      <c r="BY310" s="4">
        <v>1525</v>
      </c>
      <c r="BZ310" s="4">
        <v>1525</v>
      </c>
      <c r="CA310" s="4">
        <v>4035.62</v>
      </c>
      <c r="CB310" s="4">
        <v>1525</v>
      </c>
      <c r="CC310" s="4">
        <v>2525</v>
      </c>
      <c r="CD310" s="4">
        <v>1525</v>
      </c>
      <c r="CE310" s="4">
        <v>-41016.660000000003</v>
      </c>
      <c r="CF310" s="4">
        <v>-2263</v>
      </c>
      <c r="CG310" s="4">
        <f>IF(OR(MID(TBBP[[#This Row],[Coluna1]],1,1)="1",MID(TBBP[[#This Row],[Coluna1]],1,1)="2"),CF310,SUM(BU310:CF310))</f>
        <v>-24519.040000000005</v>
      </c>
      <c r="CH310" s="4">
        <v>-475</v>
      </c>
      <c r="CI310" s="4">
        <v>-1975</v>
      </c>
      <c r="CJ310" s="4">
        <v>1525</v>
      </c>
      <c r="CK310" s="4">
        <v>-3491.9</v>
      </c>
      <c r="CL310" s="4">
        <v>550</v>
      </c>
      <c r="CM310" s="4">
        <v>-475</v>
      </c>
      <c r="CN310" s="4">
        <v>11525</v>
      </c>
      <c r="CO310" s="4">
        <v>11525</v>
      </c>
      <c r="CP310" s="4">
        <v>10000</v>
      </c>
      <c r="CQ310" s="4">
        <v>10000</v>
      </c>
      <c r="CR310" s="4">
        <v>-27333.320000000007</v>
      </c>
      <c r="CS310" s="4">
        <v>10000</v>
      </c>
      <c r="CT310" s="4">
        <f>IF(OR(MID(TBBP[[#This Row],[Coluna1]],1,1)="1",MID(TBBP[[#This Row],[Coluna1]],1,1)="2"),CS310,SUM(CH310:CS310))</f>
        <v>21374.779999999992</v>
      </c>
      <c r="CU310" s="255">
        <v>10000</v>
      </c>
      <c r="CV310" s="255">
        <v>10001.799999999999</v>
      </c>
      <c r="CW310" s="255">
        <v>8200</v>
      </c>
      <c r="CX310" s="255">
        <v>18592.47</v>
      </c>
      <c r="CY310" s="255">
        <v>5898.97</v>
      </c>
      <c r="CZ310" s="255">
        <v>8444.4500000000007</v>
      </c>
      <c r="DA310" s="255">
        <v>8444.4500000000007</v>
      </c>
      <c r="DB310" s="255">
        <v>8444.4500000000007</v>
      </c>
      <c r="DC310" s="255">
        <v>8976.4500000000007</v>
      </c>
      <c r="DD310" s="255">
        <v>6776.4599999999627</v>
      </c>
      <c r="DE310" s="255">
        <v>27932</v>
      </c>
      <c r="DF310" s="255">
        <v>8976.4500000000007</v>
      </c>
      <c r="DG310" s="255">
        <f>SUM(TBBP[[#This Row],[Coluna287]:[Coluna298]])</f>
        <v>130687.94999999995</v>
      </c>
      <c r="DH310" s="255">
        <v>8976.4500000000007</v>
      </c>
      <c r="DI310" s="255">
        <v>10532</v>
      </c>
      <c r="DJ310" s="255">
        <v>85532</v>
      </c>
      <c r="DK310" s="255">
        <v>9532</v>
      </c>
      <c r="DL310" s="255">
        <v>10352.9</v>
      </c>
      <c r="DM310" s="255">
        <v>53270</v>
      </c>
      <c r="DP310" s="30">
        <f>IF(OR(MID(TBBP[[#This Row],[Coluna1]],1,1)="1",MID(TBBP[[#This Row],[Coluna1]],1,1)="2"),"-",SUMIFS(310:310,listaPeriodos,$DR$1,listaPeriodos,$DR$2))</f>
        <v>178195.34999999998</v>
      </c>
      <c r="DQ310" s="30"/>
      <c r="DR310" s="30">
        <f t="shared" si="182"/>
        <v>0</v>
      </c>
      <c r="DS310" s="30"/>
      <c r="DT310" s="30"/>
      <c r="DU310"/>
    </row>
    <row r="311" spans="1:125" x14ac:dyDescent="0.3">
      <c r="A311" s="7" t="s">
        <v>485</v>
      </c>
      <c r="B311" t="s">
        <v>617</v>
      </c>
      <c r="C311" s="4">
        <v>0</v>
      </c>
      <c r="D311" s="4">
        <v>0</v>
      </c>
      <c r="E311" s="4">
        <v>0</v>
      </c>
      <c r="F311" s="4">
        <v>0</v>
      </c>
      <c r="G311" s="4">
        <v>-26724.35</v>
      </c>
      <c r="H311" s="4">
        <v>800</v>
      </c>
      <c r="I311" s="4">
        <v>0</v>
      </c>
      <c r="J311" s="4">
        <v>-1000</v>
      </c>
      <c r="K311" s="4">
        <v>-5000</v>
      </c>
      <c r="L311" s="4">
        <v>0</v>
      </c>
      <c r="M311" s="4">
        <v>0</v>
      </c>
      <c r="N311" s="4">
        <v>0</v>
      </c>
      <c r="O311" s="4">
        <v>0</v>
      </c>
      <c r="P311" s="4">
        <v>-49666.67</v>
      </c>
      <c r="Q311" s="4">
        <v>17000</v>
      </c>
      <c r="R311" s="4">
        <v>0</v>
      </c>
      <c r="S311" s="4">
        <v>0</v>
      </c>
      <c r="T311" s="4">
        <f>IF(OR(MID(TBBP[[#This Row],[Coluna1]],1,1)="1",MID(TBBP[[#This Row],[Coluna1]],1,1)="2"),TBBP[[#This Row],[Coluna19]],SUM(H311:S311))</f>
        <v>-37866.67</v>
      </c>
      <c r="U311" s="4"/>
      <c r="V311" s="4"/>
      <c r="W311" s="4"/>
      <c r="X311" s="4"/>
      <c r="Y311" s="4"/>
      <c r="Z311" s="4"/>
      <c r="AA311" s="4"/>
      <c r="AB311" s="4">
        <v>0</v>
      </c>
      <c r="AC311" s="4">
        <v>1000</v>
      </c>
      <c r="AD311" s="4">
        <v>-4400</v>
      </c>
      <c r="AE311" s="4">
        <v>0</v>
      </c>
      <c r="AF311" s="4">
        <v>0</v>
      </c>
      <c r="AG311" s="4">
        <f>IF(OR(MID(TBBP[[#This Row],[Coluna1]],1,1)="1",MID(TBBP[[#This Row],[Coluna1]],1,1)="2"),TBBP[[#This Row],[Coluna32]],SUM(U311:AF311))</f>
        <v>-3400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0</v>
      </c>
      <c r="AN311" s="4">
        <v>0</v>
      </c>
      <c r="AO311" s="4">
        <v>0</v>
      </c>
      <c r="AP311" s="4">
        <v>0</v>
      </c>
      <c r="AQ311" s="4">
        <v>0</v>
      </c>
      <c r="AR311" s="4">
        <v>124299.00000000003</v>
      </c>
      <c r="AS311" s="4">
        <v>0</v>
      </c>
      <c r="AT311" s="4">
        <f>IF(OR(MID(TBBP[[#This Row],[Coluna1]],1,1)="1",MID(TBBP[[#This Row],[Coluna1]],1,1)="2"),TBBP[[#This Row],[Coluna45]],SUM(AH311:AS311))</f>
        <v>124299.00000000003</v>
      </c>
      <c r="AU311" s="4">
        <v>0</v>
      </c>
      <c r="AV311" s="4">
        <v>0</v>
      </c>
      <c r="AW311" s="4">
        <v>0</v>
      </c>
      <c r="AX311" s="4">
        <v>4664.1699999999983</v>
      </c>
      <c r="AY311" s="4">
        <v>0</v>
      </c>
      <c r="AZ311" s="4">
        <v>0</v>
      </c>
      <c r="BA311" s="4">
        <v>0</v>
      </c>
      <c r="BB311" s="4">
        <v>1600.6500000000233</v>
      </c>
      <c r="BC311" s="4">
        <v>0</v>
      </c>
      <c r="BD311" s="4">
        <v>0</v>
      </c>
      <c r="BE311" s="4">
        <v>65666.67</v>
      </c>
      <c r="BF311" s="4">
        <v>246177.22999999998</v>
      </c>
      <c r="BG311" s="4">
        <f>IF(OR(MID(TBBP[[#This Row],[Coluna1]],1,1)="1",MID(TBBP[[#This Row],[Coluna1]],1,1)="2"),TBBP[[#This Row],[Coluna58]],SUM(AU311:BF311))</f>
        <v>318108.71999999997</v>
      </c>
      <c r="BH311" s="4">
        <v>26833.330000000016</v>
      </c>
      <c r="BI311" s="4">
        <v>36136.339999999851</v>
      </c>
      <c r="BJ311" s="4">
        <v>1666.6699999999837</v>
      </c>
      <c r="BK311" s="4">
        <v>0</v>
      </c>
      <c r="BL311" s="4">
        <v>0</v>
      </c>
      <c r="BM311" s="4">
        <v>0</v>
      </c>
      <c r="BN311" s="4">
        <v>0</v>
      </c>
      <c r="BO311" s="4">
        <v>0</v>
      </c>
      <c r="BP311" s="4">
        <v>143906.39000000001</v>
      </c>
      <c r="BQ311" s="4">
        <v>0</v>
      </c>
      <c r="BR311" s="4">
        <v>0</v>
      </c>
      <c r="BS311" s="4">
        <v>0</v>
      </c>
      <c r="BT311" s="4">
        <f>IF(OR(MID(TBBP[[#This Row],[Coluna1]],1,1)="1",MID(TBBP[[#This Row],[Coluna1]],1,1)="2"),TBBP[[#This Row],[Coluna127]],SUM(BH311:BS311))</f>
        <v>208542.72999999986</v>
      </c>
      <c r="BU311" s="4">
        <v>0</v>
      </c>
      <c r="BV311" s="4">
        <v>0</v>
      </c>
      <c r="BW311" s="4">
        <v>0</v>
      </c>
      <c r="BX311" s="4">
        <v>0</v>
      </c>
      <c r="BY311" s="4">
        <v>0</v>
      </c>
      <c r="BZ311" s="4">
        <v>0</v>
      </c>
      <c r="CA311" s="4">
        <v>0</v>
      </c>
      <c r="CB311" s="4">
        <v>0</v>
      </c>
      <c r="CC311" s="4">
        <v>1000</v>
      </c>
      <c r="CD311" s="4">
        <v>0</v>
      </c>
      <c r="CE311" s="4">
        <v>-42541.66</v>
      </c>
      <c r="CF311" s="4">
        <v>0</v>
      </c>
      <c r="CG311" s="4">
        <f>IF(OR(MID(TBBP[[#This Row],[Coluna1]],1,1)="1",MID(TBBP[[#This Row],[Coluna1]],1,1)="2"),CF311,SUM(BU311:CF311))</f>
        <v>-41541.660000000003</v>
      </c>
      <c r="CH311" s="4">
        <v>1500</v>
      </c>
      <c r="CI311" s="4">
        <v>0</v>
      </c>
      <c r="CJ311" s="4">
        <v>0</v>
      </c>
      <c r="CK311" s="4">
        <v>0</v>
      </c>
      <c r="CL311" s="4">
        <v>0</v>
      </c>
      <c r="CM311" s="4">
        <v>0</v>
      </c>
      <c r="CN311" s="4">
        <v>0</v>
      </c>
      <c r="CO311" s="4">
        <v>0</v>
      </c>
      <c r="CP311" s="4">
        <v>0</v>
      </c>
      <c r="CQ311" s="4">
        <v>0</v>
      </c>
      <c r="CR311" s="4">
        <v>-37333.320000000007</v>
      </c>
      <c r="CS311" s="4">
        <v>0</v>
      </c>
      <c r="CT311" s="4">
        <f>IF(OR(MID(TBBP[[#This Row],[Coluna1]],1,1)="1",MID(TBBP[[#This Row],[Coluna1]],1,1)="2"),CS311,SUM(CH311:CS311))</f>
        <v>-35833.320000000007</v>
      </c>
      <c r="CU311" s="255">
        <v>0</v>
      </c>
      <c r="CV311" s="255">
        <v>0</v>
      </c>
      <c r="CW311" s="255">
        <v>1000</v>
      </c>
      <c r="CX311" s="255">
        <v>13666.669999999998</v>
      </c>
      <c r="CY311" s="255">
        <v>0</v>
      </c>
      <c r="CZ311" s="255">
        <v>0</v>
      </c>
      <c r="DA311" s="255">
        <v>0</v>
      </c>
      <c r="DB311" s="255">
        <v>0</v>
      </c>
      <c r="DC311" s="255">
        <v>0</v>
      </c>
      <c r="DD311" s="255">
        <v>-2199.9899999999907</v>
      </c>
      <c r="DE311" s="255">
        <v>0</v>
      </c>
      <c r="DF311" s="255">
        <v>0</v>
      </c>
      <c r="DG311" s="255">
        <f>SUM(TBBP[[#This Row],[Coluna287]:[Coluna298]])</f>
        <v>12466.680000000008</v>
      </c>
      <c r="DH311" s="255">
        <v>0</v>
      </c>
      <c r="DI311" s="255">
        <v>0</v>
      </c>
      <c r="DJ311" s="255">
        <v>75000</v>
      </c>
      <c r="DK311" s="255">
        <v>-1000</v>
      </c>
      <c r="DL311" s="255">
        <v>0</v>
      </c>
      <c r="DM311" s="255">
        <v>0</v>
      </c>
      <c r="DP311" s="30">
        <f>IF(OR(MID(TBBP[[#This Row],[Coluna1]],1,1)="1",MID(TBBP[[#This Row],[Coluna1]],1,1)="2"),"-",SUMIFS(311:311,listaPeriodos,$DR$1,listaPeriodos,$DR$2))</f>
        <v>74000</v>
      </c>
      <c r="DQ311" s="30"/>
      <c r="DR311" s="30">
        <f t="shared" si="182"/>
        <v>0</v>
      </c>
      <c r="DS311" s="30"/>
      <c r="DT311" s="30"/>
      <c r="DU311"/>
    </row>
    <row r="312" spans="1:125" x14ac:dyDescent="0.3">
      <c r="A312" s="7" t="s">
        <v>486</v>
      </c>
      <c r="B312" t="s">
        <v>617</v>
      </c>
      <c r="C312" s="4">
        <v>0</v>
      </c>
      <c r="D312" s="4">
        <v>0</v>
      </c>
      <c r="E312" s="4">
        <v>0</v>
      </c>
      <c r="F312" s="4">
        <v>0</v>
      </c>
      <c r="G312" s="4">
        <v>-26724.35</v>
      </c>
      <c r="H312" s="4">
        <v>800</v>
      </c>
      <c r="I312" s="4">
        <v>0</v>
      </c>
      <c r="J312" s="4">
        <v>-1000</v>
      </c>
      <c r="K312" s="4">
        <v>-5000</v>
      </c>
      <c r="L312" s="4">
        <v>0</v>
      </c>
      <c r="M312" s="4">
        <v>0</v>
      </c>
      <c r="N312" s="4">
        <v>0</v>
      </c>
      <c r="O312" s="4">
        <v>0</v>
      </c>
      <c r="P312" s="4">
        <v>-49666.67</v>
      </c>
      <c r="Q312" s="4">
        <v>17000</v>
      </c>
      <c r="R312" s="4">
        <v>0</v>
      </c>
      <c r="S312" s="4">
        <v>0</v>
      </c>
      <c r="T312" s="4">
        <f>IF(OR(MID(TBBP[[#This Row],[Coluna1]],1,1)="1",MID(TBBP[[#This Row],[Coluna1]],1,1)="2"),TBBP[[#This Row],[Coluna19]],SUM(H312:S312))</f>
        <v>-37866.67</v>
      </c>
      <c r="U312" s="4"/>
      <c r="V312" s="4"/>
      <c r="W312" s="4"/>
      <c r="X312" s="4"/>
      <c r="Y312" s="4"/>
      <c r="Z312" s="4"/>
      <c r="AA312" s="4"/>
      <c r="AB312" s="4">
        <v>0</v>
      </c>
      <c r="AC312" s="4">
        <v>1000</v>
      </c>
      <c r="AD312" s="4">
        <v>-4400</v>
      </c>
      <c r="AE312" s="4">
        <v>0</v>
      </c>
      <c r="AF312" s="4">
        <v>0</v>
      </c>
      <c r="AG312" s="4">
        <f>IF(OR(MID(TBBP[[#This Row],[Coluna1]],1,1)="1",MID(TBBP[[#This Row],[Coluna1]],1,1)="2"),TBBP[[#This Row],[Coluna32]],SUM(U312:AF312))</f>
        <v>-3400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124299.00000000003</v>
      </c>
      <c r="AS312" s="4">
        <v>0</v>
      </c>
      <c r="AT312" s="4">
        <f>IF(OR(MID(TBBP[[#This Row],[Coluna1]],1,1)="1",MID(TBBP[[#This Row],[Coluna1]],1,1)="2"),TBBP[[#This Row],[Coluna45]],SUM(AH312:AS312))</f>
        <v>124299.00000000003</v>
      </c>
      <c r="AU312" s="4">
        <v>0</v>
      </c>
      <c r="AV312" s="4">
        <v>0</v>
      </c>
      <c r="AW312" s="4">
        <v>0</v>
      </c>
      <c r="AX312" s="4">
        <v>4664.1699999999983</v>
      </c>
      <c r="AY312" s="4">
        <v>0</v>
      </c>
      <c r="AZ312" s="4">
        <v>0</v>
      </c>
      <c r="BA312" s="4">
        <v>0</v>
      </c>
      <c r="BB312" s="4">
        <v>1600.6500000000233</v>
      </c>
      <c r="BC312" s="4">
        <v>0</v>
      </c>
      <c r="BD312" s="4">
        <v>0</v>
      </c>
      <c r="BE312" s="4">
        <v>65666.67</v>
      </c>
      <c r="BF312" s="4">
        <v>246177.22999999998</v>
      </c>
      <c r="BG312" s="4">
        <f>IF(OR(MID(TBBP[[#This Row],[Coluna1]],1,1)="1",MID(TBBP[[#This Row],[Coluna1]],1,1)="2"),TBBP[[#This Row],[Coluna58]],SUM(AU312:BF312))</f>
        <v>318108.71999999997</v>
      </c>
      <c r="BH312" s="4">
        <v>26833.330000000016</v>
      </c>
      <c r="BI312" s="4">
        <v>36136.339999999851</v>
      </c>
      <c r="BJ312" s="4">
        <v>1666.6699999999837</v>
      </c>
      <c r="BK312" s="4">
        <v>0</v>
      </c>
      <c r="BL312" s="4">
        <v>0</v>
      </c>
      <c r="BM312" s="4">
        <v>0</v>
      </c>
      <c r="BN312" s="4">
        <v>0</v>
      </c>
      <c r="BO312" s="4">
        <v>0</v>
      </c>
      <c r="BP312" s="4">
        <v>143906.39000000001</v>
      </c>
      <c r="BQ312" s="4">
        <v>0</v>
      </c>
      <c r="BR312" s="4">
        <v>0</v>
      </c>
      <c r="BS312" s="4">
        <v>0</v>
      </c>
      <c r="BT312" s="4">
        <f>IF(OR(MID(TBBP[[#This Row],[Coluna1]],1,1)="1",MID(TBBP[[#This Row],[Coluna1]],1,1)="2"),TBBP[[#This Row],[Coluna127]],SUM(BH312:BS312))</f>
        <v>208542.72999999986</v>
      </c>
      <c r="BU312" s="4">
        <v>0</v>
      </c>
      <c r="BV312" s="4">
        <v>0</v>
      </c>
      <c r="BW312" s="4">
        <v>0</v>
      </c>
      <c r="BX312" s="4">
        <v>0</v>
      </c>
      <c r="BY312" s="4">
        <v>0</v>
      </c>
      <c r="BZ312" s="4">
        <v>0</v>
      </c>
      <c r="CA312" s="4">
        <v>0</v>
      </c>
      <c r="CB312" s="4">
        <v>0</v>
      </c>
      <c r="CC312" s="4">
        <v>1000</v>
      </c>
      <c r="CD312" s="4">
        <v>0</v>
      </c>
      <c r="CE312" s="4">
        <v>-42541.66</v>
      </c>
      <c r="CF312" s="4">
        <v>0</v>
      </c>
      <c r="CG312" s="4">
        <f>IF(OR(MID(TBBP[[#This Row],[Coluna1]],1,1)="1",MID(TBBP[[#This Row],[Coluna1]],1,1)="2"),CF312,SUM(BU312:CF312))</f>
        <v>-41541.660000000003</v>
      </c>
      <c r="CH312" s="4">
        <v>1500</v>
      </c>
      <c r="CI312" s="4">
        <v>0</v>
      </c>
      <c r="CJ312" s="4">
        <v>0</v>
      </c>
      <c r="CK312" s="4">
        <v>0</v>
      </c>
      <c r="CL312" s="4">
        <v>0</v>
      </c>
      <c r="CM312" s="4">
        <v>0</v>
      </c>
      <c r="CN312" s="4">
        <v>0</v>
      </c>
      <c r="CO312" s="4">
        <v>0</v>
      </c>
      <c r="CP312" s="4">
        <v>0</v>
      </c>
      <c r="CQ312" s="4">
        <v>0</v>
      </c>
      <c r="CR312" s="4">
        <v>-37333.320000000007</v>
      </c>
      <c r="CS312" s="4">
        <v>0</v>
      </c>
      <c r="CT312" s="4">
        <f>IF(OR(MID(TBBP[[#This Row],[Coluna1]],1,1)="1",MID(TBBP[[#This Row],[Coluna1]],1,1)="2"),CS312,SUM(CH312:CS312))</f>
        <v>-35833.320000000007</v>
      </c>
      <c r="CU312" s="255">
        <v>0</v>
      </c>
      <c r="CV312" s="255">
        <v>0</v>
      </c>
      <c r="CW312" s="255">
        <v>1000</v>
      </c>
      <c r="CX312" s="255">
        <v>13666.669999999998</v>
      </c>
      <c r="CY312" s="255">
        <v>0</v>
      </c>
      <c r="CZ312" s="255">
        <v>0</v>
      </c>
      <c r="DA312" s="255">
        <v>0</v>
      </c>
      <c r="DB312" s="255">
        <v>0</v>
      </c>
      <c r="DC312" s="255">
        <v>0</v>
      </c>
      <c r="DD312" s="255">
        <v>-2199.9899999999907</v>
      </c>
      <c r="DE312" s="255">
        <v>0</v>
      </c>
      <c r="DF312" s="255">
        <v>0</v>
      </c>
      <c r="DG312" s="255">
        <f>SUM(TBBP[[#This Row],[Coluna287]:[Coluna298]])</f>
        <v>12466.680000000008</v>
      </c>
      <c r="DH312" s="255">
        <v>0</v>
      </c>
      <c r="DI312" s="255">
        <v>0</v>
      </c>
      <c r="DJ312" s="255">
        <v>75000</v>
      </c>
      <c r="DK312" s="255">
        <v>-1000</v>
      </c>
      <c r="DL312" s="255">
        <v>0</v>
      </c>
      <c r="DM312" s="255">
        <v>0</v>
      </c>
      <c r="DP312" s="30">
        <f>IF(OR(MID(TBBP[[#This Row],[Coluna1]],1,1)="1",MID(TBBP[[#This Row],[Coluna1]],1,1)="2"),"-",SUMIFS(312:312,listaPeriodos,$DR$1,listaPeriodos,$DR$2))</f>
        <v>74000</v>
      </c>
      <c r="DQ312" s="30"/>
      <c r="DR312" s="30">
        <f t="shared" si="182"/>
        <v>0</v>
      </c>
      <c r="DS312" s="30"/>
      <c r="DT312" s="30"/>
      <c r="DU312"/>
    </row>
    <row r="313" spans="1:125" x14ac:dyDescent="0.3">
      <c r="A313" s="7" t="s">
        <v>487</v>
      </c>
      <c r="B313" t="s">
        <v>618</v>
      </c>
      <c r="C313" s="4">
        <v>0</v>
      </c>
      <c r="D313" s="4">
        <v>0</v>
      </c>
      <c r="E313" s="4">
        <v>0</v>
      </c>
      <c r="F313" s="4">
        <v>0</v>
      </c>
      <c r="G313" s="4">
        <v>-205500</v>
      </c>
      <c r="H313" s="4">
        <v>15800</v>
      </c>
      <c r="I313" s="4">
        <v>0</v>
      </c>
      <c r="J313" s="4">
        <v>181000</v>
      </c>
      <c r="K313" s="4">
        <v>65000</v>
      </c>
      <c r="L313" s="4">
        <v>0</v>
      </c>
      <c r="M313" s="4">
        <v>0</v>
      </c>
      <c r="N313" s="4">
        <v>0</v>
      </c>
      <c r="O313" s="4">
        <v>0</v>
      </c>
      <c r="P313" s="4">
        <v>170000</v>
      </c>
      <c r="Q313" s="4">
        <v>30000</v>
      </c>
      <c r="R313" s="4">
        <v>0</v>
      </c>
      <c r="S313" s="4">
        <v>0</v>
      </c>
      <c r="T313" s="4">
        <f>IF(OR(MID(TBBP[[#This Row],[Coluna1]],1,1)="1",MID(TBBP[[#This Row],[Coluna1]],1,1)="2"),TBBP[[#This Row],[Coluna19]],SUM(H313:S313))</f>
        <v>461800</v>
      </c>
      <c r="U313" s="4"/>
      <c r="V313" s="4"/>
      <c r="W313" s="4"/>
      <c r="X313" s="4"/>
      <c r="Y313" s="4"/>
      <c r="Z313" s="4"/>
      <c r="AA313" s="4"/>
      <c r="AB313" s="4">
        <v>80000</v>
      </c>
      <c r="AC313" s="4">
        <v>1000</v>
      </c>
      <c r="AD313" s="4">
        <v>100100</v>
      </c>
      <c r="AE313" s="4">
        <v>0</v>
      </c>
      <c r="AF313" s="4">
        <v>0</v>
      </c>
      <c r="AG313" s="4">
        <f>IF(OR(MID(TBBP[[#This Row],[Coluna1]],1,1)="1",MID(TBBP[[#This Row],[Coluna1]],1,1)="2"),TBBP[[#This Row],[Coluna32]],SUM(U313:AF313))</f>
        <v>181100</v>
      </c>
      <c r="AH313" s="4">
        <v>0</v>
      </c>
      <c r="AI313" s="4">
        <v>0</v>
      </c>
      <c r="AJ313" s="4">
        <v>0</v>
      </c>
      <c r="AK313" s="4">
        <v>0</v>
      </c>
      <c r="AL313" s="4">
        <v>0</v>
      </c>
      <c r="AM313" s="4">
        <v>0</v>
      </c>
      <c r="AN313" s="4">
        <v>0</v>
      </c>
      <c r="AO313" s="4">
        <v>0</v>
      </c>
      <c r="AP313" s="4">
        <v>0</v>
      </c>
      <c r="AQ313" s="4">
        <v>0</v>
      </c>
      <c r="AR313" s="4">
        <v>265500</v>
      </c>
      <c r="AS313" s="4">
        <v>0</v>
      </c>
      <c r="AT313" s="4">
        <f>IF(OR(MID(TBBP[[#This Row],[Coluna1]],1,1)="1",MID(TBBP[[#This Row],[Coluna1]],1,1)="2"),TBBP[[#This Row],[Coluna45]],SUM(AH313:AS313))</f>
        <v>265500</v>
      </c>
      <c r="AU313" s="4">
        <v>0</v>
      </c>
      <c r="AV313" s="4">
        <v>0</v>
      </c>
      <c r="AW313" s="4">
        <v>73000</v>
      </c>
      <c r="AX313" s="4">
        <v>70000</v>
      </c>
      <c r="AY313" s="4">
        <v>0</v>
      </c>
      <c r="AZ313" s="4">
        <v>0</v>
      </c>
      <c r="BA313" s="4">
        <v>0</v>
      </c>
      <c r="BB313" s="4">
        <v>170000</v>
      </c>
      <c r="BC313" s="4">
        <v>0</v>
      </c>
      <c r="BD313" s="4">
        <v>0</v>
      </c>
      <c r="BE313" s="4">
        <v>70000</v>
      </c>
      <c r="BF313" s="4">
        <v>345100</v>
      </c>
      <c r="BG313" s="4">
        <f>IF(OR(MID(TBBP[[#This Row],[Coluna1]],1,1)="1",MID(TBBP[[#This Row],[Coluna1]],1,1)="2"),TBBP[[#This Row],[Coluna58]],SUM(AU313:BF313))</f>
        <v>728100</v>
      </c>
      <c r="BH313" s="4">
        <v>125000</v>
      </c>
      <c r="BI313" s="4">
        <v>585038</v>
      </c>
      <c r="BJ313" s="4">
        <v>200000</v>
      </c>
      <c r="BK313" s="4">
        <v>0</v>
      </c>
      <c r="BL313" s="4">
        <v>0</v>
      </c>
      <c r="BM313" s="4">
        <v>0</v>
      </c>
      <c r="BN313" s="4">
        <v>0</v>
      </c>
      <c r="BO313" s="4">
        <v>0</v>
      </c>
      <c r="BP313" s="4">
        <v>300000</v>
      </c>
      <c r="BQ313" s="4">
        <v>0</v>
      </c>
      <c r="BR313" s="4">
        <v>0</v>
      </c>
      <c r="BS313" s="4">
        <v>0</v>
      </c>
      <c r="BT313" s="4">
        <f>IF(OR(MID(TBBP[[#This Row],[Coluna1]],1,1)="1",MID(TBBP[[#This Row],[Coluna1]],1,1)="2"),TBBP[[#This Row],[Coluna127]],SUM(BH313:BS313))</f>
        <v>1210038</v>
      </c>
      <c r="BU313" s="4">
        <v>0</v>
      </c>
      <c r="BV313" s="4">
        <v>0</v>
      </c>
      <c r="BW313" s="4">
        <v>0</v>
      </c>
      <c r="BX313" s="4">
        <v>0</v>
      </c>
      <c r="BY313" s="4">
        <v>0</v>
      </c>
      <c r="BZ313" s="4">
        <v>0</v>
      </c>
      <c r="CA313" s="4">
        <v>0</v>
      </c>
      <c r="CB313" s="4">
        <v>0</v>
      </c>
      <c r="CC313" s="4">
        <v>1000</v>
      </c>
      <c r="CD313" s="4">
        <v>0</v>
      </c>
      <c r="CE313" s="4">
        <v>40000</v>
      </c>
      <c r="CF313" s="4">
        <v>0</v>
      </c>
      <c r="CG313" s="4">
        <f>IF(OR(MID(TBBP[[#This Row],[Coluna1]],1,1)="1",MID(TBBP[[#This Row],[Coluna1]],1,1)="2"),CF313,SUM(BU313:CF313))</f>
        <v>41000</v>
      </c>
      <c r="CH313" s="4">
        <v>1500</v>
      </c>
      <c r="CI313" s="4">
        <v>0</v>
      </c>
      <c r="CJ313" s="4">
        <v>0</v>
      </c>
      <c r="CK313" s="4">
        <v>0</v>
      </c>
      <c r="CL313" s="4">
        <v>0</v>
      </c>
      <c r="CM313" s="4">
        <v>0</v>
      </c>
      <c r="CN313" s="4">
        <v>0</v>
      </c>
      <c r="CO313" s="4">
        <v>0</v>
      </c>
      <c r="CP313" s="4">
        <v>0</v>
      </c>
      <c r="CQ313" s="4">
        <v>0</v>
      </c>
      <c r="CR313" s="4">
        <v>171779.38</v>
      </c>
      <c r="CS313" s="4">
        <v>0</v>
      </c>
      <c r="CT313" s="4">
        <f>IF(OR(MID(TBBP[[#This Row],[Coluna1]],1,1)="1",MID(TBBP[[#This Row],[Coluna1]],1,1)="2"),CS313,SUM(CH313:CS313))</f>
        <v>173279.38</v>
      </c>
      <c r="CU313" s="255">
        <v>0</v>
      </c>
      <c r="CV313" s="255">
        <v>0</v>
      </c>
      <c r="CW313" s="255">
        <v>1000</v>
      </c>
      <c r="CX313" s="255">
        <v>65000</v>
      </c>
      <c r="CY313" s="255">
        <v>0</v>
      </c>
      <c r="CZ313" s="255">
        <v>0</v>
      </c>
      <c r="DA313" s="255">
        <v>0</v>
      </c>
      <c r="DB313" s="255">
        <v>0</v>
      </c>
      <c r="DC313" s="255">
        <v>0</v>
      </c>
      <c r="DD313" s="255">
        <v>115125</v>
      </c>
      <c r="DE313" s="255">
        <v>0</v>
      </c>
      <c r="DF313" s="255">
        <v>0</v>
      </c>
      <c r="DG313" s="255">
        <f>SUM(TBBP[[#This Row],[Coluna287]:[Coluna298]])</f>
        <v>181125</v>
      </c>
      <c r="DH313" s="255">
        <v>0</v>
      </c>
      <c r="DI313" s="255">
        <v>0</v>
      </c>
      <c r="DJ313" s="255">
        <v>75000</v>
      </c>
      <c r="DK313" s="255">
        <v>19000</v>
      </c>
      <c r="DL313" s="255">
        <v>0</v>
      </c>
      <c r="DM313" s="255">
        <v>0</v>
      </c>
      <c r="DP313" s="30">
        <f>IF(OR(MID(TBBP[[#This Row],[Coluna1]],1,1)="1",MID(TBBP[[#This Row],[Coluna1]],1,1)="2"),"-",SUMIFS(313:313,listaPeriodos,$DR$1,listaPeriodos,$DR$2))</f>
        <v>94000</v>
      </c>
      <c r="DQ313" s="30"/>
      <c r="DR313" s="30">
        <f t="shared" si="182"/>
        <v>0</v>
      </c>
      <c r="DS313" s="30"/>
      <c r="DT313" s="30"/>
      <c r="DU313"/>
    </row>
    <row r="314" spans="1:125" x14ac:dyDescent="0.3">
      <c r="A314" s="7" t="s">
        <v>488</v>
      </c>
      <c r="B314" t="s">
        <v>619</v>
      </c>
      <c r="C314" s="4">
        <v>0</v>
      </c>
      <c r="D314" s="4">
        <v>0</v>
      </c>
      <c r="E314" s="4">
        <v>0</v>
      </c>
      <c r="F314" s="4">
        <v>0</v>
      </c>
      <c r="G314" s="4">
        <v>-178775.65</v>
      </c>
      <c r="H314" s="4">
        <v>-15000</v>
      </c>
      <c r="I314" s="4">
        <v>0</v>
      </c>
      <c r="J314" s="4">
        <v>-182000.00000000003</v>
      </c>
      <c r="K314" s="4">
        <v>-70000</v>
      </c>
      <c r="L314" s="4">
        <v>0</v>
      </c>
      <c r="M314" s="4">
        <v>0</v>
      </c>
      <c r="N314" s="4">
        <v>0</v>
      </c>
      <c r="O314" s="4">
        <v>0</v>
      </c>
      <c r="P314" s="4"/>
      <c r="Q314" s="4"/>
      <c r="R314" s="4">
        <v>0</v>
      </c>
      <c r="S314" s="4">
        <v>0</v>
      </c>
      <c r="T314" s="4">
        <f>IF(OR(MID(TBBP[[#This Row],[Coluna1]],1,1)="1",MID(TBBP[[#This Row],[Coluna1]],1,1)="2"),TBBP[[#This Row],[Coluna19]],SUM(H314:S314))</f>
        <v>-267000</v>
      </c>
      <c r="U314" s="4"/>
      <c r="V314" s="4"/>
      <c r="W314" s="4"/>
      <c r="X314" s="4"/>
      <c r="Y314" s="4"/>
      <c r="Z314" s="4"/>
      <c r="AA314" s="4"/>
      <c r="AB314" s="4">
        <v>-80000</v>
      </c>
      <c r="AC314" s="4">
        <v>0</v>
      </c>
      <c r="AD314" s="4">
        <v>-104500</v>
      </c>
      <c r="AE314" s="4">
        <v>0</v>
      </c>
      <c r="AF314" s="4">
        <v>0</v>
      </c>
      <c r="AG314" s="4">
        <f>IF(OR(MID(TBBP[[#This Row],[Coluna1]],1,1)="1",MID(TBBP[[#This Row],[Coluna1]],1,1)="2"),TBBP[[#This Row],[Coluna32]],SUM(U314:AF314))</f>
        <v>-184500</v>
      </c>
      <c r="AH314" s="4">
        <v>0</v>
      </c>
      <c r="AI314" s="4">
        <v>0</v>
      </c>
      <c r="AJ314" s="4">
        <v>0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-141201</v>
      </c>
      <c r="AS314" s="4">
        <v>0</v>
      </c>
      <c r="AT314" s="4">
        <f>IF(OR(MID(TBBP[[#This Row],[Coluna1]],1,1)="1",MID(TBBP[[#This Row],[Coluna1]],1,1)="2"),TBBP[[#This Row],[Coluna45]],SUM(AH314:AS314))</f>
        <v>-141201</v>
      </c>
      <c r="AU314" s="4">
        <v>0</v>
      </c>
      <c r="AV314" s="4">
        <v>0</v>
      </c>
      <c r="AW314" s="4">
        <v>-73000</v>
      </c>
      <c r="AX314" s="4">
        <v>-65335.83</v>
      </c>
      <c r="AY314" s="4">
        <v>0</v>
      </c>
      <c r="AZ314" s="4">
        <v>0</v>
      </c>
      <c r="BA314" s="4">
        <v>0</v>
      </c>
      <c r="BB314" s="4">
        <v>-168399.34999999998</v>
      </c>
      <c r="BC314" s="4">
        <v>0</v>
      </c>
      <c r="BD314" s="4">
        <v>0</v>
      </c>
      <c r="BE314" s="4">
        <v>-4333.33</v>
      </c>
      <c r="BF314" s="4">
        <v>-98922.770000000019</v>
      </c>
      <c r="BG314" s="4">
        <f>IF(OR(MID(TBBP[[#This Row],[Coluna1]],1,1)="1",MID(TBBP[[#This Row],[Coluna1]],1,1)="2"),TBBP[[#This Row],[Coluna58]],SUM(AU314:BF314))</f>
        <v>-409991.28</v>
      </c>
      <c r="BH314" s="4">
        <v>-98166.669999999984</v>
      </c>
      <c r="BI314" s="4">
        <v>-548901.66</v>
      </c>
      <c r="BJ314" s="4">
        <v>-198333.33</v>
      </c>
      <c r="BK314" s="4">
        <v>0</v>
      </c>
      <c r="BL314" s="4">
        <v>0</v>
      </c>
      <c r="BM314" s="4">
        <v>0</v>
      </c>
      <c r="BN314" s="4">
        <v>0</v>
      </c>
      <c r="BO314" s="4">
        <v>0</v>
      </c>
      <c r="BP314" s="4">
        <v>-156093.60999999999</v>
      </c>
      <c r="BQ314" s="4">
        <v>0</v>
      </c>
      <c r="BR314" s="4">
        <v>0</v>
      </c>
      <c r="BS314" s="4">
        <v>0</v>
      </c>
      <c r="BT314" s="4">
        <f>IF(OR(MID(TBBP[[#This Row],[Coluna1]],1,1)="1",MID(TBBP[[#This Row],[Coluna1]],1,1)="2"),TBBP[[#This Row],[Coluna127]],SUM(BH314:BS314))</f>
        <v>-1001495.27</v>
      </c>
      <c r="BU314" s="4">
        <v>0</v>
      </c>
      <c r="BV314" s="4">
        <v>0</v>
      </c>
      <c r="BW314" s="4">
        <v>0</v>
      </c>
      <c r="BX314" s="4">
        <v>0</v>
      </c>
      <c r="BY314" s="4">
        <v>0</v>
      </c>
      <c r="BZ314" s="4">
        <v>0</v>
      </c>
      <c r="CA314" s="4">
        <v>0</v>
      </c>
      <c r="CB314" s="4">
        <v>0</v>
      </c>
      <c r="CC314" s="4">
        <v>0</v>
      </c>
      <c r="CD314" s="4">
        <v>0</v>
      </c>
      <c r="CE314" s="4">
        <v>-82541.66</v>
      </c>
      <c r="CF314" s="4">
        <v>0</v>
      </c>
      <c r="CG314" s="4">
        <f>IF(OR(MID(TBBP[[#This Row],[Coluna1]],1,1)="1",MID(TBBP[[#This Row],[Coluna1]],1,1)="2"),CF314,SUM(BU314:CF314))</f>
        <v>-82541.66</v>
      </c>
      <c r="CH314" s="4">
        <v>0</v>
      </c>
      <c r="CI314" s="4">
        <v>0</v>
      </c>
      <c r="CJ314" s="4">
        <v>0</v>
      </c>
      <c r="CK314" s="4" t="s">
        <v>1134</v>
      </c>
      <c r="CL314" s="4">
        <v>0</v>
      </c>
      <c r="CM314" s="4" t="s">
        <v>1134</v>
      </c>
      <c r="CN314" s="4">
        <v>0</v>
      </c>
      <c r="CO314" s="4">
        <v>0</v>
      </c>
      <c r="CP314" s="4">
        <v>0</v>
      </c>
      <c r="CQ314" s="4" t="s">
        <v>1134</v>
      </c>
      <c r="CR314" s="4">
        <v>-209112.7</v>
      </c>
      <c r="CS314" s="4">
        <v>0</v>
      </c>
      <c r="CT314" s="4">
        <f>IF(OR(MID(TBBP[[#This Row],[Coluna1]],1,1)="1",MID(TBBP[[#This Row],[Coluna1]],1,1)="2"),CS314,SUM(CH314:CS314))</f>
        <v>-209112.7</v>
      </c>
      <c r="CU314" s="255">
        <v>0</v>
      </c>
      <c r="CV314" s="255">
        <v>0</v>
      </c>
      <c r="CW314" s="255">
        <v>0</v>
      </c>
      <c r="CX314" s="255">
        <v>-51333.33</v>
      </c>
      <c r="CY314" s="255">
        <v>0</v>
      </c>
      <c r="CZ314" s="255">
        <v>0</v>
      </c>
      <c r="DA314" s="255">
        <v>0</v>
      </c>
      <c r="DB314" s="255">
        <v>0</v>
      </c>
      <c r="DC314" s="255">
        <v>0</v>
      </c>
      <c r="DD314" s="255">
        <v>-117324.98999999999</v>
      </c>
      <c r="DE314" s="255">
        <v>0</v>
      </c>
      <c r="DF314" s="255">
        <v>0</v>
      </c>
      <c r="DG314" s="255">
        <f>SUM(TBBP[[#This Row],[Coluna287]:[Coluna298]])</f>
        <v>-168658.32</v>
      </c>
      <c r="DH314" s="255">
        <v>0</v>
      </c>
      <c r="DI314" s="255">
        <v>0</v>
      </c>
      <c r="DJ314" s="255">
        <v>0</v>
      </c>
      <c r="DK314" s="255">
        <v>-20000</v>
      </c>
      <c r="DL314" s="255">
        <v>0</v>
      </c>
      <c r="DM314" s="255">
        <v>0</v>
      </c>
      <c r="DP314" s="30">
        <f>IF(OR(MID(TBBP[[#This Row],[Coluna1]],1,1)="1",MID(TBBP[[#This Row],[Coluna1]],1,1)="2"),"-",SUMIFS(314:314,listaPeriodos,$DR$1,listaPeriodos,$DR$2))</f>
        <v>-20000</v>
      </c>
      <c r="DQ314" s="30"/>
      <c r="DR314" s="30">
        <f t="shared" si="182"/>
        <v>0</v>
      </c>
      <c r="DS314" s="30"/>
      <c r="DT314" s="30"/>
      <c r="DU314"/>
    </row>
  </sheetData>
  <phoneticPr fontId="6" type="noConversion"/>
  <conditionalFormatting sqref="A1 H1:AD1">
    <cfRule type="cellIs" dxfId="1467" priority="4055" operator="lessThan">
      <formula>0</formula>
    </cfRule>
  </conditionalFormatting>
  <conditionalFormatting sqref="A24:AI26 AJ24:AK25 A1:AK1 A27:AK28 AK92:AS92 A94:AK97 A4:AJ4 A36:AK38 A59:AK63 A82:AK84 A103:AK103 A105:AK109 A112:AK115 A117:AK117 A119:AK119 A121:AK122 A99:AK101 AT7:AT28 AT32:AT33 AT30 AM31:AT31 A29:AT29 AT86:AT87 AT82:AT84 AT99:AT101 AT103 AT112:AT115 AT117 AT119 AT121:AT122 A81:AT81 A85:AT85 A102:AT102 A104:AT104 AT105:AT109 A110:AT111 A116:AT116 A118:AT118 A120:AT120 A98:AT98 AT59:AT63 AT36:AT38 AT43:AT54 A146:AT146 A132:BF145 AT1:BF1 A86:AK87 A88:C88 A218:B218 A126:AS131 AT89:BF89 A147:BF217 AH78:BF78 A123:AT123 A125:B125 DU92:XFD121 DU123:XFD123 EE126:XFD127 DP125:XFD125 C124:BG124 BG131 AT66:AT80 AI67:AS67 A66:AK80 AU5:BF39 AU76:BF87 AU72:BC75 BE72:BF75 A292:BF1048576 AU42:BF54 DP128:XFD129 DP126:EC127 DP93:DT123 DX1:XFD2 C109:BG109 A89:AK89 A91:AH93 A90:AG90 AU91:BF123 AT91:AT97 AI91:AK92 A30:AK34 A43:AK54 A56:AK57 AU56:BF71 AT56:AT57 A7:AK23 A55:BG55 A219:BG291 BH132:BS314 BH7:BS33 BH36:BS38 BH40:BS41 BH43:BS57 BH59:BS63 BH82:BS84 BH99:BS101 BH103:BS103 BH112:BS115 BH117:BS117 BH119:BS119 BH105:BS105 BH107:BS109 BH106:BK106 BH66:BS80 BH86:BS97 BU7:CG33 BU36:CG38 BU40:CG41 BU43:CG57 BU59:CG63 BU66:CG75 BU82:CG84 BU92:CG97 BU77:CG80 BU99:CG101 BU103:CG103 BU112:CG115 BU117:CG117 BU119:CG119 BU105:CG109 BU86:CG90 CE5:CG6 CE34:CG35 CE39:CG39 CE76:CG76 CF42:CG42 CF58:CG58 CF64:CG65 CF81:CG81 CF85:CG85 CF91:CG91 CF98:CG98 CF102:CG102 CF104:CG104 CF110:CG111 CF116:CG116 CF118:CG118 CF120:CG122 DP131:DP136 DR131:XFD136 DQ130:DQ136 DP219:DP238 DP137:XFD218 DO239:DP314 DO3:XFD61 DO63:XFD90 DP62:XFD62 BU132:CT314 CH125:CT131 CH5:CT123 DQ1:DU2 BX4:CT4 DR315:XFD1048576 DQ219:XFD314 DN4 BH1:DO1 A2:DO2 CU5:DM314">
    <cfRule type="cellIs" dxfId="1466" priority="4054" operator="equal">
      <formula>"Verificar"</formula>
    </cfRule>
  </conditionalFormatting>
  <conditionalFormatting sqref="DU123:XFD123 DU119:XFD119 DU115:XFD115 DU103:XFD103 DU117:XFD117 DU108:XFD110 DU101:XFD101 DQ33:DQ34 DQ37:DQ38 DQ57 DQ63:DQ64 DQ80 DQ84 DU97:XFD97 DQ4:DQ5 DU4:XFD5 DU84:XFD84 DU80:XFD80 DU63:XFD64 DU57:XFD57 DU37:XFD38 DU33:XFD34 A34:AK34 DO4:DO5 DO33:DO34 DO37:DO38 DO57 DO84 DO80 DO63:DO64 AU5:BF6 A104:BF104 A102:BF102 A110:BF111 A116:BF116 A118:BF118 A120:BF120 A85:BF85 A81:BF81 AU64:BF65 AU58:BF58 AU34:BF35 AU39:BF39 AU42:BF42 A126:AS131 A98:BF98 A123:BF123 A125:B125 DU128:XFD129 DU126:EC127 EE126:XFD127 DU125:XFD125 C124:BG124 BG131 CH123:CT123 CH125:CT131 CE5:DM6 CE34:DM35 CE39:DM39 CF42:DM42 CF58:DM58 CF64:DM65 CF81:DM81 CF85:DM85 CF98:DM98 CF102:DM102 CF104:DM104 CF110:DM111 CF116:DM116 CF118:DM118 CF120:DM120 CU123:DM131">
    <cfRule type="notContainsBlanks" dxfId="1465" priority="4049">
      <formula>LEN(TRIM(A4))&gt;0</formula>
    </cfRule>
  </conditionalFormatting>
  <conditionalFormatting sqref="AK4">
    <cfRule type="cellIs" dxfId="1464" priority="4042" operator="equal">
      <formula>"Verificar"</formula>
    </cfRule>
  </conditionalFormatting>
  <conditionalFormatting sqref="AL4">
    <cfRule type="cellIs" dxfId="1463" priority="4041" operator="equal">
      <formula>"Verificar"</formula>
    </cfRule>
  </conditionalFormatting>
  <conditionalFormatting sqref="AL49:AS50">
    <cfRule type="cellIs" dxfId="1462" priority="4040" operator="equal">
      <formula>"Verificar"</formula>
    </cfRule>
  </conditionalFormatting>
  <conditionalFormatting sqref="AL34:AS34">
    <cfRule type="cellIs" dxfId="1461" priority="4027" operator="equal">
      <formula>"Verificar"</formula>
    </cfRule>
  </conditionalFormatting>
  <conditionalFormatting sqref="AL34:AS34">
    <cfRule type="notContainsBlanks" dxfId="1460" priority="4026">
      <formula>LEN(TRIM(AL34))&gt;0</formula>
    </cfRule>
  </conditionalFormatting>
  <conditionalFormatting sqref="AL91">
    <cfRule type="cellIs" dxfId="1459" priority="4021" operator="equal">
      <formula>"Verificar"</formula>
    </cfRule>
  </conditionalFormatting>
  <conditionalFormatting sqref="A1:AS1 A4:AL4 A36:AS38 A59:AS63 A82:AS84 A103:AS103 A105:AS109 A112:AS115 A117:AS117 A119:AS119 A121:AS122 A99:AS101 A31:AL31 A30:AS30 A29:AJ29 A86:AS87 A88:C88 A66:AS80 A89:AS89 A91:AS97 A90:AG90 A32:AS34 A43:AS54 A56:AS57 A55:T55 A7:AS28">
    <cfRule type="cellIs" dxfId="1458" priority="4010" operator="equal">
      <formula>"Verificar"</formula>
    </cfRule>
  </conditionalFormatting>
  <conditionalFormatting sqref="AM4">
    <cfRule type="cellIs" dxfId="1457" priority="3999" operator="equal">
      <formula>"Verificar"</formula>
    </cfRule>
  </conditionalFormatting>
  <conditionalFormatting sqref="AM4">
    <cfRule type="cellIs" dxfId="1456" priority="3998" operator="equal">
      <formula>"Verificar"</formula>
    </cfRule>
  </conditionalFormatting>
  <conditionalFormatting sqref="AM91:AS91">
    <cfRule type="cellIs" dxfId="1455" priority="3997" operator="equal">
      <formula>"Verificar"</formula>
    </cfRule>
  </conditionalFormatting>
  <conditionalFormatting sqref="AM34:AS34">
    <cfRule type="cellIs" dxfId="1454" priority="3982" operator="equal">
      <formula>"Verificar"</formula>
    </cfRule>
  </conditionalFormatting>
  <conditionalFormatting sqref="AM34:AS34">
    <cfRule type="notContainsBlanks" dxfId="1453" priority="3981">
      <formula>LEN(TRIM(AM34))&gt;0</formula>
    </cfRule>
  </conditionalFormatting>
  <conditionalFormatting sqref="AN4">
    <cfRule type="cellIs" dxfId="1452" priority="3958" operator="equal">
      <formula>"Verificar"</formula>
    </cfRule>
  </conditionalFormatting>
  <conditionalFormatting sqref="AN4">
    <cfRule type="cellIs" dxfId="1451" priority="3957" operator="equal">
      <formula>"Verificar"</formula>
    </cfRule>
  </conditionalFormatting>
  <conditionalFormatting sqref="AO4">
    <cfRule type="cellIs" dxfId="1450" priority="3950" operator="equal">
      <formula>"Verificar"</formula>
    </cfRule>
  </conditionalFormatting>
  <conditionalFormatting sqref="AO4">
    <cfRule type="cellIs" dxfId="1449" priority="3949" operator="equal">
      <formula>"Verificar"</formula>
    </cfRule>
  </conditionalFormatting>
  <conditionalFormatting sqref="AP4">
    <cfRule type="cellIs" dxfId="1448" priority="3948" operator="equal">
      <formula>"Verificar"</formula>
    </cfRule>
  </conditionalFormatting>
  <conditionalFormatting sqref="AP4">
    <cfRule type="cellIs" dxfId="1447" priority="3947" operator="equal">
      <formula>"Verificar"</formula>
    </cfRule>
  </conditionalFormatting>
  <conditionalFormatting sqref="AQ4">
    <cfRule type="cellIs" dxfId="1446" priority="3946" operator="equal">
      <formula>"Verificar"</formula>
    </cfRule>
  </conditionalFormatting>
  <conditionalFormatting sqref="AQ4">
    <cfRule type="cellIs" dxfId="1445" priority="3945" operator="equal">
      <formula>"Verificar"</formula>
    </cfRule>
  </conditionalFormatting>
  <conditionalFormatting sqref="AR4">
    <cfRule type="cellIs" dxfId="1444" priority="3942" operator="equal">
      <formula>"Verificar"</formula>
    </cfRule>
  </conditionalFormatting>
  <conditionalFormatting sqref="AR4">
    <cfRule type="cellIs" dxfId="1443" priority="3941" operator="equal">
      <formula>"Verificar"</formula>
    </cfRule>
  </conditionalFormatting>
  <conditionalFormatting sqref="AS4">
    <cfRule type="cellIs" dxfId="1442" priority="3940" operator="equal">
      <formula>"Verificar"</formula>
    </cfRule>
  </conditionalFormatting>
  <conditionalFormatting sqref="AS4">
    <cfRule type="cellIs" dxfId="1441" priority="3939" operator="equal">
      <formula>"Verificar"</formula>
    </cfRule>
  </conditionalFormatting>
  <conditionalFormatting sqref="AT34">
    <cfRule type="cellIs" dxfId="1440" priority="3936" operator="equal">
      <formula>"Verificar"</formula>
    </cfRule>
  </conditionalFormatting>
  <conditionalFormatting sqref="AT34">
    <cfRule type="notContainsBlanks" dxfId="1439" priority="3935">
      <formula>LEN(TRIM(AT34))&gt;0</formula>
    </cfRule>
  </conditionalFormatting>
  <conditionalFormatting sqref="AT34">
    <cfRule type="cellIs" dxfId="1438" priority="3934" operator="equal">
      <formula>"Verificar"</formula>
    </cfRule>
  </conditionalFormatting>
  <conditionalFormatting sqref="AT4">
    <cfRule type="cellIs" dxfId="1437" priority="3929" operator="equal">
      <formula>"Verificar"</formula>
    </cfRule>
  </conditionalFormatting>
  <conditionalFormatting sqref="AT4">
    <cfRule type="cellIs" dxfId="1436" priority="3928" operator="equal">
      <formula>"Verificar"</formula>
    </cfRule>
  </conditionalFormatting>
  <conditionalFormatting sqref="A5:AK6">
    <cfRule type="cellIs" dxfId="1435" priority="3759" operator="equal">
      <formula>"Verificar"</formula>
    </cfRule>
  </conditionalFormatting>
  <conditionalFormatting sqref="A5:AK6">
    <cfRule type="notContainsBlanks" dxfId="1434" priority="3758">
      <formula>LEN(TRIM(A5))&gt;0</formula>
    </cfRule>
  </conditionalFormatting>
  <conditionalFormatting sqref="AL5:AS6">
    <cfRule type="cellIs" dxfId="1433" priority="3757" operator="equal">
      <formula>"Verificar"</formula>
    </cfRule>
  </conditionalFormatting>
  <conditionalFormatting sqref="AL5:AS6">
    <cfRule type="notContainsBlanks" dxfId="1432" priority="3756">
      <formula>LEN(TRIM(AL5))&gt;0</formula>
    </cfRule>
  </conditionalFormatting>
  <conditionalFormatting sqref="A5:AS6">
    <cfRule type="cellIs" dxfId="1431" priority="3755" operator="equal">
      <formula>"Verificar"</formula>
    </cfRule>
  </conditionalFormatting>
  <conditionalFormatting sqref="AM5:AS6">
    <cfRule type="cellIs" dxfId="1430" priority="3754" operator="equal">
      <formula>"Verificar"</formula>
    </cfRule>
  </conditionalFormatting>
  <conditionalFormatting sqref="AM5:AS6">
    <cfRule type="notContainsBlanks" dxfId="1429" priority="3753">
      <formula>LEN(TRIM(AM5))&gt;0</formula>
    </cfRule>
  </conditionalFormatting>
  <conditionalFormatting sqref="AT5:AT6">
    <cfRule type="cellIs" dxfId="1428" priority="3752" operator="equal">
      <formula>"Verificar"</formula>
    </cfRule>
  </conditionalFormatting>
  <conditionalFormatting sqref="AT5:AT6">
    <cfRule type="notContainsBlanks" dxfId="1427" priority="3751">
      <formula>LEN(TRIM(AT5))&gt;0</formula>
    </cfRule>
  </conditionalFormatting>
  <conditionalFormatting sqref="AT5:AT6">
    <cfRule type="cellIs" dxfId="1426" priority="3750" operator="equal">
      <formula>"Verificar"</formula>
    </cfRule>
  </conditionalFormatting>
  <conditionalFormatting sqref="A35:AK35">
    <cfRule type="cellIs" dxfId="1425" priority="3734" operator="equal">
      <formula>"Verificar"</formula>
    </cfRule>
  </conditionalFormatting>
  <conditionalFormatting sqref="A35:AK35">
    <cfRule type="notContainsBlanks" dxfId="1424" priority="3733">
      <formula>LEN(TRIM(A35))&gt;0</formula>
    </cfRule>
  </conditionalFormatting>
  <conditionalFormatting sqref="AL35:AS35">
    <cfRule type="cellIs" dxfId="1423" priority="3732" operator="equal">
      <formula>"Verificar"</formula>
    </cfRule>
  </conditionalFormatting>
  <conditionalFormatting sqref="AL35:AS35">
    <cfRule type="notContainsBlanks" dxfId="1422" priority="3731">
      <formula>LEN(TRIM(AL35))&gt;0</formula>
    </cfRule>
  </conditionalFormatting>
  <conditionalFormatting sqref="A35:AS35">
    <cfRule type="cellIs" dxfId="1421" priority="3730" operator="equal">
      <formula>"Verificar"</formula>
    </cfRule>
  </conditionalFormatting>
  <conditionalFormatting sqref="AM35:AS35">
    <cfRule type="cellIs" dxfId="1420" priority="3729" operator="equal">
      <formula>"Verificar"</formula>
    </cfRule>
  </conditionalFormatting>
  <conditionalFormatting sqref="AM35:AS35">
    <cfRule type="notContainsBlanks" dxfId="1419" priority="3728">
      <formula>LEN(TRIM(AM35))&gt;0</formula>
    </cfRule>
  </conditionalFormatting>
  <conditionalFormatting sqref="AT35">
    <cfRule type="cellIs" dxfId="1418" priority="3727" operator="equal">
      <formula>"Verificar"</formula>
    </cfRule>
  </conditionalFormatting>
  <conditionalFormatting sqref="AT35">
    <cfRule type="notContainsBlanks" dxfId="1417" priority="3726">
      <formula>LEN(TRIM(AT35))&gt;0</formula>
    </cfRule>
  </conditionalFormatting>
  <conditionalFormatting sqref="AT35">
    <cfRule type="cellIs" dxfId="1416" priority="3725" operator="equal">
      <formula>"Verificar"</formula>
    </cfRule>
  </conditionalFormatting>
  <conditionalFormatting sqref="A39:AK39">
    <cfRule type="cellIs" dxfId="1415" priority="3709" operator="equal">
      <formula>"Verificar"</formula>
    </cfRule>
  </conditionalFormatting>
  <conditionalFormatting sqref="A39:AK39">
    <cfRule type="notContainsBlanks" dxfId="1414" priority="3708">
      <formula>LEN(TRIM(A39))&gt;0</formula>
    </cfRule>
  </conditionalFormatting>
  <conditionalFormatting sqref="AL39:AS39">
    <cfRule type="cellIs" dxfId="1413" priority="3707" operator="equal">
      <formula>"Verificar"</formula>
    </cfRule>
  </conditionalFormatting>
  <conditionalFormatting sqref="AL39:AS39">
    <cfRule type="notContainsBlanks" dxfId="1412" priority="3706">
      <formula>LEN(TRIM(AL39))&gt;0</formula>
    </cfRule>
  </conditionalFormatting>
  <conditionalFormatting sqref="A39:AS39">
    <cfRule type="cellIs" dxfId="1411" priority="3705" operator="equal">
      <formula>"Verificar"</formula>
    </cfRule>
  </conditionalFormatting>
  <conditionalFormatting sqref="AM39:AS39">
    <cfRule type="cellIs" dxfId="1410" priority="3704" operator="equal">
      <formula>"Verificar"</formula>
    </cfRule>
  </conditionalFormatting>
  <conditionalFormatting sqref="AM39:AS39">
    <cfRule type="notContainsBlanks" dxfId="1409" priority="3703">
      <formula>LEN(TRIM(AM39))&gt;0</formula>
    </cfRule>
  </conditionalFormatting>
  <conditionalFormatting sqref="AT39">
    <cfRule type="cellIs" dxfId="1408" priority="3702" operator="equal">
      <formula>"Verificar"</formula>
    </cfRule>
  </conditionalFormatting>
  <conditionalFormatting sqref="AT39">
    <cfRule type="notContainsBlanks" dxfId="1407" priority="3701">
      <formula>LEN(TRIM(AT39))&gt;0</formula>
    </cfRule>
  </conditionalFormatting>
  <conditionalFormatting sqref="AT39">
    <cfRule type="cellIs" dxfId="1406" priority="3700" operator="equal">
      <formula>"Verificar"</formula>
    </cfRule>
  </conditionalFormatting>
  <conditionalFormatting sqref="A42:AK42">
    <cfRule type="cellIs" dxfId="1405" priority="3684" operator="equal">
      <formula>"Verificar"</formula>
    </cfRule>
  </conditionalFormatting>
  <conditionalFormatting sqref="A42:AK42">
    <cfRule type="notContainsBlanks" dxfId="1404" priority="3683">
      <formula>LEN(TRIM(A42))&gt;0</formula>
    </cfRule>
  </conditionalFormatting>
  <conditionalFormatting sqref="AL42:AS42">
    <cfRule type="cellIs" dxfId="1403" priority="3682" operator="equal">
      <formula>"Verificar"</formula>
    </cfRule>
  </conditionalFormatting>
  <conditionalFormatting sqref="AL42:AS42">
    <cfRule type="notContainsBlanks" dxfId="1402" priority="3681">
      <formula>LEN(TRIM(AL42))&gt;0</formula>
    </cfRule>
  </conditionalFormatting>
  <conditionalFormatting sqref="A42:AS42">
    <cfRule type="cellIs" dxfId="1401" priority="3680" operator="equal">
      <formula>"Verificar"</formula>
    </cfRule>
  </conditionalFormatting>
  <conditionalFormatting sqref="AM42:AS42">
    <cfRule type="cellIs" dxfId="1400" priority="3679" operator="equal">
      <formula>"Verificar"</formula>
    </cfRule>
  </conditionalFormatting>
  <conditionalFormatting sqref="AM42:AS42">
    <cfRule type="notContainsBlanks" dxfId="1399" priority="3678">
      <formula>LEN(TRIM(AM42))&gt;0</formula>
    </cfRule>
  </conditionalFormatting>
  <conditionalFormatting sqref="AT42">
    <cfRule type="cellIs" dxfId="1398" priority="3677" operator="equal">
      <formula>"Verificar"</formula>
    </cfRule>
  </conditionalFormatting>
  <conditionalFormatting sqref="AT42">
    <cfRule type="notContainsBlanks" dxfId="1397" priority="3676">
      <formula>LEN(TRIM(AT42))&gt;0</formula>
    </cfRule>
  </conditionalFormatting>
  <conditionalFormatting sqref="AT42">
    <cfRule type="cellIs" dxfId="1396" priority="3675" operator="equal">
      <formula>"Verificar"</formula>
    </cfRule>
  </conditionalFormatting>
  <conditionalFormatting sqref="A58:AK58">
    <cfRule type="cellIs" dxfId="1395" priority="3659" operator="equal">
      <formula>"Verificar"</formula>
    </cfRule>
  </conditionalFormatting>
  <conditionalFormatting sqref="A58:AK58">
    <cfRule type="notContainsBlanks" dxfId="1394" priority="3658">
      <formula>LEN(TRIM(A58))&gt;0</formula>
    </cfRule>
  </conditionalFormatting>
  <conditionalFormatting sqref="AL58:AS58">
    <cfRule type="cellIs" dxfId="1393" priority="3657" operator="equal">
      <formula>"Verificar"</formula>
    </cfRule>
  </conditionalFormatting>
  <conditionalFormatting sqref="AL58:AS58">
    <cfRule type="notContainsBlanks" dxfId="1392" priority="3656">
      <formula>LEN(TRIM(AL58))&gt;0</formula>
    </cfRule>
  </conditionalFormatting>
  <conditionalFormatting sqref="A58:AS58">
    <cfRule type="cellIs" dxfId="1391" priority="3655" operator="equal">
      <formula>"Verificar"</formula>
    </cfRule>
  </conditionalFormatting>
  <conditionalFormatting sqref="AM58:AS58">
    <cfRule type="cellIs" dxfId="1390" priority="3654" operator="equal">
      <formula>"Verificar"</formula>
    </cfRule>
  </conditionalFormatting>
  <conditionalFormatting sqref="AM58:AS58">
    <cfRule type="notContainsBlanks" dxfId="1389" priority="3653">
      <formula>LEN(TRIM(AM58))&gt;0</formula>
    </cfRule>
  </conditionalFormatting>
  <conditionalFormatting sqref="AT58">
    <cfRule type="cellIs" dxfId="1388" priority="3652" operator="equal">
      <formula>"Verificar"</formula>
    </cfRule>
  </conditionalFormatting>
  <conditionalFormatting sqref="AT58">
    <cfRule type="notContainsBlanks" dxfId="1387" priority="3651">
      <formula>LEN(TRIM(AT58))&gt;0</formula>
    </cfRule>
  </conditionalFormatting>
  <conditionalFormatting sqref="AT58">
    <cfRule type="cellIs" dxfId="1386" priority="3650" operator="equal">
      <formula>"Verificar"</formula>
    </cfRule>
  </conditionalFormatting>
  <conditionalFormatting sqref="A64:AK65">
    <cfRule type="cellIs" dxfId="1385" priority="3634" operator="equal">
      <formula>"Verificar"</formula>
    </cfRule>
  </conditionalFormatting>
  <conditionalFormatting sqref="A64:AK65">
    <cfRule type="notContainsBlanks" dxfId="1384" priority="3633">
      <formula>LEN(TRIM(A64))&gt;0</formula>
    </cfRule>
  </conditionalFormatting>
  <conditionalFormatting sqref="AL64:AS65">
    <cfRule type="cellIs" dxfId="1383" priority="3632" operator="equal">
      <formula>"Verificar"</formula>
    </cfRule>
  </conditionalFormatting>
  <conditionalFormatting sqref="AL64:AS65">
    <cfRule type="notContainsBlanks" dxfId="1382" priority="3631">
      <formula>LEN(TRIM(AL64))&gt;0</formula>
    </cfRule>
  </conditionalFormatting>
  <conditionalFormatting sqref="A64:AS65">
    <cfRule type="cellIs" dxfId="1381" priority="3630" operator="equal">
      <formula>"Verificar"</formula>
    </cfRule>
  </conditionalFormatting>
  <conditionalFormatting sqref="AM64:AS65">
    <cfRule type="cellIs" dxfId="1380" priority="3629" operator="equal">
      <formula>"Verificar"</formula>
    </cfRule>
  </conditionalFormatting>
  <conditionalFormatting sqref="AM64:AS65">
    <cfRule type="notContainsBlanks" dxfId="1379" priority="3628">
      <formula>LEN(TRIM(AM64))&gt;0</formula>
    </cfRule>
  </conditionalFormatting>
  <conditionalFormatting sqref="AT64:AT65">
    <cfRule type="cellIs" dxfId="1378" priority="3627" operator="equal">
      <formula>"Verificar"</formula>
    </cfRule>
  </conditionalFormatting>
  <conditionalFormatting sqref="AT64:AT65">
    <cfRule type="notContainsBlanks" dxfId="1377" priority="3626">
      <formula>LEN(TRIM(AT64))&gt;0</formula>
    </cfRule>
  </conditionalFormatting>
  <conditionalFormatting sqref="AT64:AT65">
    <cfRule type="cellIs" dxfId="1376" priority="3625" operator="equal">
      <formula>"Verificar"</formula>
    </cfRule>
  </conditionalFormatting>
  <conditionalFormatting sqref="AU4">
    <cfRule type="cellIs" dxfId="1375" priority="3277" operator="equal">
      <formula>"Verificar"</formula>
    </cfRule>
  </conditionalFormatting>
  <conditionalFormatting sqref="AU4">
    <cfRule type="cellIs" dxfId="1374" priority="3276" operator="equal">
      <formula>"Verificar"</formula>
    </cfRule>
  </conditionalFormatting>
  <conditionalFormatting sqref="AV4">
    <cfRule type="cellIs" dxfId="1373" priority="3275" operator="equal">
      <formula>"Verificar"</formula>
    </cfRule>
  </conditionalFormatting>
  <conditionalFormatting sqref="AV4">
    <cfRule type="cellIs" dxfId="1372" priority="3274" operator="equal">
      <formula>"Verificar"</formula>
    </cfRule>
  </conditionalFormatting>
  <conditionalFormatting sqref="AW4">
    <cfRule type="cellIs" dxfId="1371" priority="3273" operator="equal">
      <formula>"Verificar"</formula>
    </cfRule>
  </conditionalFormatting>
  <conditionalFormatting sqref="AW4">
    <cfRule type="cellIs" dxfId="1370" priority="3272" operator="equal">
      <formula>"Verificar"</formula>
    </cfRule>
  </conditionalFormatting>
  <conditionalFormatting sqref="AX4">
    <cfRule type="cellIs" dxfId="1369" priority="3271" operator="equal">
      <formula>"Verificar"</formula>
    </cfRule>
  </conditionalFormatting>
  <conditionalFormatting sqref="AX4">
    <cfRule type="cellIs" dxfId="1368" priority="3270" operator="equal">
      <formula>"Verificar"</formula>
    </cfRule>
  </conditionalFormatting>
  <conditionalFormatting sqref="AY4">
    <cfRule type="cellIs" dxfId="1367" priority="3267" operator="equal">
      <formula>"Verificar"</formula>
    </cfRule>
  </conditionalFormatting>
  <conditionalFormatting sqref="AY4">
    <cfRule type="cellIs" dxfId="1366" priority="3266" operator="equal">
      <formula>"Verificar"</formula>
    </cfRule>
  </conditionalFormatting>
  <conditionalFormatting sqref="AZ4">
    <cfRule type="cellIs" dxfId="1365" priority="3263" operator="equal">
      <formula>"Verificar"</formula>
    </cfRule>
  </conditionalFormatting>
  <conditionalFormatting sqref="AZ4">
    <cfRule type="cellIs" dxfId="1364" priority="3262" operator="equal">
      <formula>"Verificar"</formula>
    </cfRule>
  </conditionalFormatting>
  <conditionalFormatting sqref="BA4">
    <cfRule type="cellIs" dxfId="1363" priority="3261" operator="equal">
      <formula>"Verificar"</formula>
    </cfRule>
  </conditionalFormatting>
  <conditionalFormatting sqref="BA4">
    <cfRule type="cellIs" dxfId="1362" priority="3260" operator="equal">
      <formula>"Verificar"</formula>
    </cfRule>
  </conditionalFormatting>
  <conditionalFormatting sqref="BB4">
    <cfRule type="cellIs" dxfId="1361" priority="3259" operator="equal">
      <formula>"Verificar"</formula>
    </cfRule>
  </conditionalFormatting>
  <conditionalFormatting sqref="BB4">
    <cfRule type="cellIs" dxfId="1360" priority="3258" operator="equal">
      <formula>"Verificar"</formula>
    </cfRule>
  </conditionalFormatting>
  <conditionalFormatting sqref="BC4">
    <cfRule type="cellIs" dxfId="1359" priority="3256" operator="equal">
      <formula>"Verificar"</formula>
    </cfRule>
  </conditionalFormatting>
  <conditionalFormatting sqref="BD4">
    <cfRule type="cellIs" dxfId="1358" priority="3254" operator="equal">
      <formula>"Verificar"</formula>
    </cfRule>
  </conditionalFormatting>
  <conditionalFormatting sqref="BC4">
    <cfRule type="cellIs" dxfId="1357" priority="3257" operator="equal">
      <formula>"Verificar"</formula>
    </cfRule>
  </conditionalFormatting>
  <conditionalFormatting sqref="BE4">
    <cfRule type="cellIs" dxfId="1356" priority="3252" operator="equal">
      <formula>"Verificar"</formula>
    </cfRule>
  </conditionalFormatting>
  <conditionalFormatting sqref="BD4">
    <cfRule type="cellIs" dxfId="1355" priority="3255" operator="equal">
      <formula>"Verificar"</formula>
    </cfRule>
  </conditionalFormatting>
  <conditionalFormatting sqref="BE4">
    <cfRule type="cellIs" dxfId="1354" priority="3253" operator="equal">
      <formula>"Verificar"</formula>
    </cfRule>
  </conditionalFormatting>
  <conditionalFormatting sqref="BF4">
    <cfRule type="cellIs" dxfId="1353" priority="3250" operator="equal">
      <formula>"Verificar"</formula>
    </cfRule>
  </conditionalFormatting>
  <conditionalFormatting sqref="BF4">
    <cfRule type="cellIs" dxfId="1352" priority="3251" operator="equal">
      <formula>"Verificar"</formula>
    </cfRule>
  </conditionalFormatting>
  <conditionalFormatting sqref="BG5 BG1 BG147:BG217 BG89 BG126:BG130 BG132:BG145 BG7:BG12 BG22:BG39 BG76:BG87 BG292:BG1048576 BG42:BG54 BG91:BG123 BG56:BG71">
    <cfRule type="cellIs" dxfId="1351" priority="3207" operator="equal">
      <formula>"Verificar"</formula>
    </cfRule>
  </conditionalFormatting>
  <conditionalFormatting sqref="BG5 BG98 BG104 BG102 BG110:BG111 BG116 BG118 BG120 BG85 BG81 BG64:BG65 BG58 BG34:BG35 BG39 BG42 BG123 BG126:BG130">
    <cfRule type="notContainsBlanks" dxfId="1350" priority="3206">
      <formula>LEN(TRIM(BG5))&gt;0</formula>
    </cfRule>
  </conditionalFormatting>
  <conditionalFormatting sqref="BG6">
    <cfRule type="cellIs" dxfId="1349" priority="3205" operator="equal">
      <formula>"Verificar"</formula>
    </cfRule>
  </conditionalFormatting>
  <conditionalFormatting sqref="BG6">
    <cfRule type="notContainsBlanks" dxfId="1348" priority="3204">
      <formula>LEN(TRIM(BG6))&gt;0</formula>
    </cfRule>
  </conditionalFormatting>
  <conditionalFormatting sqref="BG6">
    <cfRule type="cellIs" dxfId="1347" priority="3203" operator="equal">
      <formula>"Verificar"</formula>
    </cfRule>
  </conditionalFormatting>
  <conditionalFormatting sqref="BG6">
    <cfRule type="cellIs" dxfId="1346" priority="3202" operator="equal">
      <formula>"Verificar"</formula>
    </cfRule>
  </conditionalFormatting>
  <conditionalFormatting sqref="BG6">
    <cfRule type="notContainsBlanks" dxfId="1345" priority="3201">
      <formula>LEN(TRIM(BG6))&gt;0</formula>
    </cfRule>
  </conditionalFormatting>
  <conditionalFormatting sqref="AZ126:BD126 AU126:AX126 AU127:BD131 BE126:BF131">
    <cfRule type="cellIs" dxfId="1344" priority="3200" operator="equal">
      <formula>"Verificar"</formula>
    </cfRule>
  </conditionalFormatting>
  <conditionalFormatting sqref="AZ126:BD126 AU126:AX126 AU127:BD131 BE126:BF131">
    <cfRule type="notContainsBlanks" dxfId="1343" priority="3199">
      <formula>LEN(TRIM(AU126))&gt;0</formula>
    </cfRule>
  </conditionalFormatting>
  <conditionalFormatting sqref="AY126">
    <cfRule type="cellIs" dxfId="1342" priority="3198" operator="equal">
      <formula>"Verificar"</formula>
    </cfRule>
  </conditionalFormatting>
  <conditionalFormatting sqref="AY126">
    <cfRule type="notContainsBlanks" dxfId="1341" priority="3197">
      <formula>LEN(TRIM(AY126))&gt;0</formula>
    </cfRule>
  </conditionalFormatting>
  <conditionalFormatting sqref="AU146:BG146">
    <cfRule type="cellIs" dxfId="1340" priority="3195" operator="equal">
      <formula>"Verificar"</formula>
    </cfRule>
  </conditionalFormatting>
  <conditionalFormatting sqref="D88:BG88">
    <cfRule type="cellIs" dxfId="1339" priority="3191" operator="equal">
      <formula>"Verificar"</formula>
    </cfRule>
  </conditionalFormatting>
  <conditionalFormatting sqref="D88:BG88">
    <cfRule type="cellIs" dxfId="1338" priority="3190" operator="equal">
      <formula>"Verificar"</formula>
    </cfRule>
  </conditionalFormatting>
  <conditionalFormatting sqref="C218:BG218">
    <cfRule type="cellIs" dxfId="1337" priority="3189" operator="equal">
      <formula>"Verificar"</formula>
    </cfRule>
  </conditionalFormatting>
  <conditionalFormatting sqref="AT126">
    <cfRule type="cellIs" dxfId="1336" priority="3188" operator="equal">
      <formula>"Verificar"</formula>
    </cfRule>
  </conditionalFormatting>
  <conditionalFormatting sqref="AT126">
    <cfRule type="notContainsBlanks" dxfId="1335" priority="3187">
      <formula>LEN(TRIM(AT126))&gt;0</formula>
    </cfRule>
  </conditionalFormatting>
  <conditionalFormatting sqref="AT127">
    <cfRule type="cellIs" dxfId="1334" priority="3184" operator="equal">
      <formula>"Verificar"</formula>
    </cfRule>
  </conditionalFormatting>
  <conditionalFormatting sqref="AT127">
    <cfRule type="notContainsBlanks" dxfId="1333" priority="3183">
      <formula>LEN(TRIM(AT127))&gt;0</formula>
    </cfRule>
  </conditionalFormatting>
  <conditionalFormatting sqref="AT128">
    <cfRule type="cellIs" dxfId="1332" priority="3182" operator="equal">
      <formula>"Verificar"</formula>
    </cfRule>
  </conditionalFormatting>
  <conditionalFormatting sqref="AT128">
    <cfRule type="notContainsBlanks" dxfId="1331" priority="3181">
      <formula>LEN(TRIM(AT128))&gt;0</formula>
    </cfRule>
  </conditionalFormatting>
  <conditionalFormatting sqref="AT129">
    <cfRule type="cellIs" dxfId="1330" priority="3180" operator="equal">
      <formula>"Verificar"</formula>
    </cfRule>
  </conditionalFormatting>
  <conditionalFormatting sqref="AT129">
    <cfRule type="notContainsBlanks" dxfId="1329" priority="3179">
      <formula>LEN(TRIM(AT129))&gt;0</formula>
    </cfRule>
  </conditionalFormatting>
  <conditionalFormatting sqref="AT130">
    <cfRule type="cellIs" dxfId="1328" priority="3178" operator="equal">
      <formula>"Verificar"</formula>
    </cfRule>
  </conditionalFormatting>
  <conditionalFormatting sqref="AT130">
    <cfRule type="notContainsBlanks" dxfId="1327" priority="3177">
      <formula>LEN(TRIM(AT130))&gt;0</formula>
    </cfRule>
  </conditionalFormatting>
  <conditionalFormatting sqref="AT131">
    <cfRule type="cellIs" dxfId="1326" priority="3176" operator="equal">
      <formula>"Verificar"</formula>
    </cfRule>
  </conditionalFormatting>
  <conditionalFormatting sqref="AT131">
    <cfRule type="notContainsBlanks" dxfId="1325" priority="3175">
      <formula>LEN(TRIM(AT131))&gt;0</formula>
    </cfRule>
  </conditionalFormatting>
  <conditionalFormatting sqref="AU78:BF78">
    <cfRule type="cellIs" dxfId="1324" priority="2805" operator="equal">
      <formula>"Verificar"</formula>
    </cfRule>
  </conditionalFormatting>
  <conditionalFormatting sqref="C125:G125 T125">
    <cfRule type="notContainsBlanks" dxfId="1323" priority="2798">
      <formula>LEN(TRIM(C125))&gt;0</formula>
    </cfRule>
  </conditionalFormatting>
  <conditionalFormatting sqref="BG125">
    <cfRule type="cellIs" dxfId="1322" priority="2801" operator="equal">
      <formula>"Verificar"</formula>
    </cfRule>
  </conditionalFormatting>
  <conditionalFormatting sqref="BG125">
    <cfRule type="notContainsBlanks" dxfId="1321" priority="2800">
      <formula>LEN(TRIM(BG125))&gt;0</formula>
    </cfRule>
  </conditionalFormatting>
  <conditionalFormatting sqref="C125:G125 T125">
    <cfRule type="cellIs" dxfId="1320" priority="2799" operator="equal">
      <formula>"Verificar"</formula>
    </cfRule>
  </conditionalFormatting>
  <conditionalFormatting sqref="DP91">
    <cfRule type="cellIs" dxfId="1319" priority="2797" operator="equal">
      <formula>"Verificar"</formula>
    </cfRule>
  </conditionalFormatting>
  <conditionalFormatting sqref="DR91:DT91">
    <cfRule type="cellIs" dxfId="1318" priority="2795" operator="equal">
      <formula>"Verificar"</formula>
    </cfRule>
  </conditionalFormatting>
  <conditionalFormatting sqref="DP130">
    <cfRule type="cellIs" dxfId="1317" priority="2793" operator="equal">
      <formula>"Verificar"</formula>
    </cfRule>
  </conditionalFormatting>
  <conditionalFormatting sqref="DR130:DT130">
    <cfRule type="cellIs" dxfId="1316" priority="2792" operator="equal">
      <formula>"Verificar"</formula>
    </cfRule>
  </conditionalFormatting>
  <conditionalFormatting sqref="AG125">
    <cfRule type="cellIs" dxfId="1315" priority="2783" operator="equal">
      <formula>"Verificar"</formula>
    </cfRule>
  </conditionalFormatting>
  <conditionalFormatting sqref="AG125">
    <cfRule type="notContainsBlanks" dxfId="1314" priority="2782">
      <formula>LEN(TRIM(AG125))&gt;0</formula>
    </cfRule>
  </conditionalFormatting>
  <conditionalFormatting sqref="AT125">
    <cfRule type="notContainsBlanks" dxfId="1313" priority="2780">
      <formula>LEN(TRIM(AT125))&gt;0</formula>
    </cfRule>
  </conditionalFormatting>
  <conditionalFormatting sqref="AT125">
    <cfRule type="cellIs" dxfId="1312" priority="2781" operator="equal">
      <formula>"Verificar"</formula>
    </cfRule>
  </conditionalFormatting>
  <conditionalFormatting sqref="H124:S124">
    <cfRule type="notContainsBlanks" dxfId="1311" priority="2689">
      <formula>LEN(TRIM(H124))&gt;0</formula>
    </cfRule>
  </conditionalFormatting>
  <conditionalFormatting sqref="H124:S124">
    <cfRule type="cellIs" dxfId="1310" priority="2690" operator="equal">
      <formula>"Verificar"</formula>
    </cfRule>
  </conditionalFormatting>
  <conditionalFormatting sqref="U124:AF124">
    <cfRule type="cellIs" dxfId="1309" priority="2692" operator="equal">
      <formula>"Verificar"</formula>
    </cfRule>
  </conditionalFormatting>
  <conditionalFormatting sqref="U124:AF124">
    <cfRule type="notContainsBlanks" dxfId="1308" priority="2691">
      <formula>LEN(TRIM(U124))&gt;0</formula>
    </cfRule>
  </conditionalFormatting>
  <conditionalFormatting sqref="BF125">
    <cfRule type="cellIs" dxfId="1307" priority="2759" operator="equal">
      <formula>"Verificar"</formula>
    </cfRule>
  </conditionalFormatting>
  <conditionalFormatting sqref="BF125">
    <cfRule type="notContainsBlanks" dxfId="1306" priority="2758">
      <formula>LEN(TRIM(BF125))&gt;0</formula>
    </cfRule>
  </conditionalFormatting>
  <conditionalFormatting sqref="AU125:BE125">
    <cfRule type="cellIs" dxfId="1305" priority="2757" operator="equal">
      <formula>"Verificar"</formula>
    </cfRule>
  </conditionalFormatting>
  <conditionalFormatting sqref="AU125:BE125">
    <cfRule type="notContainsBlanks" dxfId="1304" priority="2756">
      <formula>LEN(TRIM(AU125))&gt;0</formula>
    </cfRule>
  </conditionalFormatting>
  <conditionalFormatting sqref="AH125:AS125">
    <cfRule type="cellIs" dxfId="1303" priority="2755" operator="equal">
      <formula>"Verificar"</formula>
    </cfRule>
  </conditionalFormatting>
  <conditionalFormatting sqref="AH125:AS125">
    <cfRule type="notContainsBlanks" dxfId="1302" priority="2754">
      <formula>LEN(TRIM(AH125))&gt;0</formula>
    </cfRule>
  </conditionalFormatting>
  <conditionalFormatting sqref="U125:AF125">
    <cfRule type="cellIs" dxfId="1301" priority="2753" operator="equal">
      <formula>"Verificar"</formula>
    </cfRule>
  </conditionalFormatting>
  <conditionalFormatting sqref="U125:AF125">
    <cfRule type="notContainsBlanks" dxfId="1300" priority="2752">
      <formula>LEN(TRIM(U125))&gt;0</formula>
    </cfRule>
  </conditionalFormatting>
  <conditionalFormatting sqref="H125:S125">
    <cfRule type="cellIs" dxfId="1299" priority="2751" operator="equal">
      <formula>"Verificar"</formula>
    </cfRule>
  </conditionalFormatting>
  <conditionalFormatting sqref="H125:S125">
    <cfRule type="notContainsBlanks" dxfId="1298" priority="2750">
      <formula>LEN(TRIM(H125))&gt;0</formula>
    </cfRule>
  </conditionalFormatting>
  <conditionalFormatting sqref="DP92:DT92">
    <cfRule type="cellIs" dxfId="1297" priority="2749" operator="equal">
      <formula>"Verificar"</formula>
    </cfRule>
  </conditionalFormatting>
  <conditionalFormatting sqref="AT124">
    <cfRule type="notContainsBlanks" dxfId="1296" priority="2709">
      <formula>LEN(TRIM(AT124))&gt;0</formula>
    </cfRule>
  </conditionalFormatting>
  <conditionalFormatting sqref="AT124">
    <cfRule type="cellIs" dxfId="1295" priority="2710" operator="equal">
      <formula>"Verificar"</formula>
    </cfRule>
  </conditionalFormatting>
  <conditionalFormatting sqref="AH124:AS124">
    <cfRule type="cellIs" dxfId="1294" priority="2694" operator="equal">
      <formula>"Verificar"</formula>
    </cfRule>
  </conditionalFormatting>
  <conditionalFormatting sqref="AH124:AS124">
    <cfRule type="notContainsBlanks" dxfId="1293" priority="2693">
      <formula>LEN(TRIM(AH124))&gt;0</formula>
    </cfRule>
  </conditionalFormatting>
  <conditionalFormatting sqref="A124:B124 DP124:XFD124">
    <cfRule type="cellIs" dxfId="1292" priority="2718" operator="equal">
      <formula>"Verificar"</formula>
    </cfRule>
  </conditionalFormatting>
  <conditionalFormatting sqref="DU124:XFD124 A124:B124">
    <cfRule type="notContainsBlanks" dxfId="1291" priority="2717">
      <formula>LEN(TRIM(A124))&gt;0</formula>
    </cfRule>
  </conditionalFormatting>
  <conditionalFormatting sqref="C124:G124 T124">
    <cfRule type="notContainsBlanks" dxfId="1290" priority="2713">
      <formula>LEN(TRIM(C124))&gt;0</formula>
    </cfRule>
  </conditionalFormatting>
  <conditionalFormatting sqref="BG124">
    <cfRule type="cellIs" dxfId="1289" priority="2716" operator="equal">
      <formula>"Verificar"</formula>
    </cfRule>
  </conditionalFormatting>
  <conditionalFormatting sqref="BG124">
    <cfRule type="notContainsBlanks" dxfId="1288" priority="2715">
      <formula>LEN(TRIM(BG124))&gt;0</formula>
    </cfRule>
  </conditionalFormatting>
  <conditionalFormatting sqref="C124:G124 T124">
    <cfRule type="cellIs" dxfId="1287" priority="2714" operator="equal">
      <formula>"Verificar"</formula>
    </cfRule>
  </conditionalFormatting>
  <conditionalFormatting sqref="AG124">
    <cfRule type="cellIs" dxfId="1286" priority="2712" operator="equal">
      <formula>"Verificar"</formula>
    </cfRule>
  </conditionalFormatting>
  <conditionalFormatting sqref="AG124">
    <cfRule type="notContainsBlanks" dxfId="1285" priority="2711">
      <formula>LEN(TRIM(AG124))&gt;0</formula>
    </cfRule>
  </conditionalFormatting>
  <conditionalFormatting sqref="BF124">
    <cfRule type="cellIs" dxfId="1284" priority="2698" operator="equal">
      <formula>"Verificar"</formula>
    </cfRule>
  </conditionalFormatting>
  <conditionalFormatting sqref="BF124">
    <cfRule type="notContainsBlanks" dxfId="1283" priority="2697">
      <formula>LEN(TRIM(BF124))&gt;0</formula>
    </cfRule>
  </conditionalFormatting>
  <conditionalFormatting sqref="AU124:BE124">
    <cfRule type="cellIs" dxfId="1282" priority="2696" operator="equal">
      <formula>"Verificar"</formula>
    </cfRule>
  </conditionalFormatting>
  <conditionalFormatting sqref="AU124:BE124">
    <cfRule type="notContainsBlanks" dxfId="1281" priority="2695">
      <formula>LEN(TRIM(AU124))&gt;0</formula>
    </cfRule>
  </conditionalFormatting>
  <conditionalFormatting sqref="BG13">
    <cfRule type="cellIs" dxfId="1280" priority="2541" operator="equal">
      <formula>"Verificar"</formula>
    </cfRule>
  </conditionalFormatting>
  <conditionalFormatting sqref="BG14:BG21">
    <cfRule type="cellIs" dxfId="1279" priority="2540" operator="equal">
      <formula>"Verificar"</formula>
    </cfRule>
  </conditionalFormatting>
  <conditionalFormatting sqref="BG72:BG75">
    <cfRule type="cellIs" dxfId="1278" priority="2539" operator="equal">
      <formula>"Verificar"</formula>
    </cfRule>
  </conditionalFormatting>
  <conditionalFormatting sqref="A40:AK40 AT40:BF40">
    <cfRule type="cellIs" dxfId="1277" priority="2517" operator="equal">
      <formula>"Verificar"</formula>
    </cfRule>
  </conditionalFormatting>
  <conditionalFormatting sqref="DQ40 DU40:XFD40 DO40">
    <cfRule type="notContainsBlanks" dxfId="1276" priority="2516">
      <formula>LEN(TRIM(DO40))&gt;0</formula>
    </cfRule>
  </conditionalFormatting>
  <conditionalFormatting sqref="BG40">
    <cfRule type="cellIs" dxfId="1275" priority="2514" operator="equal">
      <formula>"Verificar"</formula>
    </cfRule>
  </conditionalFormatting>
  <conditionalFormatting sqref="A40:AS40">
    <cfRule type="cellIs" dxfId="1274" priority="2515" operator="equal">
      <formula>"Verificar"</formula>
    </cfRule>
  </conditionalFormatting>
  <conditionalFormatting sqref="A41:AK41 AT41:BF41">
    <cfRule type="cellIs" dxfId="1273" priority="2513" operator="equal">
      <formula>"Verificar"</formula>
    </cfRule>
  </conditionalFormatting>
  <conditionalFormatting sqref="A41:AS41">
    <cfRule type="cellIs" dxfId="1272" priority="2512" operator="equal">
      <formula>"Verificar"</formula>
    </cfRule>
  </conditionalFormatting>
  <conditionalFormatting sqref="BG41">
    <cfRule type="cellIs" dxfId="1271" priority="2511" operator="equal">
      <formula>"Verificar"</formula>
    </cfRule>
  </conditionalFormatting>
  <conditionalFormatting sqref="AH90:BG90">
    <cfRule type="cellIs" dxfId="1270" priority="2493" operator="equal">
      <formula>"Verificar"</formula>
    </cfRule>
  </conditionalFormatting>
  <conditionalFormatting sqref="AH90:BG90">
    <cfRule type="cellIs" dxfId="1269" priority="2492" operator="equal">
      <formula>"Verificar"</formula>
    </cfRule>
  </conditionalFormatting>
  <conditionalFormatting sqref="BH4">
    <cfRule type="cellIs" dxfId="1268" priority="1628" operator="equal">
      <formula>"Verificar"</formula>
    </cfRule>
  </conditionalFormatting>
  <conditionalFormatting sqref="BH4">
    <cfRule type="cellIs" dxfId="1267" priority="1629" operator="equal">
      <formula>"Verificar"</formula>
    </cfRule>
  </conditionalFormatting>
  <conditionalFormatting sqref="BH5">
    <cfRule type="cellIs" dxfId="1266" priority="1627" operator="equal">
      <formula>"Verificar"</formula>
    </cfRule>
  </conditionalFormatting>
  <conditionalFormatting sqref="BH5">
    <cfRule type="notContainsBlanks" dxfId="1265" priority="1626">
      <formula>LEN(TRIM(BH5))&gt;0</formula>
    </cfRule>
  </conditionalFormatting>
  <conditionalFormatting sqref="BH6">
    <cfRule type="cellIs" dxfId="1264" priority="1625" operator="equal">
      <formula>"Verificar"</formula>
    </cfRule>
  </conditionalFormatting>
  <conditionalFormatting sqref="BH6">
    <cfRule type="notContainsBlanks" dxfId="1263" priority="1624">
      <formula>LEN(TRIM(BH6))&gt;0</formula>
    </cfRule>
  </conditionalFormatting>
  <conditionalFormatting sqref="BH34">
    <cfRule type="cellIs" dxfId="1262" priority="1623" operator="equal">
      <formula>"Verificar"</formula>
    </cfRule>
  </conditionalFormatting>
  <conditionalFormatting sqref="BH34">
    <cfRule type="notContainsBlanks" dxfId="1261" priority="1622">
      <formula>LEN(TRIM(BH34))&gt;0</formula>
    </cfRule>
  </conditionalFormatting>
  <conditionalFormatting sqref="BH35">
    <cfRule type="cellIs" dxfId="1260" priority="1621" operator="equal">
      <formula>"Verificar"</formula>
    </cfRule>
  </conditionalFormatting>
  <conditionalFormatting sqref="BH35">
    <cfRule type="notContainsBlanks" dxfId="1259" priority="1620">
      <formula>LEN(TRIM(BH35))&gt;0</formula>
    </cfRule>
  </conditionalFormatting>
  <conditionalFormatting sqref="BH39">
    <cfRule type="cellIs" dxfId="1258" priority="1619" operator="equal">
      <formula>"Verificar"</formula>
    </cfRule>
  </conditionalFormatting>
  <conditionalFormatting sqref="BH39">
    <cfRule type="notContainsBlanks" dxfId="1257" priority="1618">
      <formula>LEN(TRIM(BH39))&gt;0</formula>
    </cfRule>
  </conditionalFormatting>
  <conditionalFormatting sqref="BH42">
    <cfRule type="cellIs" dxfId="1256" priority="1617" operator="equal">
      <formula>"Verificar"</formula>
    </cfRule>
  </conditionalFormatting>
  <conditionalFormatting sqref="BH42">
    <cfRule type="notContainsBlanks" dxfId="1255" priority="1616">
      <formula>LEN(TRIM(BH42))&gt;0</formula>
    </cfRule>
  </conditionalFormatting>
  <conditionalFormatting sqref="BH58">
    <cfRule type="cellIs" dxfId="1254" priority="1615" operator="equal">
      <formula>"Verificar"</formula>
    </cfRule>
  </conditionalFormatting>
  <conditionalFormatting sqref="BH58">
    <cfRule type="notContainsBlanks" dxfId="1253" priority="1614">
      <formula>LEN(TRIM(BH58))&gt;0</formula>
    </cfRule>
  </conditionalFormatting>
  <conditionalFormatting sqref="BH64">
    <cfRule type="cellIs" dxfId="1252" priority="1613" operator="equal">
      <formula>"Verificar"</formula>
    </cfRule>
  </conditionalFormatting>
  <conditionalFormatting sqref="BH64">
    <cfRule type="notContainsBlanks" dxfId="1251" priority="1612">
      <formula>LEN(TRIM(BH64))&gt;0</formula>
    </cfRule>
  </conditionalFormatting>
  <conditionalFormatting sqref="BH65">
    <cfRule type="cellIs" dxfId="1250" priority="1611" operator="equal">
      <formula>"Verificar"</formula>
    </cfRule>
  </conditionalFormatting>
  <conditionalFormatting sqref="BH65">
    <cfRule type="notContainsBlanks" dxfId="1249" priority="1610">
      <formula>LEN(TRIM(BH65))&gt;0</formula>
    </cfRule>
  </conditionalFormatting>
  <conditionalFormatting sqref="BH126:BH131">
    <cfRule type="cellIs" dxfId="1248" priority="1580" operator="equal">
      <formula>"Verificar"</formula>
    </cfRule>
  </conditionalFormatting>
  <conditionalFormatting sqref="BH126:BH131">
    <cfRule type="notContainsBlanks" dxfId="1247" priority="1579">
      <formula>LEN(TRIM(BH126))&gt;0</formula>
    </cfRule>
  </conditionalFormatting>
  <conditionalFormatting sqref="BH81">
    <cfRule type="cellIs" dxfId="1246" priority="1607" operator="equal">
      <formula>"Verificar"</formula>
    </cfRule>
  </conditionalFormatting>
  <conditionalFormatting sqref="BH81">
    <cfRule type="notContainsBlanks" dxfId="1245" priority="1606">
      <formula>LEN(TRIM(BH81))&gt;0</formula>
    </cfRule>
  </conditionalFormatting>
  <conditionalFormatting sqref="BH85">
    <cfRule type="cellIs" dxfId="1244" priority="1605" operator="equal">
      <formula>"Verificar"</formula>
    </cfRule>
  </conditionalFormatting>
  <conditionalFormatting sqref="BH85">
    <cfRule type="notContainsBlanks" dxfId="1243" priority="1604">
      <formula>LEN(TRIM(BH85))&gt;0</formula>
    </cfRule>
  </conditionalFormatting>
  <conditionalFormatting sqref="BH98">
    <cfRule type="cellIs" dxfId="1242" priority="1603" operator="equal">
      <formula>"Verificar"</formula>
    </cfRule>
  </conditionalFormatting>
  <conditionalFormatting sqref="BH98">
    <cfRule type="notContainsBlanks" dxfId="1241" priority="1602">
      <formula>LEN(TRIM(BH98))&gt;0</formula>
    </cfRule>
  </conditionalFormatting>
  <conditionalFormatting sqref="BH102">
    <cfRule type="cellIs" dxfId="1240" priority="1601" operator="equal">
      <formula>"Verificar"</formula>
    </cfRule>
  </conditionalFormatting>
  <conditionalFormatting sqref="BH102">
    <cfRule type="notContainsBlanks" dxfId="1239" priority="1600">
      <formula>LEN(TRIM(BH102))&gt;0</formula>
    </cfRule>
  </conditionalFormatting>
  <conditionalFormatting sqref="BH104">
    <cfRule type="cellIs" dxfId="1238" priority="1599" operator="equal">
      <formula>"Verificar"</formula>
    </cfRule>
  </conditionalFormatting>
  <conditionalFormatting sqref="BH104">
    <cfRule type="notContainsBlanks" dxfId="1237" priority="1598">
      <formula>LEN(TRIM(BH104))&gt;0</formula>
    </cfRule>
  </conditionalFormatting>
  <conditionalFormatting sqref="BH110">
    <cfRule type="cellIs" dxfId="1236" priority="1597" operator="equal">
      <formula>"Verificar"</formula>
    </cfRule>
  </conditionalFormatting>
  <conditionalFormatting sqref="BH110">
    <cfRule type="notContainsBlanks" dxfId="1235" priority="1596">
      <formula>LEN(TRIM(BH110))&gt;0</formula>
    </cfRule>
  </conditionalFormatting>
  <conditionalFormatting sqref="BH111">
    <cfRule type="cellIs" dxfId="1234" priority="1595" operator="equal">
      <formula>"Verificar"</formula>
    </cfRule>
  </conditionalFormatting>
  <conditionalFormatting sqref="BH111">
    <cfRule type="notContainsBlanks" dxfId="1233" priority="1594">
      <formula>LEN(TRIM(BH111))&gt;0</formula>
    </cfRule>
  </conditionalFormatting>
  <conditionalFormatting sqref="BH116">
    <cfRule type="cellIs" dxfId="1232" priority="1593" operator="equal">
      <formula>"Verificar"</formula>
    </cfRule>
  </conditionalFormatting>
  <conditionalFormatting sqref="BH116">
    <cfRule type="notContainsBlanks" dxfId="1231" priority="1592">
      <formula>LEN(TRIM(BH116))&gt;0</formula>
    </cfRule>
  </conditionalFormatting>
  <conditionalFormatting sqref="BH118">
    <cfRule type="cellIs" dxfId="1230" priority="1591" operator="equal">
      <formula>"Verificar"</formula>
    </cfRule>
  </conditionalFormatting>
  <conditionalFormatting sqref="BH118">
    <cfRule type="notContainsBlanks" dxfId="1229" priority="1590">
      <formula>LEN(TRIM(BH118))&gt;0</formula>
    </cfRule>
  </conditionalFormatting>
  <conditionalFormatting sqref="BH120">
    <cfRule type="cellIs" dxfId="1228" priority="1589" operator="equal">
      <formula>"Verificar"</formula>
    </cfRule>
  </conditionalFormatting>
  <conditionalFormatting sqref="BH120">
    <cfRule type="notContainsBlanks" dxfId="1227" priority="1588">
      <formula>LEN(TRIM(BH120))&gt;0</formula>
    </cfRule>
  </conditionalFormatting>
  <conditionalFormatting sqref="BH121:BH122">
    <cfRule type="cellIs" dxfId="1226" priority="1587" operator="equal">
      <formula>"Verificar"</formula>
    </cfRule>
  </conditionalFormatting>
  <conditionalFormatting sqref="BH123">
    <cfRule type="cellIs" dxfId="1225" priority="1586" operator="equal">
      <formula>"Verificar"</formula>
    </cfRule>
  </conditionalFormatting>
  <conditionalFormatting sqref="BH123">
    <cfRule type="notContainsBlanks" dxfId="1224" priority="1585">
      <formula>LEN(TRIM(BH123))&gt;0</formula>
    </cfRule>
  </conditionalFormatting>
  <conditionalFormatting sqref="BH125">
    <cfRule type="cellIs" dxfId="1223" priority="1584" operator="equal">
      <formula>"Verificar"</formula>
    </cfRule>
  </conditionalFormatting>
  <conditionalFormatting sqref="BH125">
    <cfRule type="notContainsBlanks" dxfId="1222" priority="1583">
      <formula>LEN(TRIM(BH125))&gt;0</formula>
    </cfRule>
  </conditionalFormatting>
  <conditionalFormatting sqref="BH124">
    <cfRule type="cellIs" dxfId="1221" priority="1582" operator="equal">
      <formula>"Verificar"</formula>
    </cfRule>
  </conditionalFormatting>
  <conditionalFormatting sqref="BH124">
    <cfRule type="notContainsBlanks" dxfId="1220" priority="1581">
      <formula>LEN(TRIM(BH124))&gt;0</formula>
    </cfRule>
  </conditionalFormatting>
  <conditionalFormatting sqref="BI126:BI131">
    <cfRule type="cellIs" dxfId="1219" priority="1531" operator="equal">
      <formula>"Verificar"</formula>
    </cfRule>
  </conditionalFormatting>
  <conditionalFormatting sqref="BI126:BI131">
    <cfRule type="notContainsBlanks" dxfId="1218" priority="1530">
      <formula>LEN(TRIM(BI126))&gt;0</formula>
    </cfRule>
  </conditionalFormatting>
  <conditionalFormatting sqref="BI4">
    <cfRule type="cellIs" dxfId="1217" priority="1577" operator="equal">
      <formula>"Verificar"</formula>
    </cfRule>
  </conditionalFormatting>
  <conditionalFormatting sqref="BI4">
    <cfRule type="cellIs" dxfId="1216" priority="1578" operator="equal">
      <formula>"Verificar"</formula>
    </cfRule>
  </conditionalFormatting>
  <conditionalFormatting sqref="BI5">
    <cfRule type="cellIs" dxfId="1215" priority="1576" operator="equal">
      <formula>"Verificar"</formula>
    </cfRule>
  </conditionalFormatting>
  <conditionalFormatting sqref="BI5">
    <cfRule type="notContainsBlanks" dxfId="1214" priority="1575">
      <formula>LEN(TRIM(BI5))&gt;0</formula>
    </cfRule>
  </conditionalFormatting>
  <conditionalFormatting sqref="BI6">
    <cfRule type="cellIs" dxfId="1213" priority="1574" operator="equal">
      <formula>"Verificar"</formula>
    </cfRule>
  </conditionalFormatting>
  <conditionalFormatting sqref="BI6">
    <cfRule type="notContainsBlanks" dxfId="1212" priority="1573">
      <formula>LEN(TRIM(BI6))&gt;0</formula>
    </cfRule>
  </conditionalFormatting>
  <conditionalFormatting sqref="BI34">
    <cfRule type="cellIs" dxfId="1211" priority="1572" operator="equal">
      <formula>"Verificar"</formula>
    </cfRule>
  </conditionalFormatting>
  <conditionalFormatting sqref="BI34">
    <cfRule type="notContainsBlanks" dxfId="1210" priority="1571">
      <formula>LEN(TRIM(BI34))&gt;0</formula>
    </cfRule>
  </conditionalFormatting>
  <conditionalFormatting sqref="BI35">
    <cfRule type="cellIs" dxfId="1209" priority="1570" operator="equal">
      <formula>"Verificar"</formula>
    </cfRule>
  </conditionalFormatting>
  <conditionalFormatting sqref="BI35">
    <cfRule type="notContainsBlanks" dxfId="1208" priority="1569">
      <formula>LEN(TRIM(BI35))&gt;0</formula>
    </cfRule>
  </conditionalFormatting>
  <conditionalFormatting sqref="BI39">
    <cfRule type="cellIs" dxfId="1207" priority="1568" operator="equal">
      <formula>"Verificar"</formula>
    </cfRule>
  </conditionalFormatting>
  <conditionalFormatting sqref="BI39">
    <cfRule type="notContainsBlanks" dxfId="1206" priority="1567">
      <formula>LEN(TRIM(BI39))&gt;0</formula>
    </cfRule>
  </conditionalFormatting>
  <conditionalFormatting sqref="BI42">
    <cfRule type="cellIs" dxfId="1205" priority="1566" operator="equal">
      <formula>"Verificar"</formula>
    </cfRule>
  </conditionalFormatting>
  <conditionalFormatting sqref="BI42">
    <cfRule type="notContainsBlanks" dxfId="1204" priority="1565">
      <formula>LEN(TRIM(BI42))&gt;0</formula>
    </cfRule>
  </conditionalFormatting>
  <conditionalFormatting sqref="BI58">
    <cfRule type="cellIs" dxfId="1203" priority="1564" operator="equal">
      <formula>"Verificar"</formula>
    </cfRule>
  </conditionalFormatting>
  <conditionalFormatting sqref="BI58">
    <cfRule type="notContainsBlanks" dxfId="1202" priority="1563">
      <formula>LEN(TRIM(BI58))&gt;0</formula>
    </cfRule>
  </conditionalFormatting>
  <conditionalFormatting sqref="BI64">
    <cfRule type="cellIs" dxfId="1201" priority="1562" operator="equal">
      <formula>"Verificar"</formula>
    </cfRule>
  </conditionalFormatting>
  <conditionalFormatting sqref="BI64">
    <cfRule type="notContainsBlanks" dxfId="1200" priority="1561">
      <formula>LEN(TRIM(BI64))&gt;0</formula>
    </cfRule>
  </conditionalFormatting>
  <conditionalFormatting sqref="BI65">
    <cfRule type="cellIs" dxfId="1199" priority="1560" operator="equal">
      <formula>"Verificar"</formula>
    </cfRule>
  </conditionalFormatting>
  <conditionalFormatting sqref="BI65">
    <cfRule type="notContainsBlanks" dxfId="1198" priority="1559">
      <formula>LEN(TRIM(BI65))&gt;0</formula>
    </cfRule>
  </conditionalFormatting>
  <conditionalFormatting sqref="BI81">
    <cfRule type="cellIs" dxfId="1197" priority="1558" operator="equal">
      <formula>"Verificar"</formula>
    </cfRule>
  </conditionalFormatting>
  <conditionalFormatting sqref="BI81">
    <cfRule type="notContainsBlanks" dxfId="1196" priority="1557">
      <formula>LEN(TRIM(BI81))&gt;0</formula>
    </cfRule>
  </conditionalFormatting>
  <conditionalFormatting sqref="BI85">
    <cfRule type="cellIs" dxfId="1195" priority="1556" operator="equal">
      <formula>"Verificar"</formula>
    </cfRule>
  </conditionalFormatting>
  <conditionalFormatting sqref="BI85">
    <cfRule type="notContainsBlanks" dxfId="1194" priority="1555">
      <formula>LEN(TRIM(BI85))&gt;0</formula>
    </cfRule>
  </conditionalFormatting>
  <conditionalFormatting sqref="BI98">
    <cfRule type="cellIs" dxfId="1193" priority="1554" operator="equal">
      <formula>"Verificar"</formula>
    </cfRule>
  </conditionalFormatting>
  <conditionalFormatting sqref="BI98">
    <cfRule type="notContainsBlanks" dxfId="1192" priority="1553">
      <formula>LEN(TRIM(BI98))&gt;0</formula>
    </cfRule>
  </conditionalFormatting>
  <conditionalFormatting sqref="BI102">
    <cfRule type="cellIs" dxfId="1191" priority="1552" operator="equal">
      <formula>"Verificar"</formula>
    </cfRule>
  </conditionalFormatting>
  <conditionalFormatting sqref="BI102">
    <cfRule type="notContainsBlanks" dxfId="1190" priority="1551">
      <formula>LEN(TRIM(BI102))&gt;0</formula>
    </cfRule>
  </conditionalFormatting>
  <conditionalFormatting sqref="BI104">
    <cfRule type="cellIs" dxfId="1189" priority="1550" operator="equal">
      <formula>"Verificar"</formula>
    </cfRule>
  </conditionalFormatting>
  <conditionalFormatting sqref="BI104">
    <cfRule type="notContainsBlanks" dxfId="1188" priority="1549">
      <formula>LEN(TRIM(BI104))&gt;0</formula>
    </cfRule>
  </conditionalFormatting>
  <conditionalFormatting sqref="BI110">
    <cfRule type="cellIs" dxfId="1187" priority="1548" operator="equal">
      <formula>"Verificar"</formula>
    </cfRule>
  </conditionalFormatting>
  <conditionalFormatting sqref="BI110">
    <cfRule type="notContainsBlanks" dxfId="1186" priority="1547">
      <formula>LEN(TRIM(BI110))&gt;0</formula>
    </cfRule>
  </conditionalFormatting>
  <conditionalFormatting sqref="BI111">
    <cfRule type="cellIs" dxfId="1185" priority="1546" operator="equal">
      <formula>"Verificar"</formula>
    </cfRule>
  </conditionalFormatting>
  <conditionalFormatting sqref="BI111">
    <cfRule type="notContainsBlanks" dxfId="1184" priority="1545">
      <formula>LEN(TRIM(BI111))&gt;0</formula>
    </cfRule>
  </conditionalFormatting>
  <conditionalFormatting sqref="BI116">
    <cfRule type="cellIs" dxfId="1183" priority="1544" operator="equal">
      <formula>"Verificar"</formula>
    </cfRule>
  </conditionalFormatting>
  <conditionalFormatting sqref="BI116">
    <cfRule type="notContainsBlanks" dxfId="1182" priority="1543">
      <formula>LEN(TRIM(BI116))&gt;0</formula>
    </cfRule>
  </conditionalFormatting>
  <conditionalFormatting sqref="BI118">
    <cfRule type="cellIs" dxfId="1181" priority="1542" operator="equal">
      <formula>"Verificar"</formula>
    </cfRule>
  </conditionalFormatting>
  <conditionalFormatting sqref="BI118">
    <cfRule type="notContainsBlanks" dxfId="1180" priority="1541">
      <formula>LEN(TRIM(BI118))&gt;0</formula>
    </cfRule>
  </conditionalFormatting>
  <conditionalFormatting sqref="BI120">
    <cfRule type="cellIs" dxfId="1179" priority="1540" operator="equal">
      <formula>"Verificar"</formula>
    </cfRule>
  </conditionalFormatting>
  <conditionalFormatting sqref="BI120">
    <cfRule type="notContainsBlanks" dxfId="1178" priority="1539">
      <formula>LEN(TRIM(BI120))&gt;0</formula>
    </cfRule>
  </conditionalFormatting>
  <conditionalFormatting sqref="BI121:BI122">
    <cfRule type="cellIs" dxfId="1177" priority="1538" operator="equal">
      <formula>"Verificar"</formula>
    </cfRule>
  </conditionalFormatting>
  <conditionalFormatting sqref="BI123">
    <cfRule type="cellIs" dxfId="1176" priority="1537" operator="equal">
      <formula>"Verificar"</formula>
    </cfRule>
  </conditionalFormatting>
  <conditionalFormatting sqref="BI123">
    <cfRule type="notContainsBlanks" dxfId="1175" priority="1536">
      <formula>LEN(TRIM(BI123))&gt;0</formula>
    </cfRule>
  </conditionalFormatting>
  <conditionalFormatting sqref="BI124">
    <cfRule type="cellIs" dxfId="1174" priority="1535" operator="equal">
      <formula>"Verificar"</formula>
    </cfRule>
  </conditionalFormatting>
  <conditionalFormatting sqref="BI124">
    <cfRule type="notContainsBlanks" dxfId="1173" priority="1534">
      <formula>LEN(TRIM(BI124))&gt;0</formula>
    </cfRule>
  </conditionalFormatting>
  <conditionalFormatting sqref="BI125">
    <cfRule type="cellIs" dxfId="1172" priority="1533" operator="equal">
      <formula>"Verificar"</formula>
    </cfRule>
  </conditionalFormatting>
  <conditionalFormatting sqref="BI125">
    <cfRule type="notContainsBlanks" dxfId="1171" priority="1532">
      <formula>LEN(TRIM(BI125))&gt;0</formula>
    </cfRule>
  </conditionalFormatting>
  <conditionalFormatting sqref="BJ126:BJ131">
    <cfRule type="cellIs" dxfId="1170" priority="1482" operator="equal">
      <formula>"Verificar"</formula>
    </cfRule>
  </conditionalFormatting>
  <conditionalFormatting sqref="BJ126:BJ131">
    <cfRule type="notContainsBlanks" dxfId="1169" priority="1481">
      <formula>LEN(TRIM(BJ126))&gt;0</formula>
    </cfRule>
  </conditionalFormatting>
  <conditionalFormatting sqref="BJ4">
    <cfRule type="cellIs" dxfId="1168" priority="1528" operator="equal">
      <formula>"Verificar"</formula>
    </cfRule>
  </conditionalFormatting>
  <conditionalFormatting sqref="BJ4">
    <cfRule type="cellIs" dxfId="1167" priority="1529" operator="equal">
      <formula>"Verificar"</formula>
    </cfRule>
  </conditionalFormatting>
  <conditionalFormatting sqref="BJ5">
    <cfRule type="cellIs" dxfId="1166" priority="1527" operator="equal">
      <formula>"Verificar"</formula>
    </cfRule>
  </conditionalFormatting>
  <conditionalFormatting sqref="BJ5">
    <cfRule type="notContainsBlanks" dxfId="1165" priority="1526">
      <formula>LEN(TRIM(BJ5))&gt;0</formula>
    </cfRule>
  </conditionalFormatting>
  <conditionalFormatting sqref="BJ6">
    <cfRule type="cellIs" dxfId="1164" priority="1525" operator="equal">
      <formula>"Verificar"</formula>
    </cfRule>
  </conditionalFormatting>
  <conditionalFormatting sqref="BJ6">
    <cfRule type="notContainsBlanks" dxfId="1163" priority="1524">
      <formula>LEN(TRIM(BJ6))&gt;0</formula>
    </cfRule>
  </conditionalFormatting>
  <conditionalFormatting sqref="BJ34">
    <cfRule type="cellIs" dxfId="1162" priority="1523" operator="equal">
      <formula>"Verificar"</formula>
    </cfRule>
  </conditionalFormatting>
  <conditionalFormatting sqref="BJ34">
    <cfRule type="notContainsBlanks" dxfId="1161" priority="1522">
      <formula>LEN(TRIM(BJ34))&gt;0</formula>
    </cfRule>
  </conditionalFormatting>
  <conditionalFormatting sqref="BJ35">
    <cfRule type="cellIs" dxfId="1160" priority="1521" operator="equal">
      <formula>"Verificar"</formula>
    </cfRule>
  </conditionalFormatting>
  <conditionalFormatting sqref="BJ35">
    <cfRule type="notContainsBlanks" dxfId="1159" priority="1520">
      <formula>LEN(TRIM(BJ35))&gt;0</formula>
    </cfRule>
  </conditionalFormatting>
  <conditionalFormatting sqref="BJ39:BK39">
    <cfRule type="cellIs" dxfId="1158" priority="1519" operator="equal">
      <formula>"Verificar"</formula>
    </cfRule>
  </conditionalFormatting>
  <conditionalFormatting sqref="BJ39:BK39">
    <cfRule type="notContainsBlanks" dxfId="1157" priority="1518">
      <formula>LEN(TRIM(BJ39))&gt;0</formula>
    </cfRule>
  </conditionalFormatting>
  <conditionalFormatting sqref="BJ42:BK42">
    <cfRule type="cellIs" dxfId="1156" priority="1517" operator="equal">
      <formula>"Verificar"</formula>
    </cfRule>
  </conditionalFormatting>
  <conditionalFormatting sqref="BJ42:BK42">
    <cfRule type="notContainsBlanks" dxfId="1155" priority="1516">
      <formula>LEN(TRIM(BJ42))&gt;0</formula>
    </cfRule>
  </conditionalFormatting>
  <conditionalFormatting sqref="BJ58:BK58">
    <cfRule type="cellIs" dxfId="1154" priority="1515" operator="equal">
      <formula>"Verificar"</formula>
    </cfRule>
  </conditionalFormatting>
  <conditionalFormatting sqref="BJ58:BK58">
    <cfRule type="notContainsBlanks" dxfId="1153" priority="1514">
      <formula>LEN(TRIM(BJ58))&gt;0</formula>
    </cfRule>
  </conditionalFormatting>
  <conditionalFormatting sqref="BJ64">
    <cfRule type="cellIs" dxfId="1152" priority="1513" operator="equal">
      <formula>"Verificar"</formula>
    </cfRule>
  </conditionalFormatting>
  <conditionalFormatting sqref="BJ64">
    <cfRule type="notContainsBlanks" dxfId="1151" priority="1512">
      <formula>LEN(TRIM(BJ64))&gt;0</formula>
    </cfRule>
  </conditionalFormatting>
  <conditionalFormatting sqref="BJ65">
    <cfRule type="cellIs" dxfId="1150" priority="1511" operator="equal">
      <formula>"Verificar"</formula>
    </cfRule>
  </conditionalFormatting>
  <conditionalFormatting sqref="BJ65">
    <cfRule type="notContainsBlanks" dxfId="1149" priority="1510">
      <formula>LEN(TRIM(BJ65))&gt;0</formula>
    </cfRule>
  </conditionalFormatting>
  <conditionalFormatting sqref="BJ81:BK81">
    <cfRule type="cellIs" dxfId="1148" priority="1509" operator="equal">
      <formula>"Verificar"</formula>
    </cfRule>
  </conditionalFormatting>
  <conditionalFormatting sqref="BJ81:BK81">
    <cfRule type="notContainsBlanks" dxfId="1147" priority="1508">
      <formula>LEN(TRIM(BJ81))&gt;0</formula>
    </cfRule>
  </conditionalFormatting>
  <conditionalFormatting sqref="BJ85:BK85">
    <cfRule type="cellIs" dxfId="1146" priority="1507" operator="equal">
      <formula>"Verificar"</formula>
    </cfRule>
  </conditionalFormatting>
  <conditionalFormatting sqref="BJ85:BK85">
    <cfRule type="notContainsBlanks" dxfId="1145" priority="1506">
      <formula>LEN(TRIM(BJ85))&gt;0</formula>
    </cfRule>
  </conditionalFormatting>
  <conditionalFormatting sqref="BJ98:BK98">
    <cfRule type="cellIs" dxfId="1144" priority="1505" operator="equal">
      <formula>"Verificar"</formula>
    </cfRule>
  </conditionalFormatting>
  <conditionalFormatting sqref="BJ98:BK98">
    <cfRule type="notContainsBlanks" dxfId="1143" priority="1504">
      <formula>LEN(TRIM(BJ98))&gt;0</formula>
    </cfRule>
  </conditionalFormatting>
  <conditionalFormatting sqref="BJ102:BK102">
    <cfRule type="cellIs" dxfId="1142" priority="1503" operator="equal">
      <formula>"Verificar"</formula>
    </cfRule>
  </conditionalFormatting>
  <conditionalFormatting sqref="BJ102:BK102">
    <cfRule type="notContainsBlanks" dxfId="1141" priority="1502">
      <formula>LEN(TRIM(BJ102))&gt;0</formula>
    </cfRule>
  </conditionalFormatting>
  <conditionalFormatting sqref="BJ104:BK104">
    <cfRule type="cellIs" dxfId="1140" priority="1501" operator="equal">
      <formula>"Verificar"</formula>
    </cfRule>
  </conditionalFormatting>
  <conditionalFormatting sqref="BJ104:BK104">
    <cfRule type="notContainsBlanks" dxfId="1139" priority="1500">
      <formula>LEN(TRIM(BJ104))&gt;0</formula>
    </cfRule>
  </conditionalFormatting>
  <conditionalFormatting sqref="BJ110">
    <cfRule type="cellIs" dxfId="1138" priority="1499" operator="equal">
      <formula>"Verificar"</formula>
    </cfRule>
  </conditionalFormatting>
  <conditionalFormatting sqref="BJ110">
    <cfRule type="notContainsBlanks" dxfId="1137" priority="1498">
      <formula>LEN(TRIM(BJ110))&gt;0</formula>
    </cfRule>
  </conditionalFormatting>
  <conditionalFormatting sqref="BJ111">
    <cfRule type="cellIs" dxfId="1136" priority="1497" operator="equal">
      <formula>"Verificar"</formula>
    </cfRule>
  </conditionalFormatting>
  <conditionalFormatting sqref="BJ111">
    <cfRule type="notContainsBlanks" dxfId="1135" priority="1496">
      <formula>LEN(TRIM(BJ111))&gt;0</formula>
    </cfRule>
  </conditionalFormatting>
  <conditionalFormatting sqref="BJ116">
    <cfRule type="cellIs" dxfId="1134" priority="1495" operator="equal">
      <formula>"Verificar"</formula>
    </cfRule>
  </conditionalFormatting>
  <conditionalFormatting sqref="BJ116">
    <cfRule type="notContainsBlanks" dxfId="1133" priority="1494">
      <formula>LEN(TRIM(BJ116))&gt;0</formula>
    </cfRule>
  </conditionalFormatting>
  <conditionalFormatting sqref="BJ118">
    <cfRule type="cellIs" dxfId="1132" priority="1493" operator="equal">
      <formula>"Verificar"</formula>
    </cfRule>
  </conditionalFormatting>
  <conditionalFormatting sqref="BJ118">
    <cfRule type="notContainsBlanks" dxfId="1131" priority="1492">
      <formula>LEN(TRIM(BJ118))&gt;0</formula>
    </cfRule>
  </conditionalFormatting>
  <conditionalFormatting sqref="BJ120">
    <cfRule type="cellIs" dxfId="1130" priority="1491" operator="equal">
      <formula>"Verificar"</formula>
    </cfRule>
  </conditionalFormatting>
  <conditionalFormatting sqref="BJ120">
    <cfRule type="notContainsBlanks" dxfId="1129" priority="1490">
      <formula>LEN(TRIM(BJ120))&gt;0</formula>
    </cfRule>
  </conditionalFormatting>
  <conditionalFormatting sqref="BJ123">
    <cfRule type="cellIs" dxfId="1128" priority="1489" operator="equal">
      <formula>"Verificar"</formula>
    </cfRule>
  </conditionalFormatting>
  <conditionalFormatting sqref="BJ123">
    <cfRule type="notContainsBlanks" dxfId="1127" priority="1488">
      <formula>LEN(TRIM(BJ123))&gt;0</formula>
    </cfRule>
  </conditionalFormatting>
  <conditionalFormatting sqref="BJ121:BJ122">
    <cfRule type="cellIs" dxfId="1126" priority="1487" operator="equal">
      <formula>"Verificar"</formula>
    </cfRule>
  </conditionalFormatting>
  <conditionalFormatting sqref="BJ125">
    <cfRule type="cellIs" dxfId="1125" priority="1486" operator="equal">
      <formula>"Verificar"</formula>
    </cfRule>
  </conditionalFormatting>
  <conditionalFormatting sqref="BJ125">
    <cfRule type="notContainsBlanks" dxfId="1124" priority="1485">
      <formula>LEN(TRIM(BJ125))&gt;0</formula>
    </cfRule>
  </conditionalFormatting>
  <conditionalFormatting sqref="BJ124">
    <cfRule type="cellIs" dxfId="1123" priority="1484" operator="equal">
      <formula>"Verificar"</formula>
    </cfRule>
  </conditionalFormatting>
  <conditionalFormatting sqref="BJ124">
    <cfRule type="notContainsBlanks" dxfId="1122" priority="1483">
      <formula>LEN(TRIM(BJ124))&gt;0</formula>
    </cfRule>
  </conditionalFormatting>
  <conditionalFormatting sqref="BK126:BK131">
    <cfRule type="cellIs" dxfId="1121" priority="1449" operator="equal">
      <formula>"Verificar"</formula>
    </cfRule>
  </conditionalFormatting>
  <conditionalFormatting sqref="BK126:BK131">
    <cfRule type="notContainsBlanks" dxfId="1120" priority="1448">
      <formula>LEN(TRIM(BK126))&gt;0</formula>
    </cfRule>
  </conditionalFormatting>
  <conditionalFormatting sqref="BK4">
    <cfRule type="cellIs" dxfId="1119" priority="1479" operator="equal">
      <formula>"Verificar"</formula>
    </cfRule>
  </conditionalFormatting>
  <conditionalFormatting sqref="BK4">
    <cfRule type="cellIs" dxfId="1118" priority="1480" operator="equal">
      <formula>"Verificar"</formula>
    </cfRule>
  </conditionalFormatting>
  <conditionalFormatting sqref="BK5">
    <cfRule type="cellIs" dxfId="1117" priority="1478" operator="equal">
      <formula>"Verificar"</formula>
    </cfRule>
  </conditionalFormatting>
  <conditionalFormatting sqref="BK5">
    <cfRule type="notContainsBlanks" dxfId="1116" priority="1477">
      <formula>LEN(TRIM(BK5))&gt;0</formula>
    </cfRule>
  </conditionalFormatting>
  <conditionalFormatting sqref="BK6">
    <cfRule type="cellIs" dxfId="1115" priority="1476" operator="equal">
      <formula>"Verificar"</formula>
    </cfRule>
  </conditionalFormatting>
  <conditionalFormatting sqref="BK6">
    <cfRule type="notContainsBlanks" dxfId="1114" priority="1475">
      <formula>LEN(TRIM(BK6))&gt;0</formula>
    </cfRule>
  </conditionalFormatting>
  <conditionalFormatting sqref="BK34">
    <cfRule type="cellIs" dxfId="1113" priority="1474" operator="equal">
      <formula>"Verificar"</formula>
    </cfRule>
  </conditionalFormatting>
  <conditionalFormatting sqref="BK34">
    <cfRule type="notContainsBlanks" dxfId="1112" priority="1473">
      <formula>LEN(TRIM(BK34))&gt;0</formula>
    </cfRule>
  </conditionalFormatting>
  <conditionalFormatting sqref="BK35">
    <cfRule type="cellIs" dxfId="1111" priority="1472" operator="equal">
      <formula>"Verificar"</formula>
    </cfRule>
  </conditionalFormatting>
  <conditionalFormatting sqref="BK35">
    <cfRule type="notContainsBlanks" dxfId="1110" priority="1471">
      <formula>LEN(TRIM(BK35))&gt;0</formula>
    </cfRule>
  </conditionalFormatting>
  <conditionalFormatting sqref="BK64">
    <cfRule type="cellIs" dxfId="1109" priority="1470" operator="equal">
      <formula>"Verificar"</formula>
    </cfRule>
  </conditionalFormatting>
  <conditionalFormatting sqref="BK64">
    <cfRule type="notContainsBlanks" dxfId="1108" priority="1469">
      <formula>LEN(TRIM(BK64))&gt;0</formula>
    </cfRule>
  </conditionalFormatting>
  <conditionalFormatting sqref="BK65">
    <cfRule type="cellIs" dxfId="1107" priority="1468" operator="equal">
      <formula>"Verificar"</formula>
    </cfRule>
  </conditionalFormatting>
  <conditionalFormatting sqref="BK65">
    <cfRule type="notContainsBlanks" dxfId="1106" priority="1467">
      <formula>LEN(TRIM(BK65))&gt;0</formula>
    </cfRule>
  </conditionalFormatting>
  <conditionalFormatting sqref="BK110">
    <cfRule type="cellIs" dxfId="1105" priority="1466" operator="equal">
      <formula>"Verificar"</formula>
    </cfRule>
  </conditionalFormatting>
  <conditionalFormatting sqref="BK110">
    <cfRule type="notContainsBlanks" dxfId="1104" priority="1465">
      <formula>LEN(TRIM(BK110))&gt;0</formula>
    </cfRule>
  </conditionalFormatting>
  <conditionalFormatting sqref="BK111">
    <cfRule type="cellIs" dxfId="1103" priority="1464" operator="equal">
      <formula>"Verificar"</formula>
    </cfRule>
  </conditionalFormatting>
  <conditionalFormatting sqref="BK111">
    <cfRule type="notContainsBlanks" dxfId="1102" priority="1463">
      <formula>LEN(TRIM(BK111))&gt;0</formula>
    </cfRule>
  </conditionalFormatting>
  <conditionalFormatting sqref="BK116">
    <cfRule type="cellIs" dxfId="1101" priority="1462" operator="equal">
      <formula>"Verificar"</formula>
    </cfRule>
  </conditionalFormatting>
  <conditionalFormatting sqref="BK116">
    <cfRule type="notContainsBlanks" dxfId="1100" priority="1461">
      <formula>LEN(TRIM(BK116))&gt;0</formula>
    </cfRule>
  </conditionalFormatting>
  <conditionalFormatting sqref="BK118">
    <cfRule type="cellIs" dxfId="1099" priority="1460" operator="equal">
      <formula>"Verificar"</formula>
    </cfRule>
  </conditionalFormatting>
  <conditionalFormatting sqref="BK118">
    <cfRule type="notContainsBlanks" dxfId="1098" priority="1459">
      <formula>LEN(TRIM(BK118))&gt;0</formula>
    </cfRule>
  </conditionalFormatting>
  <conditionalFormatting sqref="BK120">
    <cfRule type="cellIs" dxfId="1097" priority="1458" operator="equal">
      <formula>"Verificar"</formula>
    </cfRule>
  </conditionalFormatting>
  <conditionalFormatting sqref="BK120">
    <cfRule type="notContainsBlanks" dxfId="1096" priority="1457">
      <formula>LEN(TRIM(BK120))&gt;0</formula>
    </cfRule>
  </conditionalFormatting>
  <conditionalFormatting sqref="BK121:BK122">
    <cfRule type="cellIs" dxfId="1095" priority="1456" operator="equal">
      <formula>"Verificar"</formula>
    </cfRule>
  </conditionalFormatting>
  <conditionalFormatting sqref="BK123">
    <cfRule type="cellIs" dxfId="1094" priority="1455" operator="equal">
      <formula>"Verificar"</formula>
    </cfRule>
  </conditionalFormatting>
  <conditionalFormatting sqref="BK123">
    <cfRule type="notContainsBlanks" dxfId="1093" priority="1454">
      <formula>LEN(TRIM(BK123))&gt;0</formula>
    </cfRule>
  </conditionalFormatting>
  <conditionalFormatting sqref="BK125">
    <cfRule type="cellIs" dxfId="1092" priority="1453" operator="equal">
      <formula>"Verificar"</formula>
    </cfRule>
  </conditionalFormatting>
  <conditionalFormatting sqref="BK125">
    <cfRule type="notContainsBlanks" dxfId="1091" priority="1452">
      <formula>LEN(TRIM(BK125))&gt;0</formula>
    </cfRule>
  </conditionalFormatting>
  <conditionalFormatting sqref="BK124">
    <cfRule type="cellIs" dxfId="1090" priority="1451" operator="equal">
      <formula>"Verificar"</formula>
    </cfRule>
  </conditionalFormatting>
  <conditionalFormatting sqref="BK124">
    <cfRule type="notContainsBlanks" dxfId="1089" priority="1450">
      <formula>LEN(TRIM(BK124))&gt;0</formula>
    </cfRule>
  </conditionalFormatting>
  <conditionalFormatting sqref="BL116">
    <cfRule type="cellIs" dxfId="1088" priority="1399" operator="equal">
      <formula>"Verificar"</formula>
    </cfRule>
  </conditionalFormatting>
  <conditionalFormatting sqref="BL116">
    <cfRule type="notContainsBlanks" dxfId="1087" priority="1398">
      <formula>LEN(TRIM(BL116))&gt;0</formula>
    </cfRule>
  </conditionalFormatting>
  <conditionalFormatting sqref="BL5">
    <cfRule type="cellIs" dxfId="1086" priority="1445" operator="equal">
      <formula>"Verificar"</formula>
    </cfRule>
  </conditionalFormatting>
  <conditionalFormatting sqref="BL5">
    <cfRule type="notContainsBlanks" dxfId="1085" priority="1444">
      <formula>LEN(TRIM(BL5))&gt;0</formula>
    </cfRule>
  </conditionalFormatting>
  <conditionalFormatting sqref="BL6">
    <cfRule type="cellIs" dxfId="1084" priority="1443" operator="equal">
      <formula>"Verificar"</formula>
    </cfRule>
  </conditionalFormatting>
  <conditionalFormatting sqref="BL6">
    <cfRule type="notContainsBlanks" dxfId="1083" priority="1442">
      <formula>LEN(TRIM(BL6))&gt;0</formula>
    </cfRule>
  </conditionalFormatting>
  <conditionalFormatting sqref="BL34">
    <cfRule type="cellIs" dxfId="1082" priority="1441" operator="equal">
      <formula>"Verificar"</formula>
    </cfRule>
  </conditionalFormatting>
  <conditionalFormatting sqref="BL34">
    <cfRule type="notContainsBlanks" dxfId="1081" priority="1440">
      <formula>LEN(TRIM(BL34))&gt;0</formula>
    </cfRule>
  </conditionalFormatting>
  <conditionalFormatting sqref="BL35">
    <cfRule type="cellIs" dxfId="1080" priority="1439" operator="equal">
      <formula>"Verificar"</formula>
    </cfRule>
  </conditionalFormatting>
  <conditionalFormatting sqref="BL35">
    <cfRule type="notContainsBlanks" dxfId="1079" priority="1438">
      <formula>LEN(TRIM(BL35))&gt;0</formula>
    </cfRule>
  </conditionalFormatting>
  <conditionalFormatting sqref="BL39">
    <cfRule type="cellIs" dxfId="1078" priority="1437" operator="equal">
      <formula>"Verificar"</formula>
    </cfRule>
  </conditionalFormatting>
  <conditionalFormatting sqref="BL39">
    <cfRule type="notContainsBlanks" dxfId="1077" priority="1436">
      <formula>LEN(TRIM(BL39))&gt;0</formula>
    </cfRule>
  </conditionalFormatting>
  <conditionalFormatting sqref="BL42">
    <cfRule type="cellIs" dxfId="1076" priority="1435" operator="equal">
      <formula>"Verificar"</formula>
    </cfRule>
  </conditionalFormatting>
  <conditionalFormatting sqref="BL42">
    <cfRule type="notContainsBlanks" dxfId="1075" priority="1434">
      <formula>LEN(TRIM(BL42))&gt;0</formula>
    </cfRule>
  </conditionalFormatting>
  <conditionalFormatting sqref="BL58">
    <cfRule type="cellIs" dxfId="1074" priority="1433" operator="equal">
      <formula>"Verificar"</formula>
    </cfRule>
  </conditionalFormatting>
  <conditionalFormatting sqref="BL58">
    <cfRule type="notContainsBlanks" dxfId="1073" priority="1432">
      <formula>LEN(TRIM(BL58))&gt;0</formula>
    </cfRule>
  </conditionalFormatting>
  <conditionalFormatting sqref="BL64">
    <cfRule type="cellIs" dxfId="1072" priority="1431" operator="equal">
      <formula>"Verificar"</formula>
    </cfRule>
  </conditionalFormatting>
  <conditionalFormatting sqref="BL64">
    <cfRule type="notContainsBlanks" dxfId="1071" priority="1430">
      <formula>LEN(TRIM(BL64))&gt;0</formula>
    </cfRule>
  </conditionalFormatting>
  <conditionalFormatting sqref="BL65">
    <cfRule type="cellIs" dxfId="1070" priority="1429" operator="equal">
      <formula>"Verificar"</formula>
    </cfRule>
  </conditionalFormatting>
  <conditionalFormatting sqref="BL65">
    <cfRule type="notContainsBlanks" dxfId="1069" priority="1428">
      <formula>LEN(TRIM(BL65))&gt;0</formula>
    </cfRule>
  </conditionalFormatting>
  <conditionalFormatting sqref="BL81">
    <cfRule type="cellIs" dxfId="1068" priority="1427" operator="equal">
      <formula>"Verificar"</formula>
    </cfRule>
  </conditionalFormatting>
  <conditionalFormatting sqref="BL81">
    <cfRule type="notContainsBlanks" dxfId="1067" priority="1426">
      <formula>LEN(TRIM(BL81))&gt;0</formula>
    </cfRule>
  </conditionalFormatting>
  <conditionalFormatting sqref="BL85">
    <cfRule type="cellIs" dxfId="1066" priority="1425" operator="equal">
      <formula>"Verificar"</formula>
    </cfRule>
  </conditionalFormatting>
  <conditionalFormatting sqref="BL85">
    <cfRule type="notContainsBlanks" dxfId="1065" priority="1424">
      <formula>LEN(TRIM(BL85))&gt;0</formula>
    </cfRule>
  </conditionalFormatting>
  <conditionalFormatting sqref="BL98">
    <cfRule type="cellIs" dxfId="1064" priority="1423" operator="equal">
      <formula>"Verificar"</formula>
    </cfRule>
  </conditionalFormatting>
  <conditionalFormatting sqref="BL98">
    <cfRule type="notContainsBlanks" dxfId="1063" priority="1422">
      <formula>LEN(TRIM(BL98))&gt;0</formula>
    </cfRule>
  </conditionalFormatting>
  <conditionalFormatting sqref="BL102">
    <cfRule type="cellIs" dxfId="1062" priority="1421" operator="equal">
      <formula>"Verificar"</formula>
    </cfRule>
  </conditionalFormatting>
  <conditionalFormatting sqref="BL102">
    <cfRule type="notContainsBlanks" dxfId="1061" priority="1420">
      <formula>LEN(TRIM(BL102))&gt;0</formula>
    </cfRule>
  </conditionalFormatting>
  <conditionalFormatting sqref="BL104">
    <cfRule type="cellIs" dxfId="1060" priority="1419" operator="equal">
      <formula>"Verificar"</formula>
    </cfRule>
  </conditionalFormatting>
  <conditionalFormatting sqref="BL104">
    <cfRule type="notContainsBlanks" dxfId="1059" priority="1418">
      <formula>LEN(TRIM(BL104))&gt;0</formula>
    </cfRule>
  </conditionalFormatting>
  <conditionalFormatting sqref="BL110">
    <cfRule type="cellIs" dxfId="1058" priority="1417" operator="equal">
      <formula>"Verificar"</formula>
    </cfRule>
  </conditionalFormatting>
  <conditionalFormatting sqref="BL110">
    <cfRule type="notContainsBlanks" dxfId="1057" priority="1416">
      <formula>LEN(TRIM(BL110))&gt;0</formula>
    </cfRule>
  </conditionalFormatting>
  <conditionalFormatting sqref="BL111">
    <cfRule type="cellIs" dxfId="1056" priority="1415" operator="equal">
      <formula>"Verificar"</formula>
    </cfRule>
  </conditionalFormatting>
  <conditionalFormatting sqref="BL111">
    <cfRule type="notContainsBlanks" dxfId="1055" priority="1414">
      <formula>LEN(TRIM(BL111))&gt;0</formula>
    </cfRule>
  </conditionalFormatting>
  <conditionalFormatting sqref="BL106">
    <cfRule type="cellIs" dxfId="1054" priority="1413" operator="equal">
      <formula>"Verificar"</formula>
    </cfRule>
  </conditionalFormatting>
  <conditionalFormatting sqref="BL118">
    <cfRule type="cellIs" dxfId="1053" priority="1412" operator="equal">
      <formula>"Verificar"</formula>
    </cfRule>
  </conditionalFormatting>
  <conditionalFormatting sqref="BL118">
    <cfRule type="notContainsBlanks" dxfId="1052" priority="1411">
      <formula>LEN(TRIM(BL118))&gt;0</formula>
    </cfRule>
  </conditionalFormatting>
  <conditionalFormatting sqref="BL120">
    <cfRule type="cellIs" dxfId="1051" priority="1410" operator="equal">
      <formula>"Verificar"</formula>
    </cfRule>
  </conditionalFormatting>
  <conditionalFormatting sqref="BL120">
    <cfRule type="notContainsBlanks" dxfId="1050" priority="1409">
      <formula>LEN(TRIM(BL120))&gt;0</formula>
    </cfRule>
  </conditionalFormatting>
  <conditionalFormatting sqref="BL121:BL122">
    <cfRule type="cellIs" dxfId="1049" priority="1408" operator="equal">
      <formula>"Verificar"</formula>
    </cfRule>
  </conditionalFormatting>
  <conditionalFormatting sqref="BL125">
    <cfRule type="notContainsBlanks" dxfId="1048" priority="1404">
      <formula>LEN(TRIM(BL125))&gt;0</formula>
    </cfRule>
  </conditionalFormatting>
  <conditionalFormatting sqref="BL125">
    <cfRule type="cellIs" dxfId="1047" priority="1405" operator="equal">
      <formula>"Verificar"</formula>
    </cfRule>
  </conditionalFormatting>
  <conditionalFormatting sqref="BL123">
    <cfRule type="cellIs" dxfId="1046" priority="1407" operator="equal">
      <formula>"Verificar"</formula>
    </cfRule>
  </conditionalFormatting>
  <conditionalFormatting sqref="BL123">
    <cfRule type="notContainsBlanks" dxfId="1045" priority="1406">
      <formula>LEN(TRIM(BL123))&gt;0</formula>
    </cfRule>
  </conditionalFormatting>
  <conditionalFormatting sqref="BL124">
    <cfRule type="cellIs" dxfId="1044" priority="1403" operator="equal">
      <formula>"Verificar"</formula>
    </cfRule>
  </conditionalFormatting>
  <conditionalFormatting sqref="BL124">
    <cfRule type="notContainsBlanks" dxfId="1043" priority="1402">
      <formula>LEN(TRIM(BL124))&gt;0</formula>
    </cfRule>
  </conditionalFormatting>
  <conditionalFormatting sqref="BL126:BL131">
    <cfRule type="cellIs" dxfId="1042" priority="1401" operator="equal">
      <formula>"Verificar"</formula>
    </cfRule>
  </conditionalFormatting>
  <conditionalFormatting sqref="BL126:BL131">
    <cfRule type="notContainsBlanks" dxfId="1041" priority="1400">
      <formula>LEN(TRIM(BL126))&gt;0</formula>
    </cfRule>
  </conditionalFormatting>
  <conditionalFormatting sqref="BM126:BM131">
    <cfRule type="cellIs" dxfId="1040" priority="1349" operator="equal">
      <formula>"Verificar"</formula>
    </cfRule>
  </conditionalFormatting>
  <conditionalFormatting sqref="BM126:BM131">
    <cfRule type="notContainsBlanks" dxfId="1039" priority="1348">
      <formula>LEN(TRIM(BM126))&gt;0</formula>
    </cfRule>
  </conditionalFormatting>
  <conditionalFormatting sqref="BM4">
    <cfRule type="cellIs" dxfId="1038" priority="1397" operator="equal">
      <formula>"Verificar"</formula>
    </cfRule>
  </conditionalFormatting>
  <conditionalFormatting sqref="BM4">
    <cfRule type="cellIs" dxfId="1037" priority="1396" operator="equal">
      <formula>"Verificar"</formula>
    </cfRule>
  </conditionalFormatting>
  <conditionalFormatting sqref="BM5">
    <cfRule type="cellIs" dxfId="1036" priority="1395" operator="equal">
      <formula>"Verificar"</formula>
    </cfRule>
  </conditionalFormatting>
  <conditionalFormatting sqref="BM5">
    <cfRule type="notContainsBlanks" dxfId="1035" priority="1394">
      <formula>LEN(TRIM(BM5))&gt;0</formula>
    </cfRule>
  </conditionalFormatting>
  <conditionalFormatting sqref="BM6">
    <cfRule type="cellIs" dxfId="1034" priority="1393" operator="equal">
      <formula>"Verificar"</formula>
    </cfRule>
  </conditionalFormatting>
  <conditionalFormatting sqref="BM6">
    <cfRule type="notContainsBlanks" dxfId="1033" priority="1392">
      <formula>LEN(TRIM(BM6))&gt;0</formula>
    </cfRule>
  </conditionalFormatting>
  <conditionalFormatting sqref="BM34">
    <cfRule type="cellIs" dxfId="1032" priority="1391" operator="equal">
      <formula>"Verificar"</formula>
    </cfRule>
  </conditionalFormatting>
  <conditionalFormatting sqref="BM34">
    <cfRule type="notContainsBlanks" dxfId="1031" priority="1390">
      <formula>LEN(TRIM(BM34))&gt;0</formula>
    </cfRule>
  </conditionalFormatting>
  <conditionalFormatting sqref="BM35">
    <cfRule type="cellIs" dxfId="1030" priority="1389" operator="equal">
      <formula>"Verificar"</formula>
    </cfRule>
  </conditionalFormatting>
  <conditionalFormatting sqref="BM35">
    <cfRule type="notContainsBlanks" dxfId="1029" priority="1388">
      <formula>LEN(TRIM(BM35))&gt;0</formula>
    </cfRule>
  </conditionalFormatting>
  <conditionalFormatting sqref="BM39">
    <cfRule type="cellIs" dxfId="1028" priority="1387" operator="equal">
      <formula>"Verificar"</formula>
    </cfRule>
  </conditionalFormatting>
  <conditionalFormatting sqref="BM39">
    <cfRule type="notContainsBlanks" dxfId="1027" priority="1386">
      <formula>LEN(TRIM(BM39))&gt;0</formula>
    </cfRule>
  </conditionalFormatting>
  <conditionalFormatting sqref="BM42">
    <cfRule type="cellIs" dxfId="1026" priority="1385" operator="equal">
      <formula>"Verificar"</formula>
    </cfRule>
  </conditionalFormatting>
  <conditionalFormatting sqref="BM42">
    <cfRule type="notContainsBlanks" dxfId="1025" priority="1384">
      <formula>LEN(TRIM(BM42))&gt;0</formula>
    </cfRule>
  </conditionalFormatting>
  <conditionalFormatting sqref="BM58">
    <cfRule type="cellIs" dxfId="1024" priority="1383" operator="equal">
      <formula>"Verificar"</formula>
    </cfRule>
  </conditionalFormatting>
  <conditionalFormatting sqref="BM58">
    <cfRule type="notContainsBlanks" dxfId="1023" priority="1382">
      <formula>LEN(TRIM(BM58))&gt;0</formula>
    </cfRule>
  </conditionalFormatting>
  <conditionalFormatting sqref="BM64">
    <cfRule type="cellIs" dxfId="1022" priority="1381" operator="equal">
      <formula>"Verificar"</formula>
    </cfRule>
  </conditionalFormatting>
  <conditionalFormatting sqref="BM64">
    <cfRule type="notContainsBlanks" dxfId="1021" priority="1380">
      <formula>LEN(TRIM(BM64))&gt;0</formula>
    </cfRule>
  </conditionalFormatting>
  <conditionalFormatting sqref="BM65">
    <cfRule type="cellIs" dxfId="1020" priority="1379" operator="equal">
      <formula>"Verificar"</formula>
    </cfRule>
  </conditionalFormatting>
  <conditionalFormatting sqref="BM65">
    <cfRule type="notContainsBlanks" dxfId="1019" priority="1378">
      <formula>LEN(TRIM(BM65))&gt;0</formula>
    </cfRule>
  </conditionalFormatting>
  <conditionalFormatting sqref="BM81">
    <cfRule type="cellIs" dxfId="1018" priority="1377" operator="equal">
      <formula>"Verificar"</formula>
    </cfRule>
  </conditionalFormatting>
  <conditionalFormatting sqref="BM81">
    <cfRule type="notContainsBlanks" dxfId="1017" priority="1376">
      <formula>LEN(TRIM(BM81))&gt;0</formula>
    </cfRule>
  </conditionalFormatting>
  <conditionalFormatting sqref="BM85">
    <cfRule type="cellIs" dxfId="1016" priority="1375" operator="equal">
      <formula>"Verificar"</formula>
    </cfRule>
  </conditionalFormatting>
  <conditionalFormatting sqref="BM85">
    <cfRule type="notContainsBlanks" dxfId="1015" priority="1374">
      <formula>LEN(TRIM(BM85))&gt;0</formula>
    </cfRule>
  </conditionalFormatting>
  <conditionalFormatting sqref="BM98">
    <cfRule type="cellIs" dxfId="1014" priority="1373" operator="equal">
      <formula>"Verificar"</formula>
    </cfRule>
  </conditionalFormatting>
  <conditionalFormatting sqref="BM98">
    <cfRule type="notContainsBlanks" dxfId="1013" priority="1372">
      <formula>LEN(TRIM(BM98))&gt;0</formula>
    </cfRule>
  </conditionalFormatting>
  <conditionalFormatting sqref="BM102">
    <cfRule type="cellIs" dxfId="1012" priority="1371" operator="equal">
      <formula>"Verificar"</formula>
    </cfRule>
  </conditionalFormatting>
  <conditionalFormatting sqref="BM102">
    <cfRule type="notContainsBlanks" dxfId="1011" priority="1370">
      <formula>LEN(TRIM(BM102))&gt;0</formula>
    </cfRule>
  </conditionalFormatting>
  <conditionalFormatting sqref="BM104">
    <cfRule type="cellIs" dxfId="1010" priority="1369" operator="equal">
      <formula>"Verificar"</formula>
    </cfRule>
  </conditionalFormatting>
  <conditionalFormatting sqref="BM104">
    <cfRule type="notContainsBlanks" dxfId="1009" priority="1368">
      <formula>LEN(TRIM(BM104))&gt;0</formula>
    </cfRule>
  </conditionalFormatting>
  <conditionalFormatting sqref="BM106">
    <cfRule type="cellIs" dxfId="1008" priority="1367" operator="equal">
      <formula>"Verificar"</formula>
    </cfRule>
  </conditionalFormatting>
  <conditionalFormatting sqref="BM110">
    <cfRule type="cellIs" dxfId="1007" priority="1366" operator="equal">
      <formula>"Verificar"</formula>
    </cfRule>
  </conditionalFormatting>
  <conditionalFormatting sqref="BM110">
    <cfRule type="notContainsBlanks" dxfId="1006" priority="1365">
      <formula>LEN(TRIM(BM110))&gt;0</formula>
    </cfRule>
  </conditionalFormatting>
  <conditionalFormatting sqref="BM111">
    <cfRule type="cellIs" dxfId="1005" priority="1364" operator="equal">
      <formula>"Verificar"</formula>
    </cfRule>
  </conditionalFormatting>
  <conditionalFormatting sqref="BM111">
    <cfRule type="notContainsBlanks" dxfId="1004" priority="1363">
      <formula>LEN(TRIM(BM111))&gt;0</formula>
    </cfRule>
  </conditionalFormatting>
  <conditionalFormatting sqref="BM116">
    <cfRule type="cellIs" dxfId="1003" priority="1362" operator="equal">
      <formula>"Verificar"</formula>
    </cfRule>
  </conditionalFormatting>
  <conditionalFormatting sqref="BM116">
    <cfRule type="notContainsBlanks" dxfId="1002" priority="1361">
      <formula>LEN(TRIM(BM116))&gt;0</formula>
    </cfRule>
  </conditionalFormatting>
  <conditionalFormatting sqref="BM118">
    <cfRule type="cellIs" dxfId="1001" priority="1360" operator="equal">
      <formula>"Verificar"</formula>
    </cfRule>
  </conditionalFormatting>
  <conditionalFormatting sqref="BM118">
    <cfRule type="notContainsBlanks" dxfId="1000" priority="1359">
      <formula>LEN(TRIM(BM118))&gt;0</formula>
    </cfRule>
  </conditionalFormatting>
  <conditionalFormatting sqref="BM120">
    <cfRule type="cellIs" dxfId="999" priority="1358" operator="equal">
      <formula>"Verificar"</formula>
    </cfRule>
  </conditionalFormatting>
  <conditionalFormatting sqref="BM120">
    <cfRule type="notContainsBlanks" dxfId="998" priority="1357">
      <formula>LEN(TRIM(BM120))&gt;0</formula>
    </cfRule>
  </conditionalFormatting>
  <conditionalFormatting sqref="BM121:BM122">
    <cfRule type="cellIs" dxfId="997" priority="1356" operator="equal">
      <formula>"Verificar"</formula>
    </cfRule>
  </conditionalFormatting>
  <conditionalFormatting sqref="BM125">
    <cfRule type="notContainsBlanks" dxfId="996" priority="1352">
      <formula>LEN(TRIM(BM125))&gt;0</formula>
    </cfRule>
  </conditionalFormatting>
  <conditionalFormatting sqref="BM125">
    <cfRule type="cellIs" dxfId="995" priority="1353" operator="equal">
      <formula>"Verificar"</formula>
    </cfRule>
  </conditionalFormatting>
  <conditionalFormatting sqref="BM123">
    <cfRule type="cellIs" dxfId="994" priority="1355" operator="equal">
      <formula>"Verificar"</formula>
    </cfRule>
  </conditionalFormatting>
  <conditionalFormatting sqref="BM123">
    <cfRule type="notContainsBlanks" dxfId="993" priority="1354">
      <formula>LEN(TRIM(BM123))&gt;0</formula>
    </cfRule>
  </conditionalFormatting>
  <conditionalFormatting sqref="BM124">
    <cfRule type="cellIs" dxfId="992" priority="1351" operator="equal">
      <formula>"Verificar"</formula>
    </cfRule>
  </conditionalFormatting>
  <conditionalFormatting sqref="BM124">
    <cfRule type="notContainsBlanks" dxfId="991" priority="1350">
      <formula>LEN(TRIM(BM124))&gt;0</formula>
    </cfRule>
  </conditionalFormatting>
  <conditionalFormatting sqref="BN126:BN131">
    <cfRule type="cellIs" dxfId="990" priority="1299" operator="equal">
      <formula>"Verificar"</formula>
    </cfRule>
  </conditionalFormatting>
  <conditionalFormatting sqref="BN126:BN131">
    <cfRule type="notContainsBlanks" dxfId="989" priority="1298">
      <formula>LEN(TRIM(BN126))&gt;0</formula>
    </cfRule>
  </conditionalFormatting>
  <conditionalFormatting sqref="BN4">
    <cfRule type="cellIs" dxfId="988" priority="1347" operator="equal">
      <formula>"Verificar"</formula>
    </cfRule>
  </conditionalFormatting>
  <conditionalFormatting sqref="BN4">
    <cfRule type="cellIs" dxfId="987" priority="1346" operator="equal">
      <formula>"Verificar"</formula>
    </cfRule>
  </conditionalFormatting>
  <conditionalFormatting sqref="BN5">
    <cfRule type="cellIs" dxfId="986" priority="1345" operator="equal">
      <formula>"Verificar"</formula>
    </cfRule>
  </conditionalFormatting>
  <conditionalFormatting sqref="BN5">
    <cfRule type="notContainsBlanks" dxfId="985" priority="1344">
      <formula>LEN(TRIM(BN5))&gt;0</formula>
    </cfRule>
  </conditionalFormatting>
  <conditionalFormatting sqref="BN6">
    <cfRule type="cellIs" dxfId="984" priority="1343" operator="equal">
      <formula>"Verificar"</formula>
    </cfRule>
  </conditionalFormatting>
  <conditionalFormatting sqref="BN6">
    <cfRule type="notContainsBlanks" dxfId="983" priority="1342">
      <formula>LEN(TRIM(BN6))&gt;0</formula>
    </cfRule>
  </conditionalFormatting>
  <conditionalFormatting sqref="BN34">
    <cfRule type="cellIs" dxfId="982" priority="1341" operator="equal">
      <formula>"Verificar"</formula>
    </cfRule>
  </conditionalFormatting>
  <conditionalFormatting sqref="BN34">
    <cfRule type="notContainsBlanks" dxfId="981" priority="1340">
      <formula>LEN(TRIM(BN34))&gt;0</formula>
    </cfRule>
  </conditionalFormatting>
  <conditionalFormatting sqref="BN35">
    <cfRule type="cellIs" dxfId="980" priority="1339" operator="equal">
      <formula>"Verificar"</formula>
    </cfRule>
  </conditionalFormatting>
  <conditionalFormatting sqref="BN35">
    <cfRule type="notContainsBlanks" dxfId="979" priority="1338">
      <formula>LEN(TRIM(BN35))&gt;0</formula>
    </cfRule>
  </conditionalFormatting>
  <conditionalFormatting sqref="BN39">
    <cfRule type="cellIs" dxfId="978" priority="1337" operator="equal">
      <formula>"Verificar"</formula>
    </cfRule>
  </conditionalFormatting>
  <conditionalFormatting sqref="BN39">
    <cfRule type="notContainsBlanks" dxfId="977" priority="1336">
      <formula>LEN(TRIM(BN39))&gt;0</formula>
    </cfRule>
  </conditionalFormatting>
  <conditionalFormatting sqref="BN42">
    <cfRule type="cellIs" dxfId="976" priority="1335" operator="equal">
      <formula>"Verificar"</formula>
    </cfRule>
  </conditionalFormatting>
  <conditionalFormatting sqref="BN42">
    <cfRule type="notContainsBlanks" dxfId="975" priority="1334">
      <formula>LEN(TRIM(BN42))&gt;0</formula>
    </cfRule>
  </conditionalFormatting>
  <conditionalFormatting sqref="BN58">
    <cfRule type="cellIs" dxfId="974" priority="1333" operator="equal">
      <formula>"Verificar"</formula>
    </cfRule>
  </conditionalFormatting>
  <conditionalFormatting sqref="BN58">
    <cfRule type="notContainsBlanks" dxfId="973" priority="1332">
      <formula>LEN(TRIM(BN58))&gt;0</formula>
    </cfRule>
  </conditionalFormatting>
  <conditionalFormatting sqref="BN64">
    <cfRule type="cellIs" dxfId="972" priority="1331" operator="equal">
      <formula>"Verificar"</formula>
    </cfRule>
  </conditionalFormatting>
  <conditionalFormatting sqref="BN64">
    <cfRule type="notContainsBlanks" dxfId="971" priority="1330">
      <formula>LEN(TRIM(BN64))&gt;0</formula>
    </cfRule>
  </conditionalFormatting>
  <conditionalFormatting sqref="BN65">
    <cfRule type="cellIs" dxfId="970" priority="1329" operator="equal">
      <formula>"Verificar"</formula>
    </cfRule>
  </conditionalFormatting>
  <conditionalFormatting sqref="BN65">
    <cfRule type="notContainsBlanks" dxfId="969" priority="1328">
      <formula>LEN(TRIM(BN65))&gt;0</formula>
    </cfRule>
  </conditionalFormatting>
  <conditionalFormatting sqref="BN81">
    <cfRule type="cellIs" dxfId="968" priority="1327" operator="equal">
      <formula>"Verificar"</formula>
    </cfRule>
  </conditionalFormatting>
  <conditionalFormatting sqref="BN81">
    <cfRule type="notContainsBlanks" dxfId="967" priority="1326">
      <formula>LEN(TRIM(BN81))&gt;0</formula>
    </cfRule>
  </conditionalFormatting>
  <conditionalFormatting sqref="BN85">
    <cfRule type="cellIs" dxfId="966" priority="1325" operator="equal">
      <formula>"Verificar"</formula>
    </cfRule>
  </conditionalFormatting>
  <conditionalFormatting sqref="BN85">
    <cfRule type="notContainsBlanks" dxfId="965" priority="1324">
      <formula>LEN(TRIM(BN85))&gt;0</formula>
    </cfRule>
  </conditionalFormatting>
  <conditionalFormatting sqref="BN98">
    <cfRule type="cellIs" dxfId="964" priority="1323" operator="equal">
      <formula>"Verificar"</formula>
    </cfRule>
  </conditionalFormatting>
  <conditionalFormatting sqref="BN98">
    <cfRule type="notContainsBlanks" dxfId="963" priority="1322">
      <formula>LEN(TRIM(BN98))&gt;0</formula>
    </cfRule>
  </conditionalFormatting>
  <conditionalFormatting sqref="BN102">
    <cfRule type="cellIs" dxfId="962" priority="1321" operator="equal">
      <formula>"Verificar"</formula>
    </cfRule>
  </conditionalFormatting>
  <conditionalFormatting sqref="BN102">
    <cfRule type="notContainsBlanks" dxfId="961" priority="1320">
      <formula>LEN(TRIM(BN102))&gt;0</formula>
    </cfRule>
  </conditionalFormatting>
  <conditionalFormatting sqref="BN104">
    <cfRule type="cellIs" dxfId="960" priority="1319" operator="equal">
      <formula>"Verificar"</formula>
    </cfRule>
  </conditionalFormatting>
  <conditionalFormatting sqref="BN104">
    <cfRule type="notContainsBlanks" dxfId="959" priority="1318">
      <formula>LEN(TRIM(BN104))&gt;0</formula>
    </cfRule>
  </conditionalFormatting>
  <conditionalFormatting sqref="BN110">
    <cfRule type="cellIs" dxfId="958" priority="1317" operator="equal">
      <formula>"Verificar"</formula>
    </cfRule>
  </conditionalFormatting>
  <conditionalFormatting sqref="BN110">
    <cfRule type="notContainsBlanks" dxfId="957" priority="1316">
      <formula>LEN(TRIM(BN110))&gt;0</formula>
    </cfRule>
  </conditionalFormatting>
  <conditionalFormatting sqref="BN106">
    <cfRule type="cellIs" dxfId="956" priority="1315" operator="equal">
      <formula>"Verificar"</formula>
    </cfRule>
  </conditionalFormatting>
  <conditionalFormatting sqref="BN111">
    <cfRule type="cellIs" dxfId="955" priority="1314" operator="equal">
      <formula>"Verificar"</formula>
    </cfRule>
  </conditionalFormatting>
  <conditionalFormatting sqref="BN111">
    <cfRule type="notContainsBlanks" dxfId="954" priority="1313">
      <formula>LEN(TRIM(BN111))&gt;0</formula>
    </cfRule>
  </conditionalFormatting>
  <conditionalFormatting sqref="BN116">
    <cfRule type="cellIs" dxfId="953" priority="1312" operator="equal">
      <formula>"Verificar"</formula>
    </cfRule>
  </conditionalFormatting>
  <conditionalFormatting sqref="BN116">
    <cfRule type="notContainsBlanks" dxfId="952" priority="1311">
      <formula>LEN(TRIM(BN116))&gt;0</formula>
    </cfRule>
  </conditionalFormatting>
  <conditionalFormatting sqref="BN118">
    <cfRule type="cellIs" dxfId="951" priority="1310" operator="equal">
      <formula>"Verificar"</formula>
    </cfRule>
  </conditionalFormatting>
  <conditionalFormatting sqref="BN118">
    <cfRule type="notContainsBlanks" dxfId="950" priority="1309">
      <formula>LEN(TRIM(BN118))&gt;0</formula>
    </cfRule>
  </conditionalFormatting>
  <conditionalFormatting sqref="BN120">
    <cfRule type="cellIs" dxfId="949" priority="1308" operator="equal">
      <formula>"Verificar"</formula>
    </cfRule>
  </conditionalFormatting>
  <conditionalFormatting sqref="BN120">
    <cfRule type="notContainsBlanks" dxfId="948" priority="1307">
      <formula>LEN(TRIM(BN120))&gt;0</formula>
    </cfRule>
  </conditionalFormatting>
  <conditionalFormatting sqref="BN123">
    <cfRule type="cellIs" dxfId="947" priority="1306" operator="equal">
      <formula>"Verificar"</formula>
    </cfRule>
  </conditionalFormatting>
  <conditionalFormatting sqref="BN123">
    <cfRule type="notContainsBlanks" dxfId="946" priority="1305">
      <formula>LEN(TRIM(BN123))&gt;0</formula>
    </cfRule>
  </conditionalFormatting>
  <conditionalFormatting sqref="BN124">
    <cfRule type="cellIs" dxfId="945" priority="1304" operator="equal">
      <formula>"Verificar"</formula>
    </cfRule>
  </conditionalFormatting>
  <conditionalFormatting sqref="BN124">
    <cfRule type="notContainsBlanks" dxfId="944" priority="1303">
      <formula>LEN(TRIM(BN124))&gt;0</formula>
    </cfRule>
  </conditionalFormatting>
  <conditionalFormatting sqref="BN125">
    <cfRule type="cellIs" dxfId="943" priority="1302" operator="equal">
      <formula>"Verificar"</formula>
    </cfRule>
  </conditionalFormatting>
  <conditionalFormatting sqref="BN125">
    <cfRule type="notContainsBlanks" dxfId="942" priority="1301">
      <formula>LEN(TRIM(BN125))&gt;0</formula>
    </cfRule>
  </conditionalFormatting>
  <conditionalFormatting sqref="BN121:BN122">
    <cfRule type="cellIs" dxfId="941" priority="1300" operator="equal">
      <formula>"Verificar"</formula>
    </cfRule>
  </conditionalFormatting>
  <conditionalFormatting sqref="BO65">
    <cfRule type="cellIs" dxfId="940" priority="1249" operator="equal">
      <formula>"Verificar"</formula>
    </cfRule>
  </conditionalFormatting>
  <conditionalFormatting sqref="BO65">
    <cfRule type="notContainsBlanks" dxfId="939" priority="1248">
      <formula>LEN(TRIM(BO65))&gt;0</formula>
    </cfRule>
  </conditionalFormatting>
  <conditionalFormatting sqref="BO4">
    <cfRule type="cellIs" dxfId="938" priority="1297" operator="equal">
      <formula>"Verificar"</formula>
    </cfRule>
  </conditionalFormatting>
  <conditionalFormatting sqref="BO4">
    <cfRule type="cellIs" dxfId="937" priority="1296" operator="equal">
      <formula>"Verificar"</formula>
    </cfRule>
  </conditionalFormatting>
  <conditionalFormatting sqref="BO5">
    <cfRule type="cellIs" dxfId="936" priority="1295" operator="equal">
      <formula>"Verificar"</formula>
    </cfRule>
  </conditionalFormatting>
  <conditionalFormatting sqref="BO5">
    <cfRule type="notContainsBlanks" dxfId="935" priority="1294">
      <formula>LEN(TRIM(BO5))&gt;0</formula>
    </cfRule>
  </conditionalFormatting>
  <conditionalFormatting sqref="BO6">
    <cfRule type="cellIs" dxfId="934" priority="1293" operator="equal">
      <formula>"Verificar"</formula>
    </cfRule>
  </conditionalFormatting>
  <conditionalFormatting sqref="BO6">
    <cfRule type="notContainsBlanks" dxfId="933" priority="1292">
      <formula>LEN(TRIM(BO6))&gt;0</formula>
    </cfRule>
  </conditionalFormatting>
  <conditionalFormatting sqref="BO34">
    <cfRule type="cellIs" dxfId="932" priority="1291" operator="equal">
      <formula>"Verificar"</formula>
    </cfRule>
  </conditionalFormatting>
  <conditionalFormatting sqref="BO34">
    <cfRule type="notContainsBlanks" dxfId="931" priority="1290">
      <formula>LEN(TRIM(BO34))&gt;0</formula>
    </cfRule>
  </conditionalFormatting>
  <conditionalFormatting sqref="BO35">
    <cfRule type="cellIs" dxfId="930" priority="1289" operator="equal">
      <formula>"Verificar"</formula>
    </cfRule>
  </conditionalFormatting>
  <conditionalFormatting sqref="BO35">
    <cfRule type="notContainsBlanks" dxfId="929" priority="1288">
      <formula>LEN(TRIM(BO35))&gt;0</formula>
    </cfRule>
  </conditionalFormatting>
  <conditionalFormatting sqref="BO39">
    <cfRule type="cellIs" dxfId="928" priority="1287" operator="equal">
      <formula>"Verificar"</formula>
    </cfRule>
  </conditionalFormatting>
  <conditionalFormatting sqref="BO39">
    <cfRule type="notContainsBlanks" dxfId="927" priority="1286">
      <formula>LEN(TRIM(BO39))&gt;0</formula>
    </cfRule>
  </conditionalFormatting>
  <conditionalFormatting sqref="BO42">
    <cfRule type="cellIs" dxfId="926" priority="1285" operator="equal">
      <formula>"Verificar"</formula>
    </cfRule>
  </conditionalFormatting>
  <conditionalFormatting sqref="BO42">
    <cfRule type="notContainsBlanks" dxfId="925" priority="1284">
      <formula>LEN(TRIM(BO42))&gt;0</formula>
    </cfRule>
  </conditionalFormatting>
  <conditionalFormatting sqref="BO58">
    <cfRule type="cellIs" dxfId="924" priority="1283" operator="equal">
      <formula>"Verificar"</formula>
    </cfRule>
  </conditionalFormatting>
  <conditionalFormatting sqref="BO58">
    <cfRule type="notContainsBlanks" dxfId="923" priority="1282">
      <formula>LEN(TRIM(BO58))&gt;0</formula>
    </cfRule>
  </conditionalFormatting>
  <conditionalFormatting sqref="BO81">
    <cfRule type="cellIs" dxfId="922" priority="1281" operator="equal">
      <formula>"Verificar"</formula>
    </cfRule>
  </conditionalFormatting>
  <conditionalFormatting sqref="BO81">
    <cfRule type="notContainsBlanks" dxfId="921" priority="1280">
      <formula>LEN(TRIM(BO81))&gt;0</formula>
    </cfRule>
  </conditionalFormatting>
  <conditionalFormatting sqref="BO85">
    <cfRule type="cellIs" dxfId="920" priority="1279" operator="equal">
      <formula>"Verificar"</formula>
    </cfRule>
  </conditionalFormatting>
  <conditionalFormatting sqref="BO85">
    <cfRule type="notContainsBlanks" dxfId="919" priority="1278">
      <formula>LEN(TRIM(BO85))&gt;0</formula>
    </cfRule>
  </conditionalFormatting>
  <conditionalFormatting sqref="BO98">
    <cfRule type="cellIs" dxfId="918" priority="1277" operator="equal">
      <formula>"Verificar"</formula>
    </cfRule>
  </conditionalFormatting>
  <conditionalFormatting sqref="BO98">
    <cfRule type="notContainsBlanks" dxfId="917" priority="1276">
      <formula>LEN(TRIM(BO98))&gt;0</formula>
    </cfRule>
  </conditionalFormatting>
  <conditionalFormatting sqref="BO102">
    <cfRule type="cellIs" dxfId="916" priority="1275" operator="equal">
      <formula>"Verificar"</formula>
    </cfRule>
  </conditionalFormatting>
  <conditionalFormatting sqref="BO102">
    <cfRule type="notContainsBlanks" dxfId="915" priority="1274">
      <formula>LEN(TRIM(BO102))&gt;0</formula>
    </cfRule>
  </conditionalFormatting>
  <conditionalFormatting sqref="BO104">
    <cfRule type="cellIs" dxfId="914" priority="1273" operator="equal">
      <formula>"Verificar"</formula>
    </cfRule>
  </conditionalFormatting>
  <conditionalFormatting sqref="BO104">
    <cfRule type="notContainsBlanks" dxfId="913" priority="1272">
      <formula>LEN(TRIM(BO104))&gt;0</formula>
    </cfRule>
  </conditionalFormatting>
  <conditionalFormatting sqref="BP126:BP131">
    <cfRule type="notContainsBlanks" dxfId="912" priority="1198">
      <formula>LEN(TRIM(BP126))&gt;0</formula>
    </cfRule>
  </conditionalFormatting>
  <conditionalFormatting sqref="BO106">
    <cfRule type="cellIs" dxfId="911" priority="1271" operator="equal">
      <formula>"Verificar"</formula>
    </cfRule>
  </conditionalFormatting>
  <conditionalFormatting sqref="BO110">
    <cfRule type="cellIs" dxfId="910" priority="1270" operator="equal">
      <formula>"Verificar"</formula>
    </cfRule>
  </conditionalFormatting>
  <conditionalFormatting sqref="BO110">
    <cfRule type="notContainsBlanks" dxfId="909" priority="1269">
      <formula>LEN(TRIM(BO110))&gt;0</formula>
    </cfRule>
  </conditionalFormatting>
  <conditionalFormatting sqref="BO111">
    <cfRule type="cellIs" dxfId="908" priority="1268" operator="equal">
      <formula>"Verificar"</formula>
    </cfRule>
  </conditionalFormatting>
  <conditionalFormatting sqref="BO111">
    <cfRule type="notContainsBlanks" dxfId="907" priority="1267">
      <formula>LEN(TRIM(BO111))&gt;0</formula>
    </cfRule>
  </conditionalFormatting>
  <conditionalFormatting sqref="BO116">
    <cfRule type="cellIs" dxfId="906" priority="1266" operator="equal">
      <formula>"Verificar"</formula>
    </cfRule>
  </conditionalFormatting>
  <conditionalFormatting sqref="BO116">
    <cfRule type="notContainsBlanks" dxfId="905" priority="1265">
      <formula>LEN(TRIM(BO116))&gt;0</formula>
    </cfRule>
  </conditionalFormatting>
  <conditionalFormatting sqref="BO118">
    <cfRule type="cellIs" dxfId="904" priority="1264" operator="equal">
      <formula>"Verificar"</formula>
    </cfRule>
  </conditionalFormatting>
  <conditionalFormatting sqref="BO118">
    <cfRule type="notContainsBlanks" dxfId="903" priority="1263">
      <formula>LEN(TRIM(BO118))&gt;0</formula>
    </cfRule>
  </conditionalFormatting>
  <conditionalFormatting sqref="BO120">
    <cfRule type="cellIs" dxfId="902" priority="1262" operator="equal">
      <formula>"Verificar"</formula>
    </cfRule>
  </conditionalFormatting>
  <conditionalFormatting sqref="BO120">
    <cfRule type="notContainsBlanks" dxfId="901" priority="1261">
      <formula>LEN(TRIM(BO120))&gt;0</formula>
    </cfRule>
  </conditionalFormatting>
  <conditionalFormatting sqref="BO121:BO122">
    <cfRule type="cellIs" dxfId="900" priority="1260" operator="equal">
      <formula>"Verificar"</formula>
    </cfRule>
  </conditionalFormatting>
  <conditionalFormatting sqref="BO123">
    <cfRule type="cellIs" dxfId="899" priority="1259" operator="equal">
      <formula>"Verificar"</formula>
    </cfRule>
  </conditionalFormatting>
  <conditionalFormatting sqref="BO123">
    <cfRule type="notContainsBlanks" dxfId="898" priority="1258">
      <formula>LEN(TRIM(BO123))&gt;0</formula>
    </cfRule>
  </conditionalFormatting>
  <conditionalFormatting sqref="BO124">
    <cfRule type="cellIs" dxfId="897" priority="1257" operator="equal">
      <formula>"Verificar"</formula>
    </cfRule>
  </conditionalFormatting>
  <conditionalFormatting sqref="BO124">
    <cfRule type="notContainsBlanks" dxfId="896" priority="1256">
      <formula>LEN(TRIM(BO124))&gt;0</formula>
    </cfRule>
  </conditionalFormatting>
  <conditionalFormatting sqref="BO125">
    <cfRule type="cellIs" dxfId="895" priority="1255" operator="equal">
      <formula>"Verificar"</formula>
    </cfRule>
  </conditionalFormatting>
  <conditionalFormatting sqref="BO125">
    <cfRule type="notContainsBlanks" dxfId="894" priority="1254">
      <formula>LEN(TRIM(BO125))&gt;0</formula>
    </cfRule>
  </conditionalFormatting>
  <conditionalFormatting sqref="BO126:BO131">
    <cfRule type="cellIs" dxfId="893" priority="1253" operator="equal">
      <formula>"Verificar"</formula>
    </cfRule>
  </conditionalFormatting>
  <conditionalFormatting sqref="BO126:BO131">
    <cfRule type="notContainsBlanks" dxfId="892" priority="1252">
      <formula>LEN(TRIM(BO126))&gt;0</formula>
    </cfRule>
  </conditionalFormatting>
  <conditionalFormatting sqref="BO64">
    <cfRule type="cellIs" dxfId="891" priority="1251" operator="equal">
      <formula>"Verificar"</formula>
    </cfRule>
  </conditionalFormatting>
  <conditionalFormatting sqref="BO64">
    <cfRule type="notContainsBlanks" dxfId="890" priority="1250">
      <formula>LEN(TRIM(BO64))&gt;0</formula>
    </cfRule>
  </conditionalFormatting>
  <conditionalFormatting sqref="BP126:BP131">
    <cfRule type="cellIs" dxfId="889" priority="1199" operator="equal">
      <formula>"Verificar"</formula>
    </cfRule>
  </conditionalFormatting>
  <conditionalFormatting sqref="BP65">
    <cfRule type="notContainsBlanks" dxfId="888" priority="1177">
      <formula>LEN(TRIM(BP65))&gt;0</formula>
    </cfRule>
  </conditionalFormatting>
  <conditionalFormatting sqref="BP4">
    <cfRule type="cellIs" dxfId="887" priority="1247" operator="equal">
      <formula>"Verificar"</formula>
    </cfRule>
  </conditionalFormatting>
  <conditionalFormatting sqref="BP4">
    <cfRule type="cellIs" dxfId="886" priority="1246" operator="equal">
      <formula>"Verificar"</formula>
    </cfRule>
  </conditionalFormatting>
  <conditionalFormatting sqref="BP81">
    <cfRule type="cellIs" dxfId="885" priority="1227" operator="equal">
      <formula>"Verificar"</formula>
    </cfRule>
  </conditionalFormatting>
  <conditionalFormatting sqref="BP81">
    <cfRule type="notContainsBlanks" dxfId="884" priority="1226">
      <formula>LEN(TRIM(BP81))&gt;0</formula>
    </cfRule>
  </conditionalFormatting>
  <conditionalFormatting sqref="BT132:BT314 BT7:BT33 BT36:BT38 BT40:BT41 BT43:BT57 BT59:BT63 BT82:BT84 BT99:BT101 BT103 BT112:BT115 BT117 BT119 BT105 BT107:BT109 BT66:BT80 BT86:BT97">
    <cfRule type="cellIs" dxfId="883" priority="1030" operator="equal">
      <formula>"Verificar"</formula>
    </cfRule>
  </conditionalFormatting>
  <conditionalFormatting sqref="BQ4">
    <cfRule type="cellIs" dxfId="882" priority="1175" operator="equal">
      <formula>"Verificar"</formula>
    </cfRule>
  </conditionalFormatting>
  <conditionalFormatting sqref="BP98">
    <cfRule type="cellIs" dxfId="881" priority="1223" operator="equal">
      <formula>"Verificar"</formula>
    </cfRule>
  </conditionalFormatting>
  <conditionalFormatting sqref="BP98">
    <cfRule type="notContainsBlanks" dxfId="880" priority="1222">
      <formula>LEN(TRIM(BP98))&gt;0</formula>
    </cfRule>
  </conditionalFormatting>
  <conditionalFormatting sqref="BP102">
    <cfRule type="cellIs" dxfId="879" priority="1221" operator="equal">
      <formula>"Verificar"</formula>
    </cfRule>
  </conditionalFormatting>
  <conditionalFormatting sqref="BP102">
    <cfRule type="notContainsBlanks" dxfId="878" priority="1220">
      <formula>LEN(TRIM(BP102))&gt;0</formula>
    </cfRule>
  </conditionalFormatting>
  <conditionalFormatting sqref="BP104">
    <cfRule type="cellIs" dxfId="877" priority="1219" operator="equal">
      <formula>"Verificar"</formula>
    </cfRule>
  </conditionalFormatting>
  <conditionalFormatting sqref="BP104">
    <cfRule type="notContainsBlanks" dxfId="876" priority="1218">
      <formula>LEN(TRIM(BP104))&gt;0</formula>
    </cfRule>
  </conditionalFormatting>
  <conditionalFormatting sqref="BP106">
    <cfRule type="cellIs" dxfId="875" priority="1217" operator="equal">
      <formula>"Verificar"</formula>
    </cfRule>
  </conditionalFormatting>
  <conditionalFormatting sqref="BP110">
    <cfRule type="cellIs" dxfId="874" priority="1216" operator="equal">
      <formula>"Verificar"</formula>
    </cfRule>
  </conditionalFormatting>
  <conditionalFormatting sqref="BP110">
    <cfRule type="notContainsBlanks" dxfId="873" priority="1215">
      <formula>LEN(TRIM(BP110))&gt;0</formula>
    </cfRule>
  </conditionalFormatting>
  <conditionalFormatting sqref="BP111">
    <cfRule type="cellIs" dxfId="872" priority="1214" operator="equal">
      <formula>"Verificar"</formula>
    </cfRule>
  </conditionalFormatting>
  <conditionalFormatting sqref="BP111">
    <cfRule type="notContainsBlanks" dxfId="871" priority="1213">
      <formula>LEN(TRIM(BP111))&gt;0</formula>
    </cfRule>
  </conditionalFormatting>
  <conditionalFormatting sqref="BP116">
    <cfRule type="cellIs" dxfId="870" priority="1212" operator="equal">
      <formula>"Verificar"</formula>
    </cfRule>
  </conditionalFormatting>
  <conditionalFormatting sqref="BP116">
    <cfRule type="notContainsBlanks" dxfId="869" priority="1211">
      <formula>LEN(TRIM(BP116))&gt;0</formula>
    </cfRule>
  </conditionalFormatting>
  <conditionalFormatting sqref="BP118">
    <cfRule type="cellIs" dxfId="868" priority="1210" operator="equal">
      <formula>"Verificar"</formula>
    </cfRule>
  </conditionalFormatting>
  <conditionalFormatting sqref="BP118">
    <cfRule type="notContainsBlanks" dxfId="867" priority="1209">
      <formula>LEN(TRIM(BP118))&gt;0</formula>
    </cfRule>
  </conditionalFormatting>
  <conditionalFormatting sqref="BP120">
    <cfRule type="cellIs" dxfId="866" priority="1208" operator="equal">
      <formula>"Verificar"</formula>
    </cfRule>
  </conditionalFormatting>
  <conditionalFormatting sqref="BP120">
    <cfRule type="notContainsBlanks" dxfId="865" priority="1207">
      <formula>LEN(TRIM(BP120))&gt;0</formula>
    </cfRule>
  </conditionalFormatting>
  <conditionalFormatting sqref="BP123">
    <cfRule type="cellIs" dxfId="864" priority="1206" operator="equal">
      <formula>"Verificar"</formula>
    </cfRule>
  </conditionalFormatting>
  <conditionalFormatting sqref="BP123">
    <cfRule type="notContainsBlanks" dxfId="863" priority="1205">
      <formula>LEN(TRIM(BP123))&gt;0</formula>
    </cfRule>
  </conditionalFormatting>
  <conditionalFormatting sqref="BP121:BP122">
    <cfRule type="cellIs" dxfId="862" priority="1204" operator="equal">
      <formula>"Verificar"</formula>
    </cfRule>
  </conditionalFormatting>
  <conditionalFormatting sqref="BP125">
    <cfRule type="cellIs" dxfId="861" priority="1203" operator="equal">
      <formula>"Verificar"</formula>
    </cfRule>
  </conditionalFormatting>
  <conditionalFormatting sqref="BP125">
    <cfRule type="notContainsBlanks" dxfId="860" priority="1202">
      <formula>LEN(TRIM(BP125))&gt;0</formula>
    </cfRule>
  </conditionalFormatting>
  <conditionalFormatting sqref="BP124">
    <cfRule type="cellIs" dxfId="859" priority="1201" operator="equal">
      <formula>"Verificar"</formula>
    </cfRule>
  </conditionalFormatting>
  <conditionalFormatting sqref="BP124">
    <cfRule type="notContainsBlanks" dxfId="858" priority="1200">
      <formula>LEN(TRIM(BP124))&gt;0</formula>
    </cfRule>
  </conditionalFormatting>
  <conditionalFormatting sqref="BP65">
    <cfRule type="cellIs" dxfId="857" priority="1178" operator="equal">
      <formula>"Verificar"</formula>
    </cfRule>
  </conditionalFormatting>
  <conditionalFormatting sqref="BQ126:BQ131">
    <cfRule type="notContainsBlanks" dxfId="856" priority="1127">
      <formula>LEN(TRIM(BQ126))&gt;0</formula>
    </cfRule>
  </conditionalFormatting>
  <conditionalFormatting sqref="BP85">
    <cfRule type="cellIs" dxfId="855" priority="1196" operator="equal">
      <formula>"Verificar"</formula>
    </cfRule>
  </conditionalFormatting>
  <conditionalFormatting sqref="BP85">
    <cfRule type="notContainsBlanks" dxfId="854" priority="1195">
      <formula>LEN(TRIM(BP85))&gt;0</formula>
    </cfRule>
  </conditionalFormatting>
  <conditionalFormatting sqref="BP5">
    <cfRule type="cellIs" dxfId="853" priority="1194" operator="equal">
      <formula>"Verificar"</formula>
    </cfRule>
  </conditionalFormatting>
  <conditionalFormatting sqref="BP5">
    <cfRule type="notContainsBlanks" dxfId="852" priority="1193">
      <formula>LEN(TRIM(BP5))&gt;0</formula>
    </cfRule>
  </conditionalFormatting>
  <conditionalFormatting sqref="BP6">
    <cfRule type="cellIs" dxfId="851" priority="1192" operator="equal">
      <formula>"Verificar"</formula>
    </cfRule>
  </conditionalFormatting>
  <conditionalFormatting sqref="BP6">
    <cfRule type="notContainsBlanks" dxfId="850" priority="1191">
      <formula>LEN(TRIM(BP6))&gt;0</formula>
    </cfRule>
  </conditionalFormatting>
  <conditionalFormatting sqref="BP34">
    <cfRule type="cellIs" dxfId="849" priority="1190" operator="equal">
      <formula>"Verificar"</formula>
    </cfRule>
  </conditionalFormatting>
  <conditionalFormatting sqref="BP34">
    <cfRule type="notContainsBlanks" dxfId="848" priority="1189">
      <formula>LEN(TRIM(BP34))&gt;0</formula>
    </cfRule>
  </conditionalFormatting>
  <conditionalFormatting sqref="BP35">
    <cfRule type="cellIs" dxfId="847" priority="1188" operator="equal">
      <formula>"Verificar"</formula>
    </cfRule>
  </conditionalFormatting>
  <conditionalFormatting sqref="BP35">
    <cfRule type="notContainsBlanks" dxfId="846" priority="1187">
      <formula>LEN(TRIM(BP35))&gt;0</formula>
    </cfRule>
  </conditionalFormatting>
  <conditionalFormatting sqref="BP39">
    <cfRule type="cellIs" dxfId="845" priority="1186" operator="equal">
      <formula>"Verificar"</formula>
    </cfRule>
  </conditionalFormatting>
  <conditionalFormatting sqref="BP39">
    <cfRule type="notContainsBlanks" dxfId="844" priority="1185">
      <formula>LEN(TRIM(BP39))&gt;0</formula>
    </cfRule>
  </conditionalFormatting>
  <conditionalFormatting sqref="BP42">
    <cfRule type="cellIs" dxfId="843" priority="1184" operator="equal">
      <formula>"Verificar"</formula>
    </cfRule>
  </conditionalFormatting>
  <conditionalFormatting sqref="BP42">
    <cfRule type="notContainsBlanks" dxfId="842" priority="1183">
      <formula>LEN(TRIM(BP42))&gt;0</formula>
    </cfRule>
  </conditionalFormatting>
  <conditionalFormatting sqref="BP58">
    <cfRule type="cellIs" dxfId="841" priority="1182" operator="equal">
      <formula>"Verificar"</formula>
    </cfRule>
  </conditionalFormatting>
  <conditionalFormatting sqref="BP58">
    <cfRule type="notContainsBlanks" dxfId="840" priority="1181">
      <formula>LEN(TRIM(BP58))&gt;0</formula>
    </cfRule>
  </conditionalFormatting>
  <conditionalFormatting sqref="BP64">
    <cfRule type="cellIs" dxfId="839" priority="1180" operator="equal">
      <formula>"Verificar"</formula>
    </cfRule>
  </conditionalFormatting>
  <conditionalFormatting sqref="BP64">
    <cfRule type="notContainsBlanks" dxfId="838" priority="1179">
      <formula>LEN(TRIM(BP64))&gt;0</formula>
    </cfRule>
  </conditionalFormatting>
  <conditionalFormatting sqref="BQ126:BQ131">
    <cfRule type="cellIs" dxfId="837" priority="1128" operator="equal">
      <formula>"Verificar"</formula>
    </cfRule>
  </conditionalFormatting>
  <conditionalFormatting sqref="BR126:BR131">
    <cfRule type="notContainsBlanks" dxfId="836" priority="1081">
      <formula>LEN(TRIM(BR126))&gt;0</formula>
    </cfRule>
  </conditionalFormatting>
  <conditionalFormatting sqref="BQ4">
    <cfRule type="cellIs" dxfId="835" priority="1176" operator="equal">
      <formula>"Verificar"</formula>
    </cfRule>
  </conditionalFormatting>
  <conditionalFormatting sqref="BS4">
    <cfRule type="cellIs" dxfId="834" priority="1079" operator="equal">
      <formula>"Verificar"</formula>
    </cfRule>
  </conditionalFormatting>
  <conditionalFormatting sqref="BQ5">
    <cfRule type="cellIs" dxfId="833" priority="1174" operator="equal">
      <formula>"Verificar"</formula>
    </cfRule>
  </conditionalFormatting>
  <conditionalFormatting sqref="BQ5">
    <cfRule type="notContainsBlanks" dxfId="832" priority="1173">
      <formula>LEN(TRIM(BQ5))&gt;0</formula>
    </cfRule>
  </conditionalFormatting>
  <conditionalFormatting sqref="BQ6">
    <cfRule type="cellIs" dxfId="831" priority="1172" operator="equal">
      <formula>"Verificar"</formula>
    </cfRule>
  </conditionalFormatting>
  <conditionalFormatting sqref="BQ6">
    <cfRule type="notContainsBlanks" dxfId="830" priority="1171">
      <formula>LEN(TRIM(BQ6))&gt;0</formula>
    </cfRule>
  </conditionalFormatting>
  <conditionalFormatting sqref="BQ34">
    <cfRule type="cellIs" dxfId="829" priority="1170" operator="equal">
      <formula>"Verificar"</formula>
    </cfRule>
  </conditionalFormatting>
  <conditionalFormatting sqref="BQ34">
    <cfRule type="notContainsBlanks" dxfId="828" priority="1169">
      <formula>LEN(TRIM(BQ34))&gt;0</formula>
    </cfRule>
  </conditionalFormatting>
  <conditionalFormatting sqref="BQ35">
    <cfRule type="cellIs" dxfId="827" priority="1168" operator="equal">
      <formula>"Verificar"</formula>
    </cfRule>
  </conditionalFormatting>
  <conditionalFormatting sqref="BQ35">
    <cfRule type="notContainsBlanks" dxfId="826" priority="1167">
      <formula>LEN(TRIM(BQ35))&gt;0</formula>
    </cfRule>
  </conditionalFormatting>
  <conditionalFormatting sqref="BQ39:BR39">
    <cfRule type="cellIs" dxfId="825" priority="1166" operator="equal">
      <formula>"Verificar"</formula>
    </cfRule>
  </conditionalFormatting>
  <conditionalFormatting sqref="BQ39:BR39">
    <cfRule type="notContainsBlanks" dxfId="824" priority="1165">
      <formula>LEN(TRIM(BQ39))&gt;0</formula>
    </cfRule>
  </conditionalFormatting>
  <conditionalFormatting sqref="BQ42:BR42">
    <cfRule type="cellIs" dxfId="823" priority="1164" operator="equal">
      <formula>"Verificar"</formula>
    </cfRule>
  </conditionalFormatting>
  <conditionalFormatting sqref="BQ42:BR42">
    <cfRule type="notContainsBlanks" dxfId="822" priority="1163">
      <formula>LEN(TRIM(BQ42))&gt;0</formula>
    </cfRule>
  </conditionalFormatting>
  <conditionalFormatting sqref="BQ58">
    <cfRule type="cellIs" dxfId="821" priority="1162" operator="equal">
      <formula>"Verificar"</formula>
    </cfRule>
  </conditionalFormatting>
  <conditionalFormatting sqref="BQ58">
    <cfRule type="notContainsBlanks" dxfId="820" priority="1161">
      <formula>LEN(TRIM(BQ58))&gt;0</formula>
    </cfRule>
  </conditionalFormatting>
  <conditionalFormatting sqref="BQ64">
    <cfRule type="cellIs" dxfId="819" priority="1160" operator="equal">
      <formula>"Verificar"</formula>
    </cfRule>
  </conditionalFormatting>
  <conditionalFormatting sqref="BQ64">
    <cfRule type="notContainsBlanks" dxfId="818" priority="1159">
      <formula>LEN(TRIM(BQ64))&gt;0</formula>
    </cfRule>
  </conditionalFormatting>
  <conditionalFormatting sqref="BQ65">
    <cfRule type="cellIs" dxfId="817" priority="1158" operator="equal">
      <formula>"Verificar"</formula>
    </cfRule>
  </conditionalFormatting>
  <conditionalFormatting sqref="BQ65">
    <cfRule type="notContainsBlanks" dxfId="816" priority="1157">
      <formula>LEN(TRIM(BQ65))&gt;0</formula>
    </cfRule>
  </conditionalFormatting>
  <conditionalFormatting sqref="BQ81">
    <cfRule type="cellIs" dxfId="815" priority="1156" operator="equal">
      <formula>"Verificar"</formula>
    </cfRule>
  </conditionalFormatting>
  <conditionalFormatting sqref="BQ81">
    <cfRule type="notContainsBlanks" dxfId="814" priority="1155">
      <formula>LEN(TRIM(BQ81))&gt;0</formula>
    </cfRule>
  </conditionalFormatting>
  <conditionalFormatting sqref="BQ85">
    <cfRule type="cellIs" dxfId="813" priority="1154" operator="equal">
      <formula>"Verificar"</formula>
    </cfRule>
  </conditionalFormatting>
  <conditionalFormatting sqref="BQ85">
    <cfRule type="notContainsBlanks" dxfId="812" priority="1153">
      <formula>LEN(TRIM(BQ85))&gt;0</formula>
    </cfRule>
  </conditionalFormatting>
  <conditionalFormatting sqref="BQ98">
    <cfRule type="cellIs" dxfId="811" priority="1152" operator="equal">
      <formula>"Verificar"</formula>
    </cfRule>
  </conditionalFormatting>
  <conditionalFormatting sqref="BQ98">
    <cfRule type="notContainsBlanks" dxfId="810" priority="1151">
      <formula>LEN(TRIM(BQ98))&gt;0</formula>
    </cfRule>
  </conditionalFormatting>
  <conditionalFormatting sqref="BQ102">
    <cfRule type="cellIs" dxfId="809" priority="1150" operator="equal">
      <formula>"Verificar"</formula>
    </cfRule>
  </conditionalFormatting>
  <conditionalFormatting sqref="BQ102">
    <cfRule type="notContainsBlanks" dxfId="808" priority="1149">
      <formula>LEN(TRIM(BQ102))&gt;0</formula>
    </cfRule>
  </conditionalFormatting>
  <conditionalFormatting sqref="BQ104">
    <cfRule type="cellIs" dxfId="807" priority="1148" operator="equal">
      <formula>"Verificar"</formula>
    </cfRule>
  </conditionalFormatting>
  <conditionalFormatting sqref="BQ104">
    <cfRule type="notContainsBlanks" dxfId="806" priority="1147">
      <formula>LEN(TRIM(BQ104))&gt;0</formula>
    </cfRule>
  </conditionalFormatting>
  <conditionalFormatting sqref="BQ110">
    <cfRule type="cellIs" dxfId="805" priority="1146" operator="equal">
      <formula>"Verificar"</formula>
    </cfRule>
  </conditionalFormatting>
  <conditionalFormatting sqref="BQ110">
    <cfRule type="notContainsBlanks" dxfId="804" priority="1145">
      <formula>LEN(TRIM(BQ110))&gt;0</formula>
    </cfRule>
  </conditionalFormatting>
  <conditionalFormatting sqref="BQ106">
    <cfRule type="cellIs" dxfId="803" priority="1144" operator="equal">
      <formula>"Verificar"</formula>
    </cfRule>
  </conditionalFormatting>
  <conditionalFormatting sqref="BQ111">
    <cfRule type="cellIs" dxfId="802" priority="1143" operator="equal">
      <formula>"Verificar"</formula>
    </cfRule>
  </conditionalFormatting>
  <conditionalFormatting sqref="BQ111">
    <cfRule type="notContainsBlanks" dxfId="801" priority="1142">
      <formula>LEN(TRIM(BQ111))&gt;0</formula>
    </cfRule>
  </conditionalFormatting>
  <conditionalFormatting sqref="BQ116">
    <cfRule type="cellIs" dxfId="800" priority="1141" operator="equal">
      <formula>"Verificar"</formula>
    </cfRule>
  </conditionalFormatting>
  <conditionalFormatting sqref="BQ116">
    <cfRule type="notContainsBlanks" dxfId="799" priority="1140">
      <formula>LEN(TRIM(BQ116))&gt;0</formula>
    </cfRule>
  </conditionalFormatting>
  <conditionalFormatting sqref="BQ118">
    <cfRule type="cellIs" dxfId="798" priority="1139" operator="equal">
      <formula>"Verificar"</formula>
    </cfRule>
  </conditionalFormatting>
  <conditionalFormatting sqref="BQ118">
    <cfRule type="notContainsBlanks" dxfId="797" priority="1138">
      <formula>LEN(TRIM(BQ118))&gt;0</formula>
    </cfRule>
  </conditionalFormatting>
  <conditionalFormatting sqref="BQ120">
    <cfRule type="cellIs" dxfId="796" priority="1137" operator="equal">
      <formula>"Verificar"</formula>
    </cfRule>
  </conditionalFormatting>
  <conditionalFormatting sqref="BQ120">
    <cfRule type="notContainsBlanks" dxfId="795" priority="1136">
      <formula>LEN(TRIM(BQ120))&gt;0</formula>
    </cfRule>
  </conditionalFormatting>
  <conditionalFormatting sqref="BQ121:BQ122">
    <cfRule type="cellIs" dxfId="794" priority="1135" operator="equal">
      <formula>"Verificar"</formula>
    </cfRule>
  </conditionalFormatting>
  <conditionalFormatting sqref="BQ123">
    <cfRule type="cellIs" dxfId="793" priority="1134" operator="equal">
      <formula>"Verificar"</formula>
    </cfRule>
  </conditionalFormatting>
  <conditionalFormatting sqref="BQ123">
    <cfRule type="notContainsBlanks" dxfId="792" priority="1133">
      <formula>LEN(TRIM(BQ123))&gt;0</formula>
    </cfRule>
  </conditionalFormatting>
  <conditionalFormatting sqref="BQ125">
    <cfRule type="cellIs" dxfId="791" priority="1132" operator="equal">
      <formula>"Verificar"</formula>
    </cfRule>
  </conditionalFormatting>
  <conditionalFormatting sqref="BQ125">
    <cfRule type="notContainsBlanks" dxfId="790" priority="1131">
      <formula>LEN(TRIM(BQ125))&gt;0</formula>
    </cfRule>
  </conditionalFormatting>
  <conditionalFormatting sqref="BQ124">
    <cfRule type="cellIs" dxfId="789" priority="1130" operator="equal">
      <formula>"Verificar"</formula>
    </cfRule>
  </conditionalFormatting>
  <conditionalFormatting sqref="BQ124">
    <cfRule type="notContainsBlanks" dxfId="788" priority="1129">
      <formula>LEN(TRIM(BQ124))&gt;0</formula>
    </cfRule>
  </conditionalFormatting>
  <conditionalFormatting sqref="BS126:BS131">
    <cfRule type="notContainsBlanks" dxfId="787" priority="1031">
      <formula>LEN(TRIM(BS126))&gt;0</formula>
    </cfRule>
  </conditionalFormatting>
  <conditionalFormatting sqref="BR126:BR131">
    <cfRule type="cellIs" dxfId="786" priority="1082" operator="equal">
      <formula>"Verificar"</formula>
    </cfRule>
  </conditionalFormatting>
  <conditionalFormatting sqref="BR4">
    <cfRule type="cellIs" dxfId="785" priority="1125" operator="equal">
      <formula>"Verificar"</formula>
    </cfRule>
  </conditionalFormatting>
  <conditionalFormatting sqref="BR4">
    <cfRule type="cellIs" dxfId="784" priority="1126" operator="equal">
      <formula>"Verificar"</formula>
    </cfRule>
  </conditionalFormatting>
  <conditionalFormatting sqref="BR5">
    <cfRule type="cellIs" dxfId="783" priority="1124" operator="equal">
      <formula>"Verificar"</formula>
    </cfRule>
  </conditionalFormatting>
  <conditionalFormatting sqref="BR5">
    <cfRule type="notContainsBlanks" dxfId="782" priority="1123">
      <formula>LEN(TRIM(BR5))&gt;0</formula>
    </cfRule>
  </conditionalFormatting>
  <conditionalFormatting sqref="BR6">
    <cfRule type="cellIs" dxfId="781" priority="1122" operator="equal">
      <formula>"Verificar"</formula>
    </cfRule>
  </conditionalFormatting>
  <conditionalFormatting sqref="BR6">
    <cfRule type="notContainsBlanks" dxfId="780" priority="1121">
      <formula>LEN(TRIM(BR6))&gt;0</formula>
    </cfRule>
  </conditionalFormatting>
  <conditionalFormatting sqref="BR34">
    <cfRule type="cellIs" dxfId="779" priority="1120" operator="equal">
      <formula>"Verificar"</formula>
    </cfRule>
  </conditionalFormatting>
  <conditionalFormatting sqref="BR34">
    <cfRule type="notContainsBlanks" dxfId="778" priority="1119">
      <formula>LEN(TRIM(BR34))&gt;0</formula>
    </cfRule>
  </conditionalFormatting>
  <conditionalFormatting sqref="BR35">
    <cfRule type="cellIs" dxfId="777" priority="1118" operator="equal">
      <formula>"Verificar"</formula>
    </cfRule>
  </conditionalFormatting>
  <conditionalFormatting sqref="BR35">
    <cfRule type="notContainsBlanks" dxfId="776" priority="1117">
      <formula>LEN(TRIM(BR35))&gt;0</formula>
    </cfRule>
  </conditionalFormatting>
  <conditionalFormatting sqref="BR58">
    <cfRule type="cellIs" dxfId="775" priority="1116" operator="equal">
      <formula>"Verificar"</formula>
    </cfRule>
  </conditionalFormatting>
  <conditionalFormatting sqref="BR58">
    <cfRule type="notContainsBlanks" dxfId="774" priority="1115">
      <formula>LEN(TRIM(BR58))&gt;0</formula>
    </cfRule>
  </conditionalFormatting>
  <conditionalFormatting sqref="BR64">
    <cfRule type="cellIs" dxfId="773" priority="1114" operator="equal">
      <formula>"Verificar"</formula>
    </cfRule>
  </conditionalFormatting>
  <conditionalFormatting sqref="BR64">
    <cfRule type="notContainsBlanks" dxfId="772" priority="1113">
      <formula>LEN(TRIM(BR64))&gt;0</formula>
    </cfRule>
  </conditionalFormatting>
  <conditionalFormatting sqref="BR65">
    <cfRule type="cellIs" dxfId="771" priority="1112" operator="equal">
      <formula>"Verificar"</formula>
    </cfRule>
  </conditionalFormatting>
  <conditionalFormatting sqref="BR65">
    <cfRule type="notContainsBlanks" dxfId="770" priority="1111">
      <formula>LEN(TRIM(BR65))&gt;0</formula>
    </cfRule>
  </conditionalFormatting>
  <conditionalFormatting sqref="BR81">
    <cfRule type="cellIs" dxfId="769" priority="1110" operator="equal">
      <formula>"Verificar"</formula>
    </cfRule>
  </conditionalFormatting>
  <conditionalFormatting sqref="BR81">
    <cfRule type="notContainsBlanks" dxfId="768" priority="1109">
      <formula>LEN(TRIM(BR81))&gt;0</formula>
    </cfRule>
  </conditionalFormatting>
  <conditionalFormatting sqref="BR85">
    <cfRule type="cellIs" dxfId="767" priority="1108" operator="equal">
      <formula>"Verificar"</formula>
    </cfRule>
  </conditionalFormatting>
  <conditionalFormatting sqref="BR85">
    <cfRule type="notContainsBlanks" dxfId="766" priority="1107">
      <formula>LEN(TRIM(BR85))&gt;0</formula>
    </cfRule>
  </conditionalFormatting>
  <conditionalFormatting sqref="BR98">
    <cfRule type="cellIs" dxfId="765" priority="1106" operator="equal">
      <formula>"Verificar"</formula>
    </cfRule>
  </conditionalFormatting>
  <conditionalFormatting sqref="BR98">
    <cfRule type="notContainsBlanks" dxfId="764" priority="1105">
      <formula>LEN(TRIM(BR98))&gt;0</formula>
    </cfRule>
  </conditionalFormatting>
  <conditionalFormatting sqref="BR102">
    <cfRule type="cellIs" dxfId="763" priority="1104" operator="equal">
      <formula>"Verificar"</formula>
    </cfRule>
  </conditionalFormatting>
  <conditionalFormatting sqref="BR102">
    <cfRule type="notContainsBlanks" dxfId="762" priority="1103">
      <formula>LEN(TRIM(BR102))&gt;0</formula>
    </cfRule>
  </conditionalFormatting>
  <conditionalFormatting sqref="BR104">
    <cfRule type="cellIs" dxfId="761" priority="1102" operator="equal">
      <formula>"Verificar"</formula>
    </cfRule>
  </conditionalFormatting>
  <conditionalFormatting sqref="BR104">
    <cfRule type="notContainsBlanks" dxfId="760" priority="1101">
      <formula>LEN(TRIM(BR104))&gt;0</formula>
    </cfRule>
  </conditionalFormatting>
  <conditionalFormatting sqref="BR110">
    <cfRule type="cellIs" dxfId="759" priority="1100" operator="equal">
      <formula>"Verificar"</formula>
    </cfRule>
  </conditionalFormatting>
  <conditionalFormatting sqref="BR110">
    <cfRule type="notContainsBlanks" dxfId="758" priority="1099">
      <formula>LEN(TRIM(BR110))&gt;0</formula>
    </cfRule>
  </conditionalFormatting>
  <conditionalFormatting sqref="BR106">
    <cfRule type="cellIs" dxfId="757" priority="1098" operator="equal">
      <formula>"Verificar"</formula>
    </cfRule>
  </conditionalFormatting>
  <conditionalFormatting sqref="BR111">
    <cfRule type="cellIs" dxfId="756" priority="1097" operator="equal">
      <formula>"Verificar"</formula>
    </cfRule>
  </conditionalFormatting>
  <conditionalFormatting sqref="BR111">
    <cfRule type="notContainsBlanks" dxfId="755" priority="1096">
      <formula>LEN(TRIM(BR111))&gt;0</formula>
    </cfRule>
  </conditionalFormatting>
  <conditionalFormatting sqref="BR116">
    <cfRule type="cellIs" dxfId="754" priority="1095" operator="equal">
      <formula>"Verificar"</formula>
    </cfRule>
  </conditionalFormatting>
  <conditionalFormatting sqref="BR116">
    <cfRule type="notContainsBlanks" dxfId="753" priority="1094">
      <formula>LEN(TRIM(BR116))&gt;0</formula>
    </cfRule>
  </conditionalFormatting>
  <conditionalFormatting sqref="BR118">
    <cfRule type="cellIs" dxfId="752" priority="1093" operator="equal">
      <formula>"Verificar"</formula>
    </cfRule>
  </conditionalFormatting>
  <conditionalFormatting sqref="BR118">
    <cfRule type="notContainsBlanks" dxfId="751" priority="1092">
      <formula>LEN(TRIM(BR118))&gt;0</formula>
    </cfRule>
  </conditionalFormatting>
  <conditionalFormatting sqref="BR120">
    <cfRule type="cellIs" dxfId="750" priority="1091" operator="equal">
      <formula>"Verificar"</formula>
    </cfRule>
  </conditionalFormatting>
  <conditionalFormatting sqref="BR120">
    <cfRule type="notContainsBlanks" dxfId="749" priority="1090">
      <formula>LEN(TRIM(BR120))&gt;0</formula>
    </cfRule>
  </conditionalFormatting>
  <conditionalFormatting sqref="BR123">
    <cfRule type="cellIs" dxfId="748" priority="1089" operator="equal">
      <formula>"Verificar"</formula>
    </cfRule>
  </conditionalFormatting>
  <conditionalFormatting sqref="BR123">
    <cfRule type="notContainsBlanks" dxfId="747" priority="1088">
      <formula>LEN(TRIM(BR123))&gt;0</formula>
    </cfRule>
  </conditionalFormatting>
  <conditionalFormatting sqref="BR125">
    <cfRule type="cellIs" dxfId="746" priority="1087" operator="equal">
      <formula>"Verificar"</formula>
    </cfRule>
  </conditionalFormatting>
  <conditionalFormatting sqref="BR125">
    <cfRule type="notContainsBlanks" dxfId="745" priority="1086">
      <formula>LEN(TRIM(BR125))&gt;0</formula>
    </cfRule>
  </conditionalFormatting>
  <conditionalFormatting sqref="BR124">
    <cfRule type="cellIs" dxfId="744" priority="1085" operator="equal">
      <formula>"Verificar"</formula>
    </cfRule>
  </conditionalFormatting>
  <conditionalFormatting sqref="BR124">
    <cfRule type="notContainsBlanks" dxfId="743" priority="1084">
      <formula>LEN(TRIM(BR124))&gt;0</formula>
    </cfRule>
  </conditionalFormatting>
  <conditionalFormatting sqref="BR121:BR122">
    <cfRule type="cellIs" dxfId="742" priority="1083" operator="equal">
      <formula>"Verificar"</formula>
    </cfRule>
  </conditionalFormatting>
  <conditionalFormatting sqref="BS126:BS131">
    <cfRule type="cellIs" dxfId="741" priority="1032" operator="equal">
      <formula>"Verificar"</formula>
    </cfRule>
  </conditionalFormatting>
  <conditionalFormatting sqref="BT126:BT131">
    <cfRule type="notContainsBlanks" dxfId="740" priority="980">
      <formula>LEN(TRIM(BT126))&gt;0</formula>
    </cfRule>
  </conditionalFormatting>
  <conditionalFormatting sqref="BT4">
    <cfRule type="cellIs" dxfId="739" priority="1028" operator="equal">
      <formula>"Verificar"</formula>
    </cfRule>
  </conditionalFormatting>
  <conditionalFormatting sqref="BS4">
    <cfRule type="cellIs" dxfId="738" priority="1080" operator="equal">
      <formula>"Verificar"</formula>
    </cfRule>
  </conditionalFormatting>
  <conditionalFormatting sqref="BS5">
    <cfRule type="cellIs" dxfId="737" priority="1078" operator="equal">
      <formula>"Verificar"</formula>
    </cfRule>
  </conditionalFormatting>
  <conditionalFormatting sqref="BS5">
    <cfRule type="notContainsBlanks" dxfId="736" priority="1077">
      <formula>LEN(TRIM(BS5))&gt;0</formula>
    </cfRule>
  </conditionalFormatting>
  <conditionalFormatting sqref="BS6">
    <cfRule type="cellIs" dxfId="735" priority="1076" operator="equal">
      <formula>"Verificar"</formula>
    </cfRule>
  </conditionalFormatting>
  <conditionalFormatting sqref="BS6">
    <cfRule type="notContainsBlanks" dxfId="734" priority="1075">
      <formula>LEN(TRIM(BS6))&gt;0</formula>
    </cfRule>
  </conditionalFormatting>
  <conditionalFormatting sqref="BS34">
    <cfRule type="cellIs" dxfId="733" priority="1074" operator="equal">
      <formula>"Verificar"</formula>
    </cfRule>
  </conditionalFormatting>
  <conditionalFormatting sqref="BS34">
    <cfRule type="notContainsBlanks" dxfId="732" priority="1073">
      <formula>LEN(TRIM(BS34))&gt;0</formula>
    </cfRule>
  </conditionalFormatting>
  <conditionalFormatting sqref="BS35">
    <cfRule type="cellIs" dxfId="731" priority="1072" operator="equal">
      <formula>"Verificar"</formula>
    </cfRule>
  </conditionalFormatting>
  <conditionalFormatting sqref="BS35">
    <cfRule type="notContainsBlanks" dxfId="730" priority="1071">
      <formula>LEN(TRIM(BS35))&gt;0</formula>
    </cfRule>
  </conditionalFormatting>
  <conditionalFormatting sqref="BS39">
    <cfRule type="cellIs" dxfId="729" priority="1070" operator="equal">
      <formula>"Verificar"</formula>
    </cfRule>
  </conditionalFormatting>
  <conditionalFormatting sqref="BS39">
    <cfRule type="notContainsBlanks" dxfId="728" priority="1069">
      <formula>LEN(TRIM(BS39))&gt;0</formula>
    </cfRule>
  </conditionalFormatting>
  <conditionalFormatting sqref="BS42">
    <cfRule type="cellIs" dxfId="727" priority="1068" operator="equal">
      <formula>"Verificar"</formula>
    </cfRule>
  </conditionalFormatting>
  <conditionalFormatting sqref="BS42">
    <cfRule type="notContainsBlanks" dxfId="726" priority="1067">
      <formula>LEN(TRIM(BS42))&gt;0</formula>
    </cfRule>
  </conditionalFormatting>
  <conditionalFormatting sqref="BS58">
    <cfRule type="cellIs" dxfId="725" priority="1066" operator="equal">
      <formula>"Verificar"</formula>
    </cfRule>
  </conditionalFormatting>
  <conditionalFormatting sqref="BS58">
    <cfRule type="notContainsBlanks" dxfId="724" priority="1065">
      <formula>LEN(TRIM(BS58))&gt;0</formula>
    </cfRule>
  </conditionalFormatting>
  <conditionalFormatting sqref="BS64">
    <cfRule type="cellIs" dxfId="723" priority="1064" operator="equal">
      <formula>"Verificar"</formula>
    </cfRule>
  </conditionalFormatting>
  <conditionalFormatting sqref="BS64">
    <cfRule type="notContainsBlanks" dxfId="722" priority="1063">
      <formula>LEN(TRIM(BS64))&gt;0</formula>
    </cfRule>
  </conditionalFormatting>
  <conditionalFormatting sqref="BS65">
    <cfRule type="cellIs" dxfId="721" priority="1062" operator="equal">
      <formula>"Verificar"</formula>
    </cfRule>
  </conditionalFormatting>
  <conditionalFormatting sqref="BS65">
    <cfRule type="notContainsBlanks" dxfId="720" priority="1061">
      <formula>LEN(TRIM(BS65))&gt;0</formula>
    </cfRule>
  </conditionalFormatting>
  <conditionalFormatting sqref="BS81">
    <cfRule type="cellIs" dxfId="719" priority="1060" operator="equal">
      <formula>"Verificar"</formula>
    </cfRule>
  </conditionalFormatting>
  <conditionalFormatting sqref="BS81">
    <cfRule type="notContainsBlanks" dxfId="718" priority="1059">
      <formula>LEN(TRIM(BS81))&gt;0</formula>
    </cfRule>
  </conditionalFormatting>
  <conditionalFormatting sqref="BS85">
    <cfRule type="cellIs" dxfId="717" priority="1058" operator="equal">
      <formula>"Verificar"</formula>
    </cfRule>
  </conditionalFormatting>
  <conditionalFormatting sqref="BS85">
    <cfRule type="notContainsBlanks" dxfId="716" priority="1057">
      <formula>LEN(TRIM(BS85))&gt;0</formula>
    </cfRule>
  </conditionalFormatting>
  <conditionalFormatting sqref="BS98">
    <cfRule type="cellIs" dxfId="715" priority="1056" operator="equal">
      <formula>"Verificar"</formula>
    </cfRule>
  </conditionalFormatting>
  <conditionalFormatting sqref="BS98">
    <cfRule type="notContainsBlanks" dxfId="714" priority="1055">
      <formula>LEN(TRIM(BS98))&gt;0</formula>
    </cfRule>
  </conditionalFormatting>
  <conditionalFormatting sqref="BS102">
    <cfRule type="cellIs" dxfId="713" priority="1054" operator="equal">
      <formula>"Verificar"</formula>
    </cfRule>
  </conditionalFormatting>
  <conditionalFormatting sqref="BS102">
    <cfRule type="notContainsBlanks" dxfId="712" priority="1053">
      <formula>LEN(TRIM(BS102))&gt;0</formula>
    </cfRule>
  </conditionalFormatting>
  <conditionalFormatting sqref="BS104">
    <cfRule type="cellIs" dxfId="711" priority="1052" operator="equal">
      <formula>"Verificar"</formula>
    </cfRule>
  </conditionalFormatting>
  <conditionalFormatting sqref="BS104">
    <cfRule type="notContainsBlanks" dxfId="710" priority="1051">
      <formula>LEN(TRIM(BS104))&gt;0</formula>
    </cfRule>
  </conditionalFormatting>
  <conditionalFormatting sqref="BS110">
    <cfRule type="cellIs" dxfId="709" priority="1050" operator="equal">
      <formula>"Verificar"</formula>
    </cfRule>
  </conditionalFormatting>
  <conditionalFormatting sqref="BS110">
    <cfRule type="notContainsBlanks" dxfId="708" priority="1049">
      <formula>LEN(TRIM(BS110))&gt;0</formula>
    </cfRule>
  </conditionalFormatting>
  <conditionalFormatting sqref="BS106">
    <cfRule type="cellIs" dxfId="707" priority="1048" operator="equal">
      <formula>"Verificar"</formula>
    </cfRule>
  </conditionalFormatting>
  <conditionalFormatting sqref="BS111">
    <cfRule type="cellIs" dxfId="706" priority="1047" operator="equal">
      <formula>"Verificar"</formula>
    </cfRule>
  </conditionalFormatting>
  <conditionalFormatting sqref="BS111">
    <cfRule type="notContainsBlanks" dxfId="705" priority="1046">
      <formula>LEN(TRIM(BS111))&gt;0</formula>
    </cfRule>
  </conditionalFormatting>
  <conditionalFormatting sqref="BS116">
    <cfRule type="cellIs" dxfId="704" priority="1045" operator="equal">
      <formula>"Verificar"</formula>
    </cfRule>
  </conditionalFormatting>
  <conditionalFormatting sqref="BS116">
    <cfRule type="notContainsBlanks" dxfId="703" priority="1044">
      <formula>LEN(TRIM(BS116))&gt;0</formula>
    </cfRule>
  </conditionalFormatting>
  <conditionalFormatting sqref="BS118">
    <cfRule type="cellIs" dxfId="702" priority="1043" operator="equal">
      <formula>"Verificar"</formula>
    </cfRule>
  </conditionalFormatting>
  <conditionalFormatting sqref="BS118">
    <cfRule type="notContainsBlanks" dxfId="701" priority="1042">
      <formula>LEN(TRIM(BS118))&gt;0</formula>
    </cfRule>
  </conditionalFormatting>
  <conditionalFormatting sqref="BS120">
    <cfRule type="cellIs" dxfId="700" priority="1041" operator="equal">
      <formula>"Verificar"</formula>
    </cfRule>
  </conditionalFormatting>
  <conditionalFormatting sqref="BS120">
    <cfRule type="notContainsBlanks" dxfId="699" priority="1040">
      <formula>LEN(TRIM(BS120))&gt;0</formula>
    </cfRule>
  </conditionalFormatting>
  <conditionalFormatting sqref="BS123">
    <cfRule type="cellIs" dxfId="698" priority="1039" operator="equal">
      <formula>"Verificar"</formula>
    </cfRule>
  </conditionalFormatting>
  <conditionalFormatting sqref="BS123">
    <cfRule type="notContainsBlanks" dxfId="697" priority="1038">
      <formula>LEN(TRIM(BS123))&gt;0</formula>
    </cfRule>
  </conditionalFormatting>
  <conditionalFormatting sqref="BS121:BS122">
    <cfRule type="cellIs" dxfId="696" priority="1037" operator="equal">
      <formula>"Verificar"</formula>
    </cfRule>
  </conditionalFormatting>
  <conditionalFormatting sqref="BS125">
    <cfRule type="cellIs" dxfId="695" priority="1036" operator="equal">
      <formula>"Verificar"</formula>
    </cfRule>
  </conditionalFormatting>
  <conditionalFormatting sqref="BS125">
    <cfRule type="notContainsBlanks" dxfId="694" priority="1035">
      <formula>LEN(TRIM(BS125))&gt;0</formula>
    </cfRule>
  </conditionalFormatting>
  <conditionalFormatting sqref="BS124">
    <cfRule type="cellIs" dxfId="693" priority="1034" operator="equal">
      <formula>"Verificar"</formula>
    </cfRule>
  </conditionalFormatting>
  <conditionalFormatting sqref="BS124">
    <cfRule type="notContainsBlanks" dxfId="692" priority="1033">
      <formula>LEN(TRIM(BS124))&gt;0</formula>
    </cfRule>
  </conditionalFormatting>
  <conditionalFormatting sqref="BT126:BT131">
    <cfRule type="cellIs" dxfId="691" priority="981" operator="equal">
      <formula>"Verificar"</formula>
    </cfRule>
  </conditionalFormatting>
  <conditionalFormatting sqref="BT4">
    <cfRule type="cellIs" dxfId="690" priority="1029" operator="equal">
      <formula>"Verificar"</formula>
    </cfRule>
  </conditionalFormatting>
  <conditionalFormatting sqref="BT5">
    <cfRule type="cellIs" dxfId="689" priority="1027" operator="equal">
      <formula>"Verificar"</formula>
    </cfRule>
  </conditionalFormatting>
  <conditionalFormatting sqref="BT5">
    <cfRule type="notContainsBlanks" dxfId="688" priority="1026">
      <formula>LEN(TRIM(BT5))&gt;0</formula>
    </cfRule>
  </conditionalFormatting>
  <conditionalFormatting sqref="BT6">
    <cfRule type="cellIs" dxfId="687" priority="1025" operator="equal">
      <formula>"Verificar"</formula>
    </cfRule>
  </conditionalFormatting>
  <conditionalFormatting sqref="BT6">
    <cfRule type="notContainsBlanks" dxfId="686" priority="1024">
      <formula>LEN(TRIM(BT6))&gt;0</formula>
    </cfRule>
  </conditionalFormatting>
  <conditionalFormatting sqref="BT34">
    <cfRule type="cellIs" dxfId="685" priority="1023" operator="equal">
      <formula>"Verificar"</formula>
    </cfRule>
  </conditionalFormatting>
  <conditionalFormatting sqref="BT34">
    <cfRule type="notContainsBlanks" dxfId="684" priority="1022">
      <formula>LEN(TRIM(BT34))&gt;0</formula>
    </cfRule>
  </conditionalFormatting>
  <conditionalFormatting sqref="BT35">
    <cfRule type="cellIs" dxfId="683" priority="1021" operator="equal">
      <formula>"Verificar"</formula>
    </cfRule>
  </conditionalFormatting>
  <conditionalFormatting sqref="BT35">
    <cfRule type="notContainsBlanks" dxfId="682" priority="1020">
      <formula>LEN(TRIM(BT35))&gt;0</formula>
    </cfRule>
  </conditionalFormatting>
  <conditionalFormatting sqref="BT39">
    <cfRule type="cellIs" dxfId="681" priority="1019" operator="equal">
      <formula>"Verificar"</formula>
    </cfRule>
  </conditionalFormatting>
  <conditionalFormatting sqref="BT39">
    <cfRule type="notContainsBlanks" dxfId="680" priority="1018">
      <formula>LEN(TRIM(BT39))&gt;0</formula>
    </cfRule>
  </conditionalFormatting>
  <conditionalFormatting sqref="BT42">
    <cfRule type="cellIs" dxfId="679" priority="1017" operator="equal">
      <formula>"Verificar"</formula>
    </cfRule>
  </conditionalFormatting>
  <conditionalFormatting sqref="BT42">
    <cfRule type="notContainsBlanks" dxfId="678" priority="1016">
      <formula>LEN(TRIM(BT42))&gt;0</formula>
    </cfRule>
  </conditionalFormatting>
  <conditionalFormatting sqref="BT58">
    <cfRule type="cellIs" dxfId="677" priority="1015" operator="equal">
      <formula>"Verificar"</formula>
    </cfRule>
  </conditionalFormatting>
  <conditionalFormatting sqref="BT58">
    <cfRule type="notContainsBlanks" dxfId="676" priority="1014">
      <formula>LEN(TRIM(BT58))&gt;0</formula>
    </cfRule>
  </conditionalFormatting>
  <conditionalFormatting sqref="BT64">
    <cfRule type="cellIs" dxfId="675" priority="1013" operator="equal">
      <formula>"Verificar"</formula>
    </cfRule>
  </conditionalFormatting>
  <conditionalFormatting sqref="BT64">
    <cfRule type="notContainsBlanks" dxfId="674" priority="1012">
      <formula>LEN(TRIM(BT64))&gt;0</formula>
    </cfRule>
  </conditionalFormatting>
  <conditionalFormatting sqref="BT65">
    <cfRule type="cellIs" dxfId="673" priority="1011" operator="equal">
      <formula>"Verificar"</formula>
    </cfRule>
  </conditionalFormatting>
  <conditionalFormatting sqref="BT65">
    <cfRule type="notContainsBlanks" dxfId="672" priority="1010">
      <formula>LEN(TRIM(BT65))&gt;0</formula>
    </cfRule>
  </conditionalFormatting>
  <conditionalFormatting sqref="BT81">
    <cfRule type="cellIs" dxfId="671" priority="1009" operator="equal">
      <formula>"Verificar"</formula>
    </cfRule>
  </conditionalFormatting>
  <conditionalFormatting sqref="BT81">
    <cfRule type="notContainsBlanks" dxfId="670" priority="1008">
      <formula>LEN(TRIM(BT81))&gt;0</formula>
    </cfRule>
  </conditionalFormatting>
  <conditionalFormatting sqref="BT85">
    <cfRule type="cellIs" dxfId="669" priority="1007" operator="equal">
      <formula>"Verificar"</formula>
    </cfRule>
  </conditionalFormatting>
  <conditionalFormatting sqref="BT85">
    <cfRule type="notContainsBlanks" dxfId="668" priority="1006">
      <formula>LEN(TRIM(BT85))&gt;0</formula>
    </cfRule>
  </conditionalFormatting>
  <conditionalFormatting sqref="BT98">
    <cfRule type="cellIs" dxfId="667" priority="1005" operator="equal">
      <formula>"Verificar"</formula>
    </cfRule>
  </conditionalFormatting>
  <conditionalFormatting sqref="BT98">
    <cfRule type="notContainsBlanks" dxfId="666" priority="1004">
      <formula>LEN(TRIM(BT98))&gt;0</formula>
    </cfRule>
  </conditionalFormatting>
  <conditionalFormatting sqref="BT102">
    <cfRule type="cellIs" dxfId="665" priority="1003" operator="equal">
      <formula>"Verificar"</formula>
    </cfRule>
  </conditionalFormatting>
  <conditionalFormatting sqref="BT102">
    <cfRule type="notContainsBlanks" dxfId="664" priority="1002">
      <formula>LEN(TRIM(BT102))&gt;0</formula>
    </cfRule>
  </conditionalFormatting>
  <conditionalFormatting sqref="BT104">
    <cfRule type="cellIs" dxfId="663" priority="1001" operator="equal">
      <formula>"Verificar"</formula>
    </cfRule>
  </conditionalFormatting>
  <conditionalFormatting sqref="BT104">
    <cfRule type="notContainsBlanks" dxfId="662" priority="1000">
      <formula>LEN(TRIM(BT104))&gt;0</formula>
    </cfRule>
  </conditionalFormatting>
  <conditionalFormatting sqref="BT110">
    <cfRule type="cellIs" dxfId="661" priority="999" operator="equal">
      <formula>"Verificar"</formula>
    </cfRule>
  </conditionalFormatting>
  <conditionalFormatting sqref="BT110">
    <cfRule type="notContainsBlanks" dxfId="660" priority="998">
      <formula>LEN(TRIM(BT110))&gt;0</formula>
    </cfRule>
  </conditionalFormatting>
  <conditionalFormatting sqref="BT106">
    <cfRule type="cellIs" dxfId="659" priority="997" operator="equal">
      <formula>"Verificar"</formula>
    </cfRule>
  </conditionalFormatting>
  <conditionalFormatting sqref="BT111">
    <cfRule type="cellIs" dxfId="658" priority="996" operator="equal">
      <formula>"Verificar"</formula>
    </cfRule>
  </conditionalFormatting>
  <conditionalFormatting sqref="BT111">
    <cfRule type="notContainsBlanks" dxfId="657" priority="995">
      <formula>LEN(TRIM(BT111))&gt;0</formula>
    </cfRule>
  </conditionalFormatting>
  <conditionalFormatting sqref="BT116">
    <cfRule type="cellIs" dxfId="656" priority="994" operator="equal">
      <formula>"Verificar"</formula>
    </cfRule>
  </conditionalFormatting>
  <conditionalFormatting sqref="BT116">
    <cfRule type="notContainsBlanks" dxfId="655" priority="993">
      <formula>LEN(TRIM(BT116))&gt;0</formula>
    </cfRule>
  </conditionalFormatting>
  <conditionalFormatting sqref="BT118">
    <cfRule type="cellIs" dxfId="654" priority="992" operator="equal">
      <formula>"Verificar"</formula>
    </cfRule>
  </conditionalFormatting>
  <conditionalFormatting sqref="BT118">
    <cfRule type="notContainsBlanks" dxfId="653" priority="991">
      <formula>LEN(TRIM(BT118))&gt;0</formula>
    </cfRule>
  </conditionalFormatting>
  <conditionalFormatting sqref="BT120">
    <cfRule type="cellIs" dxfId="652" priority="990" operator="equal">
      <formula>"Verificar"</formula>
    </cfRule>
  </conditionalFormatting>
  <conditionalFormatting sqref="BT120">
    <cfRule type="notContainsBlanks" dxfId="651" priority="989">
      <formula>LEN(TRIM(BT120))&gt;0</formula>
    </cfRule>
  </conditionalFormatting>
  <conditionalFormatting sqref="BT123">
    <cfRule type="cellIs" dxfId="650" priority="988" operator="equal">
      <formula>"Verificar"</formula>
    </cfRule>
  </conditionalFormatting>
  <conditionalFormatting sqref="BT123">
    <cfRule type="notContainsBlanks" dxfId="649" priority="987">
      <formula>LEN(TRIM(BT123))&gt;0</formula>
    </cfRule>
  </conditionalFormatting>
  <conditionalFormatting sqref="BT121:BT122">
    <cfRule type="cellIs" dxfId="648" priority="986" operator="equal">
      <formula>"Verificar"</formula>
    </cfRule>
  </conditionalFormatting>
  <conditionalFormatting sqref="BT125">
    <cfRule type="cellIs" dxfId="647" priority="985" operator="equal">
      <formula>"Verificar"</formula>
    </cfRule>
  </conditionalFormatting>
  <conditionalFormatting sqref="BT125">
    <cfRule type="notContainsBlanks" dxfId="646" priority="984">
      <formula>LEN(TRIM(BT125))&gt;0</formula>
    </cfRule>
  </conditionalFormatting>
  <conditionalFormatting sqref="BT124">
    <cfRule type="cellIs" dxfId="645" priority="983" operator="equal">
      <formula>"Verificar"</formula>
    </cfRule>
  </conditionalFormatting>
  <conditionalFormatting sqref="BT124">
    <cfRule type="notContainsBlanks" dxfId="644" priority="982">
      <formula>LEN(TRIM(BT124))&gt;0</formula>
    </cfRule>
  </conditionalFormatting>
  <conditionalFormatting sqref="BL4">
    <cfRule type="cellIs" dxfId="643" priority="864" operator="equal">
      <formula>"Verificar"</formula>
    </cfRule>
  </conditionalFormatting>
  <conditionalFormatting sqref="BL4">
    <cfRule type="cellIs" dxfId="642" priority="865" operator="equal">
      <formula>"Verificar"</formula>
    </cfRule>
  </conditionalFormatting>
  <conditionalFormatting sqref="BU4:BW4">
    <cfRule type="cellIs" dxfId="641" priority="649" operator="equal">
      <formula>"Verificar"</formula>
    </cfRule>
  </conditionalFormatting>
  <conditionalFormatting sqref="BU4:BW4">
    <cfRule type="cellIs" dxfId="640" priority="650" operator="equal">
      <formula>"Verificar"</formula>
    </cfRule>
  </conditionalFormatting>
  <conditionalFormatting sqref="BU91:BW91">
    <cfRule type="cellIs" dxfId="639" priority="632" operator="equal">
      <formula>"Verificar"</formula>
    </cfRule>
  </conditionalFormatting>
  <conditionalFormatting sqref="BU76:BW76">
    <cfRule type="cellIs" dxfId="638" priority="631" operator="equal">
      <formula>"Verificar"</formula>
    </cfRule>
  </conditionalFormatting>
  <conditionalFormatting sqref="BU121:BU122">
    <cfRule type="cellIs" dxfId="637" priority="608" operator="equal">
      <formula>"Verificar"</formula>
    </cfRule>
  </conditionalFormatting>
  <conditionalFormatting sqref="BU126:BU131">
    <cfRule type="cellIs" dxfId="636" priority="607" operator="equal">
      <formula>"Verificar"</formula>
    </cfRule>
  </conditionalFormatting>
  <conditionalFormatting sqref="BU126:BU131">
    <cfRule type="notContainsBlanks" dxfId="635" priority="606">
      <formula>LEN(TRIM(BU126))&gt;0</formula>
    </cfRule>
  </conditionalFormatting>
  <conditionalFormatting sqref="BV121:BV122">
    <cfRule type="cellIs" dxfId="634" priority="605" operator="equal">
      <formula>"Verificar"</formula>
    </cfRule>
  </conditionalFormatting>
  <conditionalFormatting sqref="BV126:BV131">
    <cfRule type="cellIs" dxfId="633" priority="598" operator="equal">
      <formula>"Verificar"</formula>
    </cfRule>
  </conditionalFormatting>
  <conditionalFormatting sqref="BV126:BV131">
    <cfRule type="notContainsBlanks" dxfId="632" priority="597">
      <formula>LEN(TRIM(BV126))&gt;0</formula>
    </cfRule>
  </conditionalFormatting>
  <conditionalFormatting sqref="BU5:BU6">
    <cfRule type="cellIs" dxfId="631" priority="594" operator="equal">
      <formula>"Verificar"</formula>
    </cfRule>
  </conditionalFormatting>
  <conditionalFormatting sqref="BU5:BU6">
    <cfRule type="notContainsBlanks" dxfId="630" priority="593">
      <formula>LEN(TRIM(BU5))&gt;0</formula>
    </cfRule>
  </conditionalFormatting>
  <conditionalFormatting sqref="BV5:BW6">
    <cfRule type="cellIs" dxfId="629" priority="592" operator="equal">
      <formula>"Verificar"</formula>
    </cfRule>
  </conditionalFormatting>
  <conditionalFormatting sqref="BV5:BW6">
    <cfRule type="notContainsBlanks" dxfId="628" priority="591">
      <formula>LEN(TRIM(BV5))&gt;0</formula>
    </cfRule>
  </conditionalFormatting>
  <conditionalFormatting sqref="BU34:BW35">
    <cfRule type="cellIs" dxfId="627" priority="590" operator="equal">
      <formula>"Verificar"</formula>
    </cfRule>
  </conditionalFormatting>
  <conditionalFormatting sqref="BU34:BW35">
    <cfRule type="notContainsBlanks" dxfId="626" priority="589">
      <formula>LEN(TRIM(BU34))&gt;0</formula>
    </cfRule>
  </conditionalFormatting>
  <conditionalFormatting sqref="BU39:BW39">
    <cfRule type="cellIs" dxfId="625" priority="588" operator="equal">
      <formula>"Verificar"</formula>
    </cfRule>
  </conditionalFormatting>
  <conditionalFormatting sqref="BU39:BW39">
    <cfRule type="notContainsBlanks" dxfId="624" priority="587">
      <formula>LEN(TRIM(BU39))&gt;0</formula>
    </cfRule>
  </conditionalFormatting>
  <conditionalFormatting sqref="BU42:BW42">
    <cfRule type="cellIs" dxfId="623" priority="586" operator="equal">
      <formula>"Verificar"</formula>
    </cfRule>
  </conditionalFormatting>
  <conditionalFormatting sqref="BU42:BW42">
    <cfRule type="notContainsBlanks" dxfId="622" priority="585">
      <formula>LEN(TRIM(BU42))&gt;0</formula>
    </cfRule>
  </conditionalFormatting>
  <conditionalFormatting sqref="BU58:BW58">
    <cfRule type="cellIs" dxfId="621" priority="584" operator="equal">
      <formula>"Verificar"</formula>
    </cfRule>
  </conditionalFormatting>
  <conditionalFormatting sqref="BU58:BW58">
    <cfRule type="notContainsBlanks" dxfId="620" priority="583">
      <formula>LEN(TRIM(BU58))&gt;0</formula>
    </cfRule>
  </conditionalFormatting>
  <conditionalFormatting sqref="BU64:BW64">
    <cfRule type="cellIs" dxfId="619" priority="582" operator="equal">
      <formula>"Verificar"</formula>
    </cfRule>
  </conditionalFormatting>
  <conditionalFormatting sqref="BU64:BW64">
    <cfRule type="notContainsBlanks" dxfId="618" priority="581">
      <formula>LEN(TRIM(BU64))&gt;0</formula>
    </cfRule>
  </conditionalFormatting>
  <conditionalFormatting sqref="BU65:BW65">
    <cfRule type="cellIs" dxfId="617" priority="580" operator="equal">
      <formula>"Verificar"</formula>
    </cfRule>
  </conditionalFormatting>
  <conditionalFormatting sqref="BU65:BW65">
    <cfRule type="notContainsBlanks" dxfId="616" priority="579">
      <formula>LEN(TRIM(BU65))&gt;0</formula>
    </cfRule>
  </conditionalFormatting>
  <conditionalFormatting sqref="BU81:BW81">
    <cfRule type="cellIs" dxfId="615" priority="576" operator="equal">
      <formula>"Verificar"</formula>
    </cfRule>
  </conditionalFormatting>
  <conditionalFormatting sqref="BU81:BW81">
    <cfRule type="notContainsBlanks" dxfId="614" priority="575">
      <formula>LEN(TRIM(BU81))&gt;0</formula>
    </cfRule>
  </conditionalFormatting>
  <conditionalFormatting sqref="BU85:BW85">
    <cfRule type="cellIs" dxfId="613" priority="574" operator="equal">
      <formula>"Verificar"</formula>
    </cfRule>
  </conditionalFormatting>
  <conditionalFormatting sqref="BU85:BW85">
    <cfRule type="notContainsBlanks" dxfId="612" priority="573">
      <formula>LEN(TRIM(BU85))&gt;0</formula>
    </cfRule>
  </conditionalFormatting>
  <conditionalFormatting sqref="BU98:BW98">
    <cfRule type="cellIs" dxfId="611" priority="572" operator="equal">
      <formula>"Verificar"</formula>
    </cfRule>
  </conditionalFormatting>
  <conditionalFormatting sqref="BU98:BW98">
    <cfRule type="notContainsBlanks" dxfId="610" priority="571">
      <formula>LEN(TRIM(BU98))&gt;0</formula>
    </cfRule>
  </conditionalFormatting>
  <conditionalFormatting sqref="BU102:BW102">
    <cfRule type="cellIs" dxfId="609" priority="570" operator="equal">
      <formula>"Verificar"</formula>
    </cfRule>
  </conditionalFormatting>
  <conditionalFormatting sqref="BU102:BW102">
    <cfRule type="notContainsBlanks" dxfId="608" priority="569">
      <formula>LEN(TRIM(BU102))&gt;0</formula>
    </cfRule>
  </conditionalFormatting>
  <conditionalFormatting sqref="BU104:BW104">
    <cfRule type="cellIs" dxfId="607" priority="568" operator="equal">
      <formula>"Verificar"</formula>
    </cfRule>
  </conditionalFormatting>
  <conditionalFormatting sqref="BU104:BW104">
    <cfRule type="notContainsBlanks" dxfId="606" priority="567">
      <formula>LEN(TRIM(BU104))&gt;0</formula>
    </cfRule>
  </conditionalFormatting>
  <conditionalFormatting sqref="BU110:BW110">
    <cfRule type="cellIs" dxfId="605" priority="566" operator="equal">
      <formula>"Verificar"</formula>
    </cfRule>
  </conditionalFormatting>
  <conditionalFormatting sqref="BU110:BW110">
    <cfRule type="notContainsBlanks" dxfId="604" priority="565">
      <formula>LEN(TRIM(BU110))&gt;0</formula>
    </cfRule>
  </conditionalFormatting>
  <conditionalFormatting sqref="BU111:BW111">
    <cfRule type="cellIs" dxfId="603" priority="564" operator="equal">
      <formula>"Verificar"</formula>
    </cfRule>
  </conditionalFormatting>
  <conditionalFormatting sqref="BU111:BW111">
    <cfRule type="notContainsBlanks" dxfId="602" priority="563">
      <formula>LEN(TRIM(BU111))&gt;0</formula>
    </cfRule>
  </conditionalFormatting>
  <conditionalFormatting sqref="BU116:BW116">
    <cfRule type="cellIs" dxfId="601" priority="562" operator="equal">
      <formula>"Verificar"</formula>
    </cfRule>
  </conditionalFormatting>
  <conditionalFormatting sqref="BU116:BW116">
    <cfRule type="notContainsBlanks" dxfId="600" priority="561">
      <formula>LEN(TRIM(BU116))&gt;0</formula>
    </cfRule>
  </conditionalFormatting>
  <conditionalFormatting sqref="BU118:BW118">
    <cfRule type="cellIs" dxfId="599" priority="560" operator="equal">
      <formula>"Verificar"</formula>
    </cfRule>
  </conditionalFormatting>
  <conditionalFormatting sqref="BU118:BW118">
    <cfRule type="notContainsBlanks" dxfId="598" priority="559">
      <formula>LEN(TRIM(BU118))&gt;0</formula>
    </cfRule>
  </conditionalFormatting>
  <conditionalFormatting sqref="BU120:BW120">
    <cfRule type="cellIs" dxfId="597" priority="558" operator="equal">
      <formula>"Verificar"</formula>
    </cfRule>
  </conditionalFormatting>
  <conditionalFormatting sqref="BU120:BW120">
    <cfRule type="notContainsBlanks" dxfId="596" priority="557">
      <formula>LEN(TRIM(BU120))&gt;0</formula>
    </cfRule>
  </conditionalFormatting>
  <conditionalFormatting sqref="BU123:BW123">
    <cfRule type="cellIs" dxfId="595" priority="556" operator="equal">
      <formula>"Verificar"</formula>
    </cfRule>
  </conditionalFormatting>
  <conditionalFormatting sqref="BU123:BW123">
    <cfRule type="notContainsBlanks" dxfId="594" priority="555">
      <formula>LEN(TRIM(BU123))&gt;0</formula>
    </cfRule>
  </conditionalFormatting>
  <conditionalFormatting sqref="BU124:BV124">
    <cfRule type="cellIs" dxfId="593" priority="554" operator="equal">
      <formula>"Verificar"</formula>
    </cfRule>
  </conditionalFormatting>
  <conditionalFormatting sqref="BU124:BV124">
    <cfRule type="notContainsBlanks" dxfId="592" priority="553">
      <formula>LEN(TRIM(BU124))&gt;0</formula>
    </cfRule>
  </conditionalFormatting>
  <conditionalFormatting sqref="BU125:BV125">
    <cfRule type="cellIs" dxfId="591" priority="552" operator="equal">
      <formula>"Verificar"</formula>
    </cfRule>
  </conditionalFormatting>
  <conditionalFormatting sqref="BU125:BV125">
    <cfRule type="notContainsBlanks" dxfId="590" priority="551">
      <formula>LEN(TRIM(BU125))&gt;0</formula>
    </cfRule>
  </conditionalFormatting>
  <conditionalFormatting sqref="BW121:BW122">
    <cfRule type="cellIs" dxfId="589" priority="550" operator="equal">
      <formula>"Verificar"</formula>
    </cfRule>
  </conditionalFormatting>
  <conditionalFormatting sqref="BW124">
    <cfRule type="cellIs" dxfId="588" priority="549" operator="equal">
      <formula>"Verificar"</formula>
    </cfRule>
  </conditionalFormatting>
  <conditionalFormatting sqref="BW124">
    <cfRule type="notContainsBlanks" dxfId="587" priority="548">
      <formula>LEN(TRIM(BW124))&gt;0</formula>
    </cfRule>
  </conditionalFormatting>
  <conditionalFormatting sqref="BW125">
    <cfRule type="notContainsBlanks" dxfId="586" priority="546">
      <formula>LEN(TRIM(BW125))&gt;0</formula>
    </cfRule>
  </conditionalFormatting>
  <conditionalFormatting sqref="BW125">
    <cfRule type="cellIs" dxfId="585" priority="547" operator="equal">
      <formula>"Verificar"</formula>
    </cfRule>
  </conditionalFormatting>
  <conditionalFormatting sqref="BW126:BW131">
    <cfRule type="cellIs" dxfId="584" priority="545" operator="equal">
      <formula>"Verificar"</formula>
    </cfRule>
  </conditionalFormatting>
  <conditionalFormatting sqref="BW126:BW131">
    <cfRule type="notContainsBlanks" dxfId="583" priority="544">
      <formula>LEN(TRIM(BW126))&gt;0</formula>
    </cfRule>
  </conditionalFormatting>
  <conditionalFormatting sqref="BX5:BX6">
    <cfRule type="cellIs" dxfId="582" priority="541" operator="equal">
      <formula>"Verificar"</formula>
    </cfRule>
  </conditionalFormatting>
  <conditionalFormatting sqref="BX5:BX6">
    <cfRule type="notContainsBlanks" dxfId="581" priority="540">
      <formula>LEN(TRIM(BX5))&gt;0</formula>
    </cfRule>
  </conditionalFormatting>
  <conditionalFormatting sqref="BX34:BX35">
    <cfRule type="cellIs" dxfId="580" priority="539" operator="equal">
      <formula>"Verificar"</formula>
    </cfRule>
  </conditionalFormatting>
  <conditionalFormatting sqref="BX34:BX35">
    <cfRule type="notContainsBlanks" dxfId="579" priority="538">
      <formula>LEN(TRIM(BX34))&gt;0</formula>
    </cfRule>
  </conditionalFormatting>
  <conditionalFormatting sqref="BX39">
    <cfRule type="cellIs" dxfId="578" priority="537" operator="equal">
      <formula>"Verificar"</formula>
    </cfRule>
  </conditionalFormatting>
  <conditionalFormatting sqref="BX39">
    <cfRule type="notContainsBlanks" dxfId="577" priority="536">
      <formula>LEN(TRIM(BX39))&gt;0</formula>
    </cfRule>
  </conditionalFormatting>
  <conditionalFormatting sqref="BX42">
    <cfRule type="cellIs" dxfId="576" priority="535" operator="equal">
      <formula>"Verificar"</formula>
    </cfRule>
  </conditionalFormatting>
  <conditionalFormatting sqref="BX42">
    <cfRule type="notContainsBlanks" dxfId="575" priority="534">
      <formula>LEN(TRIM(BX42))&gt;0</formula>
    </cfRule>
  </conditionalFormatting>
  <conditionalFormatting sqref="BX58">
    <cfRule type="cellIs" dxfId="574" priority="533" operator="equal">
      <formula>"Verificar"</formula>
    </cfRule>
  </conditionalFormatting>
  <conditionalFormatting sqref="BX58">
    <cfRule type="notContainsBlanks" dxfId="573" priority="532">
      <formula>LEN(TRIM(BX58))&gt;0</formula>
    </cfRule>
  </conditionalFormatting>
  <conditionalFormatting sqref="BX64">
    <cfRule type="cellIs" dxfId="572" priority="531" operator="equal">
      <formula>"Verificar"</formula>
    </cfRule>
  </conditionalFormatting>
  <conditionalFormatting sqref="BX64">
    <cfRule type="notContainsBlanks" dxfId="571" priority="530">
      <formula>LEN(TRIM(BX64))&gt;0</formula>
    </cfRule>
  </conditionalFormatting>
  <conditionalFormatting sqref="BX65">
    <cfRule type="cellIs" dxfId="570" priority="529" operator="equal">
      <formula>"Verificar"</formula>
    </cfRule>
  </conditionalFormatting>
  <conditionalFormatting sqref="BX65">
    <cfRule type="notContainsBlanks" dxfId="569" priority="528">
      <formula>LEN(TRIM(BX65))&gt;0</formula>
    </cfRule>
  </conditionalFormatting>
  <conditionalFormatting sqref="BX76">
    <cfRule type="cellIs" dxfId="568" priority="527" operator="equal">
      <formula>"Verificar"</formula>
    </cfRule>
  </conditionalFormatting>
  <conditionalFormatting sqref="BX81">
    <cfRule type="cellIs" dxfId="567" priority="526" operator="equal">
      <formula>"Verificar"</formula>
    </cfRule>
  </conditionalFormatting>
  <conditionalFormatting sqref="BX81">
    <cfRule type="notContainsBlanks" dxfId="566" priority="525">
      <formula>LEN(TRIM(BX81))&gt;0</formula>
    </cfRule>
  </conditionalFormatting>
  <conditionalFormatting sqref="BX85">
    <cfRule type="cellIs" dxfId="565" priority="524" operator="equal">
      <formula>"Verificar"</formula>
    </cfRule>
  </conditionalFormatting>
  <conditionalFormatting sqref="BX85">
    <cfRule type="notContainsBlanks" dxfId="564" priority="523">
      <formula>LEN(TRIM(BX85))&gt;0</formula>
    </cfRule>
  </conditionalFormatting>
  <conditionalFormatting sqref="BX91">
    <cfRule type="cellIs" dxfId="563" priority="522" operator="equal">
      <formula>"Verificar"</formula>
    </cfRule>
  </conditionalFormatting>
  <conditionalFormatting sqref="BX98">
    <cfRule type="cellIs" dxfId="562" priority="521" operator="equal">
      <formula>"Verificar"</formula>
    </cfRule>
  </conditionalFormatting>
  <conditionalFormatting sqref="BX98">
    <cfRule type="notContainsBlanks" dxfId="561" priority="520">
      <formula>LEN(TRIM(BX98))&gt;0</formula>
    </cfRule>
  </conditionalFormatting>
  <conditionalFormatting sqref="BX102">
    <cfRule type="cellIs" dxfId="560" priority="519" operator="equal">
      <formula>"Verificar"</formula>
    </cfRule>
  </conditionalFormatting>
  <conditionalFormatting sqref="BX102">
    <cfRule type="notContainsBlanks" dxfId="559" priority="518">
      <formula>LEN(TRIM(BX102))&gt;0</formula>
    </cfRule>
  </conditionalFormatting>
  <conditionalFormatting sqref="BX104">
    <cfRule type="cellIs" dxfId="558" priority="517" operator="equal">
      <formula>"Verificar"</formula>
    </cfRule>
  </conditionalFormatting>
  <conditionalFormatting sqref="BX104">
    <cfRule type="notContainsBlanks" dxfId="557" priority="516">
      <formula>LEN(TRIM(BX104))&gt;0</formula>
    </cfRule>
  </conditionalFormatting>
  <conditionalFormatting sqref="BX110">
    <cfRule type="cellIs" dxfId="556" priority="515" operator="equal">
      <formula>"Verificar"</formula>
    </cfRule>
  </conditionalFormatting>
  <conditionalFormatting sqref="BX110">
    <cfRule type="notContainsBlanks" dxfId="555" priority="514">
      <formula>LEN(TRIM(BX110))&gt;0</formula>
    </cfRule>
  </conditionalFormatting>
  <conditionalFormatting sqref="BX111">
    <cfRule type="cellIs" dxfId="554" priority="513" operator="equal">
      <formula>"Verificar"</formula>
    </cfRule>
  </conditionalFormatting>
  <conditionalFormatting sqref="BX111">
    <cfRule type="notContainsBlanks" dxfId="553" priority="512">
      <formula>LEN(TRIM(BX111))&gt;0</formula>
    </cfRule>
  </conditionalFormatting>
  <conditionalFormatting sqref="BX116">
    <cfRule type="cellIs" dxfId="552" priority="511" operator="equal">
      <formula>"Verificar"</formula>
    </cfRule>
  </conditionalFormatting>
  <conditionalFormatting sqref="BX116">
    <cfRule type="notContainsBlanks" dxfId="551" priority="510">
      <formula>LEN(TRIM(BX116))&gt;0</formula>
    </cfRule>
  </conditionalFormatting>
  <conditionalFormatting sqref="BX118">
    <cfRule type="cellIs" dxfId="550" priority="509" operator="equal">
      <formula>"Verificar"</formula>
    </cfRule>
  </conditionalFormatting>
  <conditionalFormatting sqref="BX118">
    <cfRule type="notContainsBlanks" dxfId="549" priority="508">
      <formula>LEN(TRIM(BX118))&gt;0</formula>
    </cfRule>
  </conditionalFormatting>
  <conditionalFormatting sqref="BX120">
    <cfRule type="cellIs" dxfId="548" priority="507" operator="equal">
      <formula>"Verificar"</formula>
    </cfRule>
  </conditionalFormatting>
  <conditionalFormatting sqref="BX120">
    <cfRule type="notContainsBlanks" dxfId="547" priority="506">
      <formula>LEN(TRIM(BX120))&gt;0</formula>
    </cfRule>
  </conditionalFormatting>
  <conditionalFormatting sqref="BX123">
    <cfRule type="cellIs" dxfId="546" priority="505" operator="equal">
      <formula>"Verificar"</formula>
    </cfRule>
  </conditionalFormatting>
  <conditionalFormatting sqref="BX123">
    <cfRule type="notContainsBlanks" dxfId="545" priority="504">
      <formula>LEN(TRIM(BX123))&gt;0</formula>
    </cfRule>
  </conditionalFormatting>
  <conditionalFormatting sqref="BX124">
    <cfRule type="cellIs" dxfId="544" priority="503" operator="equal">
      <formula>"Verificar"</formula>
    </cfRule>
  </conditionalFormatting>
  <conditionalFormatting sqref="BX124">
    <cfRule type="notContainsBlanks" dxfId="543" priority="502">
      <formula>LEN(TRIM(BX124))&gt;0</formula>
    </cfRule>
  </conditionalFormatting>
  <conditionalFormatting sqref="BX125">
    <cfRule type="cellIs" dxfId="542" priority="501" operator="equal">
      <formula>"Verificar"</formula>
    </cfRule>
  </conditionalFormatting>
  <conditionalFormatting sqref="BX125">
    <cfRule type="notContainsBlanks" dxfId="541" priority="500">
      <formula>LEN(TRIM(BX125))&gt;0</formula>
    </cfRule>
  </conditionalFormatting>
  <conditionalFormatting sqref="BX126:BX131">
    <cfRule type="cellIs" dxfId="540" priority="499" operator="equal">
      <formula>"Verificar"</formula>
    </cfRule>
  </conditionalFormatting>
  <conditionalFormatting sqref="BX126:BX131">
    <cfRule type="notContainsBlanks" dxfId="539" priority="498">
      <formula>LEN(TRIM(BX126))&gt;0</formula>
    </cfRule>
  </conditionalFormatting>
  <conditionalFormatting sqref="BX121:BX122">
    <cfRule type="cellIs" dxfId="538" priority="497" operator="equal">
      <formula>"Verificar"</formula>
    </cfRule>
  </conditionalFormatting>
  <conditionalFormatting sqref="BY5:BY6">
    <cfRule type="cellIs" dxfId="537" priority="496" operator="equal">
      <formula>"Verificar"</formula>
    </cfRule>
  </conditionalFormatting>
  <conditionalFormatting sqref="BY5:BY6">
    <cfRule type="notContainsBlanks" dxfId="536" priority="495">
      <formula>LEN(TRIM(BY5))&gt;0</formula>
    </cfRule>
  </conditionalFormatting>
  <conditionalFormatting sqref="BY34:BY35">
    <cfRule type="cellIs" dxfId="535" priority="494" operator="equal">
      <formula>"Verificar"</formula>
    </cfRule>
  </conditionalFormatting>
  <conditionalFormatting sqref="BY34:BY35">
    <cfRule type="notContainsBlanks" dxfId="534" priority="493">
      <formula>LEN(TRIM(BY34))&gt;0</formula>
    </cfRule>
  </conditionalFormatting>
  <conditionalFormatting sqref="BY39">
    <cfRule type="cellIs" dxfId="533" priority="492" operator="equal">
      <formula>"Verificar"</formula>
    </cfRule>
  </conditionalFormatting>
  <conditionalFormatting sqref="BY39">
    <cfRule type="notContainsBlanks" dxfId="532" priority="491">
      <formula>LEN(TRIM(BY39))&gt;0</formula>
    </cfRule>
  </conditionalFormatting>
  <conditionalFormatting sqref="BY42">
    <cfRule type="cellIs" dxfId="531" priority="490" operator="equal">
      <formula>"Verificar"</formula>
    </cfRule>
  </conditionalFormatting>
  <conditionalFormatting sqref="BY42">
    <cfRule type="notContainsBlanks" dxfId="530" priority="489">
      <formula>LEN(TRIM(BY42))&gt;0</formula>
    </cfRule>
  </conditionalFormatting>
  <conditionalFormatting sqref="BY58">
    <cfRule type="cellIs" dxfId="529" priority="488" operator="equal">
      <formula>"Verificar"</formula>
    </cfRule>
  </conditionalFormatting>
  <conditionalFormatting sqref="BY58">
    <cfRule type="notContainsBlanks" dxfId="528" priority="487">
      <formula>LEN(TRIM(BY58))&gt;0</formula>
    </cfRule>
  </conditionalFormatting>
  <conditionalFormatting sqref="BY64:BY65">
    <cfRule type="cellIs" dxfId="527" priority="486" operator="equal">
      <formula>"Verificar"</formula>
    </cfRule>
  </conditionalFormatting>
  <conditionalFormatting sqref="BY64:BY65">
    <cfRule type="notContainsBlanks" dxfId="526" priority="485">
      <formula>LEN(TRIM(BY64))&gt;0</formula>
    </cfRule>
  </conditionalFormatting>
  <conditionalFormatting sqref="BY76">
    <cfRule type="cellIs" dxfId="525" priority="484" operator="equal">
      <formula>"Verificar"</formula>
    </cfRule>
  </conditionalFormatting>
  <conditionalFormatting sqref="BY81">
    <cfRule type="cellIs" dxfId="524" priority="483" operator="equal">
      <formula>"Verificar"</formula>
    </cfRule>
  </conditionalFormatting>
  <conditionalFormatting sqref="BY81">
    <cfRule type="notContainsBlanks" dxfId="523" priority="482">
      <formula>LEN(TRIM(BY81))&gt;0</formula>
    </cfRule>
  </conditionalFormatting>
  <conditionalFormatting sqref="BY85">
    <cfRule type="cellIs" dxfId="522" priority="481" operator="equal">
      <formula>"Verificar"</formula>
    </cfRule>
  </conditionalFormatting>
  <conditionalFormatting sqref="BY85">
    <cfRule type="notContainsBlanks" dxfId="521" priority="480">
      <formula>LEN(TRIM(BY85))&gt;0</formula>
    </cfRule>
  </conditionalFormatting>
  <conditionalFormatting sqref="BY91">
    <cfRule type="cellIs" dxfId="520" priority="479" operator="equal">
      <formula>"Verificar"</formula>
    </cfRule>
  </conditionalFormatting>
  <conditionalFormatting sqref="BY98">
    <cfRule type="cellIs" dxfId="519" priority="478" operator="equal">
      <formula>"Verificar"</formula>
    </cfRule>
  </conditionalFormatting>
  <conditionalFormatting sqref="BY98">
    <cfRule type="notContainsBlanks" dxfId="518" priority="477">
      <formula>LEN(TRIM(BY98))&gt;0</formula>
    </cfRule>
  </conditionalFormatting>
  <conditionalFormatting sqref="BY102">
    <cfRule type="cellIs" dxfId="517" priority="476" operator="equal">
      <formula>"Verificar"</formula>
    </cfRule>
  </conditionalFormatting>
  <conditionalFormatting sqref="BY102">
    <cfRule type="notContainsBlanks" dxfId="516" priority="475">
      <formula>LEN(TRIM(BY102))&gt;0</formula>
    </cfRule>
  </conditionalFormatting>
  <conditionalFormatting sqref="BY104">
    <cfRule type="cellIs" dxfId="515" priority="474" operator="equal">
      <formula>"Verificar"</formula>
    </cfRule>
  </conditionalFormatting>
  <conditionalFormatting sqref="BY104">
    <cfRule type="notContainsBlanks" dxfId="514" priority="473">
      <formula>LEN(TRIM(BY104))&gt;0</formula>
    </cfRule>
  </conditionalFormatting>
  <conditionalFormatting sqref="BY110">
    <cfRule type="cellIs" dxfId="513" priority="472" operator="equal">
      <formula>"Verificar"</formula>
    </cfRule>
  </conditionalFormatting>
  <conditionalFormatting sqref="BY110">
    <cfRule type="notContainsBlanks" dxfId="512" priority="471">
      <formula>LEN(TRIM(BY110))&gt;0</formula>
    </cfRule>
  </conditionalFormatting>
  <conditionalFormatting sqref="BY111">
    <cfRule type="cellIs" dxfId="511" priority="470" operator="equal">
      <formula>"Verificar"</formula>
    </cfRule>
  </conditionalFormatting>
  <conditionalFormatting sqref="BY111">
    <cfRule type="notContainsBlanks" dxfId="510" priority="469">
      <formula>LEN(TRIM(BY111))&gt;0</formula>
    </cfRule>
  </conditionalFormatting>
  <conditionalFormatting sqref="BY116">
    <cfRule type="cellIs" dxfId="509" priority="468" operator="equal">
      <formula>"Verificar"</formula>
    </cfRule>
  </conditionalFormatting>
  <conditionalFormatting sqref="BY116">
    <cfRule type="notContainsBlanks" dxfId="508" priority="467">
      <formula>LEN(TRIM(BY116))&gt;0</formula>
    </cfRule>
  </conditionalFormatting>
  <conditionalFormatting sqref="BY118">
    <cfRule type="cellIs" dxfId="507" priority="466" operator="equal">
      <formula>"Verificar"</formula>
    </cfRule>
  </conditionalFormatting>
  <conditionalFormatting sqref="BY118">
    <cfRule type="notContainsBlanks" dxfId="506" priority="465">
      <formula>LEN(TRIM(BY118))&gt;0</formula>
    </cfRule>
  </conditionalFormatting>
  <conditionalFormatting sqref="BY120">
    <cfRule type="cellIs" dxfId="505" priority="464" operator="equal">
      <formula>"Verificar"</formula>
    </cfRule>
  </conditionalFormatting>
  <conditionalFormatting sqref="BY120">
    <cfRule type="notContainsBlanks" dxfId="504" priority="463">
      <formula>LEN(TRIM(BY120))&gt;0</formula>
    </cfRule>
  </conditionalFormatting>
  <conditionalFormatting sqref="BY121:BY122">
    <cfRule type="cellIs" dxfId="503" priority="462" operator="equal">
      <formula>"Verificar"</formula>
    </cfRule>
  </conditionalFormatting>
  <conditionalFormatting sqref="BY123">
    <cfRule type="cellIs" dxfId="502" priority="461" operator="equal">
      <formula>"Verificar"</formula>
    </cfRule>
  </conditionalFormatting>
  <conditionalFormatting sqref="BY123">
    <cfRule type="notContainsBlanks" dxfId="501" priority="460">
      <formula>LEN(TRIM(BY123))&gt;0</formula>
    </cfRule>
  </conditionalFormatting>
  <conditionalFormatting sqref="BY124">
    <cfRule type="cellIs" dxfId="500" priority="459" operator="equal">
      <formula>"Verificar"</formula>
    </cfRule>
  </conditionalFormatting>
  <conditionalFormatting sqref="BY124">
    <cfRule type="notContainsBlanks" dxfId="499" priority="458">
      <formula>LEN(TRIM(BY124))&gt;0</formula>
    </cfRule>
  </conditionalFormatting>
  <conditionalFormatting sqref="BY125">
    <cfRule type="cellIs" dxfId="498" priority="457" operator="equal">
      <formula>"Verificar"</formula>
    </cfRule>
  </conditionalFormatting>
  <conditionalFormatting sqref="BY125">
    <cfRule type="notContainsBlanks" dxfId="497" priority="456">
      <formula>LEN(TRIM(BY125))&gt;0</formula>
    </cfRule>
  </conditionalFormatting>
  <conditionalFormatting sqref="BY126:BY131">
    <cfRule type="cellIs" dxfId="496" priority="455" operator="equal">
      <formula>"Verificar"</formula>
    </cfRule>
  </conditionalFormatting>
  <conditionalFormatting sqref="BY126:BY131">
    <cfRule type="notContainsBlanks" dxfId="495" priority="454">
      <formula>LEN(TRIM(BY126))&gt;0</formula>
    </cfRule>
  </conditionalFormatting>
  <conditionalFormatting sqref="BZ5:CB6">
    <cfRule type="cellIs" dxfId="494" priority="453" operator="equal">
      <formula>"Verificar"</formula>
    </cfRule>
  </conditionalFormatting>
  <conditionalFormatting sqref="BZ5:CB6">
    <cfRule type="notContainsBlanks" dxfId="493" priority="452">
      <formula>LEN(TRIM(BZ5))&gt;0</formula>
    </cfRule>
  </conditionalFormatting>
  <conditionalFormatting sqref="BZ34:CB35">
    <cfRule type="cellIs" dxfId="492" priority="451" operator="equal">
      <formula>"Verificar"</formula>
    </cfRule>
  </conditionalFormatting>
  <conditionalFormatting sqref="BZ34:CB35">
    <cfRule type="notContainsBlanks" dxfId="491" priority="450">
      <formula>LEN(TRIM(BZ34))&gt;0</formula>
    </cfRule>
  </conditionalFormatting>
  <conditionalFormatting sqref="BZ39:CB39">
    <cfRule type="cellIs" dxfId="490" priority="449" operator="equal">
      <formula>"Verificar"</formula>
    </cfRule>
  </conditionalFormatting>
  <conditionalFormatting sqref="BZ39:CB39">
    <cfRule type="notContainsBlanks" dxfId="489" priority="448">
      <formula>LEN(TRIM(BZ39))&gt;0</formula>
    </cfRule>
  </conditionalFormatting>
  <conditionalFormatting sqref="BZ42:CB42">
    <cfRule type="cellIs" dxfId="488" priority="447" operator="equal">
      <formula>"Verificar"</formula>
    </cfRule>
  </conditionalFormatting>
  <conditionalFormatting sqref="BZ42:CB42">
    <cfRule type="notContainsBlanks" dxfId="487" priority="446">
      <formula>LEN(TRIM(BZ42))&gt;0</formula>
    </cfRule>
  </conditionalFormatting>
  <conditionalFormatting sqref="BZ58:CB58">
    <cfRule type="cellIs" dxfId="486" priority="445" operator="equal">
      <formula>"Verificar"</formula>
    </cfRule>
  </conditionalFormatting>
  <conditionalFormatting sqref="BZ58:CB58">
    <cfRule type="notContainsBlanks" dxfId="485" priority="444">
      <formula>LEN(TRIM(BZ58))&gt;0</formula>
    </cfRule>
  </conditionalFormatting>
  <conditionalFormatting sqref="BZ64:BZ65">
    <cfRule type="cellIs" dxfId="484" priority="443" operator="equal">
      <formula>"Verificar"</formula>
    </cfRule>
  </conditionalFormatting>
  <conditionalFormatting sqref="BZ64:BZ65">
    <cfRule type="notContainsBlanks" dxfId="483" priority="442">
      <formula>LEN(TRIM(BZ64))&gt;0</formula>
    </cfRule>
  </conditionalFormatting>
  <conditionalFormatting sqref="BZ76">
    <cfRule type="cellIs" dxfId="482" priority="441" operator="equal">
      <formula>"Verificar"</formula>
    </cfRule>
  </conditionalFormatting>
  <conditionalFormatting sqref="BZ81">
    <cfRule type="cellIs" dxfId="481" priority="440" operator="equal">
      <formula>"Verificar"</formula>
    </cfRule>
  </conditionalFormatting>
  <conditionalFormatting sqref="BZ81">
    <cfRule type="notContainsBlanks" dxfId="480" priority="439">
      <formula>LEN(TRIM(BZ81))&gt;0</formula>
    </cfRule>
  </conditionalFormatting>
  <conditionalFormatting sqref="BZ85">
    <cfRule type="cellIs" dxfId="479" priority="438" operator="equal">
      <formula>"Verificar"</formula>
    </cfRule>
  </conditionalFormatting>
  <conditionalFormatting sqref="BZ85">
    <cfRule type="notContainsBlanks" dxfId="478" priority="437">
      <formula>LEN(TRIM(BZ85))&gt;0</formula>
    </cfRule>
  </conditionalFormatting>
  <conditionalFormatting sqref="BZ91">
    <cfRule type="cellIs" dxfId="477" priority="436" operator="equal">
      <formula>"Verificar"</formula>
    </cfRule>
  </conditionalFormatting>
  <conditionalFormatting sqref="BZ98">
    <cfRule type="cellIs" dxfId="476" priority="435" operator="equal">
      <formula>"Verificar"</formula>
    </cfRule>
  </conditionalFormatting>
  <conditionalFormatting sqref="BZ98">
    <cfRule type="notContainsBlanks" dxfId="475" priority="434">
      <formula>LEN(TRIM(BZ98))&gt;0</formula>
    </cfRule>
  </conditionalFormatting>
  <conditionalFormatting sqref="BZ102">
    <cfRule type="cellIs" dxfId="474" priority="433" operator="equal">
      <formula>"Verificar"</formula>
    </cfRule>
  </conditionalFormatting>
  <conditionalFormatting sqref="BZ102">
    <cfRule type="notContainsBlanks" dxfId="473" priority="432">
      <formula>LEN(TRIM(BZ102))&gt;0</formula>
    </cfRule>
  </conditionalFormatting>
  <conditionalFormatting sqref="BZ104">
    <cfRule type="cellIs" dxfId="472" priority="431" operator="equal">
      <formula>"Verificar"</formula>
    </cfRule>
  </conditionalFormatting>
  <conditionalFormatting sqref="BZ104">
    <cfRule type="notContainsBlanks" dxfId="471" priority="430">
      <formula>LEN(TRIM(BZ104))&gt;0</formula>
    </cfRule>
  </conditionalFormatting>
  <conditionalFormatting sqref="BZ110">
    <cfRule type="cellIs" dxfId="470" priority="429" operator="equal">
      <formula>"Verificar"</formula>
    </cfRule>
  </conditionalFormatting>
  <conditionalFormatting sqref="BZ110">
    <cfRule type="notContainsBlanks" dxfId="469" priority="428">
      <formula>LEN(TRIM(BZ110))&gt;0</formula>
    </cfRule>
  </conditionalFormatting>
  <conditionalFormatting sqref="BZ111">
    <cfRule type="cellIs" dxfId="468" priority="427" operator="equal">
      <formula>"Verificar"</formula>
    </cfRule>
  </conditionalFormatting>
  <conditionalFormatting sqref="BZ111">
    <cfRule type="notContainsBlanks" dxfId="467" priority="426">
      <formula>LEN(TRIM(BZ111))&gt;0</formula>
    </cfRule>
  </conditionalFormatting>
  <conditionalFormatting sqref="BZ116">
    <cfRule type="cellIs" dxfId="466" priority="425" operator="equal">
      <formula>"Verificar"</formula>
    </cfRule>
  </conditionalFormatting>
  <conditionalFormatting sqref="BZ116">
    <cfRule type="notContainsBlanks" dxfId="465" priority="424">
      <formula>LEN(TRIM(BZ116))&gt;0</formula>
    </cfRule>
  </conditionalFormatting>
  <conditionalFormatting sqref="BZ118">
    <cfRule type="cellIs" dxfId="464" priority="423" operator="equal">
      <formula>"Verificar"</formula>
    </cfRule>
  </conditionalFormatting>
  <conditionalFormatting sqref="BZ118">
    <cfRule type="notContainsBlanks" dxfId="463" priority="422">
      <formula>LEN(TRIM(BZ118))&gt;0</formula>
    </cfRule>
  </conditionalFormatting>
  <conditionalFormatting sqref="BZ120">
    <cfRule type="cellIs" dxfId="462" priority="421" operator="equal">
      <formula>"Verificar"</formula>
    </cfRule>
  </conditionalFormatting>
  <conditionalFormatting sqref="BZ120">
    <cfRule type="notContainsBlanks" dxfId="461" priority="420">
      <formula>LEN(TRIM(BZ120))&gt;0</formula>
    </cfRule>
  </conditionalFormatting>
  <conditionalFormatting sqref="BZ121:BZ122">
    <cfRule type="cellIs" dxfId="460" priority="419" operator="equal">
      <formula>"Verificar"</formula>
    </cfRule>
  </conditionalFormatting>
  <conditionalFormatting sqref="BZ123">
    <cfRule type="cellIs" dxfId="459" priority="418" operator="equal">
      <formula>"Verificar"</formula>
    </cfRule>
  </conditionalFormatting>
  <conditionalFormatting sqref="BZ123">
    <cfRule type="notContainsBlanks" dxfId="458" priority="417">
      <formula>LEN(TRIM(BZ123))&gt;0</formula>
    </cfRule>
  </conditionalFormatting>
  <conditionalFormatting sqref="BZ125">
    <cfRule type="cellIs" dxfId="457" priority="416" operator="equal">
      <formula>"Verificar"</formula>
    </cfRule>
  </conditionalFormatting>
  <conditionalFormatting sqref="BZ125">
    <cfRule type="notContainsBlanks" dxfId="456" priority="415">
      <formula>LEN(TRIM(BZ125))&gt;0</formula>
    </cfRule>
  </conditionalFormatting>
  <conditionalFormatting sqref="BZ124">
    <cfRule type="cellIs" dxfId="455" priority="414" operator="equal">
      <formula>"Verificar"</formula>
    </cfRule>
  </conditionalFormatting>
  <conditionalFormatting sqref="BZ124">
    <cfRule type="notContainsBlanks" dxfId="454" priority="413">
      <formula>LEN(TRIM(BZ124))&gt;0</formula>
    </cfRule>
  </conditionalFormatting>
  <conditionalFormatting sqref="BZ126:BZ131">
    <cfRule type="cellIs" dxfId="453" priority="412" operator="equal">
      <formula>"Verificar"</formula>
    </cfRule>
  </conditionalFormatting>
  <conditionalFormatting sqref="BZ126:BZ131">
    <cfRule type="notContainsBlanks" dxfId="452" priority="411">
      <formula>LEN(TRIM(BZ126))&gt;0</formula>
    </cfRule>
  </conditionalFormatting>
  <conditionalFormatting sqref="CA64:CB64">
    <cfRule type="cellIs" dxfId="451" priority="410" operator="equal">
      <formula>"Verificar"</formula>
    </cfRule>
  </conditionalFormatting>
  <conditionalFormatting sqref="CA64:CB64">
    <cfRule type="notContainsBlanks" dxfId="450" priority="409">
      <formula>LEN(TRIM(CA64))&gt;0</formula>
    </cfRule>
  </conditionalFormatting>
  <conditionalFormatting sqref="CA65:CB65">
    <cfRule type="cellIs" dxfId="449" priority="408" operator="equal">
      <formula>"Verificar"</formula>
    </cfRule>
  </conditionalFormatting>
  <conditionalFormatting sqref="CA65:CB65">
    <cfRule type="notContainsBlanks" dxfId="448" priority="407">
      <formula>LEN(TRIM(CA65))&gt;0</formula>
    </cfRule>
  </conditionalFormatting>
  <conditionalFormatting sqref="CA76:CB76">
    <cfRule type="cellIs" dxfId="447" priority="406" operator="equal">
      <formula>"Verificar"</formula>
    </cfRule>
  </conditionalFormatting>
  <conditionalFormatting sqref="CA81:CB81">
    <cfRule type="cellIs" dxfId="446" priority="405" operator="equal">
      <formula>"Verificar"</formula>
    </cfRule>
  </conditionalFormatting>
  <conditionalFormatting sqref="CA81:CB81">
    <cfRule type="notContainsBlanks" dxfId="445" priority="404">
      <formula>LEN(TRIM(CA81))&gt;0</formula>
    </cfRule>
  </conditionalFormatting>
  <conditionalFormatting sqref="CA85:CB85">
    <cfRule type="cellIs" dxfId="444" priority="403" operator="equal">
      <formula>"Verificar"</formula>
    </cfRule>
  </conditionalFormatting>
  <conditionalFormatting sqref="CA85:CB85">
    <cfRule type="notContainsBlanks" dxfId="443" priority="402">
      <formula>LEN(TRIM(CA85))&gt;0</formula>
    </cfRule>
  </conditionalFormatting>
  <conditionalFormatting sqref="CA91:CB91">
    <cfRule type="cellIs" dxfId="442" priority="401" operator="equal">
      <formula>"Verificar"</formula>
    </cfRule>
  </conditionalFormatting>
  <conditionalFormatting sqref="CA98:CB98">
    <cfRule type="cellIs" dxfId="441" priority="400" operator="equal">
      <formula>"Verificar"</formula>
    </cfRule>
  </conditionalFormatting>
  <conditionalFormatting sqref="CA98:CB98">
    <cfRule type="notContainsBlanks" dxfId="440" priority="399">
      <formula>LEN(TRIM(CA98))&gt;0</formula>
    </cfRule>
  </conditionalFormatting>
  <conditionalFormatting sqref="CA102:CB102">
    <cfRule type="cellIs" dxfId="439" priority="398" operator="equal">
      <formula>"Verificar"</formula>
    </cfRule>
  </conditionalFormatting>
  <conditionalFormatting sqref="CA102:CB102">
    <cfRule type="notContainsBlanks" dxfId="438" priority="397">
      <formula>LEN(TRIM(CA102))&gt;0</formula>
    </cfRule>
  </conditionalFormatting>
  <conditionalFormatting sqref="CA104:CB104">
    <cfRule type="cellIs" dxfId="437" priority="396" operator="equal">
      <formula>"Verificar"</formula>
    </cfRule>
  </conditionalFormatting>
  <conditionalFormatting sqref="CA104:CB104">
    <cfRule type="notContainsBlanks" dxfId="436" priority="395">
      <formula>LEN(TRIM(CA104))&gt;0</formula>
    </cfRule>
  </conditionalFormatting>
  <conditionalFormatting sqref="CA110:CB110">
    <cfRule type="cellIs" dxfId="435" priority="394" operator="equal">
      <formula>"Verificar"</formula>
    </cfRule>
  </conditionalFormatting>
  <conditionalFormatting sqref="CA110:CB110">
    <cfRule type="notContainsBlanks" dxfId="434" priority="393">
      <formula>LEN(TRIM(CA110))&gt;0</formula>
    </cfRule>
  </conditionalFormatting>
  <conditionalFormatting sqref="CA111:CB111">
    <cfRule type="cellIs" dxfId="433" priority="392" operator="equal">
      <formula>"Verificar"</formula>
    </cfRule>
  </conditionalFormatting>
  <conditionalFormatting sqref="CA111:CB111">
    <cfRule type="notContainsBlanks" dxfId="432" priority="391">
      <formula>LEN(TRIM(CA111))&gt;0</formula>
    </cfRule>
  </conditionalFormatting>
  <conditionalFormatting sqref="CA116:CB116">
    <cfRule type="cellIs" dxfId="431" priority="390" operator="equal">
      <formula>"Verificar"</formula>
    </cfRule>
  </conditionalFormatting>
  <conditionalFormatting sqref="CA116:CB116">
    <cfRule type="notContainsBlanks" dxfId="430" priority="389">
      <formula>LEN(TRIM(CA116))&gt;0</formula>
    </cfRule>
  </conditionalFormatting>
  <conditionalFormatting sqref="CA118:CB118">
    <cfRule type="cellIs" dxfId="429" priority="388" operator="equal">
      <formula>"Verificar"</formula>
    </cfRule>
  </conditionalFormatting>
  <conditionalFormatting sqref="CA118:CB118">
    <cfRule type="notContainsBlanks" dxfId="428" priority="387">
      <formula>LEN(TRIM(CA118))&gt;0</formula>
    </cfRule>
  </conditionalFormatting>
  <conditionalFormatting sqref="CA120:CB120">
    <cfRule type="cellIs" dxfId="427" priority="386" operator="equal">
      <formula>"Verificar"</formula>
    </cfRule>
  </conditionalFormatting>
  <conditionalFormatting sqref="CA120:CB120">
    <cfRule type="notContainsBlanks" dxfId="426" priority="385">
      <formula>LEN(TRIM(CA120))&gt;0</formula>
    </cfRule>
  </conditionalFormatting>
  <conditionalFormatting sqref="CA121:CA122">
    <cfRule type="cellIs" dxfId="425" priority="384" operator="equal">
      <formula>"Verificar"</formula>
    </cfRule>
  </conditionalFormatting>
  <conditionalFormatting sqref="CA123">
    <cfRule type="cellIs" dxfId="424" priority="383" operator="equal">
      <formula>"Verificar"</formula>
    </cfRule>
  </conditionalFormatting>
  <conditionalFormatting sqref="CA123">
    <cfRule type="notContainsBlanks" dxfId="423" priority="382">
      <formula>LEN(TRIM(CA123))&gt;0</formula>
    </cfRule>
  </conditionalFormatting>
  <conditionalFormatting sqref="CA124">
    <cfRule type="cellIs" dxfId="422" priority="381" operator="equal">
      <formula>"Verificar"</formula>
    </cfRule>
  </conditionalFormatting>
  <conditionalFormatting sqref="CA124">
    <cfRule type="notContainsBlanks" dxfId="421" priority="380">
      <formula>LEN(TRIM(CA124))&gt;0</formula>
    </cfRule>
  </conditionalFormatting>
  <conditionalFormatting sqref="CA125">
    <cfRule type="cellIs" dxfId="420" priority="379" operator="equal">
      <formula>"Verificar"</formula>
    </cfRule>
  </conditionalFormatting>
  <conditionalFormatting sqref="CA125">
    <cfRule type="notContainsBlanks" dxfId="419" priority="378">
      <formula>LEN(TRIM(CA125))&gt;0</formula>
    </cfRule>
  </conditionalFormatting>
  <conditionalFormatting sqref="CA126:CA131">
    <cfRule type="cellIs" dxfId="418" priority="377" operator="equal">
      <formula>"Verificar"</formula>
    </cfRule>
  </conditionalFormatting>
  <conditionalFormatting sqref="CA126:CA131">
    <cfRule type="notContainsBlanks" dxfId="417" priority="376">
      <formula>LEN(TRIM(CA126))&gt;0</formula>
    </cfRule>
  </conditionalFormatting>
  <conditionalFormatting sqref="CB121:CB122">
    <cfRule type="cellIs" dxfId="416" priority="375" operator="equal">
      <formula>"Verificar"</formula>
    </cfRule>
  </conditionalFormatting>
  <conditionalFormatting sqref="CB123">
    <cfRule type="cellIs" dxfId="415" priority="374" operator="equal">
      <formula>"Verificar"</formula>
    </cfRule>
  </conditionalFormatting>
  <conditionalFormatting sqref="CB123">
    <cfRule type="notContainsBlanks" dxfId="414" priority="373">
      <formula>LEN(TRIM(CB123))&gt;0</formula>
    </cfRule>
  </conditionalFormatting>
  <conditionalFormatting sqref="CB124">
    <cfRule type="cellIs" dxfId="413" priority="372" operator="equal">
      <formula>"Verificar"</formula>
    </cfRule>
  </conditionalFormatting>
  <conditionalFormatting sqref="CB124">
    <cfRule type="notContainsBlanks" dxfId="412" priority="371">
      <formula>LEN(TRIM(CB124))&gt;0</formula>
    </cfRule>
  </conditionalFormatting>
  <conditionalFormatting sqref="CB125">
    <cfRule type="cellIs" dxfId="411" priority="370" operator="equal">
      <formula>"Verificar"</formula>
    </cfRule>
  </conditionalFormatting>
  <conditionalFormatting sqref="CB125">
    <cfRule type="notContainsBlanks" dxfId="410" priority="369">
      <formula>LEN(TRIM(CB125))&gt;0</formula>
    </cfRule>
  </conditionalFormatting>
  <conditionalFormatting sqref="CB126:CB131">
    <cfRule type="cellIs" dxfId="409" priority="368" operator="equal">
      <formula>"Verificar"</formula>
    </cfRule>
  </conditionalFormatting>
  <conditionalFormatting sqref="CB126:CB131">
    <cfRule type="notContainsBlanks" dxfId="408" priority="367">
      <formula>LEN(TRIM(CB126))&gt;0</formula>
    </cfRule>
  </conditionalFormatting>
  <conditionalFormatting sqref="CC5:CC6">
    <cfRule type="cellIs" dxfId="407" priority="366" operator="equal">
      <formula>"Verificar"</formula>
    </cfRule>
  </conditionalFormatting>
  <conditionalFormatting sqref="CC5:CC6">
    <cfRule type="notContainsBlanks" dxfId="406" priority="365">
      <formula>LEN(TRIM(CC5))&gt;0</formula>
    </cfRule>
  </conditionalFormatting>
  <conditionalFormatting sqref="CC34:CC35">
    <cfRule type="cellIs" dxfId="405" priority="364" operator="equal">
      <formula>"Verificar"</formula>
    </cfRule>
  </conditionalFormatting>
  <conditionalFormatting sqref="CC34:CC35">
    <cfRule type="notContainsBlanks" dxfId="404" priority="363">
      <formula>LEN(TRIM(CC34))&gt;0</formula>
    </cfRule>
  </conditionalFormatting>
  <conditionalFormatting sqref="CC39">
    <cfRule type="cellIs" dxfId="403" priority="362" operator="equal">
      <formula>"Verificar"</formula>
    </cfRule>
  </conditionalFormatting>
  <conditionalFormatting sqref="CC39">
    <cfRule type="notContainsBlanks" dxfId="402" priority="361">
      <formula>LEN(TRIM(CC39))&gt;0</formula>
    </cfRule>
  </conditionalFormatting>
  <conditionalFormatting sqref="CC42">
    <cfRule type="cellIs" dxfId="401" priority="360" operator="equal">
      <formula>"Verificar"</formula>
    </cfRule>
  </conditionalFormatting>
  <conditionalFormatting sqref="CC42">
    <cfRule type="notContainsBlanks" dxfId="400" priority="359">
      <formula>LEN(TRIM(CC42))&gt;0</formula>
    </cfRule>
  </conditionalFormatting>
  <conditionalFormatting sqref="CC58">
    <cfRule type="cellIs" dxfId="399" priority="358" operator="equal">
      <formula>"Verificar"</formula>
    </cfRule>
  </conditionalFormatting>
  <conditionalFormatting sqref="CC58">
    <cfRule type="notContainsBlanks" dxfId="398" priority="357">
      <formula>LEN(TRIM(CC58))&gt;0</formula>
    </cfRule>
  </conditionalFormatting>
  <conditionalFormatting sqref="CC64:CC65">
    <cfRule type="cellIs" dxfId="397" priority="356" operator="equal">
      <formula>"Verificar"</formula>
    </cfRule>
  </conditionalFormatting>
  <conditionalFormatting sqref="CC64:CC65">
    <cfRule type="notContainsBlanks" dxfId="396" priority="355">
      <formula>LEN(TRIM(CC64))&gt;0</formula>
    </cfRule>
  </conditionalFormatting>
  <conditionalFormatting sqref="CC76">
    <cfRule type="cellIs" dxfId="395" priority="354" operator="equal">
      <formula>"Verificar"</formula>
    </cfRule>
  </conditionalFormatting>
  <conditionalFormatting sqref="CC81">
    <cfRule type="cellIs" dxfId="394" priority="353" operator="equal">
      <formula>"Verificar"</formula>
    </cfRule>
  </conditionalFormatting>
  <conditionalFormatting sqref="CC81">
    <cfRule type="notContainsBlanks" dxfId="393" priority="352">
      <formula>LEN(TRIM(CC81))&gt;0</formula>
    </cfRule>
  </conditionalFormatting>
  <conditionalFormatting sqref="CC85">
    <cfRule type="cellIs" dxfId="392" priority="351" operator="equal">
      <formula>"Verificar"</formula>
    </cfRule>
  </conditionalFormatting>
  <conditionalFormatting sqref="CC85">
    <cfRule type="notContainsBlanks" dxfId="391" priority="350">
      <formula>LEN(TRIM(CC85))&gt;0</formula>
    </cfRule>
  </conditionalFormatting>
  <conditionalFormatting sqref="CC91">
    <cfRule type="cellIs" dxfId="390" priority="349" operator="equal">
      <formula>"Verificar"</formula>
    </cfRule>
  </conditionalFormatting>
  <conditionalFormatting sqref="CC98">
    <cfRule type="cellIs" dxfId="389" priority="348" operator="equal">
      <formula>"Verificar"</formula>
    </cfRule>
  </conditionalFormatting>
  <conditionalFormatting sqref="CC98">
    <cfRule type="notContainsBlanks" dxfId="388" priority="347">
      <formula>LEN(TRIM(CC98))&gt;0</formula>
    </cfRule>
  </conditionalFormatting>
  <conditionalFormatting sqref="CC102">
    <cfRule type="cellIs" dxfId="387" priority="346" operator="equal">
      <formula>"Verificar"</formula>
    </cfRule>
  </conditionalFormatting>
  <conditionalFormatting sqref="CC102">
    <cfRule type="notContainsBlanks" dxfId="386" priority="345">
      <formula>LEN(TRIM(CC102))&gt;0</formula>
    </cfRule>
  </conditionalFormatting>
  <conditionalFormatting sqref="CC104">
    <cfRule type="cellIs" dxfId="385" priority="344" operator="equal">
      <formula>"Verificar"</formula>
    </cfRule>
  </conditionalFormatting>
  <conditionalFormatting sqref="CC104">
    <cfRule type="notContainsBlanks" dxfId="384" priority="343">
      <formula>LEN(TRIM(CC104))&gt;0</formula>
    </cfRule>
  </conditionalFormatting>
  <conditionalFormatting sqref="CC110">
    <cfRule type="cellIs" dxfId="383" priority="342" operator="equal">
      <formula>"Verificar"</formula>
    </cfRule>
  </conditionalFormatting>
  <conditionalFormatting sqref="CC110">
    <cfRule type="notContainsBlanks" dxfId="382" priority="341">
      <formula>LEN(TRIM(CC110))&gt;0</formula>
    </cfRule>
  </conditionalFormatting>
  <conditionalFormatting sqref="CC111">
    <cfRule type="cellIs" dxfId="381" priority="340" operator="equal">
      <formula>"Verificar"</formula>
    </cfRule>
  </conditionalFormatting>
  <conditionalFormatting sqref="CC111">
    <cfRule type="notContainsBlanks" dxfId="380" priority="339">
      <formula>LEN(TRIM(CC111))&gt;0</formula>
    </cfRule>
  </conditionalFormatting>
  <conditionalFormatting sqref="CC116">
    <cfRule type="cellIs" dxfId="379" priority="338" operator="equal">
      <formula>"Verificar"</formula>
    </cfRule>
  </conditionalFormatting>
  <conditionalFormatting sqref="CC116">
    <cfRule type="notContainsBlanks" dxfId="378" priority="337">
      <formula>LEN(TRIM(CC116))&gt;0</formula>
    </cfRule>
  </conditionalFormatting>
  <conditionalFormatting sqref="CC118">
    <cfRule type="cellIs" dxfId="377" priority="336" operator="equal">
      <formula>"Verificar"</formula>
    </cfRule>
  </conditionalFormatting>
  <conditionalFormatting sqref="CC118">
    <cfRule type="notContainsBlanks" dxfId="376" priority="335">
      <formula>LEN(TRIM(CC118))&gt;0</formula>
    </cfRule>
  </conditionalFormatting>
  <conditionalFormatting sqref="CC120">
    <cfRule type="cellIs" dxfId="375" priority="334" operator="equal">
      <formula>"Verificar"</formula>
    </cfRule>
  </conditionalFormatting>
  <conditionalFormatting sqref="CC120">
    <cfRule type="notContainsBlanks" dxfId="374" priority="333">
      <formula>LEN(TRIM(CC120))&gt;0</formula>
    </cfRule>
  </conditionalFormatting>
  <conditionalFormatting sqref="CC121:CC122">
    <cfRule type="cellIs" dxfId="373" priority="332" operator="equal">
      <formula>"Verificar"</formula>
    </cfRule>
  </conditionalFormatting>
  <conditionalFormatting sqref="CC123">
    <cfRule type="cellIs" dxfId="372" priority="331" operator="equal">
      <formula>"Verificar"</formula>
    </cfRule>
  </conditionalFormatting>
  <conditionalFormatting sqref="CC123">
    <cfRule type="notContainsBlanks" dxfId="371" priority="330">
      <formula>LEN(TRIM(CC123))&gt;0</formula>
    </cfRule>
  </conditionalFormatting>
  <conditionalFormatting sqref="CC125">
    <cfRule type="cellIs" dxfId="370" priority="329" operator="equal">
      <formula>"Verificar"</formula>
    </cfRule>
  </conditionalFormatting>
  <conditionalFormatting sqref="CC125">
    <cfRule type="notContainsBlanks" dxfId="369" priority="328">
      <formula>LEN(TRIM(CC125))&gt;0</formula>
    </cfRule>
  </conditionalFormatting>
  <conditionalFormatting sqref="CC124">
    <cfRule type="cellIs" dxfId="368" priority="327" operator="equal">
      <formula>"Verificar"</formula>
    </cfRule>
  </conditionalFormatting>
  <conditionalFormatting sqref="CC124">
    <cfRule type="notContainsBlanks" dxfId="367" priority="326">
      <formula>LEN(TRIM(CC124))&gt;0</formula>
    </cfRule>
  </conditionalFormatting>
  <conditionalFormatting sqref="CC126:CC131">
    <cfRule type="cellIs" dxfId="366" priority="325" operator="equal">
      <formula>"Verificar"</formula>
    </cfRule>
  </conditionalFormatting>
  <conditionalFormatting sqref="CC126:CC131">
    <cfRule type="notContainsBlanks" dxfId="365" priority="324">
      <formula>LEN(TRIM(CC126))&gt;0</formula>
    </cfRule>
  </conditionalFormatting>
  <conditionalFormatting sqref="CD5:CD6">
    <cfRule type="cellIs" dxfId="364" priority="323" operator="equal">
      <formula>"Verificar"</formula>
    </cfRule>
  </conditionalFormatting>
  <conditionalFormatting sqref="CD5:CD6">
    <cfRule type="notContainsBlanks" dxfId="363" priority="322">
      <formula>LEN(TRIM(CD5))&gt;0</formula>
    </cfRule>
  </conditionalFormatting>
  <conditionalFormatting sqref="CD34:CD35">
    <cfRule type="cellIs" dxfId="362" priority="321" operator="equal">
      <formula>"Verificar"</formula>
    </cfRule>
  </conditionalFormatting>
  <conditionalFormatting sqref="CD34:CD35">
    <cfRule type="notContainsBlanks" dxfId="361" priority="320">
      <formula>LEN(TRIM(CD34))&gt;0</formula>
    </cfRule>
  </conditionalFormatting>
  <conditionalFormatting sqref="CD39">
    <cfRule type="cellIs" dxfId="360" priority="319" operator="equal">
      <formula>"Verificar"</formula>
    </cfRule>
  </conditionalFormatting>
  <conditionalFormatting sqref="CD39">
    <cfRule type="notContainsBlanks" dxfId="359" priority="318">
      <formula>LEN(TRIM(CD39))&gt;0</formula>
    </cfRule>
  </conditionalFormatting>
  <conditionalFormatting sqref="CD42">
    <cfRule type="cellIs" dxfId="358" priority="317" operator="equal">
      <formula>"Verificar"</formula>
    </cfRule>
  </conditionalFormatting>
  <conditionalFormatting sqref="CD42">
    <cfRule type="notContainsBlanks" dxfId="357" priority="316">
      <formula>LEN(TRIM(CD42))&gt;0</formula>
    </cfRule>
  </conditionalFormatting>
  <conditionalFormatting sqref="CD58">
    <cfRule type="cellIs" dxfId="356" priority="315" operator="equal">
      <formula>"Verificar"</formula>
    </cfRule>
  </conditionalFormatting>
  <conditionalFormatting sqref="CD58">
    <cfRule type="notContainsBlanks" dxfId="355" priority="314">
      <formula>LEN(TRIM(CD58))&gt;0</formula>
    </cfRule>
  </conditionalFormatting>
  <conditionalFormatting sqref="CD64:CD65">
    <cfRule type="cellIs" dxfId="354" priority="313" operator="equal">
      <formula>"Verificar"</formula>
    </cfRule>
  </conditionalFormatting>
  <conditionalFormatting sqref="CD64:CD65">
    <cfRule type="notContainsBlanks" dxfId="353" priority="312">
      <formula>LEN(TRIM(CD64))&gt;0</formula>
    </cfRule>
  </conditionalFormatting>
  <conditionalFormatting sqref="CD76">
    <cfRule type="cellIs" dxfId="352" priority="311" operator="equal">
      <formula>"Verificar"</formula>
    </cfRule>
  </conditionalFormatting>
  <conditionalFormatting sqref="CD81">
    <cfRule type="cellIs" dxfId="351" priority="310" operator="equal">
      <formula>"Verificar"</formula>
    </cfRule>
  </conditionalFormatting>
  <conditionalFormatting sqref="CD81">
    <cfRule type="notContainsBlanks" dxfId="350" priority="309">
      <formula>LEN(TRIM(CD81))&gt;0</formula>
    </cfRule>
  </conditionalFormatting>
  <conditionalFormatting sqref="CD85">
    <cfRule type="cellIs" dxfId="349" priority="308" operator="equal">
      <formula>"Verificar"</formula>
    </cfRule>
  </conditionalFormatting>
  <conditionalFormatting sqref="CD85">
    <cfRule type="notContainsBlanks" dxfId="348" priority="307">
      <formula>LEN(TRIM(CD85))&gt;0</formula>
    </cfRule>
  </conditionalFormatting>
  <conditionalFormatting sqref="CD91">
    <cfRule type="cellIs" dxfId="347" priority="306" operator="equal">
      <formula>"Verificar"</formula>
    </cfRule>
  </conditionalFormatting>
  <conditionalFormatting sqref="CD98">
    <cfRule type="cellIs" dxfId="346" priority="305" operator="equal">
      <formula>"Verificar"</formula>
    </cfRule>
  </conditionalFormatting>
  <conditionalFormatting sqref="CD98">
    <cfRule type="notContainsBlanks" dxfId="345" priority="304">
      <formula>LEN(TRIM(CD98))&gt;0</formula>
    </cfRule>
  </conditionalFormatting>
  <conditionalFormatting sqref="CD102">
    <cfRule type="cellIs" dxfId="344" priority="303" operator="equal">
      <formula>"Verificar"</formula>
    </cfRule>
  </conditionalFormatting>
  <conditionalFormatting sqref="CD102">
    <cfRule type="notContainsBlanks" dxfId="343" priority="302">
      <formula>LEN(TRIM(CD102))&gt;0</formula>
    </cfRule>
  </conditionalFormatting>
  <conditionalFormatting sqref="CD104">
    <cfRule type="cellIs" dxfId="342" priority="301" operator="equal">
      <formula>"Verificar"</formula>
    </cfRule>
  </conditionalFormatting>
  <conditionalFormatting sqref="CD104">
    <cfRule type="notContainsBlanks" dxfId="341" priority="300">
      <formula>LEN(TRIM(CD104))&gt;0</formula>
    </cfRule>
  </conditionalFormatting>
  <conditionalFormatting sqref="CD110">
    <cfRule type="cellIs" dxfId="340" priority="299" operator="equal">
      <formula>"Verificar"</formula>
    </cfRule>
  </conditionalFormatting>
  <conditionalFormatting sqref="CD110">
    <cfRule type="notContainsBlanks" dxfId="339" priority="298">
      <formula>LEN(TRIM(CD110))&gt;0</formula>
    </cfRule>
  </conditionalFormatting>
  <conditionalFormatting sqref="CD111">
    <cfRule type="cellIs" dxfId="338" priority="297" operator="equal">
      <formula>"Verificar"</formula>
    </cfRule>
  </conditionalFormatting>
  <conditionalFormatting sqref="CD111">
    <cfRule type="notContainsBlanks" dxfId="337" priority="296">
      <formula>LEN(TRIM(CD111))&gt;0</formula>
    </cfRule>
  </conditionalFormatting>
  <conditionalFormatting sqref="CD116">
    <cfRule type="cellIs" dxfId="336" priority="295" operator="equal">
      <formula>"Verificar"</formula>
    </cfRule>
  </conditionalFormatting>
  <conditionalFormatting sqref="CD116">
    <cfRule type="notContainsBlanks" dxfId="335" priority="294">
      <formula>LEN(TRIM(CD116))&gt;0</formula>
    </cfRule>
  </conditionalFormatting>
  <conditionalFormatting sqref="CD118">
    <cfRule type="cellIs" dxfId="334" priority="293" operator="equal">
      <formula>"Verificar"</formula>
    </cfRule>
  </conditionalFormatting>
  <conditionalFormatting sqref="CD118">
    <cfRule type="notContainsBlanks" dxfId="333" priority="292">
      <formula>LEN(TRIM(CD118))&gt;0</formula>
    </cfRule>
  </conditionalFormatting>
  <conditionalFormatting sqref="CD120">
    <cfRule type="cellIs" dxfId="332" priority="291" operator="equal">
      <formula>"Verificar"</formula>
    </cfRule>
  </conditionalFormatting>
  <conditionalFormatting sqref="CD120">
    <cfRule type="notContainsBlanks" dxfId="331" priority="290">
      <formula>LEN(TRIM(CD120))&gt;0</formula>
    </cfRule>
  </conditionalFormatting>
  <conditionalFormatting sqref="CD121:CD122">
    <cfRule type="cellIs" dxfId="330" priority="289" operator="equal">
      <formula>"Verificar"</formula>
    </cfRule>
  </conditionalFormatting>
  <conditionalFormatting sqref="CD123">
    <cfRule type="cellIs" dxfId="329" priority="288" operator="equal">
      <formula>"Verificar"</formula>
    </cfRule>
  </conditionalFormatting>
  <conditionalFormatting sqref="CD123">
    <cfRule type="notContainsBlanks" dxfId="328" priority="287">
      <formula>LEN(TRIM(CD123))&gt;0</formula>
    </cfRule>
  </conditionalFormatting>
  <conditionalFormatting sqref="CD124">
    <cfRule type="cellIs" dxfId="327" priority="286" operator="equal">
      <formula>"Verificar"</formula>
    </cfRule>
  </conditionalFormatting>
  <conditionalFormatting sqref="CD124">
    <cfRule type="notContainsBlanks" dxfId="326" priority="285">
      <formula>LEN(TRIM(CD124))&gt;0</formula>
    </cfRule>
  </conditionalFormatting>
  <conditionalFormatting sqref="CD125">
    <cfRule type="cellIs" dxfId="325" priority="284" operator="equal">
      <formula>"Verificar"</formula>
    </cfRule>
  </conditionalFormatting>
  <conditionalFormatting sqref="CD125">
    <cfRule type="notContainsBlanks" dxfId="324" priority="283">
      <formula>LEN(TRIM(CD125))&gt;0</formula>
    </cfRule>
  </conditionalFormatting>
  <conditionalFormatting sqref="CD126:CD131">
    <cfRule type="cellIs" dxfId="323" priority="282" operator="equal">
      <formula>"Verificar"</formula>
    </cfRule>
  </conditionalFormatting>
  <conditionalFormatting sqref="CD126:CD131">
    <cfRule type="notContainsBlanks" dxfId="322" priority="281">
      <formula>LEN(TRIM(CD126))&gt;0</formula>
    </cfRule>
  </conditionalFormatting>
  <conditionalFormatting sqref="CE42">
    <cfRule type="cellIs" dxfId="321" priority="274" operator="equal">
      <formula>"Verificar"</formula>
    </cfRule>
  </conditionalFormatting>
  <conditionalFormatting sqref="CE42">
    <cfRule type="notContainsBlanks" dxfId="320" priority="273">
      <formula>LEN(TRIM(CE42))&gt;0</formula>
    </cfRule>
  </conditionalFormatting>
  <conditionalFormatting sqref="CE58">
    <cfRule type="cellIs" dxfId="319" priority="272" operator="equal">
      <formula>"Verificar"</formula>
    </cfRule>
  </conditionalFormatting>
  <conditionalFormatting sqref="CE58">
    <cfRule type="notContainsBlanks" dxfId="318" priority="271">
      <formula>LEN(TRIM(CE58))&gt;0</formula>
    </cfRule>
  </conditionalFormatting>
  <conditionalFormatting sqref="CE64:CE65">
    <cfRule type="cellIs" dxfId="317" priority="270" operator="equal">
      <formula>"Verificar"</formula>
    </cfRule>
  </conditionalFormatting>
  <conditionalFormatting sqref="CE64:CE65">
    <cfRule type="notContainsBlanks" dxfId="316" priority="269">
      <formula>LEN(TRIM(CE64))&gt;0</formula>
    </cfRule>
  </conditionalFormatting>
  <conditionalFormatting sqref="CE81">
    <cfRule type="cellIs" dxfId="315" priority="267" operator="equal">
      <formula>"Verificar"</formula>
    </cfRule>
  </conditionalFormatting>
  <conditionalFormatting sqref="CE81">
    <cfRule type="notContainsBlanks" dxfId="314" priority="266">
      <formula>LEN(TRIM(CE81))&gt;0</formula>
    </cfRule>
  </conditionalFormatting>
  <conditionalFormatting sqref="CE85">
    <cfRule type="cellIs" dxfId="313" priority="265" operator="equal">
      <formula>"Verificar"</formula>
    </cfRule>
  </conditionalFormatting>
  <conditionalFormatting sqref="CE85">
    <cfRule type="notContainsBlanks" dxfId="312" priority="264">
      <formula>LEN(TRIM(CE85))&gt;0</formula>
    </cfRule>
  </conditionalFormatting>
  <conditionalFormatting sqref="CE91">
    <cfRule type="cellIs" dxfId="311" priority="263" operator="equal">
      <formula>"Verificar"</formula>
    </cfRule>
  </conditionalFormatting>
  <conditionalFormatting sqref="CE98">
    <cfRule type="cellIs" dxfId="310" priority="262" operator="equal">
      <formula>"Verificar"</formula>
    </cfRule>
  </conditionalFormatting>
  <conditionalFormatting sqref="CE98">
    <cfRule type="notContainsBlanks" dxfId="309" priority="261">
      <formula>LEN(TRIM(CE98))&gt;0</formula>
    </cfRule>
  </conditionalFormatting>
  <conditionalFormatting sqref="CE102">
    <cfRule type="cellIs" dxfId="308" priority="260" operator="equal">
      <formula>"Verificar"</formula>
    </cfRule>
  </conditionalFormatting>
  <conditionalFormatting sqref="CE102">
    <cfRule type="notContainsBlanks" dxfId="307" priority="259">
      <formula>LEN(TRIM(CE102))&gt;0</formula>
    </cfRule>
  </conditionalFormatting>
  <conditionalFormatting sqref="CE104">
    <cfRule type="cellIs" dxfId="306" priority="258" operator="equal">
      <formula>"Verificar"</formula>
    </cfRule>
  </conditionalFormatting>
  <conditionalFormatting sqref="CE104">
    <cfRule type="notContainsBlanks" dxfId="305" priority="257">
      <formula>LEN(TRIM(CE104))&gt;0</formula>
    </cfRule>
  </conditionalFormatting>
  <conditionalFormatting sqref="CE110:CE111">
    <cfRule type="cellIs" dxfId="304" priority="256" operator="equal">
      <formula>"Verificar"</formula>
    </cfRule>
  </conditionalFormatting>
  <conditionalFormatting sqref="CE110:CE111">
    <cfRule type="notContainsBlanks" dxfId="303" priority="255">
      <formula>LEN(TRIM(CE110))&gt;0</formula>
    </cfRule>
  </conditionalFormatting>
  <conditionalFormatting sqref="CE116">
    <cfRule type="cellIs" dxfId="302" priority="254" operator="equal">
      <formula>"Verificar"</formula>
    </cfRule>
  </conditionalFormatting>
  <conditionalFormatting sqref="CE116">
    <cfRule type="notContainsBlanks" dxfId="301" priority="253">
      <formula>LEN(TRIM(CE116))&gt;0</formula>
    </cfRule>
  </conditionalFormatting>
  <conditionalFormatting sqref="CE118">
    <cfRule type="cellIs" dxfId="300" priority="252" operator="equal">
      <formula>"Verificar"</formula>
    </cfRule>
  </conditionalFormatting>
  <conditionalFormatting sqref="CE118">
    <cfRule type="notContainsBlanks" dxfId="299" priority="251">
      <formula>LEN(TRIM(CE118))&gt;0</formula>
    </cfRule>
  </conditionalFormatting>
  <conditionalFormatting sqref="CE120">
    <cfRule type="cellIs" dxfId="298" priority="250" operator="equal">
      <formula>"Verificar"</formula>
    </cfRule>
  </conditionalFormatting>
  <conditionalFormatting sqref="CE120">
    <cfRule type="notContainsBlanks" dxfId="297" priority="249">
      <formula>LEN(TRIM(CE120))&gt;0</formula>
    </cfRule>
  </conditionalFormatting>
  <conditionalFormatting sqref="CE121:CE122">
    <cfRule type="cellIs" dxfId="296" priority="248" operator="equal">
      <formula>"Verificar"</formula>
    </cfRule>
  </conditionalFormatting>
  <conditionalFormatting sqref="CE123">
    <cfRule type="cellIs" dxfId="295" priority="247" operator="equal">
      <formula>"Verificar"</formula>
    </cfRule>
  </conditionalFormatting>
  <conditionalFormatting sqref="CE123">
    <cfRule type="notContainsBlanks" dxfId="294" priority="246">
      <formula>LEN(TRIM(CE123))&gt;0</formula>
    </cfRule>
  </conditionalFormatting>
  <conditionalFormatting sqref="CE124">
    <cfRule type="cellIs" dxfId="293" priority="245" operator="equal">
      <formula>"Verificar"</formula>
    </cfRule>
  </conditionalFormatting>
  <conditionalFormatting sqref="CE124">
    <cfRule type="notContainsBlanks" dxfId="292" priority="244">
      <formula>LEN(TRIM(CE124))&gt;0</formula>
    </cfRule>
  </conditionalFormatting>
  <conditionalFormatting sqref="CE125">
    <cfRule type="cellIs" dxfId="291" priority="243" operator="equal">
      <formula>"Verificar"</formula>
    </cfRule>
  </conditionalFormatting>
  <conditionalFormatting sqref="CE125">
    <cfRule type="notContainsBlanks" dxfId="290" priority="242">
      <formula>LEN(TRIM(CE125))&gt;0</formula>
    </cfRule>
  </conditionalFormatting>
  <conditionalFormatting sqref="CE126:CE131">
    <cfRule type="cellIs" dxfId="289" priority="241" operator="equal">
      <formula>"Verificar"</formula>
    </cfRule>
  </conditionalFormatting>
  <conditionalFormatting sqref="CE126:CE131">
    <cfRule type="notContainsBlanks" dxfId="288" priority="240">
      <formula>LEN(TRIM(CE126))&gt;0</formula>
    </cfRule>
  </conditionalFormatting>
  <conditionalFormatting sqref="CF123:CG123">
    <cfRule type="cellIs" dxfId="287" priority="211" operator="equal">
      <formula>"Verificar"</formula>
    </cfRule>
  </conditionalFormatting>
  <conditionalFormatting sqref="CF123:CG123">
    <cfRule type="notContainsBlanks" dxfId="286" priority="210">
      <formula>LEN(TRIM(CF123))&gt;0</formula>
    </cfRule>
  </conditionalFormatting>
  <conditionalFormatting sqref="CF125:CG125">
    <cfRule type="cellIs" dxfId="285" priority="209" operator="equal">
      <formula>"Verificar"</formula>
    </cfRule>
  </conditionalFormatting>
  <conditionalFormatting sqref="CF125:CG125">
    <cfRule type="notContainsBlanks" dxfId="284" priority="208">
      <formula>LEN(TRIM(CF125))&gt;0</formula>
    </cfRule>
  </conditionalFormatting>
  <conditionalFormatting sqref="CF124:CG124">
    <cfRule type="cellIs" dxfId="283" priority="207" operator="equal">
      <formula>"Verificar"</formula>
    </cfRule>
  </conditionalFormatting>
  <conditionalFormatting sqref="CF124:CG124">
    <cfRule type="notContainsBlanks" dxfId="282" priority="206">
      <formula>LEN(TRIM(CF124))&gt;0</formula>
    </cfRule>
  </conditionalFormatting>
  <conditionalFormatting sqref="CF126:CG131">
    <cfRule type="cellIs" dxfId="281" priority="205" operator="equal">
      <formula>"Verificar"</formula>
    </cfRule>
  </conditionalFormatting>
  <conditionalFormatting sqref="CF126:CG131">
    <cfRule type="notContainsBlanks" dxfId="280" priority="204">
      <formula>LEN(TRIM(CF126))&gt;0</formula>
    </cfRule>
  </conditionalFormatting>
  <conditionalFormatting sqref="DO238">
    <cfRule type="cellIs" dxfId="279" priority="85" operator="equal">
      <formula>"Verificar"</formula>
    </cfRule>
  </conditionalFormatting>
  <conditionalFormatting sqref="CH124">
    <cfRule type="cellIs" dxfId="278" priority="56" operator="equal">
      <formula>"Verificar"</formula>
    </cfRule>
  </conditionalFormatting>
  <conditionalFormatting sqref="CH124">
    <cfRule type="notContainsBlanks" dxfId="277" priority="55">
      <formula>LEN(TRIM(CH124))&gt;0</formula>
    </cfRule>
  </conditionalFormatting>
  <conditionalFormatting sqref="CI124">
    <cfRule type="cellIs" dxfId="276" priority="54" operator="equal">
      <formula>"Verificar"</formula>
    </cfRule>
  </conditionalFormatting>
  <conditionalFormatting sqref="CI124">
    <cfRule type="notContainsBlanks" dxfId="275" priority="53">
      <formula>LEN(TRIM(CI124))&gt;0</formula>
    </cfRule>
  </conditionalFormatting>
  <conditionalFormatting sqref="CJ124">
    <cfRule type="cellIs" dxfId="274" priority="52" operator="equal">
      <formula>"Verificar"</formula>
    </cfRule>
  </conditionalFormatting>
  <conditionalFormatting sqref="CJ124">
    <cfRule type="notContainsBlanks" dxfId="273" priority="51">
      <formula>LEN(TRIM(CJ124))&gt;0</formula>
    </cfRule>
  </conditionalFormatting>
  <conditionalFormatting sqref="CK124">
    <cfRule type="cellIs" dxfId="272" priority="50" operator="equal">
      <formula>"Verificar"</formula>
    </cfRule>
  </conditionalFormatting>
  <conditionalFormatting sqref="CK124">
    <cfRule type="notContainsBlanks" dxfId="271" priority="49">
      <formula>LEN(TRIM(CK124))&gt;0</formula>
    </cfRule>
  </conditionalFormatting>
  <conditionalFormatting sqref="CL124">
    <cfRule type="cellIs" dxfId="270" priority="48" operator="equal">
      <formula>"Verificar"</formula>
    </cfRule>
  </conditionalFormatting>
  <conditionalFormatting sqref="CL124">
    <cfRule type="notContainsBlanks" dxfId="269" priority="47">
      <formula>LEN(TRIM(CL124))&gt;0</formula>
    </cfRule>
  </conditionalFormatting>
  <conditionalFormatting sqref="CM124">
    <cfRule type="cellIs" dxfId="268" priority="46" operator="equal">
      <formula>"Verificar"</formula>
    </cfRule>
  </conditionalFormatting>
  <conditionalFormatting sqref="CM124">
    <cfRule type="notContainsBlanks" dxfId="267" priority="45">
      <formula>LEN(TRIM(CM124))&gt;0</formula>
    </cfRule>
  </conditionalFormatting>
  <conditionalFormatting sqref="CN124">
    <cfRule type="cellIs" dxfId="266" priority="44" operator="equal">
      <formula>"Verificar"</formula>
    </cfRule>
  </conditionalFormatting>
  <conditionalFormatting sqref="CN124">
    <cfRule type="notContainsBlanks" dxfId="265" priority="43">
      <formula>LEN(TRIM(CN124))&gt;0</formula>
    </cfRule>
  </conditionalFormatting>
  <conditionalFormatting sqref="CO124">
    <cfRule type="cellIs" dxfId="264" priority="42" operator="equal">
      <formula>"Verificar"</formula>
    </cfRule>
  </conditionalFormatting>
  <conditionalFormatting sqref="CO124">
    <cfRule type="notContainsBlanks" dxfId="263" priority="41">
      <formula>LEN(TRIM(CO124))&gt;0</formula>
    </cfRule>
  </conditionalFormatting>
  <conditionalFormatting sqref="CP124">
    <cfRule type="cellIs" dxfId="262" priority="40" operator="equal">
      <formula>"Verificar"</formula>
    </cfRule>
  </conditionalFormatting>
  <conditionalFormatting sqref="CP124">
    <cfRule type="notContainsBlanks" dxfId="261" priority="39">
      <formula>LEN(TRIM(CP124))&gt;0</formula>
    </cfRule>
  </conditionalFormatting>
  <conditionalFormatting sqref="CQ124">
    <cfRule type="cellIs" dxfId="260" priority="38" operator="equal">
      <formula>"Verificar"</formula>
    </cfRule>
  </conditionalFormatting>
  <conditionalFormatting sqref="CQ124">
    <cfRule type="notContainsBlanks" dxfId="259" priority="37">
      <formula>LEN(TRIM(CQ124))&gt;0</formula>
    </cfRule>
  </conditionalFormatting>
  <conditionalFormatting sqref="CR124">
    <cfRule type="cellIs" dxfId="258" priority="36" operator="equal">
      <formula>"Verificar"</formula>
    </cfRule>
  </conditionalFormatting>
  <conditionalFormatting sqref="CR124">
    <cfRule type="notContainsBlanks" dxfId="257" priority="35">
      <formula>LEN(TRIM(CR124))&gt;0</formula>
    </cfRule>
  </conditionalFormatting>
  <conditionalFormatting sqref="CS124">
    <cfRule type="cellIs" dxfId="256" priority="32" operator="equal">
      <formula>"Verificar"</formula>
    </cfRule>
  </conditionalFormatting>
  <conditionalFormatting sqref="CS124">
    <cfRule type="notContainsBlanks" dxfId="255" priority="31">
      <formula>LEN(TRIM(CS124))&gt;0</formula>
    </cfRule>
  </conditionalFormatting>
  <conditionalFormatting sqref="CT124">
    <cfRule type="cellIs" dxfId="254" priority="30" operator="equal">
      <formula>"Verificar"</formula>
    </cfRule>
  </conditionalFormatting>
  <conditionalFormatting sqref="CT124">
    <cfRule type="notContainsBlanks" dxfId="253" priority="29">
      <formula>LEN(TRIM(CT124))&gt;0</formula>
    </cfRule>
  </conditionalFormatting>
  <conditionalFormatting sqref="CU4">
    <cfRule type="cellIs" dxfId="252" priority="25" operator="equal">
      <formula>"Verificar"</formula>
    </cfRule>
  </conditionalFormatting>
  <conditionalFormatting sqref="CV4">
    <cfRule type="cellIs" dxfId="251" priority="24" operator="equal">
      <formula>"Verificar"</formula>
    </cfRule>
  </conditionalFormatting>
  <conditionalFormatting sqref="CW4">
    <cfRule type="cellIs" dxfId="250" priority="23" operator="equal">
      <formula>"Verificar"</formula>
    </cfRule>
  </conditionalFormatting>
  <conditionalFormatting sqref="CX4">
    <cfRule type="cellIs" dxfId="249" priority="22" operator="equal">
      <formula>"Verificar"</formula>
    </cfRule>
  </conditionalFormatting>
  <conditionalFormatting sqref="CY4">
    <cfRule type="cellIs" dxfId="248" priority="21" operator="equal">
      <formula>"Verificar"</formula>
    </cfRule>
  </conditionalFormatting>
  <conditionalFormatting sqref="CZ4">
    <cfRule type="cellIs" dxfId="247" priority="20" operator="equal">
      <formula>"Verificar"</formula>
    </cfRule>
  </conditionalFormatting>
  <conditionalFormatting sqref="DA4">
    <cfRule type="cellIs" dxfId="246" priority="19" operator="equal">
      <formula>"Verificar"</formula>
    </cfRule>
  </conditionalFormatting>
  <conditionalFormatting sqref="DB4">
    <cfRule type="cellIs" dxfId="245" priority="18" operator="equal">
      <formula>"Verificar"</formula>
    </cfRule>
  </conditionalFormatting>
  <conditionalFormatting sqref="DC4">
    <cfRule type="cellIs" dxfId="244" priority="17" operator="equal">
      <formula>"Verificar"</formula>
    </cfRule>
  </conditionalFormatting>
  <conditionalFormatting sqref="DD4">
    <cfRule type="cellIs" dxfId="243" priority="16" operator="equal">
      <formula>"Verificar"</formula>
    </cfRule>
  </conditionalFormatting>
  <conditionalFormatting sqref="DE4">
    <cfRule type="cellIs" dxfId="242" priority="15" operator="equal">
      <formula>"Verificar"</formula>
    </cfRule>
  </conditionalFormatting>
  <conditionalFormatting sqref="DF4">
    <cfRule type="cellIs" dxfId="241" priority="8" operator="equal">
      <formula>"Verificar"</formula>
    </cfRule>
  </conditionalFormatting>
  <conditionalFormatting sqref="DG4">
    <cfRule type="cellIs" dxfId="240" priority="7" operator="equal">
      <formula>"Verificar"</formula>
    </cfRule>
  </conditionalFormatting>
  <conditionalFormatting sqref="DH4">
    <cfRule type="cellIs" dxfId="239" priority="6" operator="equal">
      <formula>"Verificar"</formula>
    </cfRule>
  </conditionalFormatting>
  <conditionalFormatting sqref="DI4">
    <cfRule type="cellIs" dxfId="238" priority="5" operator="equal">
      <formula>"Verificar"</formula>
    </cfRule>
  </conditionalFormatting>
  <conditionalFormatting sqref="DJ4">
    <cfRule type="cellIs" dxfId="237" priority="4" operator="equal">
      <formula>"Verificar"</formula>
    </cfRule>
  </conditionalFormatting>
  <conditionalFormatting sqref="DK4">
    <cfRule type="cellIs" dxfId="236" priority="3" operator="equal">
      <formula>"Verificar"</formula>
    </cfRule>
  </conditionalFormatting>
  <conditionalFormatting sqref="DL4">
    <cfRule type="cellIs" dxfId="235" priority="2" operator="equal">
      <formula>"Verificar"</formula>
    </cfRule>
  </conditionalFormatting>
  <conditionalFormatting sqref="DM4">
    <cfRule type="cellIs" dxfId="234" priority="1" operator="equal">
      <formula>"Verificar"</formula>
    </cfRule>
  </conditionalFormatting>
  <pageMargins left="0.25" right="0.25" top="0.75" bottom="0.75" header="0.3" footer="0.3"/>
  <pageSetup paperSize="9" scale="54" orientation="landscape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31C4F-01DD-4C16-B689-B0020AD30038}">
  <sheetPr codeName="Planilha4">
    <pageSetUpPr autoPageBreaks="0"/>
  </sheetPr>
  <dimension ref="A2:S3208"/>
  <sheetViews>
    <sheetView zoomScaleNormal="100" workbookViewId="0">
      <pane ySplit="2" topLeftCell="A3063" activePane="bottomLeft" state="frozen"/>
      <selection pane="bottomLeft" activeCell="E3073" sqref="E3073"/>
    </sheetView>
  </sheetViews>
  <sheetFormatPr defaultRowHeight="14.4" x14ac:dyDescent="0.3"/>
  <cols>
    <col min="1" max="1" width="34.33203125" bestFit="1" customWidth="1"/>
    <col min="2" max="2" width="16.88671875" bestFit="1" customWidth="1"/>
    <col min="3" max="4" width="16.88671875" customWidth="1"/>
    <col min="5" max="5" width="20.88671875" style="2" bestFit="1" customWidth="1"/>
    <col min="6" max="6" width="16.88671875" bestFit="1" customWidth="1"/>
    <col min="7" max="7" width="16.88671875" customWidth="1"/>
    <col min="8" max="8" width="16.88671875" bestFit="1" customWidth="1"/>
    <col min="9" max="9" width="25.6640625" bestFit="1" customWidth="1"/>
    <col min="10" max="10" width="38.109375" bestFit="1" customWidth="1"/>
    <col min="11" max="11" width="23" customWidth="1"/>
    <col min="12" max="14" width="16.88671875" bestFit="1" customWidth="1"/>
    <col min="15" max="15" width="38.109375" bestFit="1" customWidth="1"/>
    <col min="16" max="16" width="34.33203125" bestFit="1" customWidth="1"/>
    <col min="17" max="25" width="16.88671875" bestFit="1" customWidth="1"/>
  </cols>
  <sheetData>
    <row r="2" spans="1:16" x14ac:dyDescent="0.3">
      <c r="A2" t="s">
        <v>244</v>
      </c>
      <c r="B2" t="s">
        <v>243</v>
      </c>
      <c r="C2" t="s">
        <v>629</v>
      </c>
      <c r="D2" t="s">
        <v>174</v>
      </c>
      <c r="E2" s="2" t="s">
        <v>245</v>
      </c>
      <c r="F2" s="2" t="s">
        <v>718</v>
      </c>
      <c r="G2" s="2" t="s">
        <v>1031</v>
      </c>
      <c r="H2" s="2"/>
    </row>
    <row r="3" spans="1:16" x14ac:dyDescent="0.3">
      <c r="F3" s="2"/>
      <c r="G3" s="223"/>
      <c r="H3" s="2"/>
      <c r="L3" s="220" t="s">
        <v>950</v>
      </c>
    </row>
    <row r="4" spans="1:16" x14ac:dyDescent="0.3">
      <c r="A4" t="s">
        <v>627</v>
      </c>
      <c r="B4" s="3">
        <v>41609</v>
      </c>
      <c r="C4" s="2" t="str">
        <f>VLOOKUP(MONTH(Tabela1[[#This Row],[Periodo]]),NUMMESES,2,FALSE)</f>
        <v>Dezembro</v>
      </c>
      <c r="D4" s="2">
        <f>YEAR(Tabela1[[#This Row],[Periodo]])</f>
        <v>2013</v>
      </c>
      <c r="E4" s="18">
        <f>INDEX(TBBP[],MATCH("1.1",planoContas,)+1,MATCH($B4,listaPeriodos,))-INDEX(TBBP[],MATCH("2.1",planoContas,)+1,MATCH($B4,listaPeriodos,))</f>
        <v>6778967.1299999999</v>
      </c>
      <c r="F4" s="18"/>
      <c r="G4" s="18"/>
      <c r="H4" s="18"/>
      <c r="I4" s="3"/>
      <c r="J4" s="3"/>
      <c r="K4" s="3"/>
      <c r="L4" s="220" t="s">
        <v>951</v>
      </c>
      <c r="P4" t="s">
        <v>1030</v>
      </c>
    </row>
    <row r="5" spans="1:16" x14ac:dyDescent="0.3">
      <c r="A5" t="s">
        <v>627</v>
      </c>
      <c r="B5" s="3">
        <v>41974</v>
      </c>
      <c r="C5" s="3" t="str">
        <f>VLOOKUP(MONTH(Tabela1[[#This Row],[Periodo]]),NUMMESES,2,FALSE)</f>
        <v>Dezembro</v>
      </c>
      <c r="D5" s="2">
        <f>YEAR(Tabela1[[#This Row],[Periodo]])</f>
        <v>2014</v>
      </c>
      <c r="E5" s="18">
        <f>INDEX(TBBP[],MATCH("1.1",planoContas,)+1,MATCH($B5,listaPeriodos,))-INDEX(TBBP[],MATCH("2.1",planoContas,)+1,MATCH($B5,listaPeriodos,))</f>
        <v>9553472.6699999999</v>
      </c>
      <c r="F5" s="18"/>
      <c r="G5" s="18"/>
      <c r="H5" s="18"/>
      <c r="I5" s="9"/>
      <c r="J5" s="9"/>
      <c r="K5" s="9"/>
      <c r="L5" s="220" t="s">
        <v>952</v>
      </c>
      <c r="P5" t="s">
        <v>734</v>
      </c>
    </row>
    <row r="6" spans="1:16" x14ac:dyDescent="0.3">
      <c r="A6" t="s">
        <v>627</v>
      </c>
      <c r="B6" s="3">
        <v>42339</v>
      </c>
      <c r="C6" s="3" t="str">
        <f>VLOOKUP(MONTH(Tabela1[[#This Row],[Periodo]]),NUMMESES,2,FALSE)</f>
        <v>Dezembro</v>
      </c>
      <c r="D6" s="2">
        <f>YEAR(Tabela1[[#This Row],[Periodo]])</f>
        <v>2015</v>
      </c>
      <c r="E6" s="18">
        <f>INDEX(TBBP[],MATCH("1.1",planoContas,)+1,MATCH($B6,listaPeriodos,))-INDEX(TBBP[],MATCH("2.1",planoContas,)+1,MATCH($B6,listaPeriodos,))</f>
        <v>12696725.07</v>
      </c>
      <c r="F6" s="18"/>
      <c r="G6" s="18"/>
      <c r="H6" s="18"/>
      <c r="P6" t="s">
        <v>735</v>
      </c>
    </row>
    <row r="7" spans="1:16" x14ac:dyDescent="0.3">
      <c r="A7" t="s">
        <v>627</v>
      </c>
      <c r="B7" s="3">
        <v>42705</v>
      </c>
      <c r="C7" s="3" t="str">
        <f>VLOOKUP(MONTH(Tabela1[[#This Row],[Periodo]]),NUMMESES,2,FALSE)</f>
        <v>Dezembro</v>
      </c>
      <c r="D7" s="2">
        <f>YEAR(Tabela1[[#This Row],[Periodo]])</f>
        <v>2016</v>
      </c>
      <c r="E7" s="18">
        <f>INDEX(TBBP[],MATCH("1.1",planoContas,)+1,MATCH($B7,listaPeriodos,))-INDEX(TBBP[],MATCH("2.1",planoContas,)+1,MATCH($B7,listaPeriodos,))</f>
        <v>14089211.690000001</v>
      </c>
      <c r="F7" s="18"/>
      <c r="G7" s="18"/>
      <c r="H7" s="18"/>
      <c r="P7" t="s">
        <v>767</v>
      </c>
    </row>
    <row r="8" spans="1:16" x14ac:dyDescent="0.3">
      <c r="A8" t="s">
        <v>627</v>
      </c>
      <c r="B8" s="3">
        <v>43070</v>
      </c>
      <c r="C8" s="3" t="str">
        <f>VLOOKUP(MONTH(Tabela1[[#This Row],[Periodo]]),NUMMESES,2,FALSE)</f>
        <v>Dezembro</v>
      </c>
      <c r="D8" s="2">
        <f>YEAR(Tabela1[[#This Row],[Periodo]])</f>
        <v>2017</v>
      </c>
      <c r="E8" s="18">
        <f>INDEX(TBBP[],MATCH("1.1",planoContas,)+1,MATCH($B8,listaPeriodos,))-INDEX(TBBP[],MATCH("2.1",planoContas,)+1,MATCH($B8,listaPeriodos,))</f>
        <v>13976105.439999999</v>
      </c>
      <c r="F8" s="18"/>
      <c r="G8" s="18"/>
      <c r="H8" s="18"/>
      <c r="P8" t="s">
        <v>674</v>
      </c>
    </row>
    <row r="9" spans="1:16" x14ac:dyDescent="0.3">
      <c r="A9" t="s">
        <v>627</v>
      </c>
      <c r="B9" s="3">
        <v>43101</v>
      </c>
      <c r="C9" s="3" t="str">
        <f>VLOOKUP(MONTH(Tabela1[[#This Row],[Periodo]]),NUMMESES,2,FALSE)</f>
        <v>Janeiro</v>
      </c>
      <c r="D9" s="2">
        <f>YEAR(Tabela1[[#This Row],[Periodo]])</f>
        <v>2018</v>
      </c>
      <c r="E9" s="18">
        <f>INDEX(TBBP[],MATCH("1.1",planoContas,)+1,MATCH($B9,listaPeriodos,))-INDEX(TBBP[],MATCH("2.1",planoContas,)+1,MATCH($B9,listaPeriodos,))</f>
        <v>14278921.333836</v>
      </c>
      <c r="F9" s="18"/>
      <c r="G9" s="18"/>
      <c r="H9" s="18"/>
      <c r="P9" t="s">
        <v>692</v>
      </c>
    </row>
    <row r="10" spans="1:16" x14ac:dyDescent="0.3">
      <c r="A10" t="s">
        <v>627</v>
      </c>
      <c r="B10" s="3">
        <f t="shared" ref="B10:B34" si="0">DATE(YEAR(B9),MONTH(B9)+1,DAY(B9))</f>
        <v>43132</v>
      </c>
      <c r="C10" s="3" t="str">
        <f>VLOOKUP(MONTH(Tabela1[[#This Row],[Periodo]]),NUMMESES,2,FALSE)</f>
        <v>Fevereiro</v>
      </c>
      <c r="D10" s="2">
        <f>YEAR(Tabela1[[#This Row],[Periodo]])</f>
        <v>2018</v>
      </c>
      <c r="E10" s="18">
        <f>INDEX(TBBP[],MATCH("1.1",planoContas,)+1,MATCH($B10,listaPeriodos,))-INDEX(TBBP[],MATCH("2.1",planoContas,)+1,MATCH($B10,listaPeriodos,))</f>
        <v>14524672.057668</v>
      </c>
      <c r="F10" s="18"/>
      <c r="G10" s="18"/>
      <c r="H10" s="18"/>
      <c r="P10" t="s">
        <v>627</v>
      </c>
    </row>
    <row r="11" spans="1:16" x14ac:dyDescent="0.3">
      <c r="A11" t="s">
        <v>627</v>
      </c>
      <c r="B11" s="3">
        <f t="shared" si="0"/>
        <v>43160</v>
      </c>
      <c r="C11" s="3" t="str">
        <f>VLOOKUP(MONTH(Tabela1[[#This Row],[Periodo]]),NUMMESES,2,FALSE)</f>
        <v>Março</v>
      </c>
      <c r="D11" s="2">
        <f>YEAR(Tabela1[[#This Row],[Periodo]])</f>
        <v>2018</v>
      </c>
      <c r="E11" s="18">
        <f>INDEX(TBBP[],MATCH("1.1",planoContas,)+1,MATCH($B11,listaPeriodos,))-INDEX(TBBP[],MATCH("2.1",planoContas,)+1,MATCH($B11,listaPeriodos,))</f>
        <v>15083990.830000004</v>
      </c>
      <c r="F11" s="18"/>
      <c r="G11" s="18"/>
      <c r="H11" s="18"/>
      <c r="P11" t="s">
        <v>727</v>
      </c>
    </row>
    <row r="12" spans="1:16" x14ac:dyDescent="0.3">
      <c r="A12" t="s">
        <v>627</v>
      </c>
      <c r="B12" s="3">
        <f t="shared" si="0"/>
        <v>43191</v>
      </c>
      <c r="C12" s="3" t="str">
        <f>VLOOKUP(MONTH(Tabela1[[#This Row],[Periodo]]),NUMMESES,2,FALSE)</f>
        <v>Abril</v>
      </c>
      <c r="D12" s="2">
        <f>YEAR(Tabela1[[#This Row],[Periodo]])</f>
        <v>2018</v>
      </c>
      <c r="E12" s="18">
        <f>INDEX(TBBP[],MATCH("1.1",planoContas,)+1,MATCH($B12,listaPeriodos,))-INDEX(TBBP[],MATCH("2.1",planoContas,)+1,MATCH($B12,listaPeriodos,))</f>
        <v>13204626.639468003</v>
      </c>
      <c r="F12" s="18"/>
      <c r="G12" s="18"/>
      <c r="H12" s="18"/>
      <c r="P12" t="s">
        <v>728</v>
      </c>
    </row>
    <row r="13" spans="1:16" x14ac:dyDescent="0.3">
      <c r="A13" t="s">
        <v>627</v>
      </c>
      <c r="B13" s="3">
        <f>DATE(YEAR(B12),MONTH(B12)+1,DAY(B12))</f>
        <v>43221</v>
      </c>
      <c r="C13" s="3" t="str">
        <f>VLOOKUP(MONTH(Tabela1[[#This Row],[Periodo]]),NUMMESES,2,FALSE)</f>
        <v>Maio</v>
      </c>
      <c r="D13" s="2">
        <f>YEAR(Tabela1[[#This Row],[Periodo]])</f>
        <v>2018</v>
      </c>
      <c r="E13" s="18">
        <f>INDEX(TBBP[],MATCH("1.1",planoContas,)+1,MATCH($B13,listaPeriodos,))-INDEX(TBBP[],MATCH("2.1",planoContas,)+1,MATCH($B13,listaPeriodos,))</f>
        <v>12994608.922663998</v>
      </c>
      <c r="F13" s="18"/>
      <c r="G13" s="18"/>
      <c r="H13" s="18"/>
      <c r="P13" t="s">
        <v>726</v>
      </c>
    </row>
    <row r="14" spans="1:16" x14ac:dyDescent="0.3">
      <c r="A14" t="s">
        <v>627</v>
      </c>
      <c r="B14" s="3">
        <f t="shared" si="0"/>
        <v>43252</v>
      </c>
      <c r="C14" s="3" t="str">
        <f>VLOOKUP(MONTH(Tabela1[[#This Row],[Periodo]]),NUMMESES,2,FALSE)</f>
        <v>Junho</v>
      </c>
      <c r="D14" s="2">
        <f>YEAR(Tabela1[[#This Row],[Periodo]])</f>
        <v>2018</v>
      </c>
      <c r="E14" s="18">
        <f>INDEX(TBBP[],MATCH("1.1",planoContas,)+1,MATCH($B14,listaPeriodos,))-INDEX(TBBP[],MATCH("2.1",planoContas,)+1,MATCH($B14,listaPeriodos,))</f>
        <v>13127642.568028003</v>
      </c>
      <c r="F14" s="18"/>
      <c r="G14" s="18"/>
      <c r="H14" s="18"/>
      <c r="P14" t="s">
        <v>670</v>
      </c>
    </row>
    <row r="15" spans="1:16" x14ac:dyDescent="0.3">
      <c r="A15" t="s">
        <v>627</v>
      </c>
      <c r="B15" s="3">
        <f t="shared" si="0"/>
        <v>43282</v>
      </c>
      <c r="C15" s="3" t="str">
        <f>VLOOKUP(MONTH(Tabela1[[#This Row],[Periodo]]),NUMMESES,2,FALSE)</f>
        <v>Julho</v>
      </c>
      <c r="D15" s="2">
        <f>YEAR(Tabela1[[#This Row],[Periodo]])</f>
        <v>2018</v>
      </c>
      <c r="E15" s="18">
        <f>INDEX(TBBP[],MATCH("1.1",planoContas,)+1,MATCH($B15,listaPeriodos,))-INDEX(TBBP[],MATCH("2.1",planoContas,)+1,MATCH($B15,listaPeriodos,))</f>
        <v>13741513.629999995</v>
      </c>
      <c r="F15" s="18"/>
      <c r="G15" s="18"/>
      <c r="H15" s="18"/>
      <c r="P15" t="s">
        <v>716</v>
      </c>
    </row>
    <row r="16" spans="1:16" x14ac:dyDescent="0.3">
      <c r="A16" t="s">
        <v>627</v>
      </c>
      <c r="B16" s="3">
        <f t="shared" si="0"/>
        <v>43313</v>
      </c>
      <c r="C16" s="3" t="str">
        <f>VLOOKUP(MONTH(Tabela1[[#This Row],[Periodo]]),NUMMESES,2,FALSE)</f>
        <v>Agosto</v>
      </c>
      <c r="D16" s="2">
        <f>YEAR(Tabela1[[#This Row],[Periodo]])</f>
        <v>2018</v>
      </c>
      <c r="E16" s="18">
        <f>INDEX(TBBP[],MATCH("1.1",planoContas,)+1,MATCH($B16,listaPeriodos,))-INDEX(TBBP[],MATCH("2.1",planoContas,)+1,MATCH($B16,listaPeriodos,))</f>
        <v>14022822.720000003</v>
      </c>
      <c r="F16" s="18"/>
      <c r="G16" s="18"/>
      <c r="H16" s="18"/>
      <c r="P16" t="s">
        <v>717</v>
      </c>
    </row>
    <row r="17" spans="1:16" x14ac:dyDescent="0.3">
      <c r="A17" t="s">
        <v>627</v>
      </c>
      <c r="B17" s="3">
        <f t="shared" si="0"/>
        <v>43344</v>
      </c>
      <c r="C17" s="3" t="str">
        <f>VLOOKUP(MONTH(Tabela1[[#This Row],[Periodo]]),NUMMESES,2,FALSE)</f>
        <v>Setembro</v>
      </c>
      <c r="D17" s="2">
        <f>YEAR(Tabela1[[#This Row],[Periodo]])</f>
        <v>2018</v>
      </c>
      <c r="E17" s="18">
        <f>INDEX(TBBP[],MATCH("1.1",planoContas,)+1,MATCH($B17,listaPeriodos,))-INDEX(TBBP[],MATCH("2.1",planoContas,)+1,MATCH($B17,listaPeriodos,))</f>
        <v>15150683.250000004</v>
      </c>
      <c r="F17" s="18"/>
      <c r="G17" s="18"/>
      <c r="H17" s="18"/>
      <c r="P17" t="s">
        <v>671</v>
      </c>
    </row>
    <row r="18" spans="1:16" x14ac:dyDescent="0.3">
      <c r="A18" t="s">
        <v>627</v>
      </c>
      <c r="B18" s="3">
        <f t="shared" si="0"/>
        <v>43374</v>
      </c>
      <c r="C18" s="3" t="str">
        <f>VLOOKUP(MONTH(Tabela1[[#This Row],[Periodo]]),NUMMESES,2,FALSE)</f>
        <v>Outubro</v>
      </c>
      <c r="D18" s="2">
        <f>YEAR(Tabela1[[#This Row],[Periodo]])</f>
        <v>2018</v>
      </c>
      <c r="E18" s="18">
        <f>INDEX(TBBP[],MATCH("1.1",planoContas,)+1,MATCH($B18,listaPeriodos,))-INDEX(TBBP[],MATCH("2.1",planoContas,)+1,MATCH($B18,listaPeriodos,))</f>
        <v>15240179.989999996</v>
      </c>
      <c r="F18" s="18"/>
      <c r="G18" s="18"/>
      <c r="H18" s="18"/>
      <c r="P18" t="s">
        <v>1066</v>
      </c>
    </row>
    <row r="19" spans="1:16" x14ac:dyDescent="0.3">
      <c r="A19" t="s">
        <v>627</v>
      </c>
      <c r="B19" s="3">
        <f t="shared" si="0"/>
        <v>43405</v>
      </c>
      <c r="C19" s="3" t="str">
        <f>VLOOKUP(MONTH(Tabela1[[#This Row],[Periodo]]),NUMMESES,2,FALSE)</f>
        <v>Novembro</v>
      </c>
      <c r="D19" s="2">
        <f>YEAR(Tabela1[[#This Row],[Periodo]])</f>
        <v>2018</v>
      </c>
      <c r="E19" s="18">
        <f>INDEX(TBBP[],MATCH("1.1",planoContas,)+1,MATCH($B19,listaPeriodos,))-INDEX(TBBP[],MATCH("2.1",planoContas,)+1,MATCH($B19,listaPeriodos,))</f>
        <v>15166962.950000001</v>
      </c>
      <c r="F19" s="18"/>
      <c r="G19" s="18"/>
      <c r="H19" s="18"/>
      <c r="P19" t="s">
        <v>1065</v>
      </c>
    </row>
    <row r="20" spans="1:16" x14ac:dyDescent="0.3">
      <c r="A20" t="s">
        <v>627</v>
      </c>
      <c r="B20" s="3">
        <f t="shared" si="0"/>
        <v>43435</v>
      </c>
      <c r="C20" s="3" t="str">
        <f>VLOOKUP(MONTH(Tabela1[[#This Row],[Periodo]]),NUMMESES,2,FALSE)</f>
        <v>Dezembro</v>
      </c>
      <c r="D20" s="2">
        <f>YEAR(Tabela1[[#This Row],[Periodo]])</f>
        <v>2018</v>
      </c>
      <c r="E20" s="18">
        <f>INDEX(TBBP[],MATCH("1.1",planoContas,)+1,MATCH($B20,listaPeriodos,))-INDEX(TBBP[],MATCH("2.1",planoContas,)+1,MATCH($B20,listaPeriodos,))</f>
        <v>15255757.339999996</v>
      </c>
      <c r="F20" s="18"/>
      <c r="G20" s="18"/>
      <c r="H20" s="18"/>
      <c r="P20" t="s">
        <v>685</v>
      </c>
    </row>
    <row r="21" spans="1:16" x14ac:dyDescent="0.3">
      <c r="A21" t="s">
        <v>627</v>
      </c>
      <c r="B21" s="3">
        <f t="shared" si="0"/>
        <v>43466</v>
      </c>
      <c r="C21" s="3" t="str">
        <f>VLOOKUP(MONTH(Tabela1[[#This Row],[Periodo]]),NUMMESES,2,FALSE)</f>
        <v>Janeiro</v>
      </c>
      <c r="D21" s="2">
        <f>YEAR(Tabela1[[#This Row],[Periodo]])</f>
        <v>2019</v>
      </c>
      <c r="E21" s="18">
        <f>INDEX(TBBP[],MATCH("1.1",planoContas,)+1,MATCH($B21,listaPeriodos,))-INDEX(TBBP[],MATCH("2.1",planoContas,)+1,MATCH($B21,listaPeriodos,))</f>
        <v>15419407.609999999</v>
      </c>
      <c r="F21" s="18"/>
      <c r="G21" s="18"/>
      <c r="H21" s="18"/>
      <c r="P21" t="s">
        <v>675</v>
      </c>
    </row>
    <row r="22" spans="1:16" x14ac:dyDescent="0.3">
      <c r="A22" t="s">
        <v>627</v>
      </c>
      <c r="B22" s="3">
        <f t="shared" si="0"/>
        <v>43497</v>
      </c>
      <c r="C22" s="3" t="str">
        <f>VLOOKUP(MONTH(Tabela1[[#This Row],[Periodo]]),NUMMESES,2,FALSE)</f>
        <v>Fevereiro</v>
      </c>
      <c r="D22" s="2">
        <f>YEAR(Tabela1[[#This Row],[Periodo]])</f>
        <v>2019</v>
      </c>
      <c r="E22" s="18">
        <f>INDEX(TBBP[],MATCH("1.1",planoContas,)+1,MATCH($B22,listaPeriodos,))-INDEX(TBBP[],MATCH("2.1",planoContas,)+1,MATCH($B22,listaPeriodos,))</f>
        <v>15533459.179999996</v>
      </c>
      <c r="F22" s="18"/>
      <c r="G22" s="18"/>
      <c r="H22" s="18"/>
      <c r="P22" t="s">
        <v>672</v>
      </c>
    </row>
    <row r="23" spans="1:16" x14ac:dyDescent="0.3">
      <c r="A23" t="s">
        <v>627</v>
      </c>
      <c r="B23" s="3">
        <f t="shared" si="0"/>
        <v>43525</v>
      </c>
      <c r="C23" s="3" t="str">
        <f>VLOOKUP(MONTH(Tabela1[[#This Row],[Periodo]]),NUMMESES,2,FALSE)</f>
        <v>Março</v>
      </c>
      <c r="D23" s="2">
        <f>YEAR(Tabela1[[#This Row],[Periodo]])</f>
        <v>2019</v>
      </c>
      <c r="E23" s="18">
        <f>INDEX(TBBP[],MATCH("1.1",planoContas,)+1,MATCH($B23,listaPeriodos,))-INDEX(TBBP[],MATCH("2.1",planoContas,)+1,MATCH($B23,listaPeriodos,))</f>
        <v>15762141.129999999</v>
      </c>
      <c r="F23" s="18"/>
      <c r="G23" s="18"/>
      <c r="H23" s="18"/>
      <c r="P23" t="s">
        <v>682</v>
      </c>
    </row>
    <row r="24" spans="1:16" x14ac:dyDescent="0.3">
      <c r="A24" t="s">
        <v>627</v>
      </c>
      <c r="B24" s="3">
        <f t="shared" si="0"/>
        <v>43556</v>
      </c>
      <c r="C24" s="3" t="str">
        <f>VLOOKUP(MONTH(Tabela1[[#This Row],[Periodo]]),NUMMESES,2,FALSE)</f>
        <v>Abril</v>
      </c>
      <c r="D24" s="2">
        <f>YEAR(Tabela1[[#This Row],[Periodo]])</f>
        <v>2019</v>
      </c>
      <c r="E24" s="18">
        <f>INDEX(TBBP[],MATCH("1.1",planoContas,)+1,MATCH($B24,listaPeriodos,))-INDEX(TBBP[],MATCH("2.1",planoContas,)+1,MATCH($B24,listaPeriodos,))</f>
        <v>15474978.609999998</v>
      </c>
      <c r="F24" s="18"/>
      <c r="G24" s="18"/>
      <c r="H24" s="18"/>
      <c r="P24" t="s">
        <v>684</v>
      </c>
    </row>
    <row r="25" spans="1:16" x14ac:dyDescent="0.3">
      <c r="A25" t="s">
        <v>627</v>
      </c>
      <c r="B25" s="3">
        <f t="shared" si="0"/>
        <v>43586</v>
      </c>
      <c r="C25" s="3" t="str">
        <f>VLOOKUP(MONTH(Tabela1[[#This Row],[Periodo]]),NUMMESES,2,FALSE)</f>
        <v>Maio</v>
      </c>
      <c r="D25" s="2">
        <f>YEAR(Tabela1[[#This Row],[Periodo]])</f>
        <v>2019</v>
      </c>
      <c r="E25" s="18">
        <f>INDEX(TBBP[],MATCH("1.1",planoContas,)+1,MATCH($B25,listaPeriodos,))-INDEX(TBBP[],MATCH("2.1",planoContas,)+1,MATCH($B25,listaPeriodos,))</f>
        <v>15926315.839999998</v>
      </c>
      <c r="F25" s="18"/>
      <c r="G25" s="18"/>
      <c r="H25" s="18"/>
      <c r="P25" t="s">
        <v>683</v>
      </c>
    </row>
    <row r="26" spans="1:16" x14ac:dyDescent="0.3">
      <c r="A26" t="s">
        <v>627</v>
      </c>
      <c r="B26" s="3">
        <f t="shared" si="0"/>
        <v>43617</v>
      </c>
      <c r="C26" s="3" t="str">
        <f>VLOOKUP(MONTH(Tabela1[[#This Row],[Periodo]]),NUMMESES,2,FALSE)</f>
        <v>Junho</v>
      </c>
      <c r="D26" s="2">
        <f>YEAR(Tabela1[[#This Row],[Periodo]])</f>
        <v>2019</v>
      </c>
      <c r="E26" s="18">
        <f>INDEX(TBBP[],MATCH("1.1",planoContas,)+1,MATCH($B26,listaPeriodos,))-INDEX(TBBP[],MATCH("2.1",planoContas,)+1,MATCH($B26,listaPeriodos,))</f>
        <v>15993499.709999997</v>
      </c>
      <c r="F26" s="18"/>
      <c r="G26" s="18"/>
      <c r="H26" s="18"/>
      <c r="P26" t="s">
        <v>688</v>
      </c>
    </row>
    <row r="27" spans="1:16" x14ac:dyDescent="0.3">
      <c r="A27" t="s">
        <v>627</v>
      </c>
      <c r="B27" s="3">
        <f t="shared" si="0"/>
        <v>43647</v>
      </c>
      <c r="C27" s="3" t="str">
        <f>VLOOKUP(MONTH(Tabela1[[#This Row],[Periodo]]),NUMMESES,2,FALSE)</f>
        <v>Julho</v>
      </c>
      <c r="D27" s="2">
        <f>YEAR(Tabela1[[#This Row],[Periodo]])</f>
        <v>2019</v>
      </c>
      <c r="E27" s="18">
        <f>INDEX(TBBP[],MATCH("1.1",planoContas,)+1,MATCH($B27,listaPeriodos,))-INDEX(TBBP[],MATCH("2.1",planoContas,)+1,MATCH($B27,listaPeriodos,))</f>
        <v>17240377.159999996</v>
      </c>
      <c r="F27" s="18"/>
      <c r="G27" s="18"/>
      <c r="H27" s="18"/>
      <c r="P27" t="s">
        <v>1132</v>
      </c>
    </row>
    <row r="28" spans="1:16" x14ac:dyDescent="0.3">
      <c r="A28" t="s">
        <v>627</v>
      </c>
      <c r="B28" s="3">
        <f t="shared" si="0"/>
        <v>43678</v>
      </c>
      <c r="C28" s="3" t="str">
        <f>VLOOKUP(MONTH(Tabela1[[#This Row],[Periodo]]),NUMMESES,2,FALSE)</f>
        <v>Agosto</v>
      </c>
      <c r="D28" s="2">
        <f>YEAR(Tabela1[[#This Row],[Periodo]])</f>
        <v>2019</v>
      </c>
      <c r="E28" s="18">
        <f>INDEX(TBBP[],MATCH("1.1",planoContas,)+1,MATCH($B28,listaPeriodos,))-INDEX(TBBP[],MATCH("2.1",planoContas,)+1,MATCH($B28,listaPeriodos,))</f>
        <v>17521238.340000004</v>
      </c>
      <c r="F28" s="18"/>
      <c r="G28" s="18"/>
      <c r="H28" s="18"/>
      <c r="P28" t="s">
        <v>74</v>
      </c>
    </row>
    <row r="29" spans="1:16" x14ac:dyDescent="0.3">
      <c r="A29" t="s">
        <v>627</v>
      </c>
      <c r="B29" s="3">
        <f t="shared" si="0"/>
        <v>43709</v>
      </c>
      <c r="C29" s="3" t="str">
        <f>VLOOKUP(MONTH(Tabela1[[#This Row],[Periodo]]),NUMMESES,2,FALSE)</f>
        <v>Setembro</v>
      </c>
      <c r="D29" s="2">
        <f>YEAR(Tabela1[[#This Row],[Periodo]])</f>
        <v>2019</v>
      </c>
      <c r="E29" s="18">
        <f>INDEX(TBBP[],MATCH("1.1",planoContas,)+1,MATCH($B29,listaPeriodos,))-INDEX(TBBP[],MATCH("2.1",planoContas,)+1,MATCH($B29,listaPeriodos,))</f>
        <v>18278890.119999997</v>
      </c>
      <c r="F29" s="18"/>
      <c r="G29" s="18"/>
      <c r="H29" s="18"/>
      <c r="P29" t="s">
        <v>691</v>
      </c>
    </row>
    <row r="30" spans="1:16" x14ac:dyDescent="0.3">
      <c r="A30" t="s">
        <v>627</v>
      </c>
      <c r="B30" s="3">
        <f t="shared" si="0"/>
        <v>43739</v>
      </c>
      <c r="C30" s="3" t="str">
        <f>VLOOKUP(MONTH(Tabela1[[#This Row],[Periodo]]),NUMMESES,2,FALSE)</f>
        <v>Outubro</v>
      </c>
      <c r="D30" s="2">
        <f>YEAR(Tabela1[[#This Row],[Periodo]])</f>
        <v>2019</v>
      </c>
      <c r="E30" s="18">
        <f>INDEX(TBBP[],MATCH("1.1",planoContas,)+1,MATCH($B30,listaPeriodos,))-INDEX(TBBP[],MATCH("2.1",planoContas,)+1,MATCH($B30,listaPeriodos,))</f>
        <v>17862018.150000002</v>
      </c>
      <c r="F30" s="18"/>
      <c r="G30" s="18"/>
      <c r="H30" s="18"/>
      <c r="P30" t="s">
        <v>690</v>
      </c>
    </row>
    <row r="31" spans="1:16" x14ac:dyDescent="0.3">
      <c r="A31" t="s">
        <v>627</v>
      </c>
      <c r="B31" s="3">
        <f t="shared" si="0"/>
        <v>43770</v>
      </c>
      <c r="C31" s="3" t="str">
        <f>VLOOKUP(MONTH(Tabela1[[#This Row],[Periodo]]),NUMMESES,2,FALSE)</f>
        <v>Novembro</v>
      </c>
      <c r="D31" s="2">
        <f>YEAR(Tabela1[[#This Row],[Periodo]])</f>
        <v>2019</v>
      </c>
      <c r="E31" s="18">
        <f>INDEX(TBBP[],MATCH("1.1",planoContas,)+1,MATCH($B31,listaPeriodos,))-INDEX(TBBP[],MATCH("2.1",planoContas,)+1,MATCH($B31,listaPeriodos,))</f>
        <v>18167933.410000004</v>
      </c>
      <c r="F31" s="18"/>
      <c r="G31" s="18"/>
      <c r="H31" s="18"/>
      <c r="P31" t="s">
        <v>689</v>
      </c>
    </row>
    <row r="32" spans="1:16" x14ac:dyDescent="0.3">
      <c r="A32" t="s">
        <v>627</v>
      </c>
      <c r="B32" s="3">
        <f t="shared" si="0"/>
        <v>43800</v>
      </c>
      <c r="C32" s="3" t="str">
        <f>VLOOKUP(MONTH(Tabela1[[#This Row],[Periodo]]),NUMMESES,2,FALSE)</f>
        <v>Dezembro</v>
      </c>
      <c r="D32" s="2">
        <f>YEAR(Tabela1[[#This Row],[Periodo]])</f>
        <v>2019</v>
      </c>
      <c r="E32" s="18">
        <f>INDEX(TBBP[],MATCH("1.1",planoContas,)+1,MATCH($B32,listaPeriodos,))-INDEX(TBBP[],MATCH("2.1",planoContas,)+1,MATCH($B32,listaPeriodos,))</f>
        <v>18110958.539999999</v>
      </c>
      <c r="F32" s="18"/>
      <c r="G32" s="18"/>
      <c r="H32" s="18"/>
      <c r="P32" t="s">
        <v>681</v>
      </c>
    </row>
    <row r="33" spans="1:16" x14ac:dyDescent="0.3">
      <c r="A33" t="s">
        <v>627</v>
      </c>
      <c r="B33" s="3">
        <f t="shared" si="0"/>
        <v>43831</v>
      </c>
      <c r="C33" s="3" t="str">
        <f>VLOOKUP(MONTH(Tabela1[[#This Row],[Periodo]]),NUMMESES,2,FALSE)</f>
        <v>Janeiro</v>
      </c>
      <c r="D33" s="2">
        <f>YEAR(Tabela1[[#This Row],[Periodo]])</f>
        <v>2020</v>
      </c>
      <c r="E33" s="18">
        <f>INDEX(TBBP[],MATCH("1.1",planoContas,)+1,MATCH($B33,listaPeriodos,))-INDEX(TBBP[],MATCH("2.1",planoContas,)+1,MATCH($B33,listaPeriodos,))</f>
        <v>18510638.019999988</v>
      </c>
      <c r="F33" s="18"/>
      <c r="G33" s="18"/>
      <c r="H33" s="18"/>
      <c r="P33" t="s">
        <v>1080</v>
      </c>
    </row>
    <row r="34" spans="1:16" x14ac:dyDescent="0.3">
      <c r="A34" t="s">
        <v>627</v>
      </c>
      <c r="B34" s="3">
        <f t="shared" si="0"/>
        <v>43862</v>
      </c>
      <c r="C34" s="3" t="str">
        <f>VLOOKUP(MONTH(Tabela1[[#This Row],[Periodo]]),NUMMESES,2,FALSE)</f>
        <v>Fevereiro</v>
      </c>
      <c r="D34" s="2">
        <f>YEAR(Tabela1[[#This Row],[Periodo]])</f>
        <v>2020</v>
      </c>
      <c r="E34" s="18">
        <f>INDEX(TBBP[],MATCH("1.1",planoContas,)+1,MATCH($B34,listaPeriodos,))-INDEX(TBBP[],MATCH("2.1",planoContas,)+1,MATCH($B34,listaPeriodos,))</f>
        <v>19265483.370000005</v>
      </c>
      <c r="F34" s="18"/>
      <c r="G34" s="18"/>
      <c r="H34" s="18"/>
      <c r="P34" t="s">
        <v>686</v>
      </c>
    </row>
    <row r="35" spans="1:16" x14ac:dyDescent="0.3">
      <c r="A35" t="s">
        <v>627</v>
      </c>
      <c r="B35" s="3">
        <f t="shared" ref="B35:B43" si="1">DATE(YEAR(B34),MONTH(B34)+1,DAY(B34))</f>
        <v>43891</v>
      </c>
      <c r="C35" s="3" t="str">
        <f>VLOOKUP(MONTH(Tabela1[[#This Row],[Periodo]]),NUMMESES,2,FALSE)</f>
        <v>Março</v>
      </c>
      <c r="D35" s="2">
        <f>YEAR(Tabela1[[#This Row],[Periodo]])</f>
        <v>2020</v>
      </c>
      <c r="E35" s="18">
        <f>INDEX(TBBP[],MATCH("1.1",planoContas,)+1,MATCH($B35,listaPeriodos,))-INDEX(TBBP[],MATCH("2.1",planoContas,)+1,MATCH($B35,listaPeriodos,))</f>
        <v>19089353.100000005</v>
      </c>
      <c r="F35" s="18"/>
      <c r="G35" s="18"/>
      <c r="H35" s="18"/>
      <c r="P35" t="s">
        <v>687</v>
      </c>
    </row>
    <row r="36" spans="1:16" x14ac:dyDescent="0.3">
      <c r="A36" t="s">
        <v>627</v>
      </c>
      <c r="B36" s="3">
        <f t="shared" si="1"/>
        <v>43922</v>
      </c>
      <c r="C36" s="3" t="str">
        <f>VLOOKUP(MONTH(Tabela1[[#This Row],[Periodo]]),NUMMESES,2,FALSE)</f>
        <v>Abril</v>
      </c>
      <c r="D36" s="2">
        <f>YEAR(Tabela1[[#This Row],[Periodo]])</f>
        <v>2020</v>
      </c>
      <c r="E36" s="18">
        <f>INDEX(TBBP[],MATCH("1.1",planoContas,)+1,MATCH($B36,listaPeriodos,))-INDEX(TBBP[],MATCH("2.1",planoContas,)+1,MATCH($B36,listaPeriodos,))</f>
        <v>19181271.920000002</v>
      </c>
      <c r="F36" s="18"/>
      <c r="G36" s="18"/>
      <c r="H36" s="18"/>
      <c r="P36" t="s">
        <v>673</v>
      </c>
    </row>
    <row r="37" spans="1:16" x14ac:dyDescent="0.3">
      <c r="A37" t="s">
        <v>627</v>
      </c>
      <c r="B37" s="3">
        <f t="shared" si="1"/>
        <v>43952</v>
      </c>
      <c r="C37" s="3" t="str">
        <f>VLOOKUP(MONTH(Tabela1[[#This Row],[Periodo]]),NUMMESES,2,FALSE)</f>
        <v>Maio</v>
      </c>
      <c r="D37" s="2">
        <f>YEAR(Tabela1[[#This Row],[Periodo]])</f>
        <v>2020</v>
      </c>
      <c r="E37" s="18">
        <f>INDEX(TBBP[],MATCH("1.1",planoContas,)+1,MATCH($B37,listaPeriodos,))-INDEX(TBBP[],MATCH("2.1",planoContas,)+1,MATCH($B37,listaPeriodos,))</f>
        <v>19315178.139999997</v>
      </c>
      <c r="F37" s="18"/>
      <c r="G37" s="18"/>
      <c r="H37" s="18"/>
      <c r="P37" t="s">
        <v>1049</v>
      </c>
    </row>
    <row r="38" spans="1:16" x14ac:dyDescent="0.3">
      <c r="A38" t="s">
        <v>627</v>
      </c>
      <c r="B38" s="3">
        <f t="shared" si="1"/>
        <v>43983</v>
      </c>
      <c r="C38" s="3" t="str">
        <f>VLOOKUP(MONTH(Tabela1[[#This Row],[Periodo]]),NUMMESES,2,FALSE)</f>
        <v>Junho</v>
      </c>
      <c r="D38" s="2">
        <f>YEAR(Tabela1[[#This Row],[Periodo]])</f>
        <v>2020</v>
      </c>
      <c r="E38" s="18">
        <f>INDEX(TBBP[],MATCH("1.1",planoContas,)+1,MATCH($B38,listaPeriodos,))-INDEX(TBBP[],MATCH("2.1",planoContas,)+1,MATCH($B38,listaPeriodos,))</f>
        <v>20499391.809999999</v>
      </c>
      <c r="F38" s="18"/>
      <c r="G38" s="18"/>
      <c r="H38" s="18"/>
      <c r="P38" t="s">
        <v>1048</v>
      </c>
    </row>
    <row r="39" spans="1:16" x14ac:dyDescent="0.3">
      <c r="A39" t="s">
        <v>627</v>
      </c>
      <c r="B39" s="3">
        <f t="shared" si="1"/>
        <v>44013</v>
      </c>
      <c r="C39" s="3" t="str">
        <f>VLOOKUP(MONTH(Tabela1[[#This Row],[Periodo]]),NUMMESES,2,FALSE)</f>
        <v>Julho</v>
      </c>
      <c r="D39" s="2">
        <f>YEAR(Tabela1[[#This Row],[Periodo]])</f>
        <v>2020</v>
      </c>
      <c r="E39" s="18">
        <f>INDEX(TBBP[],MATCH("1.1",planoContas,)+1,MATCH($B39,listaPeriodos,))-INDEX(TBBP[],MATCH("2.1",planoContas,)+1,MATCH($B39,listaPeriodos,))</f>
        <v>21601678.100000009</v>
      </c>
      <c r="F39" s="18"/>
      <c r="G39" s="18"/>
      <c r="H39" s="18"/>
      <c r="P39" t="s">
        <v>1136</v>
      </c>
    </row>
    <row r="40" spans="1:16" x14ac:dyDescent="0.3">
      <c r="A40" t="s">
        <v>627</v>
      </c>
      <c r="B40" s="3">
        <f t="shared" si="1"/>
        <v>44044</v>
      </c>
      <c r="C40" s="3" t="str">
        <f>VLOOKUP(MONTH(Tabela1[[#This Row],[Periodo]]),NUMMESES,2,FALSE)</f>
        <v>Agosto</v>
      </c>
      <c r="D40" s="2">
        <f>YEAR(Tabela1[[#This Row],[Periodo]])</f>
        <v>2020</v>
      </c>
      <c r="E40" s="18">
        <f>INDEX(TBBP[],MATCH("1.1",planoContas,)+1,MATCH($B40,listaPeriodos,))-INDEX(TBBP[],MATCH("2.1",planoContas,)+1,MATCH($B40,listaPeriodos,))</f>
        <v>23484255.609999992</v>
      </c>
      <c r="F40" s="18"/>
      <c r="G40" s="18"/>
      <c r="H40" s="18"/>
    </row>
    <row r="41" spans="1:16" x14ac:dyDescent="0.3">
      <c r="A41" t="s">
        <v>627</v>
      </c>
      <c r="B41" s="3">
        <f t="shared" si="1"/>
        <v>44075</v>
      </c>
      <c r="C41" s="3" t="str">
        <f>VLOOKUP(MONTH(Tabela1[[#This Row],[Periodo]]),NUMMESES,2,FALSE)</f>
        <v>Setembro</v>
      </c>
      <c r="D41" s="2">
        <f>YEAR(Tabela1[[#This Row],[Periodo]])</f>
        <v>2020</v>
      </c>
      <c r="E41" s="18">
        <f>INDEX(TBBP[],MATCH("1.1",planoContas,)+1,MATCH($B41,listaPeriodos,))-INDEX(TBBP[],MATCH("2.1",planoContas,)+1,MATCH($B41,listaPeriodos,))</f>
        <v>24699472.069999997</v>
      </c>
      <c r="F41" s="18"/>
      <c r="G41" s="18"/>
      <c r="H41" s="18"/>
    </row>
    <row r="42" spans="1:16" x14ac:dyDescent="0.3">
      <c r="A42" t="s">
        <v>627</v>
      </c>
      <c r="B42" s="3">
        <f t="shared" si="1"/>
        <v>44105</v>
      </c>
      <c r="C42" s="3" t="str">
        <f>VLOOKUP(MONTH(Tabela1[[#This Row],[Periodo]]),NUMMESES,2,FALSE)</f>
        <v>Outubro</v>
      </c>
      <c r="D42" s="2">
        <f>YEAR(Tabela1[[#This Row],[Periodo]])</f>
        <v>2020</v>
      </c>
      <c r="E42" s="18">
        <f>INDEX(TBBP[],MATCH("1.1",planoContas,)+1,MATCH($B42,listaPeriodos,))-INDEX(TBBP[],MATCH("2.1",planoContas,)+1,MATCH($B42,listaPeriodos,))</f>
        <v>26286469.899999999</v>
      </c>
      <c r="F42" s="18"/>
      <c r="G42" s="18"/>
      <c r="H42" s="18"/>
    </row>
    <row r="43" spans="1:16" x14ac:dyDescent="0.3">
      <c r="A43" t="s">
        <v>627</v>
      </c>
      <c r="B43" s="3">
        <f t="shared" si="1"/>
        <v>44136</v>
      </c>
      <c r="C43" s="3" t="str">
        <f>VLOOKUP(MONTH(Tabela1[[#This Row],[Periodo]]),NUMMESES,2,FALSE)</f>
        <v>Novembro</v>
      </c>
      <c r="D43" s="2">
        <f>YEAR(Tabela1[[#This Row],[Periodo]])</f>
        <v>2020</v>
      </c>
      <c r="E43" s="18">
        <f>INDEX(TBBP[],MATCH("1.1",planoContas,)+1,MATCH($B43,listaPeriodos,))-INDEX(TBBP[],MATCH("2.1",planoContas,)+1,MATCH($B43,listaPeriodos,))</f>
        <v>27080222.570000008</v>
      </c>
      <c r="F43" s="18"/>
      <c r="G43" s="18"/>
      <c r="H43" s="18"/>
    </row>
    <row r="44" spans="1:16" x14ac:dyDescent="0.3">
      <c r="A44" t="s">
        <v>627</v>
      </c>
      <c r="B44" s="3">
        <f>DATE(YEAR(B43),MONTH(B43)+1,DAY(B43))</f>
        <v>44166</v>
      </c>
      <c r="C44" s="3" t="str">
        <f>VLOOKUP(MONTH(Tabela1[[#This Row],[Periodo]]),NUMMESES,2,FALSE)</f>
        <v>Dezembro</v>
      </c>
      <c r="D44" s="2">
        <f>YEAR(Tabela1[[#This Row],[Periodo]])</f>
        <v>2020</v>
      </c>
      <c r="E44" s="18">
        <f>INDEX(TBBP[],MATCH("1.1",planoContas,)+1,MATCH($B44,listaPeriodos,))-INDEX(TBBP[],MATCH("2.1",planoContas,)+1,MATCH($B44,listaPeriodos,))</f>
        <v>29324892.950000003</v>
      </c>
      <c r="F44" s="18"/>
      <c r="G44" s="18"/>
      <c r="H44" s="18"/>
    </row>
    <row r="45" spans="1:16" x14ac:dyDescent="0.3">
      <c r="A45" t="s">
        <v>627</v>
      </c>
      <c r="B45" s="3">
        <f t="shared" ref="B45:B105" si="2">DATE(YEAR(B44),MONTH(B44)+1,DAY(B44))</f>
        <v>44197</v>
      </c>
      <c r="C45" s="3" t="str">
        <f>VLOOKUP(MONTH(Tabela1[[#This Row],[Periodo]]),NUMMESES,2,FALSE)</f>
        <v>Janeiro</v>
      </c>
      <c r="D45" s="2">
        <f>YEAR(Tabela1[[#This Row],[Periodo]])</f>
        <v>2021</v>
      </c>
      <c r="E45" s="18">
        <f>INDEX(TBBP[],MATCH("1.1",planoContas,)+1,MATCH($B45,listaPeriodos,))-INDEX(TBBP[],MATCH("2.1",planoContas,)+1,MATCH($B45,listaPeriodos,))</f>
        <v>30421936.259999994</v>
      </c>
      <c r="F45" s="18"/>
      <c r="G45" s="18"/>
      <c r="H45" s="18"/>
    </row>
    <row r="46" spans="1:16" x14ac:dyDescent="0.3">
      <c r="A46" t="s">
        <v>627</v>
      </c>
      <c r="B46" s="3">
        <f t="shared" si="2"/>
        <v>44228</v>
      </c>
      <c r="C46" s="3" t="str">
        <f>VLOOKUP(MONTH(Tabela1[[#This Row],[Periodo]]),NUMMESES,2,FALSE)</f>
        <v>Fevereiro</v>
      </c>
      <c r="D46" s="2">
        <f>YEAR(Tabela1[[#This Row],[Periodo]])</f>
        <v>2021</v>
      </c>
      <c r="E46" s="18">
        <f>INDEX(TBBP[],MATCH("1.1",planoContas,)+1,MATCH($B46,listaPeriodos,))-INDEX(TBBP[],MATCH("2.1",planoContas,)+1,MATCH($B46,listaPeriodos,))</f>
        <v>30788261.480000004</v>
      </c>
      <c r="F46" s="18"/>
      <c r="G46" s="18"/>
      <c r="H46" s="18"/>
    </row>
    <row r="47" spans="1:16" x14ac:dyDescent="0.3">
      <c r="A47" t="s">
        <v>627</v>
      </c>
      <c r="B47" s="3">
        <f t="shared" si="2"/>
        <v>44256</v>
      </c>
      <c r="C47" s="3" t="str">
        <f>VLOOKUP(MONTH(Tabela1[[#This Row],[Periodo]]),NUMMESES,2,FALSE)</f>
        <v>Março</v>
      </c>
      <c r="D47" s="2">
        <f>YEAR(Tabela1[[#This Row],[Periodo]])</f>
        <v>2021</v>
      </c>
      <c r="E47" s="18">
        <f>INDEX(TBBP[],MATCH("1.1",planoContas,)+1,MATCH($B47,listaPeriodos,))-INDEX(TBBP[],MATCH("2.1",planoContas,)+1,MATCH($B47,listaPeriodos,))</f>
        <v>32277724.770000003</v>
      </c>
      <c r="F47" s="18"/>
      <c r="G47" s="18"/>
      <c r="H47" s="18"/>
    </row>
    <row r="48" spans="1:16" x14ac:dyDescent="0.3">
      <c r="A48" t="s">
        <v>627</v>
      </c>
      <c r="B48" s="3">
        <f t="shared" si="2"/>
        <v>44287</v>
      </c>
      <c r="C48" s="3" t="str">
        <f>VLOOKUP(MONTH(Tabela1[[#This Row],[Periodo]]),NUMMESES,2,FALSE)</f>
        <v>Abril</v>
      </c>
      <c r="D48" s="2">
        <f>YEAR(Tabela1[[#This Row],[Periodo]])</f>
        <v>2021</v>
      </c>
      <c r="E48" s="18">
        <f>INDEX(TBBP[],MATCH("1.1",planoContas,)+1,MATCH($B48,listaPeriodos,))-INDEX(TBBP[],MATCH("2.1",planoContas,)+1,MATCH($B48,listaPeriodos,))</f>
        <v>34484834.079999998</v>
      </c>
      <c r="F48" s="18"/>
      <c r="G48" s="18"/>
      <c r="H48" s="18"/>
    </row>
    <row r="49" spans="1:8" x14ac:dyDescent="0.3">
      <c r="A49" t="s">
        <v>627</v>
      </c>
      <c r="B49" s="3">
        <f t="shared" si="2"/>
        <v>44317</v>
      </c>
      <c r="C49" s="3" t="str">
        <f>VLOOKUP(MONTH(Tabela1[[#This Row],[Periodo]]),NUMMESES,2,FALSE)</f>
        <v>Maio</v>
      </c>
      <c r="D49" s="2">
        <f>YEAR(Tabela1[[#This Row],[Periodo]])</f>
        <v>2021</v>
      </c>
      <c r="E49" s="18">
        <f>INDEX(TBBP[],MATCH("1.1",planoContas,)+1,MATCH($B49,listaPeriodos,))-INDEX(TBBP[],MATCH("2.1",planoContas,)+1,MATCH($B49,listaPeriodos,))</f>
        <v>36361179.060000002</v>
      </c>
      <c r="F49" s="18"/>
      <c r="G49" s="18"/>
      <c r="H49" s="18"/>
    </row>
    <row r="50" spans="1:8" x14ac:dyDescent="0.3">
      <c r="A50" t="s">
        <v>627</v>
      </c>
      <c r="B50" s="3">
        <f t="shared" si="2"/>
        <v>44348</v>
      </c>
      <c r="C50" s="3" t="str">
        <f>VLOOKUP(MONTH(Tabela1[[#This Row],[Periodo]]),NUMMESES,2,FALSE)</f>
        <v>Junho</v>
      </c>
      <c r="D50" s="2">
        <f>YEAR(Tabela1[[#This Row],[Periodo]])</f>
        <v>2021</v>
      </c>
      <c r="E50" s="18">
        <f>INDEX(TBBP[],MATCH("1.1",planoContas,)+1,MATCH($B50,listaPeriodos,))-INDEX(TBBP[],MATCH("2.1",planoContas,)+1,MATCH($B50,listaPeriodos,))</f>
        <v>36029869.090000004</v>
      </c>
      <c r="F50" s="18"/>
      <c r="G50" s="18"/>
      <c r="H50" s="18"/>
    </row>
    <row r="51" spans="1:8" x14ac:dyDescent="0.3">
      <c r="A51" t="s">
        <v>627</v>
      </c>
      <c r="B51" s="3">
        <f t="shared" si="2"/>
        <v>44378</v>
      </c>
      <c r="C51" s="3" t="str">
        <f>VLOOKUP(MONTH(Tabela1[[#This Row],[Periodo]]),NUMMESES,2,FALSE)</f>
        <v>Julho</v>
      </c>
      <c r="D51" s="2">
        <f>YEAR(Tabela1[[#This Row],[Periodo]])</f>
        <v>2021</v>
      </c>
      <c r="E51" s="18">
        <f>INDEX(TBBP[],MATCH("1.1",planoContas,)+1,MATCH($B51,listaPeriodos,))-INDEX(TBBP[],MATCH("2.1",planoContas,)+1,MATCH($B51,listaPeriodos,))</f>
        <v>38424440.979999997</v>
      </c>
      <c r="F51" s="18"/>
      <c r="G51" s="18"/>
      <c r="H51" s="18"/>
    </row>
    <row r="52" spans="1:8" x14ac:dyDescent="0.3">
      <c r="A52" t="s">
        <v>627</v>
      </c>
      <c r="B52" s="3">
        <f t="shared" si="2"/>
        <v>44409</v>
      </c>
      <c r="C52" s="3" t="str">
        <f>VLOOKUP(MONTH(Tabela1[[#This Row],[Periodo]]),NUMMESES,2,FALSE)</f>
        <v>Agosto</v>
      </c>
      <c r="D52" s="2">
        <f>YEAR(Tabela1[[#This Row],[Periodo]])</f>
        <v>2021</v>
      </c>
      <c r="E52" s="18">
        <f>INDEX(TBBP[],MATCH("1.1",planoContas,)+1,MATCH($B52,listaPeriodos,))-INDEX(TBBP[],MATCH("2.1",planoContas,)+1,MATCH($B52,listaPeriodos,))</f>
        <v>40979629.469999999</v>
      </c>
      <c r="F52" s="18"/>
      <c r="G52" s="18"/>
      <c r="H52" s="18"/>
    </row>
    <row r="53" spans="1:8" x14ac:dyDescent="0.3">
      <c r="A53" t="s">
        <v>627</v>
      </c>
      <c r="B53" s="3">
        <f t="shared" si="2"/>
        <v>44440</v>
      </c>
      <c r="C53" s="3" t="str">
        <f>VLOOKUP(MONTH(Tabela1[[#This Row],[Periodo]]),NUMMESES,2,FALSE)</f>
        <v>Setembro</v>
      </c>
      <c r="D53" s="2">
        <f>YEAR(Tabela1[[#This Row],[Periodo]])</f>
        <v>2021</v>
      </c>
      <c r="E53" s="18">
        <f>INDEX(TBBP[],MATCH("1.1",planoContas,)+1,MATCH($B53,listaPeriodos,))-INDEX(TBBP[],MATCH("2.1",planoContas,)+1,MATCH($B53,listaPeriodos,))</f>
        <v>43650883.25</v>
      </c>
      <c r="F53" s="18"/>
      <c r="G53" s="18"/>
      <c r="H53" s="18"/>
    </row>
    <row r="54" spans="1:8" x14ac:dyDescent="0.3">
      <c r="A54" t="s">
        <v>627</v>
      </c>
      <c r="B54" s="3">
        <f t="shared" si="2"/>
        <v>44470</v>
      </c>
      <c r="C54" s="3" t="str">
        <f>VLOOKUP(MONTH(Tabela1[[#This Row],[Periodo]]),NUMMESES,2,FALSE)</f>
        <v>Outubro</v>
      </c>
      <c r="D54" s="2">
        <f>YEAR(Tabela1[[#This Row],[Periodo]])</f>
        <v>2021</v>
      </c>
      <c r="E54" s="18">
        <f>INDEX(TBBP[],MATCH("1.1",planoContas,)+1,MATCH($B54,listaPeriodos,))-INDEX(TBBP[],MATCH("2.1",planoContas,)+1,MATCH($B54,listaPeriodos,))</f>
        <v>44553283.560000002</v>
      </c>
      <c r="F54" s="18"/>
      <c r="G54" s="18"/>
      <c r="H54" s="18"/>
    </row>
    <row r="55" spans="1:8" x14ac:dyDescent="0.3">
      <c r="A55" t="s">
        <v>627</v>
      </c>
      <c r="B55" s="3">
        <f t="shared" si="2"/>
        <v>44501</v>
      </c>
      <c r="C55" s="3" t="str">
        <f>VLOOKUP(MONTH(Tabela1[[#This Row],[Periodo]]),NUMMESES,2,FALSE)</f>
        <v>Novembro</v>
      </c>
      <c r="D55" s="2">
        <f>YEAR(Tabela1[[#This Row],[Periodo]])</f>
        <v>2021</v>
      </c>
      <c r="E55" s="18">
        <f>INDEX(TBBP[],MATCH("1.1",planoContas,)+1,MATCH($B55,listaPeriodos,))-INDEX(TBBP[],MATCH("2.1",planoContas,)+1,MATCH($B55,listaPeriodos,))</f>
        <v>45557112.559999987</v>
      </c>
      <c r="F55" s="18"/>
      <c r="G55" s="18"/>
      <c r="H55" s="18"/>
    </row>
    <row r="56" spans="1:8" x14ac:dyDescent="0.3">
      <c r="A56" t="s">
        <v>627</v>
      </c>
      <c r="B56" s="3">
        <f t="shared" si="2"/>
        <v>44531</v>
      </c>
      <c r="C56" s="3" t="str">
        <f>VLOOKUP(MONTH(Tabela1[[#This Row],[Periodo]]),NUMMESES,2,FALSE)</f>
        <v>Dezembro</v>
      </c>
      <c r="D56" s="2">
        <f>YEAR(Tabela1[[#This Row],[Periodo]])</f>
        <v>2021</v>
      </c>
      <c r="E56" s="18">
        <f>INDEX(TBBP[],MATCH("1.1",planoContas,)+1,MATCH($B56,listaPeriodos,))-INDEX(TBBP[],MATCH("2.1",planoContas,)+1,MATCH($B56,listaPeriodos,))</f>
        <v>45876562.050000004</v>
      </c>
      <c r="F56" s="18"/>
      <c r="G56" s="18"/>
      <c r="H56" s="18"/>
    </row>
    <row r="57" spans="1:8" x14ac:dyDescent="0.3">
      <c r="A57" t="s">
        <v>627</v>
      </c>
      <c r="B57" s="3">
        <f t="shared" si="2"/>
        <v>44562</v>
      </c>
      <c r="C57" s="3" t="str">
        <f>VLOOKUP(MONTH(Tabela1[[#This Row],[Periodo]]),NUMMESES,2,FALSE)</f>
        <v>Janeiro</v>
      </c>
      <c r="D57" s="2">
        <f>YEAR(Tabela1[[#This Row],[Periodo]])</f>
        <v>2022</v>
      </c>
      <c r="E57" s="18">
        <f>INDEX(TBBP[],MATCH("1.1",planoContas,)+1,MATCH($B57,listaPeriodos,))-INDEX(TBBP[],MATCH("2.1",planoContas,)+1,MATCH($B57,listaPeriodos,))</f>
        <v>46445822.619999997</v>
      </c>
      <c r="F57" s="18"/>
      <c r="G57" s="18"/>
      <c r="H57" s="18"/>
    </row>
    <row r="58" spans="1:8" x14ac:dyDescent="0.3">
      <c r="A58" t="s">
        <v>627</v>
      </c>
      <c r="B58" s="3">
        <f t="shared" si="2"/>
        <v>44593</v>
      </c>
      <c r="C58" s="3" t="str">
        <f>VLOOKUP(MONTH(Tabela1[[#This Row],[Periodo]]),NUMMESES,2,FALSE)</f>
        <v>Fevereiro</v>
      </c>
      <c r="D58" s="2">
        <f>YEAR(Tabela1[[#This Row],[Periodo]])</f>
        <v>2022</v>
      </c>
      <c r="E58" s="18">
        <f>INDEX(TBBP[],MATCH("1.1",planoContas,)+1,MATCH($B58,listaPeriodos,))-INDEX(TBBP[],MATCH("2.1",planoContas,)+1,MATCH($B58,listaPeriodos,))</f>
        <v>47692279.950000003</v>
      </c>
      <c r="F58" s="18"/>
      <c r="G58" s="18"/>
      <c r="H58" s="18"/>
    </row>
    <row r="59" spans="1:8" x14ac:dyDescent="0.3">
      <c r="A59" t="s">
        <v>627</v>
      </c>
      <c r="B59" s="3">
        <f t="shared" si="2"/>
        <v>44621</v>
      </c>
      <c r="C59" s="3" t="str">
        <f>VLOOKUP(MONTH(Tabela1[[#This Row],[Periodo]]),NUMMESES,2,FALSE)</f>
        <v>Março</v>
      </c>
      <c r="D59" s="2">
        <f>YEAR(Tabela1[[#This Row],[Periodo]])</f>
        <v>2022</v>
      </c>
      <c r="E59" s="18">
        <f>INDEX(TBBP[],MATCH("1.1",planoContas,)+1,MATCH($B59,listaPeriodos,))-INDEX(TBBP[],MATCH("2.1",planoContas,)+1,MATCH($B59,listaPeriodos,))</f>
        <v>48464785.140000001</v>
      </c>
      <c r="F59" s="18"/>
      <c r="G59" s="18"/>
      <c r="H59" s="18"/>
    </row>
    <row r="60" spans="1:8" x14ac:dyDescent="0.3">
      <c r="A60" t="s">
        <v>627</v>
      </c>
      <c r="B60" s="3">
        <f t="shared" si="2"/>
        <v>44652</v>
      </c>
      <c r="C60" s="3" t="str">
        <f>VLOOKUP(MONTH(Tabela1[[#This Row],[Periodo]]),NUMMESES,2,FALSE)</f>
        <v>Abril</v>
      </c>
      <c r="D60" s="2">
        <f>YEAR(Tabela1[[#This Row],[Periodo]])</f>
        <v>2022</v>
      </c>
      <c r="E60" s="18">
        <f>INDEX(TBBP[],MATCH("1.1",planoContas,)+1,MATCH($B60,listaPeriodos,))-INDEX(TBBP[],MATCH("2.1",planoContas,)+1,MATCH($B60,listaPeriodos,))</f>
        <v>49780570.470000006</v>
      </c>
      <c r="F60" s="18"/>
      <c r="G60" s="18"/>
      <c r="H60" s="18"/>
    </row>
    <row r="61" spans="1:8" x14ac:dyDescent="0.3">
      <c r="A61" t="s">
        <v>627</v>
      </c>
      <c r="B61" s="3">
        <f t="shared" si="2"/>
        <v>44682</v>
      </c>
      <c r="C61" s="3" t="str">
        <f>VLOOKUP(MONTH(Tabela1[[#This Row],[Periodo]]),NUMMESES,2,FALSE)</f>
        <v>Maio</v>
      </c>
      <c r="D61" s="2">
        <f>YEAR(Tabela1[[#This Row],[Periodo]])</f>
        <v>2022</v>
      </c>
      <c r="E61" s="18">
        <f>INDEX(TBBP[],MATCH("1.1",planoContas,)+1,MATCH($B61,listaPeriodos,))-INDEX(TBBP[],MATCH("2.1",planoContas,)+1,MATCH($B61,listaPeriodos,))</f>
        <v>50567002.860000007</v>
      </c>
      <c r="F61" s="18"/>
      <c r="G61" s="18"/>
      <c r="H61" s="18"/>
    </row>
    <row r="62" spans="1:8" x14ac:dyDescent="0.3">
      <c r="A62" t="s">
        <v>627</v>
      </c>
      <c r="B62" s="3">
        <f t="shared" si="2"/>
        <v>44713</v>
      </c>
      <c r="C62" s="3" t="str">
        <f>VLOOKUP(MONTH(Tabela1[[#This Row],[Periodo]]),NUMMESES,2,FALSE)</f>
        <v>Junho</v>
      </c>
      <c r="D62" s="2">
        <f>YEAR(Tabela1[[#This Row],[Periodo]])</f>
        <v>2022</v>
      </c>
      <c r="E62" s="18">
        <f>INDEX(TBBP[],MATCH("1.1",planoContas,)+1,MATCH($B62,listaPeriodos,))-INDEX(TBBP[],MATCH("2.1",planoContas,)+1,MATCH($B62,listaPeriodos,))</f>
        <v>51702676.140000001</v>
      </c>
      <c r="F62" s="18"/>
      <c r="G62" s="18"/>
      <c r="H62" s="18"/>
    </row>
    <row r="63" spans="1:8" x14ac:dyDescent="0.3">
      <c r="A63" t="s">
        <v>627</v>
      </c>
      <c r="B63" s="3">
        <f t="shared" si="2"/>
        <v>44743</v>
      </c>
      <c r="C63" s="3" t="str">
        <f>VLOOKUP(MONTH(Tabela1[[#This Row],[Periodo]]),NUMMESES,2,FALSE)</f>
        <v>Julho</v>
      </c>
      <c r="D63" s="2">
        <f>YEAR(Tabela1[[#This Row],[Periodo]])</f>
        <v>2022</v>
      </c>
      <c r="E63" s="18">
        <f>INDEX(TBBP[],MATCH("1.1",planoContas,)+1,MATCH($B63,listaPeriodos,))-INDEX(TBBP[],MATCH("2.1",planoContas,)+1,MATCH($B63,listaPeriodos,))</f>
        <v>54406079.829999998</v>
      </c>
      <c r="F63" s="18"/>
      <c r="G63" s="18"/>
      <c r="H63" s="18"/>
    </row>
    <row r="64" spans="1:8" x14ac:dyDescent="0.3">
      <c r="A64" t="s">
        <v>627</v>
      </c>
      <c r="B64" s="3">
        <f t="shared" si="2"/>
        <v>44774</v>
      </c>
      <c r="C64" s="3" t="str">
        <f>VLOOKUP(MONTH(Tabela1[[#This Row],[Periodo]]),NUMMESES,2,FALSE)</f>
        <v>Agosto</v>
      </c>
      <c r="D64" s="2">
        <f>YEAR(Tabela1[[#This Row],[Periodo]])</f>
        <v>2022</v>
      </c>
      <c r="E64" s="18">
        <f>INDEX(TBBP[],MATCH("1.1",planoContas,)+1,MATCH($B64,listaPeriodos,))-INDEX(TBBP[],MATCH("2.1",planoContas,)+1,MATCH($B64,listaPeriodos,))</f>
        <v>55023662.179999992</v>
      </c>
      <c r="F64" s="18"/>
      <c r="G64" s="18"/>
      <c r="H64" s="18"/>
    </row>
    <row r="65" spans="1:8" x14ac:dyDescent="0.3">
      <c r="A65" t="s">
        <v>627</v>
      </c>
      <c r="B65" s="3">
        <f t="shared" si="2"/>
        <v>44805</v>
      </c>
      <c r="C65" s="3" t="str">
        <f>VLOOKUP(MONTH(Tabela1[[#This Row],[Periodo]]),NUMMESES,2,FALSE)</f>
        <v>Setembro</v>
      </c>
      <c r="D65" s="2">
        <f>YEAR(Tabela1[[#This Row],[Periodo]])</f>
        <v>2022</v>
      </c>
      <c r="E65" s="18">
        <f>INDEX(TBBP[],MATCH("1.1",planoContas,)+1,MATCH($B65,listaPeriodos,))-INDEX(TBBP[],MATCH("2.1",planoContas,)+1,MATCH($B65,listaPeriodos,))</f>
        <v>55350053.75999999</v>
      </c>
      <c r="F65" s="18"/>
      <c r="G65" s="18"/>
      <c r="H65" s="18"/>
    </row>
    <row r="66" spans="1:8" x14ac:dyDescent="0.3">
      <c r="A66" t="s">
        <v>627</v>
      </c>
      <c r="B66" s="3">
        <f t="shared" si="2"/>
        <v>44835</v>
      </c>
      <c r="C66" s="3" t="str">
        <f>VLOOKUP(MONTH(Tabela1[[#This Row],[Periodo]]),NUMMESES,2,FALSE)</f>
        <v>Outubro</v>
      </c>
      <c r="D66" s="2">
        <f>YEAR(Tabela1[[#This Row],[Periodo]])</f>
        <v>2022</v>
      </c>
      <c r="E66" s="18">
        <f>INDEX(TBBP[],MATCH("1.1",planoContas,)+1,MATCH($B66,listaPeriodos,))-INDEX(TBBP[],MATCH("2.1",planoContas,)+1,MATCH($B66,listaPeriodos,))</f>
        <v>54675875.520000011</v>
      </c>
      <c r="F66" s="18"/>
      <c r="G66" s="18"/>
      <c r="H66" s="18"/>
    </row>
    <row r="67" spans="1:8" x14ac:dyDescent="0.3">
      <c r="A67" t="s">
        <v>627</v>
      </c>
      <c r="B67" s="3">
        <f t="shared" si="2"/>
        <v>44866</v>
      </c>
      <c r="C67" s="3" t="str">
        <f>VLOOKUP(MONTH(Tabela1[[#This Row],[Periodo]]),NUMMESES,2,FALSE)</f>
        <v>Novembro</v>
      </c>
      <c r="D67" s="2">
        <f>YEAR(Tabela1[[#This Row],[Periodo]])</f>
        <v>2022</v>
      </c>
      <c r="E67" s="18">
        <f>INDEX(TBBP[],MATCH("1.1",planoContas,)+1,MATCH($B67,listaPeriodos,))-INDEX(TBBP[],MATCH("2.1",planoContas,)+1,MATCH($B67,listaPeriodos,))</f>
        <v>56341651.779999994</v>
      </c>
      <c r="F67" s="18"/>
      <c r="G67" s="18"/>
      <c r="H67" s="18"/>
    </row>
    <row r="68" spans="1:8" x14ac:dyDescent="0.3">
      <c r="A68" t="s">
        <v>627</v>
      </c>
      <c r="B68" s="3">
        <f t="shared" si="2"/>
        <v>44896</v>
      </c>
      <c r="C68" s="3" t="str">
        <f>VLOOKUP(MONTH(Tabela1[[#This Row],[Periodo]]),NUMMESES,2,FALSE)</f>
        <v>Dezembro</v>
      </c>
      <c r="D68" s="2">
        <f>YEAR(Tabela1[[#This Row],[Periodo]])</f>
        <v>2022</v>
      </c>
      <c r="E68" s="18">
        <f>INDEX(TBBP[],MATCH("1.1",planoContas,)+1,MATCH($B68,listaPeriodos,))-INDEX(TBBP[],MATCH("2.1",planoContas,)+1,MATCH($B68,listaPeriodos,))</f>
        <v>56250001.099999994</v>
      </c>
      <c r="F68" s="18"/>
      <c r="G68" s="18"/>
      <c r="H68" s="18"/>
    </row>
    <row r="69" spans="1:8" x14ac:dyDescent="0.3">
      <c r="A69" t="s">
        <v>627</v>
      </c>
      <c r="B69" s="3">
        <f t="shared" si="2"/>
        <v>44927</v>
      </c>
      <c r="C69" s="3" t="str">
        <f>VLOOKUP(MONTH(Tabela1[[#This Row],[Periodo]]),NUMMESES,2,FALSE)</f>
        <v>Janeiro</v>
      </c>
      <c r="D69" s="2">
        <f>YEAR(Tabela1[[#This Row],[Periodo]])</f>
        <v>2023</v>
      </c>
      <c r="E69" s="18">
        <f>INDEX(TBBP[],MATCH("1.1",planoContas,)+1,MATCH($B69,listaPeriodos,))-INDEX(TBBP[],MATCH("2.1",planoContas,)+1,MATCH($B69,listaPeriodos,))</f>
        <v>56187760.552599996</v>
      </c>
      <c r="F69" s="18"/>
      <c r="G69" s="18"/>
      <c r="H69" s="18"/>
    </row>
    <row r="70" spans="1:8" x14ac:dyDescent="0.3">
      <c r="A70" t="s">
        <v>627</v>
      </c>
      <c r="B70" s="3">
        <f t="shared" si="2"/>
        <v>44958</v>
      </c>
      <c r="C70" s="3" t="str">
        <f>VLOOKUP(MONTH(Tabela1[[#This Row],[Periodo]]),NUMMESES,2,FALSE)</f>
        <v>Fevereiro</v>
      </c>
      <c r="D70" s="2">
        <f>YEAR(Tabela1[[#This Row],[Periodo]])</f>
        <v>2023</v>
      </c>
      <c r="E70" s="18">
        <f>INDEX(TBBP[],MATCH("1.1",planoContas,)+1,MATCH($B70,listaPeriodos,))-INDEX(TBBP[],MATCH("2.1",planoContas,)+1,MATCH($B70,listaPeriodos,))</f>
        <v>56056355.378399998</v>
      </c>
      <c r="F70" s="18"/>
      <c r="G70" s="18"/>
      <c r="H70" s="18"/>
    </row>
    <row r="71" spans="1:8" x14ac:dyDescent="0.3">
      <c r="A71" t="s">
        <v>627</v>
      </c>
      <c r="B71" s="3">
        <f t="shared" si="2"/>
        <v>44986</v>
      </c>
      <c r="C71" s="3" t="str">
        <f>VLOOKUP(MONTH(Tabela1[[#This Row],[Periodo]]),NUMMESES,2,FALSE)</f>
        <v>Março</v>
      </c>
      <c r="D71" s="2">
        <f>YEAR(Tabela1[[#This Row],[Periodo]])</f>
        <v>2023</v>
      </c>
      <c r="E71" s="18">
        <f>INDEX(TBBP[],MATCH("1.1",planoContas,)+1,MATCH($B71,listaPeriodos,))-INDEX(TBBP[],MATCH("2.1",planoContas,)+1,MATCH($B71,listaPeriodos,))</f>
        <v>57123565.674200013</v>
      </c>
      <c r="F71" s="18"/>
      <c r="G71" s="18"/>
      <c r="H71" s="18"/>
    </row>
    <row r="72" spans="1:8" x14ac:dyDescent="0.3">
      <c r="A72" t="s">
        <v>627</v>
      </c>
      <c r="B72" s="3">
        <f t="shared" si="2"/>
        <v>45017</v>
      </c>
      <c r="C72" s="3" t="str">
        <f>VLOOKUP(MONTH(Tabela1[[#This Row],[Periodo]]),NUMMESES,2,FALSE)</f>
        <v>Abril</v>
      </c>
      <c r="D72" s="2">
        <f>YEAR(Tabela1[[#This Row],[Periodo]])</f>
        <v>2023</v>
      </c>
      <c r="E72" s="18">
        <f>INDEX(TBBP[],MATCH("1.1",planoContas,)+1,MATCH($B72,listaPeriodos,))-INDEX(TBBP[],MATCH("2.1",planoContas,)+1,MATCH($B72,listaPeriodos,))</f>
        <v>57509797.914800003</v>
      </c>
      <c r="F72" s="18"/>
      <c r="G72" s="18"/>
      <c r="H72" s="18"/>
    </row>
    <row r="73" spans="1:8" x14ac:dyDescent="0.3">
      <c r="A73" t="s">
        <v>627</v>
      </c>
      <c r="B73" s="3">
        <f t="shared" si="2"/>
        <v>45047</v>
      </c>
      <c r="C73" s="3" t="str">
        <f>VLOOKUP(MONTH(Tabela1[[#This Row],[Periodo]]),NUMMESES,2,FALSE)</f>
        <v>Maio</v>
      </c>
      <c r="D73" s="2">
        <f>YEAR(Tabela1[[#This Row],[Periodo]])</f>
        <v>2023</v>
      </c>
      <c r="E73" s="18">
        <f>INDEX(TBBP[],MATCH("1.1",planoContas,)+1,MATCH($B73,listaPeriodos,))-INDEX(TBBP[],MATCH("2.1",planoContas,)+1,MATCH($B73,listaPeriodos,))</f>
        <v>59114856.240400001</v>
      </c>
      <c r="F73" s="18"/>
      <c r="G73" s="18"/>
      <c r="H73" s="18"/>
    </row>
    <row r="74" spans="1:8" x14ac:dyDescent="0.3">
      <c r="A74" t="s">
        <v>627</v>
      </c>
      <c r="B74" s="3">
        <f t="shared" si="2"/>
        <v>45078</v>
      </c>
      <c r="C74" s="3" t="str">
        <f>VLOOKUP(MONTH(Tabela1[[#This Row],[Periodo]]),NUMMESES,2,FALSE)</f>
        <v>Junho</v>
      </c>
      <c r="D74" s="2">
        <f>YEAR(Tabela1[[#This Row],[Periodo]])</f>
        <v>2023</v>
      </c>
      <c r="E74" s="18">
        <f>INDEX(TBBP[],MATCH("1.1",planoContas,)+1,MATCH($B74,listaPeriodos,))-INDEX(TBBP[],MATCH("2.1",planoContas,)+1,MATCH($B74,listaPeriodos,))</f>
        <v>60130192.59920001</v>
      </c>
      <c r="F74" s="18"/>
      <c r="G74" s="18"/>
      <c r="H74" s="18"/>
    </row>
    <row r="75" spans="1:8" x14ac:dyDescent="0.3">
      <c r="A75" t="s">
        <v>627</v>
      </c>
      <c r="B75" s="3">
        <f t="shared" si="2"/>
        <v>45108</v>
      </c>
      <c r="C75" s="3" t="str">
        <f>VLOOKUP(MONTH(Tabela1[[#This Row],[Periodo]]),NUMMESES,2,FALSE)</f>
        <v>Julho</v>
      </c>
      <c r="D75" s="2">
        <f>YEAR(Tabela1[[#This Row],[Periodo]])</f>
        <v>2023</v>
      </c>
      <c r="E75" s="18">
        <f>INDEX(TBBP[],MATCH("1.1",planoContas,)+1,MATCH($B75,listaPeriodos,))-INDEX(TBBP[],MATCH("2.1",planoContas,)+1,MATCH($B75,listaPeriodos,))</f>
        <v>60357745.368200004</v>
      </c>
      <c r="F75" s="18"/>
      <c r="G75" s="18"/>
      <c r="H75" s="18"/>
    </row>
    <row r="76" spans="1:8" x14ac:dyDescent="0.3">
      <c r="A76" t="s">
        <v>627</v>
      </c>
      <c r="B76" s="3">
        <f t="shared" si="2"/>
        <v>45139</v>
      </c>
      <c r="C76" s="3" t="str">
        <f>VLOOKUP(MONTH(Tabela1[[#This Row],[Periodo]]),NUMMESES,2,FALSE)</f>
        <v>Agosto</v>
      </c>
      <c r="D76" s="2">
        <f>YEAR(Tabela1[[#This Row],[Periodo]])</f>
        <v>2023</v>
      </c>
      <c r="E76" s="18">
        <f>INDEX(TBBP[],MATCH("1.1",planoContas,)+1,MATCH($B76,listaPeriodos,))-INDEX(TBBP[],MATCH("2.1",planoContas,)+1,MATCH($B76,listaPeriodos,))</f>
        <v>61157018.821600005</v>
      </c>
      <c r="F76" s="18"/>
      <c r="G76" s="18"/>
      <c r="H76" s="18"/>
    </row>
    <row r="77" spans="1:8" x14ac:dyDescent="0.3">
      <c r="A77" t="s">
        <v>627</v>
      </c>
      <c r="B77" s="3">
        <f t="shared" si="2"/>
        <v>45170</v>
      </c>
      <c r="C77" s="3" t="str">
        <f>VLOOKUP(MONTH(Tabela1[[#This Row],[Periodo]]),NUMMESES,2,FALSE)</f>
        <v>Setembro</v>
      </c>
      <c r="D77" s="2">
        <f>YEAR(Tabela1[[#This Row],[Periodo]])</f>
        <v>2023</v>
      </c>
      <c r="E77" s="18">
        <f>INDEX(TBBP[],MATCH("1.1",planoContas,)+1,MATCH($B77,listaPeriodos,))-INDEX(TBBP[],MATCH("2.1",planoContas,)+1,MATCH($B77,listaPeriodos,))</f>
        <v>62001409.564200006</v>
      </c>
      <c r="F77" s="18"/>
      <c r="G77" s="18"/>
      <c r="H77" s="18"/>
    </row>
    <row r="78" spans="1:8" x14ac:dyDescent="0.3">
      <c r="A78" t="s">
        <v>627</v>
      </c>
      <c r="B78" s="3">
        <f t="shared" si="2"/>
        <v>45200</v>
      </c>
      <c r="C78" s="3" t="str">
        <f>VLOOKUP(MONTH(Tabela1[[#This Row],[Periodo]]),NUMMESES,2,FALSE)</f>
        <v>Outubro</v>
      </c>
      <c r="D78" s="2">
        <f>YEAR(Tabela1[[#This Row],[Periodo]])</f>
        <v>2023</v>
      </c>
      <c r="E78" s="18">
        <f>INDEX(TBBP[],MATCH("1.1",planoContas,)+1,MATCH($B78,listaPeriodos,))-INDEX(TBBP[],MATCH("2.1",planoContas,)+1,MATCH($B78,listaPeriodos,))</f>
        <v>62925407.04900001</v>
      </c>
      <c r="F78" s="18"/>
      <c r="G78" s="18"/>
      <c r="H78" s="18"/>
    </row>
    <row r="79" spans="1:8" x14ac:dyDescent="0.3">
      <c r="A79" t="s">
        <v>627</v>
      </c>
      <c r="B79" s="3">
        <f t="shared" si="2"/>
        <v>45231</v>
      </c>
      <c r="C79" s="3" t="str">
        <f>VLOOKUP(MONTH(Tabela1[[#This Row],[Periodo]]),NUMMESES,2,FALSE)</f>
        <v>Novembro</v>
      </c>
      <c r="D79" s="2">
        <f>YEAR(Tabela1[[#This Row],[Periodo]])</f>
        <v>2023</v>
      </c>
      <c r="E79" s="18">
        <f>INDEX(TBBP[],MATCH("1.1",planoContas,)+1,MATCH($B79,listaPeriodos,))-INDEX(TBBP[],MATCH("2.1",planoContas,)+1,MATCH($B79,listaPeriodos,))</f>
        <v>63819737.205399998</v>
      </c>
      <c r="F79" s="18"/>
      <c r="G79" s="18"/>
      <c r="H79" s="18"/>
    </row>
    <row r="80" spans="1:8" x14ac:dyDescent="0.3">
      <c r="A80" t="s">
        <v>627</v>
      </c>
      <c r="B80" s="3">
        <f t="shared" si="2"/>
        <v>45261</v>
      </c>
      <c r="C80" s="3" t="str">
        <f>VLOOKUP(MONTH(Tabela1[[#This Row],[Periodo]]),NUMMESES,2,FALSE)</f>
        <v>Dezembro</v>
      </c>
      <c r="D80" s="2">
        <f>YEAR(Tabela1[[#This Row],[Periodo]])</f>
        <v>2023</v>
      </c>
      <c r="E80" s="18">
        <f>INDEX(TBBP[],MATCH("1.1",planoContas,)+1,MATCH($B80,listaPeriodos,))-INDEX(TBBP[],MATCH("2.1",planoContas,)+1,MATCH($B80,listaPeriodos,))</f>
        <v>64013805.860000007</v>
      </c>
      <c r="F80" s="18"/>
      <c r="G80" s="18"/>
      <c r="H80" s="18"/>
    </row>
    <row r="81" spans="1:8" x14ac:dyDescent="0.3">
      <c r="A81" t="s">
        <v>627</v>
      </c>
      <c r="B81" s="3">
        <f t="shared" si="2"/>
        <v>45292</v>
      </c>
      <c r="C81" s="3" t="str">
        <f>VLOOKUP(MONTH(Tabela1[[#This Row],[Periodo]]),NUMMESES,2,FALSE)</f>
        <v>Janeiro</v>
      </c>
      <c r="D81" s="2">
        <f>YEAR(Tabela1[[#This Row],[Periodo]])</f>
        <v>2024</v>
      </c>
      <c r="E81" s="18">
        <f>INDEX(TBBP[],MATCH("1.1",planoContas,)+1,MATCH($B81,listaPeriodos,))-INDEX(TBBP[],MATCH("2.1",planoContas,)+1,MATCH($B81,listaPeriodos,))</f>
        <v>64250561.284199998</v>
      </c>
      <c r="F81" s="18"/>
      <c r="G81" s="18"/>
      <c r="H81" s="18"/>
    </row>
    <row r="82" spans="1:8" x14ac:dyDescent="0.3">
      <c r="A82" t="s">
        <v>627</v>
      </c>
      <c r="B82" s="3">
        <f t="shared" si="2"/>
        <v>45323</v>
      </c>
      <c r="C82" s="3" t="str">
        <f>VLOOKUP(MONTH(Tabela1[[#This Row],[Periodo]]),NUMMESES,2,FALSE)</f>
        <v>Fevereiro</v>
      </c>
      <c r="D82" s="2">
        <f>YEAR(Tabela1[[#This Row],[Periodo]])</f>
        <v>2024</v>
      </c>
      <c r="E82" s="18">
        <f>INDEX(TBBP[],MATCH("1.1",planoContas,)+1,MATCH($B82,listaPeriodos,))-INDEX(TBBP[],MATCH("2.1",planoContas,)+1,MATCH($B82,listaPeriodos,))</f>
        <v>65900470.980999991</v>
      </c>
      <c r="F82" s="18"/>
      <c r="G82" s="18"/>
      <c r="H82" s="18"/>
    </row>
    <row r="83" spans="1:8" x14ac:dyDescent="0.3">
      <c r="A83" t="s">
        <v>627</v>
      </c>
      <c r="B83" s="3">
        <f t="shared" si="2"/>
        <v>45352</v>
      </c>
      <c r="C83" s="3" t="str">
        <f>VLOOKUP(MONTH(Tabela1[[#This Row],[Periodo]]),NUMMESES,2,FALSE)</f>
        <v>Março</v>
      </c>
      <c r="D83" s="2">
        <f>YEAR(Tabela1[[#This Row],[Periodo]])</f>
        <v>2024</v>
      </c>
      <c r="E83" s="18">
        <f>INDEX(TBBP[],MATCH("1.1",planoContas,)+1,MATCH($B83,listaPeriodos,))-INDEX(TBBP[],MATCH("2.1",planoContas,)+1,MATCH($B83,listaPeriodos,))</f>
        <v>66739003.722400002</v>
      </c>
      <c r="F83" s="18"/>
      <c r="G83" s="18"/>
      <c r="H83" s="18"/>
    </row>
    <row r="84" spans="1:8" x14ac:dyDescent="0.3">
      <c r="A84" t="s">
        <v>627</v>
      </c>
      <c r="B84" s="3">
        <f t="shared" si="2"/>
        <v>45383</v>
      </c>
      <c r="C84" s="3" t="str">
        <f>VLOOKUP(MONTH(Tabela1[[#This Row],[Periodo]]),NUMMESES,2,FALSE)</f>
        <v>Abril</v>
      </c>
      <c r="D84" s="2">
        <f>YEAR(Tabela1[[#This Row],[Periodo]])</f>
        <v>2024</v>
      </c>
      <c r="E84" s="18">
        <f>INDEX(TBBP[],MATCH("1.1",planoContas,)+1,MATCH($B84,listaPeriodos,))-INDEX(TBBP[],MATCH("2.1",planoContas,)+1,MATCH($B84,listaPeriodos,))</f>
        <v>68703666.675000012</v>
      </c>
      <c r="F84" s="18"/>
      <c r="G84" s="18"/>
      <c r="H84" s="18"/>
    </row>
    <row r="85" spans="1:8" x14ac:dyDescent="0.3">
      <c r="A85" t="s">
        <v>627</v>
      </c>
      <c r="B85" s="3">
        <f t="shared" si="2"/>
        <v>45413</v>
      </c>
      <c r="C85" s="3" t="str">
        <f>VLOOKUP(MONTH(Tabela1[[#This Row],[Periodo]]),NUMMESES,2,FALSE)</f>
        <v>Maio</v>
      </c>
      <c r="D85" s="2">
        <f>YEAR(Tabela1[[#This Row],[Periodo]])</f>
        <v>2024</v>
      </c>
      <c r="E85" s="18">
        <f>INDEX(TBBP[],MATCH("1.1",planoContas,)+1,MATCH($B85,listaPeriodos,))-INDEX(TBBP[],MATCH("2.1",planoContas,)+1,MATCH($B85,listaPeriodos,))</f>
        <v>65142777.676600009</v>
      </c>
      <c r="F85" s="18"/>
      <c r="G85" s="18"/>
      <c r="H85" s="18"/>
    </row>
    <row r="86" spans="1:8" x14ac:dyDescent="0.3">
      <c r="A86" t="s">
        <v>627</v>
      </c>
      <c r="B86" s="3">
        <f t="shared" si="2"/>
        <v>45444</v>
      </c>
      <c r="C86" s="3" t="str">
        <f>VLOOKUP(MONTH(Tabela1[[#This Row],[Periodo]]),NUMMESES,2,FALSE)</f>
        <v>Junho</v>
      </c>
      <c r="D86" s="2">
        <f>YEAR(Tabela1[[#This Row],[Periodo]])</f>
        <v>2024</v>
      </c>
      <c r="E86" s="18">
        <f>INDEX(TBBP[],MATCH("1.1",planoContas,)+1,MATCH($B86,listaPeriodos,))-INDEX(TBBP[],MATCH("2.1",planoContas,)+1,MATCH($B86,listaPeriodos,))</f>
        <v>68961440.624100015</v>
      </c>
      <c r="F86" s="18"/>
      <c r="G86" s="18"/>
      <c r="H86" s="18"/>
    </row>
    <row r="87" spans="1:8" x14ac:dyDescent="0.3">
      <c r="A87" t="s">
        <v>627</v>
      </c>
      <c r="B87" s="3">
        <f t="shared" si="2"/>
        <v>45474</v>
      </c>
      <c r="C87" s="3" t="str">
        <f>VLOOKUP(MONTH(Tabela1[[#This Row],[Periodo]]),NUMMESES,2,FALSE)</f>
        <v>Julho</v>
      </c>
      <c r="D87" s="2">
        <f>YEAR(Tabela1[[#This Row],[Periodo]])</f>
        <v>2024</v>
      </c>
      <c r="E87" s="18">
        <f>INDEX(TBBP[],MATCH("1.1",planoContas,)+1,MATCH($B87,listaPeriodos,))-INDEX(TBBP[],MATCH("2.1",planoContas,)+1,MATCH($B87,listaPeriodos,))</f>
        <v>77807595.004099995</v>
      </c>
      <c r="F87" s="18"/>
      <c r="G87" s="18"/>
      <c r="H87" s="18"/>
    </row>
    <row r="88" spans="1:8" x14ac:dyDescent="0.3">
      <c r="A88" t="s">
        <v>627</v>
      </c>
      <c r="B88" s="3">
        <f t="shared" si="2"/>
        <v>45505</v>
      </c>
      <c r="C88" s="3" t="str">
        <f>VLOOKUP(MONTH(Tabela1[[#This Row],[Periodo]]),NUMMESES,2,FALSE)</f>
        <v>Agosto</v>
      </c>
      <c r="D88" s="2">
        <f>YEAR(Tabela1[[#This Row],[Periodo]])</f>
        <v>2024</v>
      </c>
      <c r="E88" s="18">
        <f>INDEX(TBBP[],MATCH("1.1",planoContas,)+1,MATCH($B88,listaPeriodos,))-INDEX(TBBP[],MATCH("2.1",planoContas,)+1,MATCH($B88,listaPeriodos,))</f>
        <v>78438525.63409999</v>
      </c>
      <c r="F88" s="18"/>
      <c r="G88" s="18"/>
      <c r="H88" s="18"/>
    </row>
    <row r="89" spans="1:8" x14ac:dyDescent="0.3">
      <c r="A89" t="s">
        <v>627</v>
      </c>
      <c r="B89" s="3">
        <f t="shared" si="2"/>
        <v>45536</v>
      </c>
      <c r="C89" s="3" t="str">
        <f>VLOOKUP(MONTH(Tabela1[[#This Row],[Periodo]]),NUMMESES,2,FALSE)</f>
        <v>Setembro</v>
      </c>
      <c r="D89" s="2">
        <f>YEAR(Tabela1[[#This Row],[Periodo]])</f>
        <v>2024</v>
      </c>
      <c r="E89" s="18">
        <f>INDEX(TBBP[],MATCH("1.1",planoContas,)+1,MATCH($B89,listaPeriodos,))-INDEX(TBBP[],MATCH("2.1",planoContas,)+1,MATCH($B89,listaPeriodos,))</f>
        <v>80049090.404100001</v>
      </c>
      <c r="F89" s="18"/>
      <c r="G89" s="18"/>
      <c r="H89" s="18"/>
    </row>
    <row r="90" spans="1:8" x14ac:dyDescent="0.3">
      <c r="A90" t="s">
        <v>627</v>
      </c>
      <c r="B90" s="3">
        <f t="shared" si="2"/>
        <v>45566</v>
      </c>
      <c r="C90" s="3" t="str">
        <f>VLOOKUP(MONTH(Tabela1[[#This Row],[Periodo]]),NUMMESES,2,FALSE)</f>
        <v>Outubro</v>
      </c>
      <c r="D90" s="2">
        <f>YEAR(Tabela1[[#This Row],[Periodo]])</f>
        <v>2024</v>
      </c>
      <c r="E90" s="18">
        <f>INDEX(TBBP[],MATCH("1.1",planoContas,)+1,MATCH($B90,listaPeriodos,))-INDEX(TBBP[],MATCH("2.1",planoContas,)+1,MATCH($B90,listaPeriodos,))</f>
        <v>82127573.274099991</v>
      </c>
      <c r="F90" s="18"/>
      <c r="G90" s="18"/>
      <c r="H90" s="18"/>
    </row>
    <row r="91" spans="1:8" x14ac:dyDescent="0.3">
      <c r="A91" t="s">
        <v>627</v>
      </c>
      <c r="B91" s="3">
        <f t="shared" si="2"/>
        <v>45597</v>
      </c>
      <c r="C91" s="3" t="str">
        <f>VLOOKUP(MONTH(Tabela1[[#This Row],[Periodo]]),NUMMESES,2,FALSE)</f>
        <v>Novembro</v>
      </c>
      <c r="D91" s="2">
        <f>YEAR(Tabela1[[#This Row],[Periodo]])</f>
        <v>2024</v>
      </c>
      <c r="E91" s="18">
        <f>INDEX(TBBP[],MATCH("1.1",planoContas,)+1,MATCH($B91,listaPeriodos,))-INDEX(TBBP[],MATCH("2.1",planoContas,)+1,MATCH($B91,listaPeriodos,))</f>
        <v>82321753.294100001</v>
      </c>
      <c r="F91" s="18"/>
      <c r="G91" s="18"/>
      <c r="H91" s="18"/>
    </row>
    <row r="92" spans="1:8" x14ac:dyDescent="0.3">
      <c r="A92" t="s">
        <v>627</v>
      </c>
      <c r="B92" s="3">
        <f t="shared" si="2"/>
        <v>45627</v>
      </c>
      <c r="C92" s="3" t="str">
        <f>VLOOKUP(MONTH(Tabela1[[#This Row],[Periodo]]),NUMMESES,2,FALSE)</f>
        <v>Dezembro</v>
      </c>
      <c r="D92" s="2">
        <f>YEAR(Tabela1[[#This Row],[Periodo]])</f>
        <v>2024</v>
      </c>
      <c r="E92" s="18">
        <f>INDEX(TBBP[],MATCH("1.1",planoContas,)+1,MATCH($B92,listaPeriodos,))-INDEX(TBBP[],MATCH("2.1",planoContas,)+1,MATCH($B92,listaPeriodos,))</f>
        <v>83771322.924099982</v>
      </c>
      <c r="F92" s="18"/>
      <c r="G92" s="18"/>
      <c r="H92" s="18"/>
    </row>
    <row r="93" spans="1:8" x14ac:dyDescent="0.3">
      <c r="A93" t="s">
        <v>627</v>
      </c>
      <c r="B93" s="3">
        <f t="shared" si="2"/>
        <v>45658</v>
      </c>
      <c r="C93" s="3" t="str">
        <f>VLOOKUP(MONTH(Tabela1[[#This Row],[Periodo]]),NUMMESES,2,FALSE)</f>
        <v>Janeiro</v>
      </c>
      <c r="D93" s="2">
        <f>YEAR(Tabela1[[#This Row],[Periodo]])</f>
        <v>2025</v>
      </c>
      <c r="E93" s="18">
        <f>INDEX(TBBP[],MATCH("1.1",planoContas,)+1,MATCH($B93,listaPeriodos,))-INDEX(TBBP[],MATCH("2.1",planoContas,)+1,MATCH($B93,listaPeriodos,))</f>
        <v>84838351.381799996</v>
      </c>
      <c r="F93" s="18"/>
      <c r="G93" s="18"/>
      <c r="H93" s="18"/>
    </row>
    <row r="94" spans="1:8" x14ac:dyDescent="0.3">
      <c r="A94" t="s">
        <v>627</v>
      </c>
      <c r="B94" s="3">
        <f t="shared" si="2"/>
        <v>45689</v>
      </c>
      <c r="C94" s="3" t="str">
        <f>VLOOKUP(MONTH(Tabela1[[#This Row],[Periodo]]),NUMMESES,2,FALSE)</f>
        <v>Fevereiro</v>
      </c>
      <c r="D94" s="2">
        <f>YEAR(Tabela1[[#This Row],[Periodo]])</f>
        <v>2025</v>
      </c>
      <c r="E94" s="18">
        <f>INDEX(TBBP[],MATCH("1.1",planoContas,)+1,MATCH($B94,listaPeriodos,))-INDEX(TBBP[],MATCH("2.1",planoContas,)+1,MATCH($B94,listaPeriodos,))</f>
        <v>85689688.646799982</v>
      </c>
      <c r="F94" s="18"/>
      <c r="G94" s="18"/>
      <c r="H94" s="18"/>
    </row>
    <row r="95" spans="1:8" x14ac:dyDescent="0.3">
      <c r="A95" t="s">
        <v>627</v>
      </c>
      <c r="B95" s="3">
        <f t="shared" si="2"/>
        <v>45717</v>
      </c>
      <c r="C95" s="3" t="str">
        <f>VLOOKUP(MONTH(Tabela1[[#This Row],[Periodo]]),NUMMESES,2,FALSE)</f>
        <v>Março</v>
      </c>
      <c r="D95" s="2">
        <f>YEAR(Tabela1[[#This Row],[Periodo]])</f>
        <v>2025</v>
      </c>
      <c r="E95" s="18">
        <f>INDEX(TBBP[],MATCH("1.1",planoContas,)+1,MATCH($B95,listaPeriodos,))-INDEX(TBBP[],MATCH("2.1",planoContas,)+1,MATCH($B95,listaPeriodos,))</f>
        <v>82871662.708000004</v>
      </c>
      <c r="F95" s="18"/>
      <c r="G95" s="18"/>
      <c r="H95" s="18"/>
    </row>
    <row r="96" spans="1:8" x14ac:dyDescent="0.3">
      <c r="A96" t="s">
        <v>627</v>
      </c>
      <c r="B96" s="3">
        <f t="shared" si="2"/>
        <v>45748</v>
      </c>
      <c r="C96" s="3" t="str">
        <f>VLOOKUP(MONTH(Tabela1[[#This Row],[Periodo]]),NUMMESES,2,FALSE)</f>
        <v>Abril</v>
      </c>
      <c r="D96" s="2">
        <f>YEAR(Tabela1[[#This Row],[Periodo]])</f>
        <v>2025</v>
      </c>
      <c r="E96" s="18">
        <f>INDEX(TBBP[],MATCH("1.1",planoContas,)+1,MATCH($B96,listaPeriodos,))-INDEX(TBBP[],MATCH("2.1",planoContas,)+1,MATCH($B96,listaPeriodos,))</f>
        <v>85259612.234200001</v>
      </c>
      <c r="F96" s="18"/>
      <c r="G96" s="18"/>
      <c r="H96" s="18"/>
    </row>
    <row r="97" spans="1:8" x14ac:dyDescent="0.3">
      <c r="A97" t="s">
        <v>627</v>
      </c>
      <c r="B97" s="3">
        <f t="shared" si="2"/>
        <v>45778</v>
      </c>
      <c r="C97" s="3" t="str">
        <f>VLOOKUP(MONTH(Tabela1[[#This Row],[Periodo]]),NUMMESES,2,FALSE)</f>
        <v>Maio</v>
      </c>
      <c r="D97" s="2">
        <f>YEAR(Tabela1[[#This Row],[Periodo]])</f>
        <v>2025</v>
      </c>
      <c r="E97" s="18">
        <f>INDEX(TBBP[],MATCH("1.1",planoContas,)+1,MATCH($B97,listaPeriodos,))-INDEX(TBBP[],MATCH("2.1",planoContas,)+1,MATCH($B97,listaPeriodos,))</f>
        <v>86184255.471200004</v>
      </c>
      <c r="F97" s="18"/>
      <c r="G97" s="18"/>
      <c r="H97" s="18"/>
    </row>
    <row r="98" spans="1:8" x14ac:dyDescent="0.3">
      <c r="A98" t="s">
        <v>627</v>
      </c>
      <c r="B98" s="3">
        <f t="shared" si="2"/>
        <v>45809</v>
      </c>
      <c r="C98" s="3" t="str">
        <f>VLOOKUP(MONTH(Tabela1[[#This Row],[Periodo]]),NUMMESES,2,FALSE)</f>
        <v>Junho</v>
      </c>
      <c r="D98" s="2">
        <f>YEAR(Tabela1[[#This Row],[Periodo]])</f>
        <v>2025</v>
      </c>
      <c r="E98" s="18">
        <f>INDEX(TBBP[],MATCH("1.1",planoContas,)+1,MATCH($B98,listaPeriodos,))-INDEX(TBBP[],MATCH("2.1",planoContas,)+1,MATCH($B98,listaPeriodos,))</f>
        <v>86157791.308699995</v>
      </c>
      <c r="F98" s="18"/>
      <c r="G98" s="18"/>
      <c r="H98" s="18"/>
    </row>
    <row r="99" spans="1:8" x14ac:dyDescent="0.3">
      <c r="A99" t="s">
        <v>627</v>
      </c>
      <c r="B99" s="3">
        <f t="shared" si="2"/>
        <v>45839</v>
      </c>
      <c r="C99" s="3" t="str">
        <f>VLOOKUP(MONTH(Tabela1[[#This Row],[Periodo]]),NUMMESES,2,FALSE)</f>
        <v>Julho</v>
      </c>
      <c r="D99" s="2">
        <f>YEAR(Tabela1[[#This Row],[Periodo]])</f>
        <v>2025</v>
      </c>
      <c r="E99" s="18">
        <f>INDEX(TBBP[],MATCH("1.1",planoContas,)+1,MATCH($B99,listaPeriodos,))-INDEX(TBBP[],MATCH("2.1",planoContas,)+1,MATCH($B99,listaPeriodos,))</f>
        <v>90140827.354900002</v>
      </c>
      <c r="F99" s="18"/>
      <c r="G99" s="18"/>
      <c r="H99" s="18"/>
    </row>
    <row r="100" spans="1:8" x14ac:dyDescent="0.3">
      <c r="A100" t="s">
        <v>627</v>
      </c>
      <c r="B100" s="3">
        <f t="shared" si="2"/>
        <v>45870</v>
      </c>
      <c r="C100" s="3" t="str">
        <f>VLOOKUP(MONTH(Tabela1[[#This Row],[Periodo]]),NUMMESES,2,FALSE)</f>
        <v>Agosto</v>
      </c>
      <c r="D100" s="2">
        <f>YEAR(Tabela1[[#This Row],[Periodo]])</f>
        <v>2025</v>
      </c>
      <c r="E100" s="18">
        <f>INDEX(TBBP[],MATCH("1.1",planoContas,)+1,MATCH($B100,listaPeriodos,))-INDEX(TBBP[],MATCH("2.1",planoContas,)+1,MATCH($B100,listaPeriodos,))</f>
        <v>89947657.684900001</v>
      </c>
      <c r="F100" s="18"/>
      <c r="G100" s="18"/>
      <c r="H100" s="18"/>
    </row>
    <row r="101" spans="1:8" x14ac:dyDescent="0.3">
      <c r="A101" t="s">
        <v>627</v>
      </c>
      <c r="B101" s="3">
        <f t="shared" si="2"/>
        <v>45901</v>
      </c>
      <c r="C101" s="3" t="str">
        <f>VLOOKUP(MONTH(Tabela1[[#This Row],[Periodo]]),NUMMESES,2,FALSE)</f>
        <v>Setembro</v>
      </c>
      <c r="D101" s="2">
        <f>YEAR(Tabela1[[#This Row],[Periodo]])</f>
        <v>2025</v>
      </c>
      <c r="E101" s="18">
        <f>INDEX(TBBP[],MATCH("1.1",planoContas,)+1,MATCH($B101,listaPeriodos,))-INDEX(TBBP[],MATCH("2.1",planoContas,)+1,MATCH($B101,listaPeriodos,))</f>
        <v>88496587.191100001</v>
      </c>
      <c r="F101" s="18"/>
      <c r="G101" s="18"/>
      <c r="H101" s="18"/>
    </row>
    <row r="102" spans="1:8" x14ac:dyDescent="0.3">
      <c r="A102" t="s">
        <v>627</v>
      </c>
      <c r="B102" s="3">
        <f t="shared" si="2"/>
        <v>45931</v>
      </c>
      <c r="C102" s="3" t="str">
        <f>VLOOKUP(MONTH(Tabela1[[#This Row],[Periodo]]),NUMMESES,2,FALSE)</f>
        <v>Outubro</v>
      </c>
      <c r="D102" s="2">
        <f>YEAR(Tabela1[[#This Row],[Periodo]])</f>
        <v>2025</v>
      </c>
      <c r="E102" s="18">
        <f>INDEX(TBBP[],MATCH("1.1",planoContas,)+1,MATCH($B102,listaPeriodos,))-INDEX(TBBP[],MATCH("2.1",planoContas,)+1,MATCH($B102,listaPeriodos,))</f>
        <v>88368647.070700005</v>
      </c>
      <c r="F102" s="18"/>
      <c r="G102" s="18"/>
      <c r="H102" s="18"/>
    </row>
    <row r="103" spans="1:8" x14ac:dyDescent="0.3">
      <c r="A103" t="s">
        <v>627</v>
      </c>
      <c r="B103" s="3">
        <f t="shared" si="2"/>
        <v>45962</v>
      </c>
      <c r="C103" s="3" t="str">
        <f>VLOOKUP(MONTH(Tabela1[[#This Row],[Periodo]]),NUMMESES,2,FALSE)</f>
        <v>Novembro</v>
      </c>
      <c r="D103" s="2">
        <f>YEAR(Tabela1[[#This Row],[Periodo]])</f>
        <v>2025</v>
      </c>
      <c r="E103" s="18">
        <f>INDEX(TBBP[],MATCH("1.1",planoContas,)+1,MATCH($B103,listaPeriodos,))-INDEX(TBBP[],MATCH("2.1",planoContas,)+1,MATCH($B103,listaPeriodos,))</f>
        <v>89361492.396099985</v>
      </c>
      <c r="F103" s="18"/>
      <c r="G103" s="18"/>
      <c r="H103" s="18"/>
    </row>
    <row r="104" spans="1:8" x14ac:dyDescent="0.3">
      <c r="A104" t="s">
        <v>627</v>
      </c>
      <c r="B104" s="3">
        <f t="shared" si="2"/>
        <v>45992</v>
      </c>
      <c r="C104" s="3" t="str">
        <f>VLOOKUP(MONTH(Tabela1[[#This Row],[Periodo]]),NUMMESES,2,FALSE)</f>
        <v>Dezembro</v>
      </c>
      <c r="D104" s="2">
        <f>YEAR(Tabela1[[#This Row],[Periodo]])</f>
        <v>2025</v>
      </c>
      <c r="E104" s="18">
        <f>INDEX(TBBP[],MATCH("1.1",planoContas,)+1,MATCH($B104,listaPeriodos,))-INDEX(TBBP[],MATCH("2.1",planoContas,)+1,MATCH($B104,listaPeriodos,))</f>
        <v>83353180.229999989</v>
      </c>
      <c r="F104" s="18"/>
      <c r="G104" s="18"/>
      <c r="H104" s="18"/>
    </row>
    <row r="105" spans="1:8" x14ac:dyDescent="0.3">
      <c r="A105" t="s">
        <v>627</v>
      </c>
      <c r="B105" s="3">
        <f t="shared" si="2"/>
        <v>46023</v>
      </c>
      <c r="C105" s="3" t="str">
        <f>VLOOKUP(MONTH(Tabela1[[#This Row],[Periodo]]),NUMMESES,2,FALSE)</f>
        <v>Janeiro</v>
      </c>
      <c r="D105" s="2">
        <f>YEAR(Tabela1[[#This Row],[Periodo]])</f>
        <v>2026</v>
      </c>
      <c r="E105" s="18">
        <f>INDEX(TBBP[],MATCH("1.1",planoContas,)+1,MATCH($B105,listaPeriodos,))-INDEX(TBBP[],MATCH("2.1",planoContas,)+1,MATCH($B105,listaPeriodos,))</f>
        <v>83424271.479200006</v>
      </c>
      <c r="F105" s="18"/>
      <c r="G105" s="18"/>
      <c r="H105" s="18"/>
    </row>
    <row r="106" spans="1:8" x14ac:dyDescent="0.3">
      <c r="B106" s="3"/>
      <c r="C106" s="3"/>
      <c r="D106" s="2"/>
      <c r="E106" s="18"/>
      <c r="F106" s="18"/>
      <c r="G106" s="18"/>
      <c r="H106" s="18"/>
    </row>
    <row r="107" spans="1:8" x14ac:dyDescent="0.3">
      <c r="A107" t="s">
        <v>670</v>
      </c>
      <c r="B107" s="3">
        <v>43101</v>
      </c>
      <c r="C107" s="3" t="str">
        <f>VLOOKUP(MONTH(Tabela1[[#This Row],[Periodo]]),NUMMESES,2,FALSE)</f>
        <v>Janeiro</v>
      </c>
      <c r="D107" s="2">
        <f>YEAR(Tabela1[[#This Row],[Periodo]])</f>
        <v>2018</v>
      </c>
      <c r="E107" s="18">
        <v>3.1623999999999999</v>
      </c>
      <c r="F107" s="18"/>
      <c r="G107" s="18"/>
      <c r="H107" s="18"/>
    </row>
    <row r="108" spans="1:8" x14ac:dyDescent="0.3">
      <c r="A108" t="s">
        <v>670</v>
      </c>
      <c r="B108" s="3">
        <f t="shared" ref="B108:B203" si="3">DATE(YEAR(B107),MONTH(B107)+1,DAY(B107))</f>
        <v>43132</v>
      </c>
      <c r="C108" s="3" t="str">
        <f>VLOOKUP(MONTH(Tabela1[[#This Row],[Periodo]]),NUMMESES,2,FALSE)</f>
        <v>Fevereiro</v>
      </c>
      <c r="D108" s="2">
        <f>YEAR(Tabela1[[#This Row],[Periodo]])</f>
        <v>2018</v>
      </c>
      <c r="E108" s="18">
        <v>3.2448999999999999</v>
      </c>
      <c r="F108" s="18"/>
      <c r="G108" s="18"/>
      <c r="H108" s="18"/>
    </row>
    <row r="109" spans="1:8" x14ac:dyDescent="0.3">
      <c r="A109" t="s">
        <v>670</v>
      </c>
      <c r="B109" s="3">
        <f t="shared" si="3"/>
        <v>43160</v>
      </c>
      <c r="C109" s="3" t="str">
        <f>VLOOKUP(MONTH(Tabela1[[#This Row],[Periodo]]),NUMMESES,2,FALSE)</f>
        <v>Março</v>
      </c>
      <c r="D109" s="2">
        <f>YEAR(Tabela1[[#This Row],[Periodo]])</f>
        <v>2018</v>
      </c>
      <c r="E109" s="18">
        <v>3.3237999999999999</v>
      </c>
      <c r="F109" s="18"/>
      <c r="G109" s="18"/>
      <c r="H109" s="18"/>
    </row>
    <row r="110" spans="1:8" x14ac:dyDescent="0.3">
      <c r="A110" t="s">
        <v>670</v>
      </c>
      <c r="B110" s="3">
        <f>DATE(YEAR(B109),MONTH(B109)+1,DAY(B109))</f>
        <v>43191</v>
      </c>
      <c r="C110" s="3" t="str">
        <f>VLOOKUP(MONTH(Tabela1[[#This Row],[Periodo]]),NUMMESES,2,FALSE)</f>
        <v>Abril</v>
      </c>
      <c r="D110" s="2">
        <f>YEAR(Tabela1[[#This Row],[Periodo]])</f>
        <v>2018</v>
      </c>
      <c r="E110" s="18">
        <v>3.4811000000000001</v>
      </c>
      <c r="F110" s="18"/>
      <c r="G110" s="18"/>
      <c r="H110" s="18"/>
    </row>
    <row r="111" spans="1:8" x14ac:dyDescent="0.3">
      <c r="A111" t="s">
        <v>670</v>
      </c>
      <c r="B111" s="3">
        <f t="shared" si="3"/>
        <v>43221</v>
      </c>
      <c r="C111" s="3" t="str">
        <f>VLOOKUP(MONTH(Tabela1[[#This Row],[Periodo]]),NUMMESES,2,FALSE)</f>
        <v>Maio</v>
      </c>
      <c r="D111" s="2">
        <f>YEAR(Tabela1[[#This Row],[Periodo]])</f>
        <v>2018</v>
      </c>
      <c r="E111" s="18">
        <v>3.7370000000000001</v>
      </c>
      <c r="F111" s="18"/>
      <c r="G111" s="18"/>
      <c r="H111" s="18"/>
    </row>
    <row r="112" spans="1:8" x14ac:dyDescent="0.3">
      <c r="A112" t="s">
        <v>670</v>
      </c>
      <c r="B112" s="3">
        <f t="shared" si="3"/>
        <v>43252</v>
      </c>
      <c r="C112" s="3" t="str">
        <f>VLOOKUP(MONTH(Tabela1[[#This Row],[Periodo]]),NUMMESES,2,FALSE)</f>
        <v>Junho</v>
      </c>
      <c r="D112" s="2">
        <f>YEAR(Tabela1[[#This Row],[Periodo]])</f>
        <v>2018</v>
      </c>
      <c r="E112" s="18">
        <v>3.8557999999999999</v>
      </c>
      <c r="F112" s="18"/>
      <c r="G112" s="18"/>
      <c r="H112" s="18"/>
    </row>
    <row r="113" spans="1:8" x14ac:dyDescent="0.3">
      <c r="A113" t="s">
        <v>670</v>
      </c>
      <c r="B113" s="3">
        <f t="shared" si="3"/>
        <v>43282</v>
      </c>
      <c r="C113" s="3" t="str">
        <f>VLOOKUP(MONTH(Tabela1[[#This Row],[Periodo]]),NUMMESES,2,FALSE)</f>
        <v>Julho</v>
      </c>
      <c r="D113" s="2">
        <f>YEAR(Tabela1[[#This Row],[Periodo]])</f>
        <v>2018</v>
      </c>
      <c r="E113" s="18">
        <v>3.7543000000000002</v>
      </c>
      <c r="F113" s="18"/>
      <c r="G113" s="18"/>
      <c r="H113" s="18"/>
    </row>
    <row r="114" spans="1:8" x14ac:dyDescent="0.3">
      <c r="A114" t="s">
        <v>670</v>
      </c>
      <c r="B114" s="3">
        <f t="shared" si="3"/>
        <v>43313</v>
      </c>
      <c r="C114" s="3" t="str">
        <f>VLOOKUP(MONTH(Tabela1[[#This Row],[Periodo]]),NUMMESES,2,FALSE)</f>
        <v>Agosto</v>
      </c>
      <c r="D114" s="2">
        <f>YEAR(Tabela1[[#This Row],[Periodo]])</f>
        <v>2018</v>
      </c>
      <c r="E114" s="18">
        <v>4.1346999999999996</v>
      </c>
      <c r="F114" s="18"/>
      <c r="G114" s="18"/>
      <c r="H114" s="18"/>
    </row>
    <row r="115" spans="1:8" x14ac:dyDescent="0.3">
      <c r="A115" t="s">
        <v>670</v>
      </c>
      <c r="B115" s="3">
        <f t="shared" si="3"/>
        <v>43344</v>
      </c>
      <c r="C115" s="3" t="str">
        <f>VLOOKUP(MONTH(Tabela1[[#This Row],[Periodo]]),NUMMESES,2,FALSE)</f>
        <v>Setembro</v>
      </c>
      <c r="D115" s="2">
        <f>YEAR(Tabela1[[#This Row],[Periodo]])</f>
        <v>2018</v>
      </c>
      <c r="E115" s="18">
        <v>4.0033000000000003</v>
      </c>
      <c r="F115" s="18"/>
      <c r="G115" s="18"/>
      <c r="H115" s="18"/>
    </row>
    <row r="116" spans="1:8" x14ac:dyDescent="0.3">
      <c r="A116" t="s">
        <v>670</v>
      </c>
      <c r="B116" s="3">
        <f t="shared" si="3"/>
        <v>43374</v>
      </c>
      <c r="C116" s="3" t="str">
        <f>VLOOKUP(MONTH(Tabela1[[#This Row],[Periodo]]),NUMMESES,2,FALSE)</f>
        <v>Outubro</v>
      </c>
      <c r="D116" s="2">
        <f>YEAR(Tabela1[[#This Row],[Periodo]])</f>
        <v>2018</v>
      </c>
      <c r="E116" s="18">
        <v>3.7170999999999998</v>
      </c>
      <c r="F116" s="18"/>
      <c r="G116" s="18"/>
      <c r="H116" s="18"/>
    </row>
    <row r="117" spans="1:8" x14ac:dyDescent="0.3">
      <c r="A117" t="s">
        <v>670</v>
      </c>
      <c r="B117" s="3">
        <f t="shared" si="3"/>
        <v>43405</v>
      </c>
      <c r="C117" s="3" t="str">
        <f>VLOOKUP(MONTH(Tabela1[[#This Row],[Periodo]]),NUMMESES,2,FALSE)</f>
        <v>Novembro</v>
      </c>
      <c r="D117" s="2">
        <f>YEAR(Tabela1[[#This Row],[Periodo]])</f>
        <v>2018</v>
      </c>
      <c r="E117" s="18">
        <v>3.8626999999999998</v>
      </c>
      <c r="F117" s="18"/>
      <c r="G117" s="18"/>
      <c r="H117" s="18"/>
    </row>
    <row r="118" spans="1:8" x14ac:dyDescent="0.3">
      <c r="A118" t="s">
        <v>670</v>
      </c>
      <c r="B118" s="3">
        <f t="shared" si="3"/>
        <v>43435</v>
      </c>
      <c r="C118" s="3" t="str">
        <f>VLOOKUP(MONTH(Tabela1[[#This Row],[Periodo]]),NUMMESES,2,FALSE)</f>
        <v>Dezembro</v>
      </c>
      <c r="D118" s="2">
        <f>YEAR(Tabela1[[#This Row],[Periodo]])</f>
        <v>2018</v>
      </c>
      <c r="E118" s="18">
        <v>3.8742000000000001</v>
      </c>
      <c r="F118" s="18"/>
      <c r="G118" s="18"/>
      <c r="H118" s="18"/>
    </row>
    <row r="119" spans="1:8" x14ac:dyDescent="0.3">
      <c r="A119" t="s">
        <v>670</v>
      </c>
      <c r="B119" s="3">
        <f t="shared" si="3"/>
        <v>43466</v>
      </c>
      <c r="C119" s="3" t="str">
        <f>VLOOKUP(MONTH(Tabela1[[#This Row],[Periodo]]),NUMMESES,2,FALSE)</f>
        <v>Janeiro</v>
      </c>
      <c r="D119" s="2">
        <f>YEAR(Tabela1[[#This Row],[Periodo]])</f>
        <v>2019</v>
      </c>
      <c r="E119" s="18">
        <v>3.6513</v>
      </c>
      <c r="F119" s="18"/>
      <c r="G119" s="18"/>
      <c r="H119" s="18"/>
    </row>
    <row r="120" spans="1:8" x14ac:dyDescent="0.3">
      <c r="A120" t="s">
        <v>670</v>
      </c>
      <c r="B120" s="3">
        <f t="shared" si="3"/>
        <v>43497</v>
      </c>
      <c r="C120" s="3" t="str">
        <f>VLOOKUP(MONTH(Tabela1[[#This Row],[Periodo]]),NUMMESES,2,FALSE)</f>
        <v>Fevereiro</v>
      </c>
      <c r="D120" s="2">
        <f>YEAR(Tabela1[[#This Row],[Periodo]])</f>
        <v>2019</v>
      </c>
      <c r="E120" s="18">
        <v>3.7378999999999998</v>
      </c>
      <c r="F120" s="18"/>
      <c r="G120" s="18"/>
      <c r="H120" s="18"/>
    </row>
    <row r="121" spans="1:8" x14ac:dyDescent="0.3">
      <c r="A121" t="s">
        <v>670</v>
      </c>
      <c r="B121" s="3">
        <f t="shared" si="3"/>
        <v>43525</v>
      </c>
      <c r="C121" s="3" t="str">
        <f>VLOOKUP(MONTH(Tabela1[[#This Row],[Periodo]]),NUMMESES,2,FALSE)</f>
        <v>Março</v>
      </c>
      <c r="D121" s="2">
        <f>YEAR(Tabela1[[#This Row],[Periodo]])</f>
        <v>2019</v>
      </c>
      <c r="E121" s="18">
        <v>3.8961000000000001</v>
      </c>
      <c r="F121" s="18"/>
      <c r="G121" s="18"/>
      <c r="H121" s="18"/>
    </row>
    <row r="122" spans="1:8" x14ac:dyDescent="0.3">
      <c r="A122" t="s">
        <v>670</v>
      </c>
      <c r="B122" s="3">
        <f t="shared" si="3"/>
        <v>43556</v>
      </c>
      <c r="C122" s="3" t="str">
        <f>VLOOKUP(MONTH(Tabela1[[#This Row],[Periodo]]),NUMMESES,2,FALSE)</f>
        <v>Abril</v>
      </c>
      <c r="D122" s="2">
        <f>YEAR(Tabela1[[#This Row],[Periodo]])</f>
        <v>2019</v>
      </c>
      <c r="E122" s="18">
        <v>3.9447000000000001</v>
      </c>
      <c r="F122" s="18"/>
      <c r="G122" s="18"/>
      <c r="H122" s="18"/>
    </row>
    <row r="123" spans="1:8" x14ac:dyDescent="0.3">
      <c r="A123" t="s">
        <v>670</v>
      </c>
      <c r="B123" s="3">
        <f t="shared" si="3"/>
        <v>43586</v>
      </c>
      <c r="C123" s="3" t="str">
        <f>VLOOKUP(MONTH(Tabela1[[#This Row],[Periodo]]),NUMMESES,2,FALSE)</f>
        <v>Maio</v>
      </c>
      <c r="D123" s="2">
        <f>YEAR(Tabela1[[#This Row],[Periodo]])</f>
        <v>2019</v>
      </c>
      <c r="E123" s="18">
        <v>3.9401000000000002</v>
      </c>
      <c r="F123" s="18"/>
      <c r="G123" s="18"/>
      <c r="H123" s="18"/>
    </row>
    <row r="124" spans="1:8" x14ac:dyDescent="0.3">
      <c r="A124" t="s">
        <v>670</v>
      </c>
      <c r="B124" s="3">
        <f t="shared" si="3"/>
        <v>43617</v>
      </c>
      <c r="C124" s="3" t="str">
        <f>VLOOKUP(MONTH(Tabela1[[#This Row],[Periodo]]),NUMMESES,2,FALSE)</f>
        <v>Junho</v>
      </c>
      <c r="D124" s="2">
        <f>YEAR(Tabela1[[#This Row],[Periodo]])</f>
        <v>2019</v>
      </c>
      <c r="E124" s="18">
        <v>3.8315999999999999</v>
      </c>
      <c r="F124" s="18"/>
      <c r="G124" s="18"/>
      <c r="H124" s="18"/>
    </row>
    <row r="125" spans="1:8" x14ac:dyDescent="0.3">
      <c r="A125" t="s">
        <v>670</v>
      </c>
      <c r="B125" s="3">
        <f t="shared" si="3"/>
        <v>43647</v>
      </c>
      <c r="C125" s="3" t="str">
        <f>VLOOKUP(MONTH(Tabela1[[#This Row],[Periodo]]),NUMMESES,2,FALSE)</f>
        <v>Julho</v>
      </c>
      <c r="D125" s="2">
        <f>YEAR(Tabela1[[#This Row],[Periodo]])</f>
        <v>2019</v>
      </c>
      <c r="E125" s="18">
        <v>3.7643</v>
      </c>
      <c r="F125" s="18"/>
      <c r="G125" s="18"/>
      <c r="H125" s="18"/>
    </row>
    <row r="126" spans="1:8" x14ac:dyDescent="0.3">
      <c r="A126" t="s">
        <v>670</v>
      </c>
      <c r="B126" s="3">
        <f t="shared" si="3"/>
        <v>43678</v>
      </c>
      <c r="C126" s="3" t="str">
        <f>VLOOKUP(MONTH(Tabela1[[#This Row],[Periodo]]),NUMMESES,2,FALSE)</f>
        <v>Agosto</v>
      </c>
      <c r="D126" s="2">
        <f>YEAR(Tabela1[[#This Row],[Periodo]])</f>
        <v>2019</v>
      </c>
      <c r="E126" s="18">
        <v>4.1379000000000001</v>
      </c>
      <c r="F126" s="18"/>
      <c r="G126" s="18"/>
      <c r="H126" s="18"/>
    </row>
    <row r="127" spans="1:8" x14ac:dyDescent="0.3">
      <c r="A127" t="s">
        <v>670</v>
      </c>
      <c r="B127" s="3">
        <f t="shared" si="3"/>
        <v>43709</v>
      </c>
      <c r="C127" s="3" t="str">
        <f>VLOOKUP(MONTH(Tabela1[[#This Row],[Periodo]]),NUMMESES,2,FALSE)</f>
        <v>Setembro</v>
      </c>
      <c r="D127" s="2">
        <f>YEAR(Tabela1[[#This Row],[Periodo]])</f>
        <v>2019</v>
      </c>
      <c r="E127" s="18">
        <v>4.1638000000000002</v>
      </c>
      <c r="F127" s="18"/>
      <c r="G127" s="18"/>
      <c r="H127" s="18"/>
    </row>
    <row r="128" spans="1:8" x14ac:dyDescent="0.3">
      <c r="A128" t="s">
        <v>670</v>
      </c>
      <c r="B128" s="3">
        <f t="shared" si="3"/>
        <v>43739</v>
      </c>
      <c r="C128" s="3" t="str">
        <f>VLOOKUP(MONTH(Tabela1[[#This Row],[Periodo]]),NUMMESES,2,FALSE)</f>
        <v>Outubro</v>
      </c>
      <c r="D128" s="2">
        <f>YEAR(Tabela1[[#This Row],[Periodo]])</f>
        <v>2019</v>
      </c>
      <c r="E128" s="18">
        <v>4.0034999999999998</v>
      </c>
      <c r="F128" s="18"/>
      <c r="G128" s="18"/>
      <c r="H128" s="18"/>
    </row>
    <row r="129" spans="1:8" x14ac:dyDescent="0.3">
      <c r="A129" t="s">
        <v>670</v>
      </c>
      <c r="B129" s="3">
        <f t="shared" si="3"/>
        <v>43770</v>
      </c>
      <c r="C129" s="3" t="str">
        <f>VLOOKUP(MONTH(Tabela1[[#This Row],[Periodo]]),NUMMESES,2,FALSE)</f>
        <v>Novembro</v>
      </c>
      <c r="D129" s="2">
        <f>YEAR(Tabela1[[#This Row],[Periodo]])</f>
        <v>2019</v>
      </c>
      <c r="E129" s="18">
        <v>4.2233999999999998</v>
      </c>
      <c r="F129" s="18"/>
      <c r="G129" s="18"/>
      <c r="H129" s="18"/>
    </row>
    <row r="130" spans="1:8" x14ac:dyDescent="0.3">
      <c r="A130" t="s">
        <v>670</v>
      </c>
      <c r="B130" s="3">
        <f t="shared" si="3"/>
        <v>43800</v>
      </c>
      <c r="C130" s="3" t="str">
        <f>VLOOKUP(MONTH(Tabela1[[#This Row],[Periodo]]),NUMMESES,2,FALSE)</f>
        <v>Dezembro</v>
      </c>
      <c r="D130" s="2">
        <f>YEAR(Tabela1[[#This Row],[Periodo]])</f>
        <v>2019</v>
      </c>
      <c r="E130" s="18">
        <v>4.0301</v>
      </c>
      <c r="F130" s="18"/>
      <c r="G130" s="18"/>
      <c r="H130" s="18"/>
    </row>
    <row r="131" spans="1:8" x14ac:dyDescent="0.3">
      <c r="A131" t="s">
        <v>670</v>
      </c>
      <c r="B131" s="3">
        <f t="shared" si="3"/>
        <v>43831</v>
      </c>
      <c r="C131" s="3" t="str">
        <f>VLOOKUP(MONTH(Tabela1[[#This Row],[Periodo]]),NUMMESES,2,FALSE)</f>
        <v>Janeiro</v>
      </c>
      <c r="D131" s="2">
        <f>YEAR(Tabela1[[#This Row],[Periodo]])</f>
        <v>2020</v>
      </c>
      <c r="E131" s="18">
        <v>4.2689000000000004</v>
      </c>
      <c r="F131" s="18"/>
      <c r="G131" s="18"/>
      <c r="H131" s="18"/>
    </row>
    <row r="132" spans="1:8" x14ac:dyDescent="0.3">
      <c r="A132" t="s">
        <v>670</v>
      </c>
      <c r="B132" s="3">
        <f t="shared" si="3"/>
        <v>43862</v>
      </c>
      <c r="C132" s="3" t="str">
        <f>VLOOKUP(MONTH(Tabela1[[#This Row],[Periodo]]),NUMMESES,2,FALSE)</f>
        <v>Fevereiro</v>
      </c>
      <c r="D132" s="2">
        <f>YEAR(Tabela1[[#This Row],[Periodo]])</f>
        <v>2020</v>
      </c>
      <c r="E132" s="18">
        <v>4.4981</v>
      </c>
      <c r="F132" s="18"/>
      <c r="G132" s="18"/>
      <c r="H132" s="18"/>
    </row>
    <row r="133" spans="1:8" x14ac:dyDescent="0.3">
      <c r="A133" t="s">
        <v>670</v>
      </c>
      <c r="B133" s="3">
        <f t="shared" si="3"/>
        <v>43891</v>
      </c>
      <c r="C133" s="3" t="str">
        <f>VLOOKUP(MONTH(Tabela1[[#This Row],[Periodo]]),NUMMESES,2,FALSE)</f>
        <v>Março</v>
      </c>
      <c r="D133" s="2">
        <f>YEAR(Tabela1[[#This Row],[Periodo]])</f>
        <v>2020</v>
      </c>
      <c r="E133" s="18">
        <v>5.1981000000000002</v>
      </c>
      <c r="F133" s="18"/>
      <c r="G133" s="18"/>
      <c r="H133" s="18"/>
    </row>
    <row r="134" spans="1:8" x14ac:dyDescent="0.3">
      <c r="A134" t="s">
        <v>670</v>
      </c>
      <c r="B134" s="3">
        <f t="shared" si="3"/>
        <v>43922</v>
      </c>
      <c r="C134" s="3" t="str">
        <f>VLOOKUP(MONTH(Tabela1[[#This Row],[Periodo]]),NUMMESES,2,FALSE)</f>
        <v>Abril</v>
      </c>
      <c r="D134" s="2">
        <f>YEAR(Tabela1[[#This Row],[Periodo]])</f>
        <v>2020</v>
      </c>
      <c r="E134" s="18">
        <v>5.4264000000000001</v>
      </c>
      <c r="F134" s="18"/>
      <c r="G134" s="18"/>
      <c r="H134" s="18"/>
    </row>
    <row r="135" spans="1:8" x14ac:dyDescent="0.3">
      <c r="A135" t="s">
        <v>670</v>
      </c>
      <c r="B135" s="3">
        <f t="shared" si="3"/>
        <v>43952</v>
      </c>
      <c r="C135" s="3" t="str">
        <f>VLOOKUP(MONTH(Tabela1[[#This Row],[Periodo]]),NUMMESES,2,FALSE)</f>
        <v>Maio</v>
      </c>
      <c r="D135" s="2">
        <f>YEAR(Tabela1[[#This Row],[Periodo]])</f>
        <v>2020</v>
      </c>
      <c r="E135" s="18">
        <v>5.4257</v>
      </c>
      <c r="F135" s="18"/>
      <c r="G135" s="18"/>
      <c r="H135" s="18"/>
    </row>
    <row r="136" spans="1:8" x14ac:dyDescent="0.3">
      <c r="A136" t="s">
        <v>670</v>
      </c>
      <c r="B136" s="3">
        <f t="shared" si="3"/>
        <v>43983</v>
      </c>
      <c r="C136" s="3" t="str">
        <f>VLOOKUP(MONTH(Tabela1[[#This Row],[Periodo]]),NUMMESES,2,FALSE)</f>
        <v>Junho</v>
      </c>
      <c r="D136" s="2">
        <f>YEAR(Tabela1[[#This Row],[Periodo]])</f>
        <v>2020</v>
      </c>
      <c r="E136" s="18">
        <v>5.4753999999999996</v>
      </c>
      <c r="F136" s="18"/>
      <c r="G136" s="18"/>
      <c r="H136" s="18"/>
    </row>
    <row r="137" spans="1:8" x14ac:dyDescent="0.3">
      <c r="A137" t="s">
        <v>670</v>
      </c>
      <c r="B137" s="3">
        <f t="shared" si="3"/>
        <v>44013</v>
      </c>
      <c r="C137" s="3" t="str">
        <f>VLOOKUP(MONTH(Tabela1[[#This Row],[Periodo]]),NUMMESES,2,FALSE)</f>
        <v>Julho</v>
      </c>
      <c r="D137" s="2">
        <f>YEAR(Tabela1[[#This Row],[Periodo]])</f>
        <v>2020</v>
      </c>
      <c r="E137" s="18">
        <v>5.2027000000000001</v>
      </c>
      <c r="F137" s="18"/>
      <c r="G137" s="18"/>
      <c r="H137" s="18"/>
    </row>
    <row r="138" spans="1:8" x14ac:dyDescent="0.3">
      <c r="A138" t="s">
        <v>670</v>
      </c>
      <c r="B138" s="3">
        <f t="shared" si="3"/>
        <v>44044</v>
      </c>
      <c r="C138" s="3" t="str">
        <f>VLOOKUP(MONTH(Tabela1[[#This Row],[Periodo]]),NUMMESES,2,FALSE)</f>
        <v>Agosto</v>
      </c>
      <c r="D138" s="2">
        <f>YEAR(Tabela1[[#This Row],[Periodo]])</f>
        <v>2020</v>
      </c>
      <c r="E138" s="18">
        <v>5.4706999999999999</v>
      </c>
      <c r="F138" s="18"/>
      <c r="G138" s="18"/>
      <c r="H138" s="18"/>
    </row>
    <row r="139" spans="1:8" x14ac:dyDescent="0.3">
      <c r="A139" t="s">
        <v>670</v>
      </c>
      <c r="B139" s="3">
        <f t="shared" si="3"/>
        <v>44075</v>
      </c>
      <c r="C139" s="3" t="str">
        <f>VLOOKUP(MONTH(Tabela1[[#This Row],[Periodo]]),NUMMESES,2,FALSE)</f>
        <v>Setembro</v>
      </c>
      <c r="D139" s="2">
        <f>YEAR(Tabela1[[#This Row],[Periodo]])</f>
        <v>2020</v>
      </c>
      <c r="E139" s="18">
        <v>5.6401000000000003</v>
      </c>
      <c r="F139" s="18"/>
      <c r="G139" s="18"/>
      <c r="H139" s="18"/>
    </row>
    <row r="140" spans="1:8" x14ac:dyDescent="0.3">
      <c r="A140" t="s">
        <v>670</v>
      </c>
      <c r="B140" s="3">
        <f t="shared" si="3"/>
        <v>44105</v>
      </c>
      <c r="C140" s="3" t="str">
        <f>VLOOKUP(MONTH(Tabela1[[#This Row],[Periodo]]),NUMMESES,2,FALSE)</f>
        <v>Outubro</v>
      </c>
      <c r="D140" s="2">
        <f>YEAR(Tabela1[[#This Row],[Periodo]])</f>
        <v>2020</v>
      </c>
      <c r="E140" s="18">
        <v>5.7712000000000003</v>
      </c>
      <c r="F140" s="18"/>
      <c r="G140" s="18"/>
      <c r="H140" s="18"/>
    </row>
    <row r="141" spans="1:8" x14ac:dyDescent="0.3">
      <c r="A141" t="s">
        <v>670</v>
      </c>
      <c r="B141" s="3">
        <f t="shared" si="3"/>
        <v>44136</v>
      </c>
      <c r="C141" s="3" t="str">
        <f>VLOOKUP(MONTH(Tabela1[[#This Row],[Periodo]]),NUMMESES,2,FALSE)</f>
        <v>Novembro</v>
      </c>
      <c r="D141" s="2">
        <f>YEAR(Tabela1[[#This Row],[Periodo]])</f>
        <v>2020</v>
      </c>
      <c r="E141" s="18">
        <v>5.3311000000000002</v>
      </c>
      <c r="F141" s="18"/>
      <c r="G141" s="18"/>
      <c r="H141" s="18"/>
    </row>
    <row r="142" spans="1:8" x14ac:dyDescent="0.3">
      <c r="A142" t="s">
        <v>670</v>
      </c>
      <c r="B142" s="3">
        <f t="shared" si="3"/>
        <v>44166</v>
      </c>
      <c r="C142" s="3" t="str">
        <f>VLOOKUP(MONTH(Tabela1[[#This Row],[Periodo]]),NUMMESES,2,FALSE)</f>
        <v>Dezembro</v>
      </c>
      <c r="D142" s="2">
        <f>YEAR(Tabela1[[#This Row],[Periodo]])</f>
        <v>2020</v>
      </c>
      <c r="E142" s="18">
        <v>5.1961000000000004</v>
      </c>
      <c r="F142" s="18"/>
      <c r="G142" s="18"/>
      <c r="H142" s="18"/>
    </row>
    <row r="143" spans="1:8" x14ac:dyDescent="0.3">
      <c r="A143" t="s">
        <v>670</v>
      </c>
      <c r="B143" s="3">
        <f t="shared" si="3"/>
        <v>44197</v>
      </c>
      <c r="C143" s="3" t="str">
        <f>VLOOKUP(MONTH(Tabela1[[#This Row],[Periodo]]),NUMMESES,2,FALSE)</f>
        <v>Janeiro</v>
      </c>
      <c r="D143" s="2">
        <f>YEAR(Tabela1[[#This Row],[Periodo]])</f>
        <v>2021</v>
      </c>
      <c r="E143" s="18">
        <v>5.4752999999999998</v>
      </c>
      <c r="F143" s="18"/>
      <c r="G143" s="18"/>
      <c r="H143" s="18"/>
    </row>
    <row r="144" spans="1:8" x14ac:dyDescent="0.3">
      <c r="A144" t="s">
        <v>670</v>
      </c>
      <c r="B144" s="3">
        <f t="shared" si="3"/>
        <v>44228</v>
      </c>
      <c r="C144" s="3" t="str">
        <f>VLOOKUP(MONTH(Tabela1[[#This Row],[Periodo]]),NUMMESES,2,FALSE)</f>
        <v>Fevereiro</v>
      </c>
      <c r="D144" s="2">
        <f>YEAR(Tabela1[[#This Row],[Periodo]])</f>
        <v>2021</v>
      </c>
      <c r="E144" s="18">
        <v>5.5296000000000003</v>
      </c>
      <c r="F144" s="18"/>
      <c r="G144" s="18"/>
      <c r="H144" s="18"/>
    </row>
    <row r="145" spans="1:8" x14ac:dyDescent="0.3">
      <c r="A145" t="s">
        <v>670</v>
      </c>
      <c r="B145" s="3">
        <f t="shared" si="3"/>
        <v>44256</v>
      </c>
      <c r="C145" s="3" t="str">
        <f>VLOOKUP(MONTH(Tabela1[[#This Row],[Periodo]]),NUMMESES,2,FALSE)</f>
        <v>Março</v>
      </c>
      <c r="D145" s="2">
        <f>YEAR(Tabela1[[#This Row],[Periodo]])</f>
        <v>2021</v>
      </c>
      <c r="E145" s="18">
        <v>5.6966999999999999</v>
      </c>
      <c r="F145" s="18"/>
      <c r="G145" s="18"/>
      <c r="H145" s="18"/>
    </row>
    <row r="146" spans="1:8" x14ac:dyDescent="0.3">
      <c r="A146" t="s">
        <v>670</v>
      </c>
      <c r="B146" s="3">
        <f t="shared" si="3"/>
        <v>44287</v>
      </c>
      <c r="C146" s="3" t="str">
        <f>VLOOKUP(MONTH(Tabela1[[#This Row],[Periodo]]),NUMMESES,2,FALSE)</f>
        <v>Abril</v>
      </c>
      <c r="D146" s="2">
        <f>YEAR(Tabela1[[#This Row],[Periodo]])</f>
        <v>2021</v>
      </c>
      <c r="E146" s="18">
        <v>5.4029999999999996</v>
      </c>
      <c r="F146" s="18"/>
      <c r="G146" s="18"/>
      <c r="H146" s="18"/>
    </row>
    <row r="147" spans="1:8" x14ac:dyDescent="0.3">
      <c r="A147" t="s">
        <v>670</v>
      </c>
      <c r="B147" s="3">
        <f t="shared" si="3"/>
        <v>44317</v>
      </c>
      <c r="C147" s="3" t="str">
        <f>VLOOKUP(MONTH(Tabela1[[#This Row],[Periodo]]),NUMMESES,2,FALSE)</f>
        <v>Maio</v>
      </c>
      <c r="D147" s="2">
        <f>YEAR(Tabela1[[#This Row],[Periodo]])</f>
        <v>2021</v>
      </c>
      <c r="E147" s="18">
        <v>5.4029999999999996</v>
      </c>
      <c r="F147" s="18"/>
      <c r="G147" s="18"/>
      <c r="H147" s="18"/>
    </row>
    <row r="148" spans="1:8" x14ac:dyDescent="0.3">
      <c r="A148" t="s">
        <v>670</v>
      </c>
      <c r="B148" s="3">
        <f t="shared" si="3"/>
        <v>44348</v>
      </c>
      <c r="C148" s="3" t="str">
        <f>VLOOKUP(MONTH(Tabela1[[#This Row],[Periodo]]),NUMMESES,2,FALSE)</f>
        <v>Junho</v>
      </c>
      <c r="D148" s="2">
        <f>YEAR(Tabela1[[#This Row],[Periodo]])</f>
        <v>2021</v>
      </c>
      <c r="E148" s="18">
        <v>5.0015999999999998</v>
      </c>
      <c r="F148" s="18"/>
      <c r="G148" s="18"/>
      <c r="H148" s="18"/>
    </row>
    <row r="149" spans="1:8" x14ac:dyDescent="0.3">
      <c r="A149" t="s">
        <v>670</v>
      </c>
      <c r="B149" s="3">
        <f t="shared" si="3"/>
        <v>44378</v>
      </c>
      <c r="C149" s="3" t="str">
        <f>VLOOKUP(MONTH(Tabela1[[#This Row],[Periodo]]),NUMMESES,2,FALSE)</f>
        <v>Julho</v>
      </c>
      <c r="D149" s="2">
        <f>YEAR(Tabela1[[#This Row],[Periodo]])</f>
        <v>2021</v>
      </c>
      <c r="E149" s="18">
        <v>5.1210000000000004</v>
      </c>
      <c r="F149" s="18"/>
      <c r="G149" s="18"/>
      <c r="H149" s="18"/>
    </row>
    <row r="150" spans="1:8" x14ac:dyDescent="0.3">
      <c r="A150" t="s">
        <v>670</v>
      </c>
      <c r="B150" s="3">
        <f t="shared" si="3"/>
        <v>44409</v>
      </c>
      <c r="C150" s="3" t="str">
        <f>VLOOKUP(MONTH(Tabela1[[#This Row],[Periodo]]),NUMMESES,2,FALSE)</f>
        <v>Agosto</v>
      </c>
      <c r="D150" s="2">
        <f>YEAR(Tabela1[[#This Row],[Periodo]])</f>
        <v>2021</v>
      </c>
      <c r="E150" s="18">
        <v>5.1426999999999996</v>
      </c>
      <c r="F150" s="18"/>
      <c r="G150" s="18"/>
      <c r="H150" s="18"/>
    </row>
    <row r="151" spans="1:8" x14ac:dyDescent="0.3">
      <c r="A151" t="s">
        <v>670</v>
      </c>
      <c r="B151" s="3">
        <f t="shared" si="3"/>
        <v>44440</v>
      </c>
      <c r="C151" s="3" t="str">
        <f>VLOOKUP(MONTH(Tabela1[[#This Row],[Periodo]]),NUMMESES,2,FALSE)</f>
        <v>Setembro</v>
      </c>
      <c r="D151" s="2">
        <f>YEAR(Tabela1[[#This Row],[Periodo]])</f>
        <v>2021</v>
      </c>
      <c r="E151" s="18">
        <v>5.4387999999999996</v>
      </c>
      <c r="F151" s="18"/>
      <c r="G151" s="18"/>
      <c r="H151" s="18"/>
    </row>
    <row r="152" spans="1:8" x14ac:dyDescent="0.3">
      <c r="A152" t="s">
        <v>670</v>
      </c>
      <c r="B152" s="3">
        <f t="shared" si="3"/>
        <v>44470</v>
      </c>
      <c r="C152" s="3" t="str">
        <f>VLOOKUP(MONTH(Tabela1[[#This Row],[Periodo]]),NUMMESES,2,FALSE)</f>
        <v>Outubro</v>
      </c>
      <c r="D152" s="2">
        <f>YEAR(Tabela1[[#This Row],[Periodo]])</f>
        <v>2021</v>
      </c>
      <c r="E152" s="18">
        <v>5.6424000000000003</v>
      </c>
      <c r="F152" s="18"/>
      <c r="G152" s="18"/>
      <c r="H152" s="18"/>
    </row>
    <row r="153" spans="1:8" x14ac:dyDescent="0.3">
      <c r="A153" t="s">
        <v>670</v>
      </c>
      <c r="B153" s="3">
        <f t="shared" si="3"/>
        <v>44501</v>
      </c>
      <c r="C153" s="3" t="str">
        <f>VLOOKUP(MONTH(Tabela1[[#This Row],[Periodo]]),NUMMESES,2,FALSE)</f>
        <v>Novembro</v>
      </c>
      <c r="D153" s="2">
        <f>YEAR(Tabela1[[#This Row],[Periodo]])</f>
        <v>2021</v>
      </c>
      <c r="E153" s="18">
        <v>5.6193</v>
      </c>
      <c r="F153" s="18"/>
      <c r="G153" s="18"/>
      <c r="H153" s="18"/>
    </row>
    <row r="154" spans="1:8" x14ac:dyDescent="0.3">
      <c r="A154" t="s">
        <v>670</v>
      </c>
      <c r="B154" s="3">
        <f t="shared" si="3"/>
        <v>44531</v>
      </c>
      <c r="C154" s="3" t="str">
        <f>VLOOKUP(MONTH(Tabela1[[#This Row],[Periodo]]),NUMMESES,2,FALSE)</f>
        <v>Dezembro</v>
      </c>
      <c r="D154" s="2">
        <f>YEAR(Tabela1[[#This Row],[Periodo]])</f>
        <v>2021</v>
      </c>
      <c r="E154" s="18">
        <v>5.5799000000000003</v>
      </c>
      <c r="F154" s="18"/>
      <c r="G154" s="18"/>
      <c r="H154" s="18"/>
    </row>
    <row r="155" spans="1:8" x14ac:dyDescent="0.3">
      <c r="A155" t="s">
        <v>670</v>
      </c>
      <c r="B155" s="3">
        <f t="shared" si="3"/>
        <v>44562</v>
      </c>
      <c r="C155" s="3" t="str">
        <f>VLOOKUP(MONTH(Tabela1[[#This Row],[Periodo]]),NUMMESES,2,FALSE)</f>
        <v>Janeiro</v>
      </c>
      <c r="D155" s="2">
        <f>YEAR(Tabela1[[#This Row],[Periodo]])</f>
        <v>2022</v>
      </c>
      <c r="E155" s="18">
        <v>5.3574000000000002</v>
      </c>
      <c r="F155" s="18"/>
      <c r="G155" s="18"/>
      <c r="H155" s="18"/>
    </row>
    <row r="156" spans="1:8" x14ac:dyDescent="0.3">
      <c r="A156" t="s">
        <v>670</v>
      </c>
      <c r="B156" s="3">
        <f t="shared" si="3"/>
        <v>44593</v>
      </c>
      <c r="C156" s="3" t="str">
        <f>VLOOKUP(MONTH(Tabela1[[#This Row],[Periodo]]),NUMMESES,2,FALSE)</f>
        <v>Fevereiro</v>
      </c>
      <c r="D156" s="2">
        <f>YEAR(Tabela1[[#This Row],[Periodo]])</f>
        <v>2022</v>
      </c>
      <c r="E156" s="18">
        <v>5.1394000000000002</v>
      </c>
      <c r="F156" s="18"/>
      <c r="G156" s="18"/>
      <c r="H156" s="18"/>
    </row>
    <row r="157" spans="1:8" x14ac:dyDescent="0.3">
      <c r="A157" t="s">
        <v>670</v>
      </c>
      <c r="B157" s="3">
        <f t="shared" si="3"/>
        <v>44621</v>
      </c>
      <c r="C157" s="3" t="str">
        <f>VLOOKUP(MONTH(Tabela1[[#This Row],[Periodo]]),NUMMESES,2,FALSE)</f>
        <v>Março</v>
      </c>
      <c r="D157" s="2">
        <f>YEAR(Tabela1[[#This Row],[Periodo]])</f>
        <v>2022</v>
      </c>
      <c r="E157" s="18">
        <v>4.7378</v>
      </c>
      <c r="F157" s="18"/>
      <c r="G157" s="18"/>
      <c r="H157" s="18"/>
    </row>
    <row r="158" spans="1:8" x14ac:dyDescent="0.3">
      <c r="A158" t="s">
        <v>670</v>
      </c>
      <c r="B158" s="3">
        <f t="shared" si="3"/>
        <v>44652</v>
      </c>
      <c r="C158" s="3" t="str">
        <f>VLOOKUP(MONTH(Tabela1[[#This Row],[Periodo]]),NUMMESES,2,FALSE)</f>
        <v>Abril</v>
      </c>
      <c r="D158" s="2">
        <f>YEAR(Tabela1[[#This Row],[Periodo]])</f>
        <v>2022</v>
      </c>
      <c r="E158" s="18">
        <v>4.9191000000000003</v>
      </c>
      <c r="F158" s="18"/>
      <c r="G158" s="18"/>
      <c r="H158" s="18"/>
    </row>
    <row r="159" spans="1:8" x14ac:dyDescent="0.3">
      <c r="A159" t="s">
        <v>670</v>
      </c>
      <c r="B159" s="3">
        <f t="shared" si="3"/>
        <v>44682</v>
      </c>
      <c r="C159" s="3" t="str">
        <f>VLOOKUP(MONTH(Tabela1[[#This Row],[Periodo]]),NUMMESES,2,FALSE)</f>
        <v>Maio</v>
      </c>
      <c r="D159" s="2">
        <f>YEAR(Tabela1[[#This Row],[Periodo]])</f>
        <v>2022</v>
      </c>
      <c r="E159" s="18">
        <v>4.7289000000000003</v>
      </c>
      <c r="F159" s="18"/>
      <c r="G159" s="18"/>
      <c r="H159" s="18"/>
    </row>
    <row r="160" spans="1:8" x14ac:dyDescent="0.3">
      <c r="A160" t="s">
        <v>670</v>
      </c>
      <c r="B160" s="3">
        <f t="shared" si="3"/>
        <v>44713</v>
      </c>
      <c r="C160" s="3" t="str">
        <f>VLOOKUP(MONTH(Tabela1[[#This Row],[Periodo]]),NUMMESES,2,FALSE)</f>
        <v>Junho</v>
      </c>
      <c r="D160" s="2">
        <f>YEAR(Tabela1[[#This Row],[Periodo]])</f>
        <v>2022</v>
      </c>
      <c r="E160" s="18">
        <v>5.2374000000000001</v>
      </c>
      <c r="F160" s="18"/>
      <c r="G160" s="18"/>
      <c r="H160" s="18"/>
    </row>
    <row r="161" spans="1:8" x14ac:dyDescent="0.3">
      <c r="A161" t="s">
        <v>670</v>
      </c>
      <c r="B161" s="3">
        <f t="shared" si="3"/>
        <v>44743</v>
      </c>
      <c r="C161" s="3" t="str">
        <f>VLOOKUP(MONTH(Tabela1[[#This Row],[Periodo]]),NUMMESES,2,FALSE)</f>
        <v>Julho</v>
      </c>
      <c r="D161" s="2">
        <f>YEAR(Tabela1[[#This Row],[Periodo]])</f>
        <v>2022</v>
      </c>
      <c r="E161" s="18">
        <v>5.1878000000000002</v>
      </c>
      <c r="F161" s="18"/>
      <c r="G161" s="18"/>
      <c r="H161" s="18"/>
    </row>
    <row r="162" spans="1:8" x14ac:dyDescent="0.3">
      <c r="A162" t="s">
        <v>670</v>
      </c>
      <c r="B162" s="3">
        <f t="shared" si="3"/>
        <v>44774</v>
      </c>
      <c r="C162" s="3" t="str">
        <f>VLOOKUP(MONTH(Tabela1[[#This Row],[Periodo]]),NUMMESES,2,FALSE)</f>
        <v>Agosto</v>
      </c>
      <c r="D162" s="2">
        <f>YEAR(Tabela1[[#This Row],[Periodo]])</f>
        <v>2022</v>
      </c>
      <c r="E162" s="18">
        <v>5.1783999999999999</v>
      </c>
      <c r="F162" s="18"/>
      <c r="G162" s="18"/>
      <c r="H162" s="18"/>
    </row>
    <row r="163" spans="1:8" x14ac:dyDescent="0.3">
      <c r="A163" t="s">
        <v>670</v>
      </c>
      <c r="B163" s="3">
        <f t="shared" si="3"/>
        <v>44805</v>
      </c>
      <c r="C163" s="3" t="str">
        <f>VLOOKUP(MONTH(Tabela1[[#This Row],[Periodo]]),NUMMESES,2,FALSE)</f>
        <v>Setembro</v>
      </c>
      <c r="D163" s="2">
        <f>YEAR(Tabela1[[#This Row],[Periodo]])</f>
        <v>2022</v>
      </c>
      <c r="E163" s="18">
        <v>5.4059999999999997</v>
      </c>
      <c r="F163" s="18"/>
      <c r="G163" s="18"/>
      <c r="H163" s="18"/>
    </row>
    <row r="164" spans="1:8" x14ac:dyDescent="0.3">
      <c r="A164" t="s">
        <v>670</v>
      </c>
      <c r="B164" s="3">
        <f t="shared" si="3"/>
        <v>44835</v>
      </c>
      <c r="C164" s="3" t="str">
        <f>VLOOKUP(MONTH(Tabela1[[#This Row],[Periodo]]),NUMMESES,2,FALSE)</f>
        <v>Outubro</v>
      </c>
      <c r="D164" s="2">
        <f>YEAR(Tabela1[[#This Row],[Periodo]])</f>
        <v>2022</v>
      </c>
      <c r="E164" s="18">
        <v>5.2564000000000002</v>
      </c>
      <c r="F164" s="18"/>
      <c r="G164" s="18"/>
      <c r="H164" s="18"/>
    </row>
    <row r="165" spans="1:8" x14ac:dyDescent="0.3">
      <c r="A165" t="s">
        <v>670</v>
      </c>
      <c r="B165" s="3">
        <f t="shared" si="3"/>
        <v>44866</v>
      </c>
      <c r="C165" s="3" t="str">
        <f>VLOOKUP(MONTH(Tabela1[[#This Row],[Periodo]]),NUMMESES,2,FALSE)</f>
        <v>Novembro</v>
      </c>
      <c r="D165" s="2">
        <f>YEAR(Tabela1[[#This Row],[Periodo]])</f>
        <v>2022</v>
      </c>
      <c r="E165" s="18">
        <v>5.2941000000000003</v>
      </c>
      <c r="F165" s="18"/>
      <c r="G165" s="18"/>
      <c r="H165" s="18"/>
    </row>
    <row r="166" spans="1:8" x14ac:dyDescent="0.3">
      <c r="A166" t="s">
        <v>670</v>
      </c>
      <c r="B166" s="3">
        <f t="shared" si="3"/>
        <v>44896</v>
      </c>
      <c r="C166" s="3" t="str">
        <f>VLOOKUP(MONTH(Tabela1[[#This Row],[Periodo]]),NUMMESES,2,FALSE)</f>
        <v>Dezembro</v>
      </c>
      <c r="D166" s="2">
        <f>YEAR(Tabela1[[#This Row],[Periodo]])</f>
        <v>2022</v>
      </c>
      <c r="E166" s="18">
        <v>5.2176999999999998</v>
      </c>
      <c r="F166" s="18"/>
      <c r="G166" s="18"/>
      <c r="H166" s="18"/>
    </row>
    <row r="167" spans="1:8" x14ac:dyDescent="0.3">
      <c r="A167" t="s">
        <v>670</v>
      </c>
      <c r="B167" s="3">
        <f t="shared" si="3"/>
        <v>44927</v>
      </c>
      <c r="C167" s="3" t="str">
        <f>VLOOKUP(MONTH(Tabela1[[#This Row],[Periodo]]),NUMMESES,2,FALSE)</f>
        <v>Janeiro</v>
      </c>
      <c r="D167" s="2">
        <f>YEAR(Tabela1[[#This Row],[Periodo]])</f>
        <v>2023</v>
      </c>
      <c r="E167" s="18">
        <v>5.0993000000000004</v>
      </c>
      <c r="F167" s="18"/>
      <c r="G167" s="18"/>
      <c r="H167" s="18"/>
    </row>
    <row r="168" spans="1:8" x14ac:dyDescent="0.3">
      <c r="A168" t="s">
        <v>670</v>
      </c>
      <c r="B168" s="3">
        <f t="shared" si="3"/>
        <v>44958</v>
      </c>
      <c r="C168" s="3" t="str">
        <f>VLOOKUP(MONTH(Tabela1[[#This Row],[Periodo]]),NUMMESES,2,FALSE)</f>
        <v>Fevereiro</v>
      </c>
      <c r="D168" s="2">
        <f>YEAR(Tabela1[[#This Row],[Periodo]])</f>
        <v>2023</v>
      </c>
      <c r="E168" s="18">
        <v>5.2072000000000003</v>
      </c>
      <c r="F168" s="18"/>
      <c r="G168" s="18"/>
      <c r="H168" s="18"/>
    </row>
    <row r="169" spans="1:8" x14ac:dyDescent="0.3">
      <c r="A169" t="s">
        <v>670</v>
      </c>
      <c r="B169" s="3">
        <f t="shared" si="3"/>
        <v>44986</v>
      </c>
      <c r="C169" s="3" t="str">
        <f>VLOOKUP(MONTH(Tabela1[[#This Row],[Periodo]]),NUMMESES,2,FALSE)</f>
        <v>Março</v>
      </c>
      <c r="D169" s="2">
        <f>YEAR(Tabela1[[#This Row],[Periodo]])</f>
        <v>2023</v>
      </c>
      <c r="E169" s="18">
        <v>5.2072000000000003</v>
      </c>
      <c r="F169" s="18"/>
      <c r="G169" s="18"/>
      <c r="H169" s="18"/>
    </row>
    <row r="170" spans="1:8" x14ac:dyDescent="0.3">
      <c r="A170" t="s">
        <v>670</v>
      </c>
      <c r="B170" s="3">
        <f t="shared" si="3"/>
        <v>45017</v>
      </c>
      <c r="C170" s="3" t="str">
        <f>VLOOKUP(MONTH(Tabela1[[#This Row],[Periodo]]),NUMMESES,2,FALSE)</f>
        <v>Abril</v>
      </c>
      <c r="D170" s="2">
        <f>YEAR(Tabela1[[#This Row],[Periodo]])</f>
        <v>2023</v>
      </c>
      <c r="E170" s="18">
        <v>5</v>
      </c>
      <c r="F170" s="18"/>
      <c r="G170" s="18"/>
      <c r="H170" s="18"/>
    </row>
    <row r="171" spans="1:8" x14ac:dyDescent="0.3">
      <c r="A171" t="s">
        <v>670</v>
      </c>
      <c r="B171" s="3">
        <f t="shared" si="3"/>
        <v>45047</v>
      </c>
      <c r="C171" s="3" t="str">
        <f>VLOOKUP(MONTH(Tabela1[[#This Row],[Periodo]]),NUMMESES,2,FALSE)</f>
        <v>Maio</v>
      </c>
      <c r="D171" s="2">
        <f>YEAR(Tabela1[[#This Row],[Periodo]])</f>
        <v>2023</v>
      </c>
      <c r="E171" s="18">
        <v>5</v>
      </c>
      <c r="F171" s="18"/>
      <c r="G171" s="18"/>
      <c r="H171" s="18"/>
    </row>
    <row r="172" spans="1:8" x14ac:dyDescent="0.3">
      <c r="A172" t="s">
        <v>670</v>
      </c>
      <c r="B172" s="3">
        <f t="shared" si="3"/>
        <v>45078</v>
      </c>
      <c r="C172" s="3" t="str">
        <f>VLOOKUP(MONTH(Tabela1[[#This Row],[Periodo]]),NUMMESES,2,FALSE)</f>
        <v>Junho</v>
      </c>
      <c r="D172" s="2">
        <f>YEAR(Tabela1[[#This Row],[Periodo]])</f>
        <v>2023</v>
      </c>
      <c r="E172" s="18">
        <v>5</v>
      </c>
      <c r="F172" s="18"/>
      <c r="G172" s="18"/>
      <c r="H172" s="18"/>
    </row>
    <row r="173" spans="1:8" x14ac:dyDescent="0.3">
      <c r="A173" t="s">
        <v>670</v>
      </c>
      <c r="B173" s="3">
        <f t="shared" si="3"/>
        <v>45108</v>
      </c>
      <c r="C173" s="3" t="str">
        <f>VLOOKUP(MONTH(Tabela1[[#This Row],[Periodo]]),NUMMESES,2,FALSE)</f>
        <v>Julho</v>
      </c>
      <c r="D173" s="2">
        <f>YEAR(Tabela1[[#This Row],[Periodo]])</f>
        <v>2023</v>
      </c>
      <c r="E173" s="18">
        <v>5</v>
      </c>
      <c r="F173" s="18"/>
      <c r="G173" s="18"/>
      <c r="H173" s="18"/>
    </row>
    <row r="174" spans="1:8" x14ac:dyDescent="0.3">
      <c r="A174" t="s">
        <v>670</v>
      </c>
      <c r="B174" s="3">
        <f t="shared" si="3"/>
        <v>45139</v>
      </c>
      <c r="C174" s="3" t="str">
        <f>VLOOKUP(MONTH(Tabela1[[#This Row],[Periodo]]),NUMMESES,2,FALSE)</f>
        <v>Agosto</v>
      </c>
      <c r="D174" s="2">
        <f>YEAR(Tabela1[[#This Row],[Periodo]])</f>
        <v>2023</v>
      </c>
      <c r="E174" s="18">
        <v>5</v>
      </c>
      <c r="F174" s="18"/>
      <c r="G174" s="18"/>
      <c r="H174" s="18"/>
    </row>
    <row r="175" spans="1:8" x14ac:dyDescent="0.3">
      <c r="A175" t="s">
        <v>670</v>
      </c>
      <c r="B175" s="3">
        <f t="shared" si="3"/>
        <v>45170</v>
      </c>
      <c r="C175" s="3" t="str">
        <f>VLOOKUP(MONTH(Tabela1[[#This Row],[Periodo]]),NUMMESES,2,FALSE)</f>
        <v>Setembro</v>
      </c>
      <c r="D175" s="2">
        <f>YEAR(Tabela1[[#This Row],[Periodo]])</f>
        <v>2023</v>
      </c>
      <c r="E175" s="18">
        <v>5</v>
      </c>
      <c r="F175" s="18"/>
      <c r="G175" s="18"/>
      <c r="H175" s="18"/>
    </row>
    <row r="176" spans="1:8" x14ac:dyDescent="0.3">
      <c r="A176" t="s">
        <v>670</v>
      </c>
      <c r="B176" s="3">
        <f t="shared" si="3"/>
        <v>45200</v>
      </c>
      <c r="C176" s="3" t="str">
        <f>VLOOKUP(MONTH(Tabela1[[#This Row],[Periodo]]),NUMMESES,2,FALSE)</f>
        <v>Outubro</v>
      </c>
      <c r="D176" s="2">
        <f>YEAR(Tabela1[[#This Row],[Periodo]])</f>
        <v>2023</v>
      </c>
      <c r="E176" s="18">
        <v>5</v>
      </c>
      <c r="F176" s="18"/>
      <c r="G176" s="18"/>
      <c r="H176" s="18"/>
    </row>
    <row r="177" spans="1:8" x14ac:dyDescent="0.3">
      <c r="A177" t="s">
        <v>670</v>
      </c>
      <c r="B177" s="3">
        <f t="shared" si="3"/>
        <v>45231</v>
      </c>
      <c r="C177" s="3" t="str">
        <f>VLOOKUP(MONTH(Tabela1[[#This Row],[Periodo]]),NUMMESES,2,FALSE)</f>
        <v>Novembro</v>
      </c>
      <c r="D177" s="2">
        <f>YEAR(Tabela1[[#This Row],[Periodo]])</f>
        <v>2023</v>
      </c>
      <c r="E177" s="18">
        <v>5</v>
      </c>
      <c r="F177" s="18"/>
      <c r="G177" s="18"/>
      <c r="H177" s="18"/>
    </row>
    <row r="178" spans="1:8" x14ac:dyDescent="0.3">
      <c r="A178" t="s">
        <v>670</v>
      </c>
      <c r="B178" s="3">
        <f t="shared" si="3"/>
        <v>45261</v>
      </c>
      <c r="C178" s="3" t="str">
        <f>VLOOKUP(MONTH(Tabela1[[#This Row],[Periodo]]),NUMMESES,2,FALSE)</f>
        <v>Dezembro</v>
      </c>
      <c r="D178" s="2">
        <f>YEAR(Tabela1[[#This Row],[Periodo]])</f>
        <v>2023</v>
      </c>
      <c r="E178" s="18">
        <v>5</v>
      </c>
      <c r="F178" s="18"/>
      <c r="G178" s="18"/>
      <c r="H178" s="18"/>
    </row>
    <row r="179" spans="1:8" x14ac:dyDescent="0.3">
      <c r="A179" t="s">
        <v>670</v>
      </c>
      <c r="B179" s="3">
        <f t="shared" si="3"/>
        <v>45292</v>
      </c>
      <c r="C179" s="3" t="str">
        <f>VLOOKUP(MONTH(Tabela1[[#This Row],[Periodo]]),NUMMESES,2,FALSE)</f>
        <v>Janeiro</v>
      </c>
      <c r="D179" s="2">
        <f>YEAR(Tabela1[[#This Row],[Periodo]])</f>
        <v>2024</v>
      </c>
      <c r="E179" s="18">
        <v>5</v>
      </c>
      <c r="F179" s="18"/>
      <c r="G179" s="18"/>
      <c r="H179" s="18"/>
    </row>
    <row r="180" spans="1:8" x14ac:dyDescent="0.3">
      <c r="A180" t="s">
        <v>670</v>
      </c>
      <c r="B180" s="3">
        <f t="shared" si="3"/>
        <v>45323</v>
      </c>
      <c r="C180" s="3" t="str">
        <f>VLOOKUP(MONTH(Tabela1[[#This Row],[Periodo]]),NUMMESES,2,FALSE)</f>
        <v>Fevereiro</v>
      </c>
      <c r="D180" s="2">
        <f>YEAR(Tabela1[[#This Row],[Periodo]])</f>
        <v>2024</v>
      </c>
      <c r="E180" s="18">
        <v>5</v>
      </c>
      <c r="F180" s="18"/>
      <c r="G180" s="18"/>
      <c r="H180" s="18"/>
    </row>
    <row r="181" spans="1:8" x14ac:dyDescent="0.3">
      <c r="A181" t="s">
        <v>670</v>
      </c>
      <c r="B181" s="3">
        <f t="shared" si="3"/>
        <v>45352</v>
      </c>
      <c r="C181" s="3" t="str">
        <f>VLOOKUP(MONTH(Tabela1[[#This Row],[Periodo]]),NUMMESES,2,FALSE)</f>
        <v>Março</v>
      </c>
      <c r="D181" s="2">
        <f>YEAR(Tabela1[[#This Row],[Periodo]])</f>
        <v>2024</v>
      </c>
      <c r="E181" s="18">
        <v>5</v>
      </c>
      <c r="F181" s="18"/>
      <c r="G181" s="18"/>
      <c r="H181" s="18"/>
    </row>
    <row r="182" spans="1:8" x14ac:dyDescent="0.3">
      <c r="A182" t="s">
        <v>670</v>
      </c>
      <c r="B182" s="3">
        <f t="shared" si="3"/>
        <v>45383</v>
      </c>
      <c r="C182" s="3" t="str">
        <f>VLOOKUP(MONTH(Tabela1[[#This Row],[Periodo]]),NUMMESES,2,FALSE)</f>
        <v>Abril</v>
      </c>
      <c r="D182" s="2">
        <f>YEAR(Tabela1[[#This Row],[Periodo]])</f>
        <v>2024</v>
      </c>
      <c r="E182" s="18">
        <v>5</v>
      </c>
      <c r="F182" s="18"/>
      <c r="G182" s="18"/>
      <c r="H182" s="18"/>
    </row>
    <row r="183" spans="1:8" x14ac:dyDescent="0.3">
      <c r="A183" t="s">
        <v>670</v>
      </c>
      <c r="B183" s="3">
        <f t="shared" si="3"/>
        <v>45413</v>
      </c>
      <c r="C183" s="3" t="str">
        <f>VLOOKUP(MONTH(Tabela1[[#This Row],[Periodo]]),NUMMESES,2,FALSE)</f>
        <v>Maio</v>
      </c>
      <c r="D183" s="2">
        <f>YEAR(Tabela1[[#This Row],[Periodo]])</f>
        <v>2024</v>
      </c>
      <c r="E183" s="18">
        <v>5</v>
      </c>
      <c r="F183" s="18"/>
      <c r="G183" s="18"/>
      <c r="H183" s="18"/>
    </row>
    <row r="184" spans="1:8" x14ac:dyDescent="0.3">
      <c r="A184" t="s">
        <v>670</v>
      </c>
      <c r="B184" s="3">
        <f t="shared" si="3"/>
        <v>45444</v>
      </c>
      <c r="C184" s="3" t="str">
        <f>VLOOKUP(MONTH(Tabela1[[#This Row],[Periodo]]),NUMMESES,2,FALSE)</f>
        <v>Junho</v>
      </c>
      <c r="D184" s="2">
        <f>YEAR(Tabela1[[#This Row],[Periodo]])</f>
        <v>2024</v>
      </c>
      <c r="E184" s="18">
        <v>5</v>
      </c>
      <c r="F184" s="18"/>
      <c r="G184" s="18"/>
      <c r="H184" s="18"/>
    </row>
    <row r="185" spans="1:8" x14ac:dyDescent="0.3">
      <c r="A185" t="s">
        <v>670</v>
      </c>
      <c r="B185" s="3">
        <f t="shared" si="3"/>
        <v>45474</v>
      </c>
      <c r="C185" s="3" t="str">
        <f>VLOOKUP(MONTH(Tabela1[[#This Row],[Periodo]]),NUMMESES,2,FALSE)</f>
        <v>Julho</v>
      </c>
      <c r="D185" s="2">
        <f>YEAR(Tabela1[[#This Row],[Periodo]])</f>
        <v>2024</v>
      </c>
      <c r="E185" s="18">
        <v>5</v>
      </c>
      <c r="F185" s="18"/>
      <c r="G185" s="18"/>
      <c r="H185" s="18"/>
    </row>
    <row r="186" spans="1:8" x14ac:dyDescent="0.3">
      <c r="A186" t="s">
        <v>670</v>
      </c>
      <c r="B186" s="3">
        <f t="shared" si="3"/>
        <v>45505</v>
      </c>
      <c r="C186" s="3" t="str">
        <f>VLOOKUP(MONTH(Tabela1[[#This Row],[Periodo]]),NUMMESES,2,FALSE)</f>
        <v>Agosto</v>
      </c>
      <c r="D186" s="2">
        <f>YEAR(Tabela1[[#This Row],[Periodo]])</f>
        <v>2024</v>
      </c>
      <c r="E186" s="18">
        <v>5</v>
      </c>
      <c r="F186" s="18"/>
      <c r="G186" s="18"/>
      <c r="H186" s="18"/>
    </row>
    <row r="187" spans="1:8" x14ac:dyDescent="0.3">
      <c r="A187" t="s">
        <v>670</v>
      </c>
      <c r="B187" s="3">
        <f t="shared" si="3"/>
        <v>45536</v>
      </c>
      <c r="C187" s="3" t="str">
        <f>VLOOKUP(MONTH(Tabela1[[#This Row],[Periodo]]),NUMMESES,2,FALSE)</f>
        <v>Setembro</v>
      </c>
      <c r="D187" s="2">
        <f>YEAR(Tabela1[[#This Row],[Periodo]])</f>
        <v>2024</v>
      </c>
      <c r="E187" s="18">
        <v>5</v>
      </c>
      <c r="F187" s="18"/>
      <c r="G187" s="18"/>
      <c r="H187" s="18"/>
    </row>
    <row r="188" spans="1:8" x14ac:dyDescent="0.3">
      <c r="A188" t="s">
        <v>670</v>
      </c>
      <c r="B188" s="3">
        <f t="shared" si="3"/>
        <v>45566</v>
      </c>
      <c r="C188" s="3" t="str">
        <f>VLOOKUP(MONTH(Tabela1[[#This Row],[Periodo]]),NUMMESES,2,FALSE)</f>
        <v>Outubro</v>
      </c>
      <c r="D188" s="2">
        <f>YEAR(Tabela1[[#This Row],[Periodo]])</f>
        <v>2024</v>
      </c>
      <c r="E188" s="18">
        <v>5</v>
      </c>
      <c r="F188" s="18"/>
      <c r="G188" s="18"/>
      <c r="H188" s="18"/>
    </row>
    <row r="189" spans="1:8" x14ac:dyDescent="0.3">
      <c r="A189" t="s">
        <v>670</v>
      </c>
      <c r="B189" s="3">
        <f t="shared" si="3"/>
        <v>45597</v>
      </c>
      <c r="C189" s="3" t="str">
        <f>VLOOKUP(MONTH(Tabela1[[#This Row],[Periodo]]),NUMMESES,2,FALSE)</f>
        <v>Novembro</v>
      </c>
      <c r="D189" s="2">
        <f>YEAR(Tabela1[[#This Row],[Periodo]])</f>
        <v>2024</v>
      </c>
      <c r="E189" s="18">
        <v>5</v>
      </c>
      <c r="F189" s="18"/>
      <c r="G189" s="18"/>
      <c r="H189" s="18"/>
    </row>
    <row r="190" spans="1:8" x14ac:dyDescent="0.3">
      <c r="A190" t="s">
        <v>670</v>
      </c>
      <c r="B190" s="3">
        <f t="shared" si="3"/>
        <v>45627</v>
      </c>
      <c r="C190" s="3" t="str">
        <f>VLOOKUP(MONTH(Tabela1[[#This Row],[Periodo]]),NUMMESES,2,FALSE)</f>
        <v>Dezembro</v>
      </c>
      <c r="D190" s="2">
        <f>YEAR(Tabela1[[#This Row],[Periodo]])</f>
        <v>2024</v>
      </c>
      <c r="E190" s="18">
        <v>5</v>
      </c>
      <c r="F190" s="18"/>
      <c r="G190" s="18"/>
      <c r="H190" s="18"/>
    </row>
    <row r="191" spans="1:8" x14ac:dyDescent="0.3">
      <c r="A191" t="s">
        <v>670</v>
      </c>
      <c r="B191" s="3">
        <f t="shared" si="3"/>
        <v>45658</v>
      </c>
      <c r="C191" s="3" t="str">
        <f>VLOOKUP(MONTH(Tabela1[[#This Row],[Periodo]]),NUMMESES,2,FALSE)</f>
        <v>Janeiro</v>
      </c>
      <c r="D191" s="2">
        <f>YEAR(Tabela1[[#This Row],[Periodo]])</f>
        <v>2025</v>
      </c>
      <c r="E191" s="18">
        <v>5</v>
      </c>
      <c r="F191" s="18"/>
      <c r="G191" s="18"/>
      <c r="H191" s="18"/>
    </row>
    <row r="192" spans="1:8" x14ac:dyDescent="0.3">
      <c r="A192" t="s">
        <v>670</v>
      </c>
      <c r="B192" s="3">
        <f t="shared" si="3"/>
        <v>45689</v>
      </c>
      <c r="C192" s="3" t="str">
        <f>VLOOKUP(MONTH(Tabela1[[#This Row],[Periodo]]),NUMMESES,2,FALSE)</f>
        <v>Fevereiro</v>
      </c>
      <c r="D192" s="2">
        <f>YEAR(Tabela1[[#This Row],[Periodo]])</f>
        <v>2025</v>
      </c>
      <c r="E192" s="18">
        <v>5</v>
      </c>
      <c r="F192" s="18"/>
      <c r="G192" s="18"/>
      <c r="H192" s="18"/>
    </row>
    <row r="193" spans="1:8" x14ac:dyDescent="0.3">
      <c r="A193" t="s">
        <v>670</v>
      </c>
      <c r="B193" s="3">
        <f t="shared" si="3"/>
        <v>45717</v>
      </c>
      <c r="C193" s="3" t="str">
        <f>VLOOKUP(MONTH(Tabela1[[#This Row],[Periodo]]),NUMMESES,2,FALSE)</f>
        <v>Março</v>
      </c>
      <c r="D193" s="2">
        <f>YEAR(Tabela1[[#This Row],[Periodo]])</f>
        <v>2025</v>
      </c>
      <c r="E193" s="18">
        <v>5</v>
      </c>
      <c r="F193" s="18"/>
      <c r="G193" s="18"/>
      <c r="H193" s="18"/>
    </row>
    <row r="194" spans="1:8" x14ac:dyDescent="0.3">
      <c r="A194" t="s">
        <v>670</v>
      </c>
      <c r="B194" s="3">
        <f t="shared" si="3"/>
        <v>45748</v>
      </c>
      <c r="C194" s="3" t="str">
        <f>VLOOKUP(MONTH(Tabela1[[#This Row],[Periodo]]),NUMMESES,2,FALSE)</f>
        <v>Abril</v>
      </c>
      <c r="D194" s="2">
        <f>YEAR(Tabela1[[#This Row],[Periodo]])</f>
        <v>2025</v>
      </c>
      <c r="E194" s="18">
        <v>5</v>
      </c>
      <c r="F194" s="18"/>
      <c r="G194" s="18"/>
      <c r="H194" s="18"/>
    </row>
    <row r="195" spans="1:8" x14ac:dyDescent="0.3">
      <c r="A195" t="s">
        <v>670</v>
      </c>
      <c r="B195" s="3">
        <f t="shared" si="3"/>
        <v>45778</v>
      </c>
      <c r="C195" s="3" t="str">
        <f>VLOOKUP(MONTH(Tabela1[[#This Row],[Periodo]]),NUMMESES,2,FALSE)</f>
        <v>Maio</v>
      </c>
      <c r="D195" s="2">
        <f>YEAR(Tabela1[[#This Row],[Periodo]])</f>
        <v>2025</v>
      </c>
      <c r="E195" s="18">
        <v>5</v>
      </c>
      <c r="F195" s="18"/>
      <c r="G195" s="18"/>
      <c r="H195" s="18"/>
    </row>
    <row r="196" spans="1:8" x14ac:dyDescent="0.3">
      <c r="A196" t="s">
        <v>670</v>
      </c>
      <c r="B196" s="3">
        <f t="shared" si="3"/>
        <v>45809</v>
      </c>
      <c r="C196" s="3" t="str">
        <f>VLOOKUP(MONTH(Tabela1[[#This Row],[Periodo]]),NUMMESES,2,FALSE)</f>
        <v>Junho</v>
      </c>
      <c r="D196" s="2">
        <f>YEAR(Tabela1[[#This Row],[Periodo]])</f>
        <v>2025</v>
      </c>
      <c r="E196" s="18">
        <v>5</v>
      </c>
      <c r="F196" s="18"/>
      <c r="G196" s="18"/>
      <c r="H196" s="18"/>
    </row>
    <row r="197" spans="1:8" x14ac:dyDescent="0.3">
      <c r="A197" t="s">
        <v>670</v>
      </c>
      <c r="B197" s="3">
        <f t="shared" si="3"/>
        <v>45839</v>
      </c>
      <c r="C197" s="3" t="str">
        <f>VLOOKUP(MONTH(Tabela1[[#This Row],[Periodo]]),NUMMESES,2,FALSE)</f>
        <v>Julho</v>
      </c>
      <c r="D197" s="2">
        <f>YEAR(Tabela1[[#This Row],[Periodo]])</f>
        <v>2025</v>
      </c>
      <c r="E197" s="18">
        <v>5</v>
      </c>
      <c r="F197" s="18"/>
      <c r="G197" s="18"/>
      <c r="H197" s="18"/>
    </row>
    <row r="198" spans="1:8" x14ac:dyDescent="0.3">
      <c r="A198" t="s">
        <v>670</v>
      </c>
      <c r="B198" s="3">
        <f t="shared" si="3"/>
        <v>45870</v>
      </c>
      <c r="C198" s="3" t="str">
        <f>VLOOKUP(MONTH(Tabela1[[#This Row],[Periodo]]),NUMMESES,2,FALSE)</f>
        <v>Agosto</v>
      </c>
      <c r="D198" s="2">
        <f>YEAR(Tabela1[[#This Row],[Periodo]])</f>
        <v>2025</v>
      </c>
      <c r="E198" s="18">
        <v>5</v>
      </c>
      <c r="F198" s="18"/>
      <c r="G198" s="18"/>
      <c r="H198" s="18"/>
    </row>
    <row r="199" spans="1:8" x14ac:dyDescent="0.3">
      <c r="A199" t="s">
        <v>670</v>
      </c>
      <c r="B199" s="3">
        <f t="shared" si="3"/>
        <v>45901</v>
      </c>
      <c r="C199" s="3" t="str">
        <f>VLOOKUP(MONTH(Tabela1[[#This Row],[Periodo]]),NUMMESES,2,FALSE)</f>
        <v>Setembro</v>
      </c>
      <c r="D199" s="2">
        <f>YEAR(Tabela1[[#This Row],[Periodo]])</f>
        <v>2025</v>
      </c>
      <c r="E199" s="18">
        <v>5</v>
      </c>
      <c r="F199" s="18"/>
      <c r="G199" s="18"/>
      <c r="H199" s="18"/>
    </row>
    <row r="200" spans="1:8" x14ac:dyDescent="0.3">
      <c r="A200" t="s">
        <v>670</v>
      </c>
      <c r="B200" s="3">
        <f t="shared" si="3"/>
        <v>45931</v>
      </c>
      <c r="C200" s="3" t="str">
        <f>VLOOKUP(MONTH(Tabela1[[#This Row],[Periodo]]),NUMMESES,2,FALSE)</f>
        <v>Outubro</v>
      </c>
      <c r="D200" s="2">
        <f>YEAR(Tabela1[[#This Row],[Periodo]])</f>
        <v>2025</v>
      </c>
      <c r="E200" s="18">
        <v>5</v>
      </c>
      <c r="F200" s="18"/>
      <c r="G200" s="18"/>
      <c r="H200" s="18"/>
    </row>
    <row r="201" spans="1:8" x14ac:dyDescent="0.3">
      <c r="A201" t="s">
        <v>670</v>
      </c>
      <c r="B201" s="3">
        <f t="shared" si="3"/>
        <v>45962</v>
      </c>
      <c r="C201" s="3" t="str">
        <f>VLOOKUP(MONTH(Tabela1[[#This Row],[Periodo]]),NUMMESES,2,FALSE)</f>
        <v>Novembro</v>
      </c>
      <c r="D201" s="2">
        <f>YEAR(Tabela1[[#This Row],[Periodo]])</f>
        <v>2025</v>
      </c>
      <c r="E201" s="18">
        <v>5</v>
      </c>
      <c r="F201" s="18"/>
      <c r="G201" s="18"/>
      <c r="H201" s="18"/>
    </row>
    <row r="202" spans="1:8" x14ac:dyDescent="0.3">
      <c r="A202" t="s">
        <v>670</v>
      </c>
      <c r="B202" s="3">
        <f t="shared" si="3"/>
        <v>45992</v>
      </c>
      <c r="C202" s="3" t="str">
        <f>VLOOKUP(MONTH(Tabela1[[#This Row],[Periodo]]),NUMMESES,2,FALSE)</f>
        <v>Dezembro</v>
      </c>
      <c r="D202" s="2">
        <f>YEAR(Tabela1[[#This Row],[Periodo]])</f>
        <v>2025</v>
      </c>
      <c r="E202" s="18">
        <v>5</v>
      </c>
      <c r="F202" s="18"/>
      <c r="G202" s="18"/>
      <c r="H202" s="18"/>
    </row>
    <row r="203" spans="1:8" x14ac:dyDescent="0.3">
      <c r="A203" t="s">
        <v>670</v>
      </c>
      <c r="B203" s="3">
        <f t="shared" si="3"/>
        <v>46023</v>
      </c>
      <c r="C203" s="3" t="str">
        <f>VLOOKUP(MONTH(Tabela1[[#This Row],[Periodo]]),NUMMESES,2,FALSE)</f>
        <v>Janeiro</v>
      </c>
      <c r="D203" s="2">
        <f>YEAR(Tabela1[[#This Row],[Periodo]])</f>
        <v>2026</v>
      </c>
      <c r="E203" s="18">
        <v>5</v>
      </c>
      <c r="F203" s="18"/>
      <c r="G203" s="18"/>
      <c r="H203" s="18"/>
    </row>
    <row r="204" spans="1:8" x14ac:dyDescent="0.3">
      <c r="B204" s="3"/>
      <c r="C204" s="3"/>
      <c r="D204" s="2"/>
      <c r="E204" s="18"/>
      <c r="F204" s="18"/>
      <c r="G204" s="18"/>
      <c r="H204" s="18"/>
    </row>
    <row r="205" spans="1:8" x14ac:dyDescent="0.3">
      <c r="A205" t="s">
        <v>671</v>
      </c>
      <c r="B205" s="3">
        <v>43101</v>
      </c>
      <c r="C205" s="3" t="str">
        <f>VLOOKUP(MONTH(Tabela1[[#This Row],[Periodo]]),NUMMESES,2,FALSE)</f>
        <v>Janeiro</v>
      </c>
      <c r="D205" s="2">
        <f>YEAR(Tabela1[[#This Row],[Periodo]])</f>
        <v>2018</v>
      </c>
      <c r="E205" s="18">
        <v>3.9403999999999999</v>
      </c>
      <c r="F205" s="18"/>
      <c r="G205" s="18"/>
      <c r="H205" s="18"/>
    </row>
    <row r="206" spans="1:8" x14ac:dyDescent="0.3">
      <c r="A206" t="s">
        <v>671</v>
      </c>
      <c r="B206" s="3">
        <f t="shared" ref="B206:B301" si="4">DATE(YEAR(B205),MONTH(B205)+1,DAY(B205))</f>
        <v>43132</v>
      </c>
      <c r="C206" s="3" t="str">
        <f>VLOOKUP(MONTH(Tabela1[[#This Row],[Periodo]]),NUMMESES,2,FALSE)</f>
        <v>Fevereiro</v>
      </c>
      <c r="D206" s="2">
        <f>YEAR(Tabela1[[#This Row],[Periodo]])</f>
        <v>2018</v>
      </c>
      <c r="E206" s="18">
        <v>3.9584999999999999</v>
      </c>
      <c r="F206" s="18"/>
      <c r="G206" s="18"/>
      <c r="H206" s="18"/>
    </row>
    <row r="207" spans="1:8" x14ac:dyDescent="0.3">
      <c r="A207" t="s">
        <v>671</v>
      </c>
      <c r="B207" s="3">
        <f t="shared" si="4"/>
        <v>43160</v>
      </c>
      <c r="C207" s="3" t="str">
        <f>VLOOKUP(MONTH(Tabela1[[#This Row],[Periodo]]),NUMMESES,2,FALSE)</f>
        <v>Março</v>
      </c>
      <c r="D207" s="2">
        <f>YEAR(Tabela1[[#This Row],[Periodo]])</f>
        <v>2018</v>
      </c>
      <c r="E207" s="18">
        <v>4.085</v>
      </c>
      <c r="F207" s="18"/>
      <c r="G207" s="18"/>
      <c r="H207" s="18"/>
    </row>
    <row r="208" spans="1:8" x14ac:dyDescent="0.3">
      <c r="A208" t="s">
        <v>671</v>
      </c>
      <c r="B208" s="3">
        <f>DATE(YEAR(B207),MONTH(B207)+1,DAY(B207))</f>
        <v>43191</v>
      </c>
      <c r="C208" s="3" t="str">
        <f>VLOOKUP(MONTH(Tabela1[[#This Row],[Periodo]]),NUMMESES,2,FALSE)</f>
        <v>Abril</v>
      </c>
      <c r="D208" s="2">
        <f>YEAR(Tabela1[[#This Row],[Periodo]])</f>
        <v>2018</v>
      </c>
      <c r="E208" s="18">
        <v>4.2031000000000001</v>
      </c>
      <c r="F208" s="18"/>
      <c r="G208" s="18"/>
      <c r="H208" s="18"/>
    </row>
    <row r="209" spans="1:8" x14ac:dyDescent="0.3">
      <c r="A209" t="s">
        <v>671</v>
      </c>
      <c r="B209" s="3">
        <f t="shared" si="4"/>
        <v>43221</v>
      </c>
      <c r="C209" s="3" t="str">
        <f>VLOOKUP(MONTH(Tabela1[[#This Row],[Periodo]]),NUMMESES,2,FALSE)</f>
        <v>Maio</v>
      </c>
      <c r="D209" s="2">
        <f>YEAR(Tabela1[[#This Row],[Periodo]])</f>
        <v>2018</v>
      </c>
      <c r="E209" s="18">
        <v>4.3611000000000004</v>
      </c>
      <c r="F209" s="18"/>
      <c r="G209" s="18"/>
      <c r="H209" s="18"/>
    </row>
    <row r="210" spans="1:8" x14ac:dyDescent="0.3">
      <c r="A210" t="s">
        <v>671</v>
      </c>
      <c r="B210" s="3">
        <f t="shared" si="4"/>
        <v>43252</v>
      </c>
      <c r="C210" s="3" t="str">
        <f>VLOOKUP(MONTH(Tabela1[[#This Row],[Periodo]]),NUMMESES,2,FALSE)</f>
        <v>Junho</v>
      </c>
      <c r="D210" s="2">
        <f>YEAR(Tabela1[[#This Row],[Periodo]])</f>
        <v>2018</v>
      </c>
      <c r="E210" s="18">
        <v>4.5031999999999996</v>
      </c>
      <c r="F210" s="18"/>
      <c r="G210" s="18"/>
      <c r="H210" s="18"/>
    </row>
    <row r="211" spans="1:8" x14ac:dyDescent="0.3">
      <c r="A211" t="s">
        <v>671</v>
      </c>
      <c r="B211" s="3">
        <f t="shared" si="4"/>
        <v>43282</v>
      </c>
      <c r="C211" s="3" t="str">
        <f>VLOOKUP(MONTH(Tabela1[[#This Row],[Periodo]]),NUMMESES,2,FALSE)</f>
        <v>Julho</v>
      </c>
      <c r="D211" s="2">
        <f>YEAR(Tabela1[[#This Row],[Periodo]])</f>
        <v>2018</v>
      </c>
      <c r="E211" s="18">
        <v>4.3944000000000001</v>
      </c>
      <c r="F211" s="18"/>
      <c r="G211" s="18"/>
      <c r="H211" s="18"/>
    </row>
    <row r="212" spans="1:8" x14ac:dyDescent="0.3">
      <c r="A212" t="s">
        <v>671</v>
      </c>
      <c r="B212" s="3">
        <f t="shared" si="4"/>
        <v>43313</v>
      </c>
      <c r="C212" s="3" t="str">
        <f>VLOOKUP(MONTH(Tabela1[[#This Row],[Periodo]]),NUMMESES,2,FALSE)</f>
        <v>Agosto</v>
      </c>
      <c r="D212" s="2">
        <f>YEAR(Tabela1[[#This Row],[Periodo]])</f>
        <v>2018</v>
      </c>
      <c r="E212" s="18">
        <v>4.7942</v>
      </c>
      <c r="F212" s="18"/>
      <c r="G212" s="18"/>
      <c r="H212" s="18"/>
    </row>
    <row r="213" spans="1:8" x14ac:dyDescent="0.3">
      <c r="A213" t="s">
        <v>671</v>
      </c>
      <c r="B213" s="3">
        <f t="shared" si="4"/>
        <v>43344</v>
      </c>
      <c r="C213" s="3" t="str">
        <f>VLOOKUP(MONTH(Tabela1[[#This Row],[Periodo]]),NUMMESES,2,FALSE)</f>
        <v>Setembro</v>
      </c>
      <c r="D213" s="2">
        <f>YEAR(Tabela1[[#This Row],[Periodo]])</f>
        <v>2018</v>
      </c>
      <c r="E213" s="18">
        <v>4.7</v>
      </c>
      <c r="F213" s="18"/>
      <c r="G213" s="18"/>
      <c r="H213" s="18"/>
    </row>
    <row r="214" spans="1:8" x14ac:dyDescent="0.3">
      <c r="A214" t="s">
        <v>671</v>
      </c>
      <c r="B214" s="3">
        <f t="shared" si="4"/>
        <v>43374</v>
      </c>
      <c r="C214" s="3" t="str">
        <f>VLOOKUP(MONTH(Tabela1[[#This Row],[Periodo]]),NUMMESES,2,FALSE)</f>
        <v>Outubro</v>
      </c>
      <c r="D214" s="2">
        <f>YEAR(Tabela1[[#This Row],[Periodo]])</f>
        <v>2018</v>
      </c>
      <c r="E214" s="18">
        <v>4.2122000000000002</v>
      </c>
      <c r="F214" s="18"/>
      <c r="G214" s="18"/>
      <c r="H214" s="18"/>
    </row>
    <row r="215" spans="1:8" x14ac:dyDescent="0.3">
      <c r="A215" t="s">
        <v>671</v>
      </c>
      <c r="B215" s="3">
        <f t="shared" si="4"/>
        <v>43405</v>
      </c>
      <c r="C215" s="3" t="str">
        <f>VLOOKUP(MONTH(Tabela1[[#This Row],[Periodo]]),NUMMESES,2,FALSE)</f>
        <v>Novembro</v>
      </c>
      <c r="D215" s="2">
        <f>YEAR(Tabela1[[#This Row],[Periodo]])</f>
        <v>2018</v>
      </c>
      <c r="E215" s="18">
        <v>4.3788</v>
      </c>
      <c r="F215" s="18"/>
      <c r="G215" s="18"/>
      <c r="H215" s="18"/>
    </row>
    <row r="216" spans="1:8" x14ac:dyDescent="0.3">
      <c r="A216" t="s">
        <v>671</v>
      </c>
      <c r="B216" s="3">
        <f t="shared" si="4"/>
        <v>43435</v>
      </c>
      <c r="C216" s="3" t="str">
        <f>VLOOKUP(MONTH(Tabela1[[#This Row],[Periodo]]),NUMMESES,2,FALSE)</f>
        <v>Dezembro</v>
      </c>
      <c r="D216" s="2">
        <f>YEAR(Tabela1[[#This Row],[Periodo]])</f>
        <v>2018</v>
      </c>
      <c r="E216" s="18">
        <v>4.4375</v>
      </c>
      <c r="F216" s="18"/>
      <c r="G216" s="18"/>
      <c r="H216" s="18"/>
    </row>
    <row r="217" spans="1:8" x14ac:dyDescent="0.3">
      <c r="A217" t="s">
        <v>671</v>
      </c>
      <c r="B217" s="3">
        <f t="shared" si="4"/>
        <v>43466</v>
      </c>
      <c r="C217" s="3" t="str">
        <f>VLOOKUP(MONTH(Tabela1[[#This Row],[Periodo]]),NUMMESES,2,FALSE)</f>
        <v>Janeiro</v>
      </c>
      <c r="D217" s="2">
        <f>YEAR(Tabela1[[#This Row],[Periodo]])</f>
        <v>2019</v>
      </c>
      <c r="E217" s="18">
        <v>4.1901999999999999</v>
      </c>
      <c r="F217" s="18"/>
      <c r="G217" s="18"/>
      <c r="H217" s="18"/>
    </row>
    <row r="218" spans="1:8" x14ac:dyDescent="0.3">
      <c r="A218" t="s">
        <v>671</v>
      </c>
      <c r="B218" s="3">
        <f t="shared" si="4"/>
        <v>43497</v>
      </c>
      <c r="C218" s="3" t="str">
        <f>VLOOKUP(MONTH(Tabela1[[#This Row],[Periodo]]),NUMMESES,2,FALSE)</f>
        <v>Fevereiro</v>
      </c>
      <c r="D218" s="2">
        <f>YEAR(Tabela1[[#This Row],[Periodo]])</f>
        <v>2019</v>
      </c>
      <c r="E218" s="18">
        <v>4.2556000000000003</v>
      </c>
      <c r="F218" s="18"/>
      <c r="G218" s="18"/>
      <c r="H218" s="18"/>
    </row>
    <row r="219" spans="1:8" x14ac:dyDescent="0.3">
      <c r="A219" t="s">
        <v>671</v>
      </c>
      <c r="B219" s="3">
        <f t="shared" si="4"/>
        <v>43525</v>
      </c>
      <c r="C219" s="3" t="str">
        <f>VLOOKUP(MONTH(Tabela1[[#This Row],[Periodo]]),NUMMESES,2,FALSE)</f>
        <v>Março</v>
      </c>
      <c r="D219" s="2">
        <f>YEAR(Tabela1[[#This Row],[Periodo]])</f>
        <v>2019</v>
      </c>
      <c r="E219" s="18">
        <v>4.3738000000000001</v>
      </c>
      <c r="F219" s="18"/>
      <c r="G219" s="18"/>
      <c r="H219" s="18"/>
    </row>
    <row r="220" spans="1:8" x14ac:dyDescent="0.3">
      <c r="A220" t="s">
        <v>671</v>
      </c>
      <c r="B220" s="3">
        <f t="shared" si="4"/>
        <v>43556</v>
      </c>
      <c r="C220" s="3" t="str">
        <f>VLOOKUP(MONTH(Tabela1[[#This Row],[Periodo]]),NUMMESES,2,FALSE)</f>
        <v>Abril</v>
      </c>
      <c r="D220" s="2">
        <f>YEAR(Tabela1[[#This Row],[Periodo]])</f>
        <v>2019</v>
      </c>
      <c r="E220" s="18">
        <v>4.4177</v>
      </c>
      <c r="F220" s="18"/>
      <c r="G220" s="18"/>
      <c r="H220" s="18"/>
    </row>
    <row r="221" spans="1:8" x14ac:dyDescent="0.3">
      <c r="A221" t="s">
        <v>671</v>
      </c>
      <c r="B221" s="3">
        <f t="shared" si="4"/>
        <v>43586</v>
      </c>
      <c r="C221" s="3" t="str">
        <f>VLOOKUP(MONTH(Tabela1[[#This Row],[Periodo]]),NUMMESES,2,FALSE)</f>
        <v>Maio</v>
      </c>
      <c r="D221" s="2">
        <f>YEAR(Tabela1[[#This Row],[Periodo]])</f>
        <v>2019</v>
      </c>
      <c r="E221" s="18">
        <v>4.3924000000000003</v>
      </c>
      <c r="F221" s="18"/>
      <c r="G221" s="18"/>
      <c r="H221" s="18"/>
    </row>
    <row r="222" spans="1:8" x14ac:dyDescent="0.3">
      <c r="A222" t="s">
        <v>671</v>
      </c>
      <c r="B222" s="3">
        <f t="shared" si="4"/>
        <v>43617</v>
      </c>
      <c r="C222" s="3" t="str">
        <f>VLOOKUP(MONTH(Tabela1[[#This Row],[Periodo]]),NUMMESES,2,FALSE)</f>
        <v>Junho</v>
      </c>
      <c r="D222" s="2">
        <f>YEAR(Tabela1[[#This Row],[Periodo]])</f>
        <v>2019</v>
      </c>
      <c r="E222" s="18">
        <v>4.3577000000000004</v>
      </c>
      <c r="F222" s="18"/>
      <c r="G222" s="18"/>
      <c r="H222" s="18"/>
    </row>
    <row r="223" spans="1:8" x14ac:dyDescent="0.3">
      <c r="A223" t="s">
        <v>671</v>
      </c>
      <c r="B223" s="3">
        <f t="shared" si="4"/>
        <v>43647</v>
      </c>
      <c r="C223" s="3" t="str">
        <f>VLOOKUP(MONTH(Tabela1[[#This Row],[Periodo]]),NUMMESES,2,FALSE)</f>
        <v>Julho</v>
      </c>
      <c r="D223" s="2">
        <f>YEAR(Tabela1[[#This Row],[Periodo]])</f>
        <v>2019</v>
      </c>
      <c r="E223" s="18">
        <v>4.1893000000000002</v>
      </c>
      <c r="F223" s="18"/>
      <c r="G223" s="18"/>
      <c r="H223" s="18"/>
    </row>
    <row r="224" spans="1:8" x14ac:dyDescent="0.3">
      <c r="A224" t="s">
        <v>671</v>
      </c>
      <c r="B224" s="3">
        <f t="shared" si="4"/>
        <v>43678</v>
      </c>
      <c r="C224" s="3" t="str">
        <f>VLOOKUP(MONTH(Tabela1[[#This Row],[Periodo]]),NUMMESES,2,FALSE)</f>
        <v>Agosto</v>
      </c>
      <c r="D224" s="2">
        <f>YEAR(Tabela1[[#This Row],[Periodo]])</f>
        <v>2019</v>
      </c>
      <c r="E224" s="18">
        <v>4.5462999999999996</v>
      </c>
      <c r="F224" s="18"/>
      <c r="G224" s="18"/>
      <c r="H224" s="18"/>
    </row>
    <row r="225" spans="1:8" x14ac:dyDescent="0.3">
      <c r="A225" t="s">
        <v>671</v>
      </c>
      <c r="B225" s="3">
        <f t="shared" si="4"/>
        <v>43709</v>
      </c>
      <c r="C225" s="3" t="str">
        <f>VLOOKUP(MONTH(Tabela1[[#This Row],[Periodo]]),NUMMESES,2,FALSE)</f>
        <v>Setembro</v>
      </c>
      <c r="D225" s="2">
        <f>YEAR(Tabela1[[#This Row],[Periodo]])</f>
        <v>2019</v>
      </c>
      <c r="E225" s="18">
        <v>4.5401999999999996</v>
      </c>
      <c r="F225" s="18"/>
      <c r="G225" s="18"/>
      <c r="H225" s="18"/>
    </row>
    <row r="226" spans="1:8" x14ac:dyDescent="0.3">
      <c r="A226" t="s">
        <v>671</v>
      </c>
      <c r="B226" s="3">
        <f t="shared" si="4"/>
        <v>43739</v>
      </c>
      <c r="C226" s="3" t="str">
        <f>VLOOKUP(MONTH(Tabela1[[#This Row],[Periodo]]),NUMMESES,2,FALSE)</f>
        <v>Outubro</v>
      </c>
      <c r="D226" s="2">
        <f>YEAR(Tabela1[[#This Row],[Periodo]])</f>
        <v>2019</v>
      </c>
      <c r="E226" s="18">
        <v>4.4646999999999997</v>
      </c>
      <c r="F226" s="18"/>
      <c r="G226" s="18"/>
      <c r="H226" s="18"/>
    </row>
    <row r="227" spans="1:8" x14ac:dyDescent="0.3">
      <c r="A227" t="s">
        <v>671</v>
      </c>
      <c r="B227" s="3">
        <f t="shared" si="4"/>
        <v>43770</v>
      </c>
      <c r="C227" s="3" t="str">
        <f>VLOOKUP(MONTH(Tabela1[[#This Row],[Periodo]]),NUMMESES,2,FALSE)</f>
        <v>Novembro</v>
      </c>
      <c r="D227" s="2">
        <f>YEAR(Tabela1[[#This Row],[Periodo]])</f>
        <v>2019</v>
      </c>
      <c r="E227" s="18">
        <v>4.6566999999999998</v>
      </c>
      <c r="F227" s="18"/>
      <c r="G227" s="18"/>
      <c r="H227" s="18"/>
    </row>
    <row r="228" spans="1:8" x14ac:dyDescent="0.3">
      <c r="A228" t="s">
        <v>671</v>
      </c>
      <c r="B228" s="3">
        <f t="shared" si="4"/>
        <v>43800</v>
      </c>
      <c r="C228" s="3" t="str">
        <f>VLOOKUP(MONTH(Tabela1[[#This Row],[Periodo]]),NUMMESES,2,FALSE)</f>
        <v>Dezembro</v>
      </c>
      <c r="D228" s="2">
        <f>YEAR(Tabela1[[#This Row],[Periodo]])</f>
        <v>2019</v>
      </c>
      <c r="E228" s="18">
        <v>4.5289999999999999</v>
      </c>
      <c r="F228" s="18"/>
      <c r="G228" s="18"/>
      <c r="H228" s="18"/>
    </row>
    <row r="229" spans="1:8" x14ac:dyDescent="0.3">
      <c r="A229" t="s">
        <v>671</v>
      </c>
      <c r="B229" s="3">
        <f t="shared" si="4"/>
        <v>43831</v>
      </c>
      <c r="C229" s="3" t="str">
        <f>VLOOKUP(MONTH(Tabela1[[#This Row],[Periodo]]),NUMMESES,2,FALSE)</f>
        <v>Janeiro</v>
      </c>
      <c r="D229" s="2">
        <f>YEAR(Tabela1[[#This Row],[Periodo]])</f>
        <v>2020</v>
      </c>
      <c r="E229" s="18">
        <v>4.7290999999999999</v>
      </c>
      <c r="F229" s="18"/>
      <c r="G229" s="18"/>
      <c r="H229" s="18"/>
    </row>
    <row r="230" spans="1:8" x14ac:dyDescent="0.3">
      <c r="A230" t="s">
        <v>671</v>
      </c>
      <c r="B230" s="3">
        <f t="shared" si="4"/>
        <v>43862</v>
      </c>
      <c r="C230" s="3" t="str">
        <f>VLOOKUP(MONTH(Tabela1[[#This Row],[Periodo]]),NUMMESES,2,FALSE)</f>
        <v>Fevereiro</v>
      </c>
      <c r="D230" s="2">
        <f>YEAR(Tabela1[[#This Row],[Periodo]])</f>
        <v>2020</v>
      </c>
      <c r="E230" s="18">
        <v>4.9402999999999997</v>
      </c>
      <c r="F230" s="18"/>
      <c r="G230" s="18"/>
      <c r="H230" s="18"/>
    </row>
    <row r="231" spans="1:8" x14ac:dyDescent="0.3">
      <c r="A231" t="s">
        <v>671</v>
      </c>
      <c r="B231" s="3">
        <f t="shared" si="4"/>
        <v>43891</v>
      </c>
      <c r="C231" s="3" t="str">
        <f>VLOOKUP(MONTH(Tabela1[[#This Row],[Periodo]]),NUMMESES,2,FALSE)</f>
        <v>Março</v>
      </c>
      <c r="D231" s="2">
        <f>YEAR(Tabela1[[#This Row],[Periodo]])</f>
        <v>2020</v>
      </c>
      <c r="E231" s="18">
        <v>5.7247000000000003</v>
      </c>
      <c r="F231" s="18"/>
      <c r="G231" s="18"/>
      <c r="H231" s="18"/>
    </row>
    <row r="232" spans="1:8" x14ac:dyDescent="0.3">
      <c r="A232" t="s">
        <v>671</v>
      </c>
      <c r="B232" s="3">
        <f t="shared" si="4"/>
        <v>43922</v>
      </c>
      <c r="C232" s="3" t="str">
        <f>VLOOKUP(MONTH(Tabela1[[#This Row],[Periodo]]),NUMMESES,2,FALSE)</f>
        <v>Abril</v>
      </c>
      <c r="D232" s="2">
        <f>YEAR(Tabela1[[#This Row],[Periodo]])</f>
        <v>2020</v>
      </c>
      <c r="E232" s="18">
        <v>5.9316000000000004</v>
      </c>
      <c r="F232" s="18"/>
      <c r="G232" s="18"/>
      <c r="H232" s="18"/>
    </row>
    <row r="233" spans="1:8" x14ac:dyDescent="0.3">
      <c r="A233" t="s">
        <v>671</v>
      </c>
      <c r="B233" s="3">
        <f t="shared" si="4"/>
        <v>43952</v>
      </c>
      <c r="C233" s="3" t="str">
        <f>VLOOKUP(MONTH(Tabela1[[#This Row],[Periodo]]),NUMMESES,2,FALSE)</f>
        <v>Maio</v>
      </c>
      <c r="D233" s="2">
        <f>YEAR(Tabela1[[#This Row],[Periodo]])</f>
        <v>2020</v>
      </c>
      <c r="E233" s="18">
        <v>6.0258000000000003</v>
      </c>
      <c r="F233" s="18"/>
      <c r="G233" s="18"/>
      <c r="H233" s="18"/>
    </row>
    <row r="234" spans="1:8" x14ac:dyDescent="0.3">
      <c r="A234" t="s">
        <v>671</v>
      </c>
      <c r="B234" s="3">
        <f t="shared" si="4"/>
        <v>43983</v>
      </c>
      <c r="C234" s="3" t="str">
        <f>VLOOKUP(MONTH(Tabela1[[#This Row],[Periodo]]),NUMMESES,2,FALSE)</f>
        <v>Junho</v>
      </c>
      <c r="D234" s="2">
        <f>YEAR(Tabela1[[#This Row],[Periodo]])</f>
        <v>2020</v>
      </c>
      <c r="E234" s="18">
        <v>6.1521999999999997</v>
      </c>
      <c r="F234" s="18"/>
      <c r="G234" s="18"/>
      <c r="H234" s="18"/>
    </row>
    <row r="235" spans="1:8" x14ac:dyDescent="0.3">
      <c r="A235" t="s">
        <v>671</v>
      </c>
      <c r="B235" s="3">
        <f t="shared" si="4"/>
        <v>44013</v>
      </c>
      <c r="C235" s="3" t="str">
        <f>VLOOKUP(MONTH(Tabela1[[#This Row],[Periodo]]),NUMMESES,2,FALSE)</f>
        <v>Julho</v>
      </c>
      <c r="D235" s="2">
        <f>YEAR(Tabela1[[#This Row],[Periodo]])</f>
        <v>2020</v>
      </c>
      <c r="E235" s="18">
        <v>6.1490999999999998</v>
      </c>
      <c r="F235" s="18"/>
      <c r="G235" s="18"/>
      <c r="H235" s="18"/>
    </row>
    <row r="236" spans="1:8" x14ac:dyDescent="0.3">
      <c r="A236" t="s">
        <v>671</v>
      </c>
      <c r="B236" s="3">
        <f t="shared" si="4"/>
        <v>44044</v>
      </c>
      <c r="C236" s="3" t="str">
        <f>VLOOKUP(MONTH(Tabela1[[#This Row],[Periodo]]),NUMMESES,2,FALSE)</f>
        <v>Agosto</v>
      </c>
      <c r="D236" s="2">
        <f>YEAR(Tabela1[[#This Row],[Periodo]])</f>
        <v>2020</v>
      </c>
      <c r="E236" s="18">
        <v>6.5364000000000004</v>
      </c>
      <c r="F236" s="18"/>
      <c r="G236" s="18"/>
      <c r="H236" s="18"/>
    </row>
    <row r="237" spans="1:8" x14ac:dyDescent="0.3">
      <c r="A237" t="s">
        <v>671</v>
      </c>
      <c r="B237" s="3">
        <f t="shared" si="4"/>
        <v>44075</v>
      </c>
      <c r="C237" s="3" t="str">
        <f>VLOOKUP(MONTH(Tabela1[[#This Row],[Periodo]]),NUMMESES,2,FALSE)</f>
        <v>Setembro</v>
      </c>
      <c r="D237" s="2">
        <f>YEAR(Tabela1[[#This Row],[Periodo]])</f>
        <v>2020</v>
      </c>
      <c r="E237" s="18">
        <v>6.6101999999999999</v>
      </c>
      <c r="F237" s="18"/>
      <c r="G237" s="18"/>
      <c r="H237" s="18"/>
    </row>
    <row r="238" spans="1:8" x14ac:dyDescent="0.3">
      <c r="A238" t="s">
        <v>671</v>
      </c>
      <c r="B238" s="3">
        <f t="shared" si="4"/>
        <v>44105</v>
      </c>
      <c r="C238" s="3" t="str">
        <f>VLOOKUP(MONTH(Tabela1[[#This Row],[Periodo]]),NUMMESES,2,FALSE)</f>
        <v>Outubro</v>
      </c>
      <c r="D238" s="2">
        <f>YEAR(Tabela1[[#This Row],[Periodo]])</f>
        <v>2020</v>
      </c>
      <c r="E238" s="18">
        <v>6.7210999999999999</v>
      </c>
      <c r="F238" s="18"/>
      <c r="G238" s="18"/>
      <c r="H238" s="18"/>
    </row>
    <row r="239" spans="1:8" x14ac:dyDescent="0.3">
      <c r="A239" t="s">
        <v>671</v>
      </c>
      <c r="B239" s="3">
        <f t="shared" si="4"/>
        <v>44136</v>
      </c>
      <c r="C239" s="3" t="str">
        <f>VLOOKUP(MONTH(Tabela1[[#This Row],[Periodo]]),NUMMESES,2,FALSE)</f>
        <v>Novembro</v>
      </c>
      <c r="D239" s="2">
        <f>YEAR(Tabela1[[#This Row],[Periodo]])</f>
        <v>2020</v>
      </c>
      <c r="E239" s="18">
        <v>6.3799000000000001</v>
      </c>
      <c r="F239" s="18"/>
      <c r="G239" s="18"/>
      <c r="H239" s="18"/>
    </row>
    <row r="240" spans="1:8" x14ac:dyDescent="0.3">
      <c r="A240" t="s">
        <v>671</v>
      </c>
      <c r="B240" s="3">
        <f t="shared" si="4"/>
        <v>44166</v>
      </c>
      <c r="C240" s="3" t="str">
        <f>VLOOKUP(MONTH(Tabela1[[#This Row],[Periodo]]),NUMMESES,2,FALSE)</f>
        <v>Dezembro</v>
      </c>
      <c r="D240" s="2">
        <f>YEAR(Tabela1[[#This Row],[Periodo]])</f>
        <v>2020</v>
      </c>
      <c r="E240" s="18">
        <v>6.3756000000000004</v>
      </c>
      <c r="F240" s="18"/>
      <c r="G240" s="18"/>
      <c r="H240" s="18"/>
    </row>
    <row r="241" spans="1:8" x14ac:dyDescent="0.3">
      <c r="A241" t="s">
        <v>671</v>
      </c>
      <c r="B241" s="3">
        <f t="shared" si="4"/>
        <v>44197</v>
      </c>
      <c r="C241" s="3" t="str">
        <f>VLOOKUP(MONTH(Tabela1[[#This Row],[Periodo]]),NUMMESES,2,FALSE)</f>
        <v>Janeiro</v>
      </c>
      <c r="D241" s="2">
        <f>YEAR(Tabela1[[#This Row],[Periodo]])</f>
        <v>2021</v>
      </c>
      <c r="E241" s="18">
        <v>6.6519000000000004</v>
      </c>
      <c r="F241" s="18"/>
      <c r="G241" s="18"/>
      <c r="H241" s="18"/>
    </row>
    <row r="242" spans="1:8" x14ac:dyDescent="0.3">
      <c r="A242" t="s">
        <v>671</v>
      </c>
      <c r="B242" s="3">
        <f t="shared" si="4"/>
        <v>44228</v>
      </c>
      <c r="C242" s="3" t="str">
        <f>VLOOKUP(MONTH(Tabela1[[#This Row],[Periodo]]),NUMMESES,2,FALSE)</f>
        <v>Fevereiro</v>
      </c>
      <c r="D242" s="2">
        <f>YEAR(Tabela1[[#This Row],[Periodo]])</f>
        <v>2021</v>
      </c>
      <c r="E242" s="18">
        <v>6.7112999999999996</v>
      </c>
      <c r="F242" s="18"/>
      <c r="G242" s="18"/>
      <c r="H242" s="18"/>
    </row>
    <row r="243" spans="1:8" x14ac:dyDescent="0.3">
      <c r="A243" t="s">
        <v>671</v>
      </c>
      <c r="B243" s="3">
        <f>DATE(YEAR(B242),MONTH(B242)+1,DAY(B242))</f>
        <v>44256</v>
      </c>
      <c r="C243" s="3" t="str">
        <f>VLOOKUP(MONTH(Tabela1[[#This Row],[Periodo]]),NUMMESES,2,FALSE)</f>
        <v>Março</v>
      </c>
      <c r="D243" s="2">
        <f>YEAR(Tabela1[[#This Row],[Periodo]])</f>
        <v>2021</v>
      </c>
      <c r="E243" s="18">
        <v>6.6885000000000003</v>
      </c>
      <c r="F243" s="18"/>
      <c r="G243" s="18"/>
      <c r="H243" s="18"/>
    </row>
    <row r="244" spans="1:8" x14ac:dyDescent="0.3">
      <c r="A244" t="s">
        <v>671</v>
      </c>
      <c r="B244" s="3">
        <f t="shared" si="4"/>
        <v>44287</v>
      </c>
      <c r="C244" s="3" t="str">
        <f>VLOOKUP(MONTH(Tabela1[[#This Row],[Periodo]]),NUMMESES,2,FALSE)</f>
        <v>Abril</v>
      </c>
      <c r="D244" s="2">
        <f>YEAR(Tabela1[[#This Row],[Periodo]])</f>
        <v>2021</v>
      </c>
      <c r="E244" s="18">
        <v>6.4992999999999999</v>
      </c>
      <c r="F244" s="18"/>
      <c r="G244" s="18"/>
      <c r="H244" s="18"/>
    </row>
    <row r="245" spans="1:8" x14ac:dyDescent="0.3">
      <c r="A245" t="s">
        <v>671</v>
      </c>
      <c r="B245" s="3">
        <f t="shared" si="4"/>
        <v>44317</v>
      </c>
      <c r="C245" s="3" t="str">
        <f>VLOOKUP(MONTH(Tabela1[[#This Row],[Periodo]]),NUMMESES,2,FALSE)</f>
        <v>Maio</v>
      </c>
      <c r="D245" s="2">
        <f>YEAR(Tabela1[[#This Row],[Periodo]])</f>
        <v>2021</v>
      </c>
      <c r="E245" s="18">
        <v>6.4992999999999999</v>
      </c>
      <c r="F245" s="18"/>
      <c r="G245" s="18"/>
      <c r="H245" s="18"/>
    </row>
    <row r="246" spans="1:8" x14ac:dyDescent="0.3">
      <c r="A246" t="s">
        <v>671</v>
      </c>
      <c r="B246" s="3">
        <f t="shared" si="4"/>
        <v>44348</v>
      </c>
      <c r="C246" s="3" t="str">
        <f>VLOOKUP(MONTH(Tabela1[[#This Row],[Periodo]]),NUMMESES,2,FALSE)</f>
        <v>Junho</v>
      </c>
      <c r="D246" s="2">
        <f>YEAR(Tabela1[[#This Row],[Periodo]])</f>
        <v>2021</v>
      </c>
      <c r="E246" s="18">
        <v>5.9249000000000001</v>
      </c>
      <c r="F246" s="18"/>
      <c r="G246" s="18"/>
      <c r="H246" s="18"/>
    </row>
    <row r="247" spans="1:8" x14ac:dyDescent="0.3">
      <c r="A247" t="s">
        <v>671</v>
      </c>
      <c r="B247" s="3">
        <f t="shared" si="4"/>
        <v>44378</v>
      </c>
      <c r="C247" s="3" t="str">
        <f>VLOOKUP(MONTH(Tabela1[[#This Row],[Periodo]]),NUMMESES,2,FALSE)</f>
        <v>Julho</v>
      </c>
      <c r="D247" s="2">
        <f>YEAR(Tabela1[[#This Row],[Periodo]])</f>
        <v>2021</v>
      </c>
      <c r="E247" s="18">
        <v>6.0755999999999997</v>
      </c>
      <c r="F247" s="18"/>
      <c r="G247" s="18"/>
      <c r="H247" s="18"/>
    </row>
    <row r="248" spans="1:8" x14ac:dyDescent="0.3">
      <c r="A248" t="s">
        <v>671</v>
      </c>
      <c r="B248" s="3">
        <f t="shared" si="4"/>
        <v>44409</v>
      </c>
      <c r="C248" s="3" t="str">
        <f>VLOOKUP(MONTH(Tabela1[[#This Row],[Periodo]]),NUMMESES,2,FALSE)</f>
        <v>Agosto</v>
      </c>
      <c r="D248" s="2">
        <f>YEAR(Tabela1[[#This Row],[Periodo]])</f>
        <v>2021</v>
      </c>
      <c r="E248" s="18">
        <v>6.0674000000000001</v>
      </c>
      <c r="F248" s="18"/>
      <c r="G248" s="18"/>
      <c r="H248" s="18"/>
    </row>
    <row r="249" spans="1:8" x14ac:dyDescent="0.3">
      <c r="A249" t="s">
        <v>671</v>
      </c>
      <c r="B249" s="3">
        <f t="shared" si="4"/>
        <v>44440</v>
      </c>
      <c r="C249" s="3" t="str">
        <f>VLOOKUP(MONTH(Tabela1[[#This Row],[Periodo]]),NUMMESES,2,FALSE)</f>
        <v>Setembro</v>
      </c>
      <c r="D249" s="2">
        <f>YEAR(Tabela1[[#This Row],[Periodo]])</f>
        <v>2021</v>
      </c>
      <c r="E249" s="18">
        <v>6.2953999999999999</v>
      </c>
      <c r="F249" s="18"/>
      <c r="G249" s="18"/>
      <c r="H249" s="18"/>
    </row>
    <row r="250" spans="1:8" x14ac:dyDescent="0.3">
      <c r="A250" t="s">
        <v>671</v>
      </c>
      <c r="B250" s="3">
        <f t="shared" si="4"/>
        <v>44470</v>
      </c>
      <c r="C250" s="3" t="str">
        <f>VLOOKUP(MONTH(Tabela1[[#This Row],[Periodo]]),NUMMESES,2,FALSE)</f>
        <v>Outubro</v>
      </c>
      <c r="D250" s="2">
        <f>YEAR(Tabela1[[#This Row],[Periodo]])</f>
        <v>2021</v>
      </c>
      <c r="E250" s="18">
        <v>6.5164</v>
      </c>
      <c r="F250" s="18"/>
      <c r="G250" s="18"/>
      <c r="H250" s="18"/>
    </row>
    <row r="251" spans="1:8" x14ac:dyDescent="0.3">
      <c r="A251" t="s">
        <v>671</v>
      </c>
      <c r="B251" s="3">
        <f t="shared" si="4"/>
        <v>44501</v>
      </c>
      <c r="C251" s="3" t="str">
        <f>VLOOKUP(MONTH(Tabela1[[#This Row],[Periodo]]),NUMMESES,2,FALSE)</f>
        <v>Novembro</v>
      </c>
      <c r="D251" s="2">
        <f>YEAR(Tabela1[[#This Row],[Periodo]])</f>
        <v>2021</v>
      </c>
      <c r="E251" s="18">
        <v>6.3255999999999997</v>
      </c>
      <c r="F251" s="18"/>
      <c r="G251" s="18"/>
      <c r="H251" s="18"/>
    </row>
    <row r="252" spans="1:8" x14ac:dyDescent="0.3">
      <c r="A252" t="s">
        <v>671</v>
      </c>
      <c r="B252" s="3">
        <f t="shared" si="4"/>
        <v>44531</v>
      </c>
      <c r="C252" s="3" t="str">
        <f>VLOOKUP(MONTH(Tabela1[[#This Row],[Periodo]]),NUMMESES,2,FALSE)</f>
        <v>Dezembro</v>
      </c>
      <c r="D252" s="2">
        <f>YEAR(Tabela1[[#This Row],[Periodo]])</f>
        <v>2021</v>
      </c>
      <c r="E252" s="18">
        <v>6.3186999999999998</v>
      </c>
      <c r="F252" s="18"/>
      <c r="G252" s="18"/>
      <c r="H252" s="18"/>
    </row>
    <row r="253" spans="1:8" x14ac:dyDescent="0.3">
      <c r="A253" t="s">
        <v>671</v>
      </c>
      <c r="B253" s="3">
        <f t="shared" si="4"/>
        <v>44562</v>
      </c>
      <c r="C253" s="3" t="str">
        <f>VLOOKUP(MONTH(Tabela1[[#This Row],[Periodo]]),NUMMESES,2,FALSE)</f>
        <v>Janeiro</v>
      </c>
      <c r="D253" s="2">
        <f>YEAR(Tabela1[[#This Row],[Periodo]])</f>
        <v>2022</v>
      </c>
      <c r="E253" s="18">
        <v>6.0072999999999999</v>
      </c>
      <c r="F253" s="18"/>
      <c r="G253" s="18"/>
      <c r="H253" s="18"/>
    </row>
    <row r="254" spans="1:8" x14ac:dyDescent="0.3">
      <c r="A254" t="s">
        <v>671</v>
      </c>
      <c r="B254" s="3">
        <f t="shared" si="4"/>
        <v>44593</v>
      </c>
      <c r="C254" s="3" t="str">
        <f>VLOOKUP(MONTH(Tabela1[[#This Row],[Periodo]]),NUMMESES,2,FALSE)</f>
        <v>Fevereiro</v>
      </c>
      <c r="D254" s="2">
        <f>YEAR(Tabela1[[#This Row],[Periodo]])</f>
        <v>2022</v>
      </c>
      <c r="E254" s="18">
        <v>5.7803000000000004</v>
      </c>
      <c r="F254" s="18"/>
      <c r="G254" s="18"/>
      <c r="H254" s="18"/>
    </row>
    <row r="255" spans="1:8" x14ac:dyDescent="0.3">
      <c r="A255" t="s">
        <v>671</v>
      </c>
      <c r="B255" s="3">
        <f t="shared" si="4"/>
        <v>44621</v>
      </c>
      <c r="C255" s="3" t="str">
        <f>VLOOKUP(MONTH(Tabela1[[#This Row],[Periodo]]),NUMMESES,2,FALSE)</f>
        <v>Março</v>
      </c>
      <c r="D255" s="2">
        <f>YEAR(Tabela1[[#This Row],[Periodo]])</f>
        <v>2022</v>
      </c>
      <c r="E255" s="18">
        <v>5.2561</v>
      </c>
      <c r="F255" s="18"/>
      <c r="G255" s="18"/>
      <c r="H255" s="18"/>
    </row>
    <row r="256" spans="1:8" x14ac:dyDescent="0.3">
      <c r="A256" t="s">
        <v>671</v>
      </c>
      <c r="B256" s="3">
        <f t="shared" si="4"/>
        <v>44652</v>
      </c>
      <c r="C256" s="3" t="str">
        <f>VLOOKUP(MONTH(Tabela1[[#This Row],[Periodo]]),NUMMESES,2,FALSE)</f>
        <v>Abril</v>
      </c>
      <c r="D256" s="2">
        <f>YEAR(Tabela1[[#This Row],[Periodo]])</f>
        <v>2022</v>
      </c>
      <c r="E256" s="18">
        <v>5.1852</v>
      </c>
      <c r="F256" s="18"/>
      <c r="G256" s="18"/>
      <c r="H256" s="18"/>
    </row>
    <row r="257" spans="1:8" x14ac:dyDescent="0.3">
      <c r="A257" t="s">
        <v>671</v>
      </c>
      <c r="B257" s="3">
        <f t="shared" si="4"/>
        <v>44682</v>
      </c>
      <c r="C257" s="3" t="str">
        <f>VLOOKUP(MONTH(Tabela1[[#This Row],[Periodo]]),NUMMESES,2,FALSE)</f>
        <v>Maio</v>
      </c>
      <c r="D257" s="2">
        <f>YEAR(Tabela1[[#This Row],[Periodo]])</f>
        <v>2022</v>
      </c>
      <c r="E257" s="18">
        <v>5.0754999999999999</v>
      </c>
      <c r="F257" s="18"/>
      <c r="G257" s="18"/>
      <c r="H257" s="18"/>
    </row>
    <row r="258" spans="1:8" x14ac:dyDescent="0.3">
      <c r="A258" t="s">
        <v>671</v>
      </c>
      <c r="B258" s="3">
        <f t="shared" si="4"/>
        <v>44713</v>
      </c>
      <c r="C258" s="3" t="str">
        <f>VLOOKUP(MONTH(Tabela1[[#This Row],[Periodo]]),NUMMESES,2,FALSE)</f>
        <v>Junho</v>
      </c>
      <c r="D258" s="2">
        <f>YEAR(Tabela1[[#This Row],[Periodo]])</f>
        <v>2022</v>
      </c>
      <c r="E258" s="18">
        <v>5.4829999999999997</v>
      </c>
      <c r="F258" s="18"/>
      <c r="G258" s="18"/>
      <c r="H258" s="18"/>
    </row>
    <row r="259" spans="1:8" x14ac:dyDescent="0.3">
      <c r="A259" t="s">
        <v>671</v>
      </c>
      <c r="B259" s="3">
        <f t="shared" si="4"/>
        <v>44743</v>
      </c>
      <c r="C259" s="3" t="str">
        <f>VLOOKUP(MONTH(Tabela1[[#This Row],[Periodo]]),NUMMESES,2,FALSE)</f>
        <v>Julho</v>
      </c>
      <c r="D259" s="2">
        <f>YEAR(Tabela1[[#This Row],[Periodo]])</f>
        <v>2022</v>
      </c>
      <c r="E259" s="18">
        <v>5.2910000000000004</v>
      </c>
      <c r="F259" s="18"/>
      <c r="G259" s="18"/>
      <c r="H259" s="18"/>
    </row>
    <row r="260" spans="1:8" x14ac:dyDescent="0.3">
      <c r="A260" t="s">
        <v>671</v>
      </c>
      <c r="B260" s="3">
        <f t="shared" si="4"/>
        <v>44774</v>
      </c>
      <c r="C260" s="3" t="str">
        <f>VLOOKUP(MONTH(Tabela1[[#This Row],[Periodo]]),NUMMESES,2,FALSE)</f>
        <v>Agosto</v>
      </c>
      <c r="D260" s="2">
        <f>YEAR(Tabela1[[#This Row],[Periodo]])</f>
        <v>2022</v>
      </c>
      <c r="E260" s="18">
        <v>5.21</v>
      </c>
      <c r="F260" s="18"/>
      <c r="G260" s="18"/>
      <c r="H260" s="18"/>
    </row>
    <row r="261" spans="1:8" x14ac:dyDescent="0.3">
      <c r="A261" t="s">
        <v>671</v>
      </c>
      <c r="B261" s="3">
        <f t="shared" si="4"/>
        <v>44805</v>
      </c>
      <c r="C261" s="3" t="str">
        <f>VLOOKUP(MONTH(Tabela1[[#This Row],[Periodo]]),NUMMESES,2,FALSE)</f>
        <v>Setembro</v>
      </c>
      <c r="D261" s="2">
        <f>YEAR(Tabela1[[#This Row],[Periodo]])</f>
        <v>2022</v>
      </c>
      <c r="E261" s="18">
        <v>5.2904</v>
      </c>
      <c r="F261" s="18"/>
      <c r="G261" s="18"/>
      <c r="H261" s="18"/>
    </row>
    <row r="262" spans="1:8" x14ac:dyDescent="0.3">
      <c r="A262" t="s">
        <v>671</v>
      </c>
      <c r="B262" s="3">
        <f t="shared" si="4"/>
        <v>44835</v>
      </c>
      <c r="C262" s="3" t="str">
        <f>VLOOKUP(MONTH(Tabela1[[#This Row],[Periodo]]),NUMMESES,2,FALSE)</f>
        <v>Outubro</v>
      </c>
      <c r="D262" s="2">
        <f>YEAR(Tabela1[[#This Row],[Periodo]])</f>
        <v>2022</v>
      </c>
      <c r="E262" s="18">
        <v>5.1948999999999996</v>
      </c>
      <c r="F262" s="18"/>
      <c r="G262" s="18"/>
      <c r="H262" s="18"/>
    </row>
    <row r="263" spans="1:8" x14ac:dyDescent="0.3">
      <c r="A263" t="s">
        <v>671</v>
      </c>
      <c r="B263" s="3">
        <f t="shared" si="4"/>
        <v>44866</v>
      </c>
      <c r="C263" s="3" t="str">
        <f>VLOOKUP(MONTH(Tabela1[[#This Row],[Periodo]]),NUMMESES,2,FALSE)</f>
        <v>Novembro</v>
      </c>
      <c r="D263" s="2">
        <f>YEAR(Tabela1[[#This Row],[Periodo]])</f>
        <v>2022</v>
      </c>
      <c r="E263" s="18">
        <v>5.4528999999999996</v>
      </c>
      <c r="F263" s="18"/>
      <c r="G263" s="18"/>
      <c r="H263" s="18"/>
    </row>
    <row r="264" spans="1:8" x14ac:dyDescent="0.3">
      <c r="A264" t="s">
        <v>671</v>
      </c>
      <c r="B264" s="3">
        <f t="shared" si="4"/>
        <v>44896</v>
      </c>
      <c r="C264" s="3" t="str">
        <f>VLOOKUP(MONTH(Tabela1[[#This Row],[Periodo]]),NUMMESES,2,FALSE)</f>
        <v>Dezembro</v>
      </c>
      <c r="D264" s="2">
        <f>YEAR(Tabela1[[#This Row],[Periodo]])</f>
        <v>2022</v>
      </c>
      <c r="E264" s="18">
        <v>5.5693999999999999</v>
      </c>
      <c r="F264" s="18"/>
      <c r="G264" s="18"/>
      <c r="H264" s="18"/>
    </row>
    <row r="265" spans="1:8" x14ac:dyDescent="0.3">
      <c r="A265" t="s">
        <v>671</v>
      </c>
      <c r="B265" s="3">
        <f t="shared" si="4"/>
        <v>44927</v>
      </c>
      <c r="C265" s="3" t="str">
        <f>VLOOKUP(MONTH(Tabela1[[#This Row],[Periodo]]),NUMMESES,2,FALSE)</f>
        <v>Janeiro</v>
      </c>
      <c r="D265" s="2">
        <f>YEAR(Tabela1[[#This Row],[Periodo]])</f>
        <v>2023</v>
      </c>
      <c r="E265" s="18">
        <v>5.5388999999999999</v>
      </c>
      <c r="F265" s="18"/>
      <c r="G265" s="18"/>
      <c r="H265" s="18"/>
    </row>
    <row r="266" spans="1:8" x14ac:dyDescent="0.3">
      <c r="A266" t="s">
        <v>671</v>
      </c>
      <c r="B266" s="3">
        <f t="shared" si="4"/>
        <v>44958</v>
      </c>
      <c r="C266" s="3" t="str">
        <f>VLOOKUP(MONTH(Tabela1[[#This Row],[Periodo]]),NUMMESES,2,FALSE)</f>
        <v>Fevereiro</v>
      </c>
      <c r="D266" s="2">
        <f>YEAR(Tabela1[[#This Row],[Periodo]])</f>
        <v>2023</v>
      </c>
      <c r="E266" s="18">
        <v>5.5217000000000001</v>
      </c>
      <c r="F266" s="18"/>
      <c r="G266" s="18"/>
      <c r="H266" s="18"/>
    </row>
    <row r="267" spans="1:8" x14ac:dyDescent="0.3">
      <c r="A267" t="s">
        <v>671</v>
      </c>
      <c r="B267" s="3">
        <f t="shared" si="4"/>
        <v>44986</v>
      </c>
      <c r="C267" s="3" t="str">
        <f>VLOOKUP(MONTH(Tabela1[[#This Row],[Periodo]]),NUMMESES,2,FALSE)</f>
        <v>Março</v>
      </c>
      <c r="D267" s="2">
        <f>YEAR(Tabela1[[#This Row],[Periodo]])</f>
        <v>2023</v>
      </c>
      <c r="E267" s="18">
        <v>5.5217000000000001</v>
      </c>
      <c r="F267" s="18"/>
      <c r="G267" s="18"/>
      <c r="H267" s="18"/>
    </row>
    <row r="268" spans="1:8" x14ac:dyDescent="0.3">
      <c r="A268" t="s">
        <v>671</v>
      </c>
      <c r="B268" s="3">
        <f t="shared" si="4"/>
        <v>45017</v>
      </c>
      <c r="C268" s="3" t="str">
        <f>VLOOKUP(MONTH(Tabela1[[#This Row],[Periodo]]),NUMMESES,2,FALSE)</f>
        <v>Abril</v>
      </c>
      <c r="D268" s="2">
        <f>YEAR(Tabela1[[#This Row],[Periodo]])</f>
        <v>2023</v>
      </c>
      <c r="E268" s="18">
        <v>5.51</v>
      </c>
      <c r="F268" s="18"/>
      <c r="G268" s="18"/>
      <c r="H268" s="18"/>
    </row>
    <row r="269" spans="1:8" x14ac:dyDescent="0.3">
      <c r="A269" t="s">
        <v>671</v>
      </c>
      <c r="B269" s="3">
        <f t="shared" si="4"/>
        <v>45047</v>
      </c>
      <c r="C269" s="3" t="str">
        <f>VLOOKUP(MONTH(Tabela1[[#This Row],[Periodo]]),NUMMESES,2,FALSE)</f>
        <v>Maio</v>
      </c>
      <c r="D269" s="2">
        <f>YEAR(Tabela1[[#This Row],[Periodo]])</f>
        <v>2023</v>
      </c>
      <c r="E269" s="18">
        <v>5.51</v>
      </c>
      <c r="F269" s="18"/>
      <c r="G269" s="18"/>
      <c r="H269" s="18"/>
    </row>
    <row r="270" spans="1:8" x14ac:dyDescent="0.3">
      <c r="A270" t="s">
        <v>671</v>
      </c>
      <c r="B270" s="3">
        <f t="shared" si="4"/>
        <v>45078</v>
      </c>
      <c r="C270" s="3" t="str">
        <f>VLOOKUP(MONTH(Tabela1[[#This Row],[Periodo]]),NUMMESES,2,FALSE)</f>
        <v>Junho</v>
      </c>
      <c r="D270" s="2">
        <f>YEAR(Tabela1[[#This Row],[Periodo]])</f>
        <v>2023</v>
      </c>
      <c r="E270" s="18">
        <v>5.51</v>
      </c>
      <c r="F270" s="18"/>
      <c r="G270" s="18"/>
      <c r="H270" s="18"/>
    </row>
    <row r="271" spans="1:8" x14ac:dyDescent="0.3">
      <c r="A271" t="s">
        <v>671</v>
      </c>
      <c r="B271" s="3">
        <f t="shared" si="4"/>
        <v>45108</v>
      </c>
      <c r="C271" s="3" t="str">
        <f>VLOOKUP(MONTH(Tabela1[[#This Row],[Periodo]]),NUMMESES,2,FALSE)</f>
        <v>Julho</v>
      </c>
      <c r="D271" s="2">
        <f>YEAR(Tabela1[[#This Row],[Periodo]])</f>
        <v>2023</v>
      </c>
      <c r="E271" s="18">
        <v>5.51</v>
      </c>
      <c r="F271" s="18"/>
      <c r="G271" s="18"/>
      <c r="H271" s="18"/>
    </row>
    <row r="272" spans="1:8" x14ac:dyDescent="0.3">
      <c r="A272" t="s">
        <v>671</v>
      </c>
      <c r="B272" s="3">
        <f t="shared" si="4"/>
        <v>45139</v>
      </c>
      <c r="C272" s="3" t="str">
        <f>VLOOKUP(MONTH(Tabela1[[#This Row],[Periodo]]),NUMMESES,2,FALSE)</f>
        <v>Agosto</v>
      </c>
      <c r="D272" s="2">
        <f>YEAR(Tabela1[[#This Row],[Periodo]])</f>
        <v>2023</v>
      </c>
      <c r="E272" s="18">
        <v>5.51</v>
      </c>
      <c r="F272" s="18"/>
      <c r="G272" s="18"/>
      <c r="H272" s="18"/>
    </row>
    <row r="273" spans="1:8" x14ac:dyDescent="0.3">
      <c r="A273" t="s">
        <v>671</v>
      </c>
      <c r="B273" s="3">
        <f t="shared" si="4"/>
        <v>45170</v>
      </c>
      <c r="C273" s="3" t="str">
        <f>VLOOKUP(MONTH(Tabela1[[#This Row],[Periodo]]),NUMMESES,2,FALSE)</f>
        <v>Setembro</v>
      </c>
      <c r="D273" s="2">
        <f>YEAR(Tabela1[[#This Row],[Periodo]])</f>
        <v>2023</v>
      </c>
      <c r="E273" s="18">
        <v>5.51</v>
      </c>
      <c r="F273" s="18"/>
      <c r="G273" s="18"/>
      <c r="H273" s="18"/>
    </row>
    <row r="274" spans="1:8" x14ac:dyDescent="0.3">
      <c r="A274" t="s">
        <v>671</v>
      </c>
      <c r="B274" s="3">
        <f t="shared" si="4"/>
        <v>45200</v>
      </c>
      <c r="C274" s="3" t="str">
        <f>VLOOKUP(MONTH(Tabela1[[#This Row],[Periodo]]),NUMMESES,2,FALSE)</f>
        <v>Outubro</v>
      </c>
      <c r="D274" s="2">
        <f>YEAR(Tabela1[[#This Row],[Periodo]])</f>
        <v>2023</v>
      </c>
      <c r="E274" s="18">
        <v>5.51</v>
      </c>
      <c r="F274" s="18"/>
      <c r="G274" s="18"/>
      <c r="H274" s="18"/>
    </row>
    <row r="275" spans="1:8" x14ac:dyDescent="0.3">
      <c r="A275" t="s">
        <v>671</v>
      </c>
      <c r="B275" s="3">
        <f t="shared" si="4"/>
        <v>45231</v>
      </c>
      <c r="C275" s="3" t="str">
        <f>VLOOKUP(MONTH(Tabela1[[#This Row],[Periodo]]),NUMMESES,2,FALSE)</f>
        <v>Novembro</v>
      </c>
      <c r="D275" s="2">
        <f>YEAR(Tabela1[[#This Row],[Periodo]])</f>
        <v>2023</v>
      </c>
      <c r="E275" s="18">
        <v>5.51</v>
      </c>
      <c r="F275" s="18"/>
      <c r="G275" s="18"/>
      <c r="H275" s="18"/>
    </row>
    <row r="276" spans="1:8" x14ac:dyDescent="0.3">
      <c r="A276" t="s">
        <v>671</v>
      </c>
      <c r="B276" s="3">
        <f t="shared" si="4"/>
        <v>45261</v>
      </c>
      <c r="C276" s="3" t="str">
        <f>VLOOKUP(MONTH(Tabela1[[#This Row],[Periodo]]),NUMMESES,2,FALSE)</f>
        <v>Dezembro</v>
      </c>
      <c r="D276" s="2">
        <f>YEAR(Tabela1[[#This Row],[Periodo]])</f>
        <v>2023</v>
      </c>
      <c r="E276" s="18">
        <v>5.51</v>
      </c>
      <c r="F276" s="18"/>
      <c r="G276" s="18"/>
      <c r="H276" s="18"/>
    </row>
    <row r="277" spans="1:8" x14ac:dyDescent="0.3">
      <c r="A277" t="s">
        <v>671</v>
      </c>
      <c r="B277" s="3">
        <f t="shared" si="4"/>
        <v>45292</v>
      </c>
      <c r="C277" s="3" t="str">
        <f>VLOOKUP(MONTH(Tabela1[[#This Row],[Periodo]]),NUMMESES,2,FALSE)</f>
        <v>Janeiro</v>
      </c>
      <c r="D277" s="2">
        <f>YEAR(Tabela1[[#This Row],[Periodo]])</f>
        <v>2024</v>
      </c>
      <c r="E277" s="18">
        <v>5.51</v>
      </c>
      <c r="F277" s="18"/>
      <c r="G277" s="18"/>
      <c r="H277" s="18"/>
    </row>
    <row r="278" spans="1:8" x14ac:dyDescent="0.3">
      <c r="A278" t="s">
        <v>671</v>
      </c>
      <c r="B278" s="3">
        <f t="shared" si="4"/>
        <v>45323</v>
      </c>
      <c r="C278" s="3" t="str">
        <f>VLOOKUP(MONTH(Tabela1[[#This Row],[Periodo]]),NUMMESES,2,FALSE)</f>
        <v>Fevereiro</v>
      </c>
      <c r="D278" s="2">
        <f>YEAR(Tabela1[[#This Row],[Periodo]])</f>
        <v>2024</v>
      </c>
      <c r="E278" s="18">
        <v>5.51</v>
      </c>
      <c r="F278" s="18"/>
      <c r="G278" s="18"/>
      <c r="H278" s="18"/>
    </row>
    <row r="279" spans="1:8" x14ac:dyDescent="0.3">
      <c r="A279" t="s">
        <v>671</v>
      </c>
      <c r="B279" s="3">
        <f t="shared" si="4"/>
        <v>45352</v>
      </c>
      <c r="C279" s="3" t="str">
        <f>VLOOKUP(MONTH(Tabela1[[#This Row],[Periodo]]),NUMMESES,2,FALSE)</f>
        <v>Março</v>
      </c>
      <c r="D279" s="2">
        <f>YEAR(Tabela1[[#This Row],[Periodo]])</f>
        <v>2024</v>
      </c>
      <c r="E279" s="18">
        <v>5.51</v>
      </c>
      <c r="F279" s="18"/>
      <c r="G279" s="18"/>
      <c r="H279" s="18"/>
    </row>
    <row r="280" spans="1:8" x14ac:dyDescent="0.3">
      <c r="A280" t="s">
        <v>671</v>
      </c>
      <c r="B280" s="3">
        <f t="shared" si="4"/>
        <v>45383</v>
      </c>
      <c r="C280" s="3" t="str">
        <f>VLOOKUP(MONTH(Tabela1[[#This Row],[Periodo]]),NUMMESES,2,FALSE)</f>
        <v>Abril</v>
      </c>
      <c r="D280" s="2">
        <f>YEAR(Tabela1[[#This Row],[Periodo]])</f>
        <v>2024</v>
      </c>
      <c r="E280" s="18">
        <v>5.51</v>
      </c>
      <c r="F280" s="18"/>
      <c r="G280" s="18"/>
      <c r="H280" s="18"/>
    </row>
    <row r="281" spans="1:8" x14ac:dyDescent="0.3">
      <c r="A281" t="s">
        <v>671</v>
      </c>
      <c r="B281" s="3">
        <f t="shared" si="4"/>
        <v>45413</v>
      </c>
      <c r="C281" s="3" t="str">
        <f>VLOOKUP(MONTH(Tabela1[[#This Row],[Periodo]]),NUMMESES,2,FALSE)</f>
        <v>Maio</v>
      </c>
      <c r="D281" s="2">
        <f>YEAR(Tabela1[[#This Row],[Periodo]])</f>
        <v>2024</v>
      </c>
      <c r="E281" s="18">
        <v>5.51</v>
      </c>
      <c r="F281" s="18"/>
      <c r="G281" s="18"/>
      <c r="H281" s="18"/>
    </row>
    <row r="282" spans="1:8" x14ac:dyDescent="0.3">
      <c r="A282" t="s">
        <v>671</v>
      </c>
      <c r="B282" s="3">
        <f t="shared" si="4"/>
        <v>45444</v>
      </c>
      <c r="C282" s="3" t="str">
        <f>VLOOKUP(MONTH(Tabela1[[#This Row],[Periodo]]),NUMMESES,2,FALSE)</f>
        <v>Junho</v>
      </c>
      <c r="D282" s="2">
        <f>YEAR(Tabela1[[#This Row],[Periodo]])</f>
        <v>2024</v>
      </c>
      <c r="E282" s="18">
        <v>5.51</v>
      </c>
      <c r="F282" s="18"/>
      <c r="G282" s="18"/>
      <c r="H282" s="18"/>
    </row>
    <row r="283" spans="1:8" x14ac:dyDescent="0.3">
      <c r="A283" t="s">
        <v>671</v>
      </c>
      <c r="B283" s="3">
        <f t="shared" si="4"/>
        <v>45474</v>
      </c>
      <c r="C283" s="3" t="str">
        <f>VLOOKUP(MONTH(Tabela1[[#This Row],[Periodo]]),NUMMESES,2,FALSE)</f>
        <v>Julho</v>
      </c>
      <c r="D283" s="2">
        <f>YEAR(Tabela1[[#This Row],[Periodo]])</f>
        <v>2024</v>
      </c>
      <c r="E283" s="18">
        <v>5.51</v>
      </c>
      <c r="F283" s="18"/>
      <c r="G283" s="18"/>
      <c r="H283" s="18"/>
    </row>
    <row r="284" spans="1:8" x14ac:dyDescent="0.3">
      <c r="A284" t="s">
        <v>671</v>
      </c>
      <c r="B284" s="3">
        <f t="shared" si="4"/>
        <v>45505</v>
      </c>
      <c r="C284" s="3" t="str">
        <f>VLOOKUP(MONTH(Tabela1[[#This Row],[Periodo]]),NUMMESES,2,FALSE)</f>
        <v>Agosto</v>
      </c>
      <c r="D284" s="2">
        <f>YEAR(Tabela1[[#This Row],[Periodo]])</f>
        <v>2024</v>
      </c>
      <c r="E284" s="18">
        <v>5.51</v>
      </c>
      <c r="F284" s="18"/>
      <c r="G284" s="18"/>
      <c r="H284" s="18"/>
    </row>
    <row r="285" spans="1:8" x14ac:dyDescent="0.3">
      <c r="A285" t="s">
        <v>671</v>
      </c>
      <c r="B285" s="3">
        <f t="shared" si="4"/>
        <v>45536</v>
      </c>
      <c r="C285" s="3" t="str">
        <f>VLOOKUP(MONTH(Tabela1[[#This Row],[Periodo]]),NUMMESES,2,FALSE)</f>
        <v>Setembro</v>
      </c>
      <c r="D285" s="2">
        <f>YEAR(Tabela1[[#This Row],[Periodo]])</f>
        <v>2024</v>
      </c>
      <c r="E285" s="18">
        <v>5.51</v>
      </c>
      <c r="F285" s="18"/>
      <c r="G285" s="18"/>
      <c r="H285" s="18"/>
    </row>
    <row r="286" spans="1:8" x14ac:dyDescent="0.3">
      <c r="A286" t="s">
        <v>671</v>
      </c>
      <c r="B286" s="3">
        <f t="shared" si="4"/>
        <v>45566</v>
      </c>
      <c r="C286" s="3" t="str">
        <f>VLOOKUP(MONTH(Tabela1[[#This Row],[Periodo]]),NUMMESES,2,FALSE)</f>
        <v>Outubro</v>
      </c>
      <c r="D286" s="2">
        <f>YEAR(Tabela1[[#This Row],[Periodo]])</f>
        <v>2024</v>
      </c>
      <c r="E286" s="18">
        <v>5.51</v>
      </c>
      <c r="F286" s="18"/>
      <c r="G286" s="18"/>
      <c r="H286" s="18"/>
    </row>
    <row r="287" spans="1:8" x14ac:dyDescent="0.3">
      <c r="A287" t="s">
        <v>671</v>
      </c>
      <c r="B287" s="3">
        <f t="shared" si="4"/>
        <v>45597</v>
      </c>
      <c r="C287" s="3" t="str">
        <f>VLOOKUP(MONTH(Tabela1[[#This Row],[Periodo]]),NUMMESES,2,FALSE)</f>
        <v>Novembro</v>
      </c>
      <c r="D287" s="2">
        <f>YEAR(Tabela1[[#This Row],[Periodo]])</f>
        <v>2024</v>
      </c>
      <c r="E287" s="18">
        <v>5.51</v>
      </c>
      <c r="F287" s="18"/>
      <c r="G287" s="18"/>
      <c r="H287" s="18"/>
    </row>
    <row r="288" spans="1:8" x14ac:dyDescent="0.3">
      <c r="A288" t="s">
        <v>671</v>
      </c>
      <c r="B288" s="3">
        <f t="shared" si="4"/>
        <v>45627</v>
      </c>
      <c r="C288" s="3" t="str">
        <f>VLOOKUP(MONTH(Tabela1[[#This Row],[Periodo]]),NUMMESES,2,FALSE)</f>
        <v>Dezembro</v>
      </c>
      <c r="D288" s="2">
        <f>YEAR(Tabela1[[#This Row],[Periodo]])</f>
        <v>2024</v>
      </c>
      <c r="E288" s="18">
        <v>5.51</v>
      </c>
      <c r="F288" s="18"/>
      <c r="G288" s="18"/>
      <c r="H288" s="18"/>
    </row>
    <row r="289" spans="1:8" x14ac:dyDescent="0.3">
      <c r="A289" t="s">
        <v>671</v>
      </c>
      <c r="B289" s="3">
        <f t="shared" si="4"/>
        <v>45658</v>
      </c>
      <c r="C289" s="3" t="str">
        <f>VLOOKUP(MONTH(Tabela1[[#This Row],[Periodo]]),NUMMESES,2,FALSE)</f>
        <v>Janeiro</v>
      </c>
      <c r="D289" s="2">
        <f>YEAR(Tabela1[[#This Row],[Periodo]])</f>
        <v>2025</v>
      </c>
      <c r="E289" s="18">
        <v>5.51</v>
      </c>
      <c r="F289" s="18"/>
      <c r="G289" s="18"/>
      <c r="H289" s="18"/>
    </row>
    <row r="290" spans="1:8" x14ac:dyDescent="0.3">
      <c r="A290" t="s">
        <v>671</v>
      </c>
      <c r="B290" s="3">
        <f t="shared" si="4"/>
        <v>45689</v>
      </c>
      <c r="C290" s="3" t="str">
        <f>VLOOKUP(MONTH(Tabela1[[#This Row],[Periodo]]),NUMMESES,2,FALSE)</f>
        <v>Fevereiro</v>
      </c>
      <c r="D290" s="2">
        <f>YEAR(Tabela1[[#This Row],[Periodo]])</f>
        <v>2025</v>
      </c>
      <c r="E290" s="18">
        <v>5.51</v>
      </c>
      <c r="F290" s="18"/>
      <c r="G290" s="18"/>
      <c r="H290" s="18"/>
    </row>
    <row r="291" spans="1:8" x14ac:dyDescent="0.3">
      <c r="A291" t="s">
        <v>671</v>
      </c>
      <c r="B291" s="3">
        <f t="shared" si="4"/>
        <v>45717</v>
      </c>
      <c r="C291" s="3" t="str">
        <f>VLOOKUP(MONTH(Tabela1[[#This Row],[Periodo]]),NUMMESES,2,FALSE)</f>
        <v>Março</v>
      </c>
      <c r="D291" s="2">
        <f>YEAR(Tabela1[[#This Row],[Periodo]])</f>
        <v>2025</v>
      </c>
      <c r="E291" s="18">
        <v>5.51</v>
      </c>
      <c r="F291" s="18"/>
      <c r="G291" s="18"/>
      <c r="H291" s="18"/>
    </row>
    <row r="292" spans="1:8" x14ac:dyDescent="0.3">
      <c r="A292" t="s">
        <v>671</v>
      </c>
      <c r="B292" s="3">
        <f t="shared" si="4"/>
        <v>45748</v>
      </c>
      <c r="C292" s="3" t="str">
        <f>VLOOKUP(MONTH(Tabela1[[#This Row],[Periodo]]),NUMMESES,2,FALSE)</f>
        <v>Abril</v>
      </c>
      <c r="D292" s="2">
        <f>YEAR(Tabela1[[#This Row],[Periodo]])</f>
        <v>2025</v>
      </c>
      <c r="E292" s="18">
        <v>5.51</v>
      </c>
      <c r="F292" s="18"/>
      <c r="G292" s="18"/>
      <c r="H292" s="18"/>
    </row>
    <row r="293" spans="1:8" x14ac:dyDescent="0.3">
      <c r="A293" t="s">
        <v>671</v>
      </c>
      <c r="B293" s="3">
        <f t="shared" si="4"/>
        <v>45778</v>
      </c>
      <c r="C293" s="3" t="str">
        <f>VLOOKUP(MONTH(Tabela1[[#This Row],[Periodo]]),NUMMESES,2,FALSE)</f>
        <v>Maio</v>
      </c>
      <c r="D293" s="2">
        <f>YEAR(Tabela1[[#This Row],[Periodo]])</f>
        <v>2025</v>
      </c>
      <c r="E293" s="18">
        <v>5.51</v>
      </c>
      <c r="F293" s="18"/>
      <c r="G293" s="18"/>
      <c r="H293" s="18"/>
    </row>
    <row r="294" spans="1:8" x14ac:dyDescent="0.3">
      <c r="A294" t="s">
        <v>671</v>
      </c>
      <c r="B294" s="3">
        <f t="shared" si="4"/>
        <v>45809</v>
      </c>
      <c r="C294" s="3" t="str">
        <f>VLOOKUP(MONTH(Tabela1[[#This Row],[Periodo]]),NUMMESES,2,FALSE)</f>
        <v>Junho</v>
      </c>
      <c r="D294" s="2">
        <f>YEAR(Tabela1[[#This Row],[Periodo]])</f>
        <v>2025</v>
      </c>
      <c r="E294" s="18">
        <v>5.51</v>
      </c>
      <c r="F294" s="18"/>
      <c r="G294" s="18"/>
      <c r="H294" s="18"/>
    </row>
    <row r="295" spans="1:8" x14ac:dyDescent="0.3">
      <c r="A295" t="s">
        <v>671</v>
      </c>
      <c r="B295" s="3">
        <f t="shared" si="4"/>
        <v>45839</v>
      </c>
      <c r="C295" s="3" t="str">
        <f>VLOOKUP(MONTH(Tabela1[[#This Row],[Periodo]]),NUMMESES,2,FALSE)</f>
        <v>Julho</v>
      </c>
      <c r="D295" s="2">
        <f>YEAR(Tabela1[[#This Row],[Periodo]])</f>
        <v>2025</v>
      </c>
      <c r="E295" s="18">
        <v>5.51</v>
      </c>
      <c r="F295" s="18"/>
      <c r="G295" s="18"/>
      <c r="H295" s="18"/>
    </row>
    <row r="296" spans="1:8" x14ac:dyDescent="0.3">
      <c r="A296" t="s">
        <v>671</v>
      </c>
      <c r="B296" s="3">
        <f t="shared" si="4"/>
        <v>45870</v>
      </c>
      <c r="C296" s="3" t="str">
        <f>VLOOKUP(MONTH(Tabela1[[#This Row],[Periodo]]),NUMMESES,2,FALSE)</f>
        <v>Agosto</v>
      </c>
      <c r="D296" s="2">
        <f>YEAR(Tabela1[[#This Row],[Periodo]])</f>
        <v>2025</v>
      </c>
      <c r="E296" s="18">
        <v>5.51</v>
      </c>
      <c r="F296" s="18"/>
      <c r="G296" s="18"/>
      <c r="H296" s="18"/>
    </row>
    <row r="297" spans="1:8" x14ac:dyDescent="0.3">
      <c r="A297" t="s">
        <v>671</v>
      </c>
      <c r="B297" s="3">
        <f t="shared" si="4"/>
        <v>45901</v>
      </c>
      <c r="C297" s="3" t="str">
        <f>VLOOKUP(MONTH(Tabela1[[#This Row],[Periodo]]),NUMMESES,2,FALSE)</f>
        <v>Setembro</v>
      </c>
      <c r="D297" s="2">
        <f>YEAR(Tabela1[[#This Row],[Periodo]])</f>
        <v>2025</v>
      </c>
      <c r="E297" s="18">
        <v>5.51</v>
      </c>
      <c r="F297" s="18"/>
      <c r="G297" s="18"/>
      <c r="H297" s="18"/>
    </row>
    <row r="298" spans="1:8" x14ac:dyDescent="0.3">
      <c r="A298" t="s">
        <v>671</v>
      </c>
      <c r="B298" s="3">
        <f t="shared" si="4"/>
        <v>45931</v>
      </c>
      <c r="C298" s="3" t="str">
        <f>VLOOKUP(MONTH(Tabela1[[#This Row],[Periodo]]),NUMMESES,2,FALSE)</f>
        <v>Outubro</v>
      </c>
      <c r="D298" s="2">
        <f>YEAR(Tabela1[[#This Row],[Periodo]])</f>
        <v>2025</v>
      </c>
      <c r="E298" s="18">
        <v>5.51</v>
      </c>
      <c r="F298" s="18"/>
      <c r="G298" s="18"/>
      <c r="H298" s="18"/>
    </row>
    <row r="299" spans="1:8" x14ac:dyDescent="0.3">
      <c r="A299" t="s">
        <v>671</v>
      </c>
      <c r="B299" s="3">
        <f t="shared" si="4"/>
        <v>45962</v>
      </c>
      <c r="C299" s="3" t="str">
        <f>VLOOKUP(MONTH(Tabela1[[#This Row],[Periodo]]),NUMMESES,2,FALSE)</f>
        <v>Novembro</v>
      </c>
      <c r="D299" s="2">
        <f>YEAR(Tabela1[[#This Row],[Periodo]])</f>
        <v>2025</v>
      </c>
      <c r="E299" s="18">
        <v>5.51</v>
      </c>
      <c r="F299" s="18"/>
      <c r="G299" s="18"/>
      <c r="H299" s="18"/>
    </row>
    <row r="300" spans="1:8" x14ac:dyDescent="0.3">
      <c r="A300" t="s">
        <v>671</v>
      </c>
      <c r="B300" s="3">
        <f t="shared" si="4"/>
        <v>45992</v>
      </c>
      <c r="C300" s="3" t="str">
        <f>VLOOKUP(MONTH(Tabela1[[#This Row],[Periodo]]),NUMMESES,2,FALSE)</f>
        <v>Dezembro</v>
      </c>
      <c r="D300" s="2">
        <f>YEAR(Tabela1[[#This Row],[Periodo]])</f>
        <v>2025</v>
      </c>
      <c r="E300" s="18">
        <v>5.51</v>
      </c>
      <c r="F300" s="18"/>
      <c r="G300" s="18"/>
      <c r="H300" s="18"/>
    </row>
    <row r="301" spans="1:8" x14ac:dyDescent="0.3">
      <c r="A301" t="s">
        <v>671</v>
      </c>
      <c r="B301" s="3">
        <f t="shared" si="4"/>
        <v>46023</v>
      </c>
      <c r="C301" s="3" t="str">
        <f>VLOOKUP(MONTH(Tabela1[[#This Row],[Periodo]]),NUMMESES,2,FALSE)</f>
        <v>Janeiro</v>
      </c>
      <c r="D301" s="2">
        <f>YEAR(Tabela1[[#This Row],[Periodo]])</f>
        <v>2026</v>
      </c>
      <c r="E301" s="18">
        <v>5.51</v>
      </c>
      <c r="F301" s="18"/>
      <c r="G301" s="18"/>
      <c r="H301" s="18"/>
    </row>
    <row r="302" spans="1:8" x14ac:dyDescent="0.3">
      <c r="B302" s="3"/>
      <c r="C302" s="2"/>
      <c r="D302" s="2"/>
      <c r="F302" s="2"/>
      <c r="G302" s="223"/>
      <c r="H302" s="18"/>
    </row>
    <row r="303" spans="1:8" x14ac:dyDescent="0.3">
      <c r="A303" t="s">
        <v>672</v>
      </c>
      <c r="B303" s="3">
        <v>43101</v>
      </c>
      <c r="C303" s="3" t="str">
        <f>VLOOKUP(MONTH(Tabela1[[#This Row],[Periodo]]),NUMMESES,2,FALSE)</f>
        <v>Janeiro</v>
      </c>
      <c r="D303" s="2">
        <f>YEAR(Tabela1[[#This Row],[Periodo]])</f>
        <v>2018</v>
      </c>
      <c r="E303" s="147">
        <v>0.89</v>
      </c>
      <c r="F303" s="18"/>
      <c r="G303" s="18"/>
      <c r="H303" s="18"/>
    </row>
    <row r="304" spans="1:8" x14ac:dyDescent="0.3">
      <c r="A304" t="s">
        <v>672</v>
      </c>
      <c r="B304" s="3">
        <f t="shared" ref="B304:B401" si="5">DATE(YEAR(B303),MONTH(B303)+1,DAY(B303))</f>
        <v>43132</v>
      </c>
      <c r="C304" s="3" t="str">
        <f>VLOOKUP(MONTH(Tabela1[[#This Row],[Periodo]]),NUMMESES,2,FALSE)</f>
        <v>Fevereiro</v>
      </c>
      <c r="D304" s="2">
        <f>YEAR(Tabela1[[#This Row],[Periodo]])</f>
        <v>2018</v>
      </c>
      <c r="E304" s="147">
        <v>0.76</v>
      </c>
      <c r="F304" s="18"/>
      <c r="G304" s="18"/>
      <c r="H304" s="18"/>
    </row>
    <row r="305" spans="1:8" x14ac:dyDescent="0.3">
      <c r="A305" t="s">
        <v>672</v>
      </c>
      <c r="B305" s="3">
        <f t="shared" si="5"/>
        <v>43160</v>
      </c>
      <c r="C305" s="3" t="str">
        <f>VLOOKUP(MONTH(Tabela1[[#This Row],[Periodo]]),NUMMESES,2,FALSE)</f>
        <v>Março</v>
      </c>
      <c r="D305" s="2">
        <f>YEAR(Tabela1[[#This Row],[Periodo]])</f>
        <v>2018</v>
      </c>
      <c r="E305" s="147">
        <v>0.76</v>
      </c>
      <c r="F305" s="18"/>
      <c r="G305" s="18"/>
      <c r="H305" s="18"/>
    </row>
    <row r="306" spans="1:8" x14ac:dyDescent="0.3">
      <c r="A306" t="s">
        <v>672</v>
      </c>
      <c r="B306" s="3">
        <f>DATE(YEAR(B304),MONTH(B304)+1,DAY(B304))</f>
        <v>43160</v>
      </c>
      <c r="C306" s="3" t="str">
        <f>VLOOKUP(MONTH(Tabela1[[#This Row],[Periodo]]),NUMMESES,2,FALSE)</f>
        <v>Março</v>
      </c>
      <c r="D306" s="2">
        <f>YEAR(Tabela1[[#This Row],[Periodo]])</f>
        <v>2018</v>
      </c>
      <c r="E306" s="147">
        <v>0.76</v>
      </c>
      <c r="F306" s="18"/>
      <c r="G306" s="18"/>
      <c r="H306" s="2"/>
    </row>
    <row r="307" spans="1:8" x14ac:dyDescent="0.3">
      <c r="A307" t="s">
        <v>672</v>
      </c>
      <c r="B307" s="3">
        <f>DATE(YEAR(B304),MONTH(B304)+1,DAY(B304))</f>
        <v>43160</v>
      </c>
      <c r="C307" s="3" t="str">
        <f>VLOOKUP(MONTH(Tabela1[[#This Row],[Periodo]]),NUMMESES,2,FALSE)</f>
        <v>Março</v>
      </c>
      <c r="D307" s="2">
        <f>YEAR(Tabela1[[#This Row],[Periodo]])</f>
        <v>2018</v>
      </c>
      <c r="E307" s="147">
        <v>7.0000000000000007E-2</v>
      </c>
      <c r="F307" s="18"/>
      <c r="G307" s="18"/>
      <c r="H307" s="18"/>
    </row>
    <row r="308" spans="1:8" x14ac:dyDescent="0.3">
      <c r="A308" t="s">
        <v>672</v>
      </c>
      <c r="B308" s="3">
        <f t="shared" si="5"/>
        <v>43191</v>
      </c>
      <c r="C308" s="3" t="str">
        <f>VLOOKUP(MONTH(Tabela1[[#This Row],[Periodo]]),NUMMESES,2,FALSE)</f>
        <v>Abril</v>
      </c>
      <c r="D308" s="2">
        <f>YEAR(Tabela1[[#This Row],[Periodo]])</f>
        <v>2018</v>
      </c>
      <c r="E308" s="147">
        <v>0.64</v>
      </c>
      <c r="F308" s="18"/>
      <c r="G308" s="18"/>
      <c r="H308" s="18"/>
    </row>
    <row r="309" spans="1:8" x14ac:dyDescent="0.3">
      <c r="A309" t="s">
        <v>672</v>
      </c>
      <c r="B309" s="3">
        <f t="shared" si="5"/>
        <v>43221</v>
      </c>
      <c r="C309" s="3" t="str">
        <f>VLOOKUP(MONTH(Tabela1[[#This Row],[Periodo]]),NUMMESES,2,FALSE)</f>
        <v>Maio</v>
      </c>
      <c r="D309" s="2">
        <f>YEAR(Tabela1[[#This Row],[Periodo]])</f>
        <v>2018</v>
      </c>
      <c r="E309" s="147">
        <v>0.56999999999999995</v>
      </c>
      <c r="F309" s="18"/>
      <c r="G309" s="18"/>
      <c r="H309" s="18"/>
    </row>
    <row r="310" spans="1:8" x14ac:dyDescent="0.3">
      <c r="A310" t="s">
        <v>672</v>
      </c>
      <c r="B310" s="3">
        <f t="shared" si="5"/>
        <v>43252</v>
      </c>
      <c r="C310" s="3" t="str">
        <f>VLOOKUP(MONTH(Tabela1[[#This Row],[Periodo]]),NUMMESES,2,FALSE)</f>
        <v>Junho</v>
      </c>
      <c r="D310" s="2">
        <f>YEAR(Tabela1[[#This Row],[Periodo]])</f>
        <v>2018</v>
      </c>
      <c r="E310" s="147">
        <v>1.38</v>
      </c>
      <c r="F310" s="18"/>
      <c r="G310" s="18"/>
      <c r="H310" s="18"/>
    </row>
    <row r="311" spans="1:8" x14ac:dyDescent="0.3">
      <c r="A311" t="s">
        <v>672</v>
      </c>
      <c r="B311" s="3">
        <f t="shared" si="5"/>
        <v>43282</v>
      </c>
      <c r="C311" s="3" t="str">
        <f>VLOOKUP(MONTH(Tabela1[[#This Row],[Periodo]]),NUMMESES,2,FALSE)</f>
        <v>Julho</v>
      </c>
      <c r="D311" s="2">
        <f>YEAR(Tabela1[[#This Row],[Periodo]])</f>
        <v>2018</v>
      </c>
      <c r="E311" s="147">
        <v>1.87</v>
      </c>
      <c r="F311" s="18"/>
      <c r="G311" s="18"/>
      <c r="H311" s="18"/>
    </row>
    <row r="312" spans="1:8" x14ac:dyDescent="0.3">
      <c r="A312" t="s">
        <v>672</v>
      </c>
      <c r="B312" s="3">
        <f t="shared" si="5"/>
        <v>43313</v>
      </c>
      <c r="C312" s="3" t="str">
        <f>VLOOKUP(MONTH(Tabela1[[#This Row],[Periodo]]),NUMMESES,2,FALSE)</f>
        <v>Agosto</v>
      </c>
      <c r="D312" s="2">
        <f>YEAR(Tabela1[[#This Row],[Periodo]])</f>
        <v>2018</v>
      </c>
      <c r="E312" s="147">
        <v>0.51</v>
      </c>
      <c r="F312" s="18"/>
      <c r="G312" s="18"/>
      <c r="H312" s="18"/>
    </row>
    <row r="313" spans="1:8" x14ac:dyDescent="0.3">
      <c r="A313" t="s">
        <v>672</v>
      </c>
      <c r="B313" s="3">
        <f t="shared" si="5"/>
        <v>43344</v>
      </c>
      <c r="C313" s="3" t="str">
        <f>VLOOKUP(MONTH(Tabela1[[#This Row],[Periodo]]),NUMMESES,2,FALSE)</f>
        <v>Setembro</v>
      </c>
      <c r="D313" s="2">
        <f>YEAR(Tabela1[[#This Row],[Periodo]])</f>
        <v>2018</v>
      </c>
      <c r="E313" s="147">
        <v>0.7</v>
      </c>
      <c r="F313" s="18"/>
      <c r="G313" s="18"/>
      <c r="H313" s="18"/>
    </row>
    <row r="314" spans="1:8" x14ac:dyDescent="0.3">
      <c r="A314" t="s">
        <v>672</v>
      </c>
      <c r="B314" s="3">
        <f t="shared" si="5"/>
        <v>43374</v>
      </c>
      <c r="C314" s="3" t="str">
        <f>VLOOKUP(MONTH(Tabela1[[#This Row],[Periodo]]),NUMMESES,2,FALSE)</f>
        <v>Outubro</v>
      </c>
      <c r="D314" s="2">
        <f>YEAR(Tabela1[[#This Row],[Periodo]])</f>
        <v>2018</v>
      </c>
      <c r="E314" s="147">
        <v>1.52</v>
      </c>
      <c r="F314" s="18"/>
      <c r="G314" s="18"/>
      <c r="H314" s="18"/>
    </row>
    <row r="315" spans="1:8" x14ac:dyDescent="0.3">
      <c r="A315" t="s">
        <v>672</v>
      </c>
      <c r="B315" s="3">
        <f t="shared" si="5"/>
        <v>43405</v>
      </c>
      <c r="C315" s="3" t="str">
        <f>VLOOKUP(MONTH(Tabela1[[#This Row],[Periodo]]),NUMMESES,2,FALSE)</f>
        <v>Novembro</v>
      </c>
      <c r="D315" s="2">
        <f>YEAR(Tabela1[[#This Row],[Periodo]])</f>
        <v>2018</v>
      </c>
      <c r="E315" s="147">
        <v>0.89</v>
      </c>
      <c r="F315" s="18"/>
      <c r="G315" s="18"/>
      <c r="H315" s="18"/>
    </row>
    <row r="316" spans="1:8" x14ac:dyDescent="0.3">
      <c r="A316" t="s">
        <v>672</v>
      </c>
      <c r="B316" s="3">
        <f t="shared" si="5"/>
        <v>43435</v>
      </c>
      <c r="C316" s="3" t="str">
        <f>VLOOKUP(MONTH(Tabela1[[#This Row],[Periodo]]),NUMMESES,2,FALSE)</f>
        <v>Dezembro</v>
      </c>
      <c r="D316" s="2">
        <f>YEAR(Tabela1[[#This Row],[Periodo]])</f>
        <v>2018</v>
      </c>
      <c r="E316" s="147">
        <v>-0.49</v>
      </c>
      <c r="F316" s="18"/>
      <c r="G316" s="18"/>
      <c r="H316" s="18"/>
    </row>
    <row r="317" spans="1:8" x14ac:dyDescent="0.3">
      <c r="A317" t="s">
        <v>672</v>
      </c>
      <c r="B317" s="3">
        <f t="shared" si="5"/>
        <v>43466</v>
      </c>
      <c r="C317" s="3" t="str">
        <f>VLOOKUP(MONTH(Tabela1[[#This Row],[Periodo]]),NUMMESES,2,FALSE)</f>
        <v>Janeiro</v>
      </c>
      <c r="D317" s="2">
        <f>YEAR(Tabela1[[#This Row],[Periodo]])</f>
        <v>2019</v>
      </c>
      <c r="E317" s="147">
        <v>-1.08</v>
      </c>
      <c r="F317" s="18"/>
      <c r="G317" s="18"/>
      <c r="H317" s="18"/>
    </row>
    <row r="318" spans="1:8" x14ac:dyDescent="0.3">
      <c r="A318" t="s">
        <v>672</v>
      </c>
      <c r="B318" s="3">
        <f t="shared" si="5"/>
        <v>43497</v>
      </c>
      <c r="C318" s="3" t="str">
        <f>VLOOKUP(MONTH(Tabela1[[#This Row],[Periodo]]),NUMMESES,2,FALSE)</f>
        <v>Fevereiro</v>
      </c>
      <c r="D318" s="2">
        <f>YEAR(Tabela1[[#This Row],[Periodo]])</f>
        <v>2019</v>
      </c>
      <c r="E318" s="147">
        <v>0.01</v>
      </c>
      <c r="F318" s="18"/>
      <c r="G318" s="18"/>
      <c r="H318" s="18"/>
    </row>
    <row r="319" spans="1:8" x14ac:dyDescent="0.3">
      <c r="A319" t="s">
        <v>672</v>
      </c>
      <c r="B319" s="3">
        <f t="shared" si="5"/>
        <v>43525</v>
      </c>
      <c r="C319" s="3" t="str">
        <f>VLOOKUP(MONTH(Tabela1[[#This Row],[Periodo]]),NUMMESES,2,FALSE)</f>
        <v>Março</v>
      </c>
      <c r="D319" s="2">
        <f>YEAR(Tabela1[[#This Row],[Periodo]])</f>
        <v>2019</v>
      </c>
      <c r="E319" s="147">
        <v>0.88</v>
      </c>
      <c r="F319" s="18"/>
      <c r="G319" s="18"/>
      <c r="H319" s="18"/>
    </row>
    <row r="320" spans="1:8" x14ac:dyDescent="0.3">
      <c r="A320" t="s">
        <v>672</v>
      </c>
      <c r="B320" s="3">
        <f t="shared" si="5"/>
        <v>43556</v>
      </c>
      <c r="C320" s="3" t="str">
        <f>VLOOKUP(MONTH(Tabela1[[#This Row],[Periodo]]),NUMMESES,2,FALSE)</f>
        <v>Abril</v>
      </c>
      <c r="D320" s="2">
        <f>YEAR(Tabela1[[#This Row],[Periodo]])</f>
        <v>2019</v>
      </c>
      <c r="E320" s="147">
        <v>1.26</v>
      </c>
      <c r="F320" s="18"/>
      <c r="G320" s="18"/>
      <c r="H320" s="18"/>
    </row>
    <row r="321" spans="1:8" x14ac:dyDescent="0.3">
      <c r="A321" t="s">
        <v>672</v>
      </c>
      <c r="B321" s="3">
        <f t="shared" si="5"/>
        <v>43586</v>
      </c>
      <c r="C321" s="3" t="str">
        <f>VLOOKUP(MONTH(Tabela1[[#This Row],[Periodo]]),NUMMESES,2,FALSE)</f>
        <v>Maio</v>
      </c>
      <c r="D321" s="2">
        <f>YEAR(Tabela1[[#This Row],[Periodo]])</f>
        <v>2019</v>
      </c>
      <c r="E321" s="147">
        <v>0.92</v>
      </c>
      <c r="F321" s="18"/>
      <c r="G321" s="18"/>
      <c r="H321" s="18"/>
    </row>
    <row r="322" spans="1:8" x14ac:dyDescent="0.3">
      <c r="A322" t="s">
        <v>672</v>
      </c>
      <c r="B322" s="3">
        <f t="shared" si="5"/>
        <v>43617</v>
      </c>
      <c r="C322" s="3" t="str">
        <f>VLOOKUP(MONTH(Tabela1[[#This Row],[Periodo]]),NUMMESES,2,FALSE)</f>
        <v>Junho</v>
      </c>
      <c r="D322" s="2">
        <f>YEAR(Tabela1[[#This Row],[Periodo]])</f>
        <v>2019</v>
      </c>
      <c r="E322" s="147">
        <v>0.45</v>
      </c>
      <c r="F322" s="18"/>
      <c r="G322" s="18"/>
      <c r="H322" s="18"/>
    </row>
    <row r="323" spans="1:8" x14ac:dyDescent="0.3">
      <c r="A323" t="s">
        <v>672</v>
      </c>
      <c r="B323" s="3">
        <f t="shared" si="5"/>
        <v>43647</v>
      </c>
      <c r="C323" s="3" t="str">
        <f>VLOOKUP(MONTH(Tabela1[[#This Row],[Periodo]]),NUMMESES,2,FALSE)</f>
        <v>Julho</v>
      </c>
      <c r="D323" s="2">
        <f>YEAR(Tabela1[[#This Row],[Periodo]])</f>
        <v>2019</v>
      </c>
      <c r="E323" s="147">
        <v>0.8</v>
      </c>
      <c r="F323" s="18"/>
      <c r="G323" s="18"/>
      <c r="H323" s="18"/>
    </row>
    <row r="324" spans="1:8" x14ac:dyDescent="0.3">
      <c r="A324" t="s">
        <v>672</v>
      </c>
      <c r="B324" s="3">
        <f t="shared" si="5"/>
        <v>43678</v>
      </c>
      <c r="C324" s="3" t="str">
        <f>VLOOKUP(MONTH(Tabela1[[#This Row],[Periodo]]),NUMMESES,2,FALSE)</f>
        <v>Agosto</v>
      </c>
      <c r="D324" s="2">
        <f>YEAR(Tabela1[[#This Row],[Periodo]])</f>
        <v>2019</v>
      </c>
      <c r="E324" s="147">
        <v>0.4</v>
      </c>
      <c r="F324" s="18"/>
      <c r="G324" s="18"/>
      <c r="H324" s="18"/>
    </row>
    <row r="325" spans="1:8" x14ac:dyDescent="0.3">
      <c r="A325" t="s">
        <v>672</v>
      </c>
      <c r="B325" s="3">
        <f t="shared" si="5"/>
        <v>43709</v>
      </c>
      <c r="C325" s="3" t="str">
        <f>VLOOKUP(MONTH(Tabela1[[#This Row],[Periodo]]),NUMMESES,2,FALSE)</f>
        <v>Setembro</v>
      </c>
      <c r="D325" s="2">
        <f>YEAR(Tabela1[[#This Row],[Periodo]])</f>
        <v>2019</v>
      </c>
      <c r="E325" s="147">
        <v>-0.67</v>
      </c>
      <c r="F325" s="18"/>
      <c r="G325" s="18"/>
      <c r="H325" s="18"/>
    </row>
    <row r="326" spans="1:8" x14ac:dyDescent="0.3">
      <c r="A326" t="s">
        <v>672</v>
      </c>
      <c r="B326" s="3">
        <f t="shared" si="5"/>
        <v>43739</v>
      </c>
      <c r="C326" s="3" t="str">
        <f>VLOOKUP(MONTH(Tabela1[[#This Row],[Periodo]]),NUMMESES,2,FALSE)</f>
        <v>Outubro</v>
      </c>
      <c r="D326" s="2">
        <f>YEAR(Tabela1[[#This Row],[Periodo]])</f>
        <v>2019</v>
      </c>
      <c r="E326" s="147">
        <v>-0.01</v>
      </c>
      <c r="F326" s="18"/>
      <c r="G326" s="18"/>
      <c r="H326" s="18"/>
    </row>
    <row r="327" spans="1:8" x14ac:dyDescent="0.3">
      <c r="A327" t="s">
        <v>672</v>
      </c>
      <c r="B327" s="3">
        <f t="shared" si="5"/>
        <v>43770</v>
      </c>
      <c r="C327" s="3" t="str">
        <f>VLOOKUP(MONTH(Tabela1[[#This Row],[Periodo]]),NUMMESES,2,FALSE)</f>
        <v>Novembro</v>
      </c>
      <c r="D327" s="2">
        <f>YEAR(Tabela1[[#This Row],[Periodo]])</f>
        <v>2019</v>
      </c>
      <c r="E327" s="147">
        <v>0.68</v>
      </c>
      <c r="F327" s="18"/>
      <c r="G327" s="18"/>
      <c r="H327" s="18"/>
    </row>
    <row r="328" spans="1:8" x14ac:dyDescent="0.3">
      <c r="A328" t="s">
        <v>672</v>
      </c>
      <c r="B328" s="3">
        <f t="shared" si="5"/>
        <v>43800</v>
      </c>
      <c r="C328" s="3" t="str">
        <f>VLOOKUP(MONTH(Tabela1[[#This Row],[Periodo]]),NUMMESES,2,FALSE)</f>
        <v>Dezembro</v>
      </c>
      <c r="D328" s="2">
        <f>YEAR(Tabela1[[#This Row],[Periodo]])</f>
        <v>2019</v>
      </c>
      <c r="E328" s="147">
        <v>0.3</v>
      </c>
      <c r="F328" s="18"/>
      <c r="G328" s="18"/>
      <c r="H328" s="18"/>
    </row>
    <row r="329" spans="1:8" x14ac:dyDescent="0.3">
      <c r="A329" t="s">
        <v>672</v>
      </c>
      <c r="B329" s="3">
        <f t="shared" si="5"/>
        <v>43831</v>
      </c>
      <c r="C329" s="3" t="str">
        <f>VLOOKUP(MONTH(Tabela1[[#This Row],[Periodo]]),NUMMESES,2,FALSE)</f>
        <v>Janeiro</v>
      </c>
      <c r="D329" s="2">
        <f>YEAR(Tabela1[[#This Row],[Periodo]])</f>
        <v>2020</v>
      </c>
      <c r="E329" s="147">
        <v>2.09</v>
      </c>
      <c r="F329" s="18"/>
      <c r="G329" s="18"/>
      <c r="H329" s="18"/>
    </row>
    <row r="330" spans="1:8" x14ac:dyDescent="0.3">
      <c r="A330" t="s">
        <v>672</v>
      </c>
      <c r="B330" s="3">
        <f t="shared" si="5"/>
        <v>43862</v>
      </c>
      <c r="C330" s="3" t="str">
        <f>VLOOKUP(MONTH(Tabela1[[#This Row],[Periodo]]),NUMMESES,2,FALSE)</f>
        <v>Fevereiro</v>
      </c>
      <c r="D330" s="2">
        <f>YEAR(Tabela1[[#This Row],[Periodo]])</f>
        <v>2020</v>
      </c>
      <c r="E330" s="147">
        <v>-0.04</v>
      </c>
      <c r="F330" s="18"/>
      <c r="G330" s="18"/>
      <c r="H330" s="18"/>
    </row>
    <row r="331" spans="1:8" x14ac:dyDescent="0.3">
      <c r="A331" t="s">
        <v>672</v>
      </c>
      <c r="B331" s="3">
        <f t="shared" si="5"/>
        <v>43891</v>
      </c>
      <c r="C331" s="3" t="str">
        <f>VLOOKUP(MONTH(Tabela1[[#This Row],[Periodo]]),NUMMESES,2,FALSE)</f>
        <v>Março</v>
      </c>
      <c r="D331" s="2">
        <f>YEAR(Tabela1[[#This Row],[Periodo]])</f>
        <v>2020</v>
      </c>
      <c r="E331" s="147">
        <v>1.24</v>
      </c>
      <c r="F331" s="18"/>
      <c r="G331" s="18"/>
      <c r="H331" s="18"/>
    </row>
    <row r="332" spans="1:8" x14ac:dyDescent="0.3">
      <c r="A332" t="s">
        <v>672</v>
      </c>
      <c r="B332" s="3">
        <f t="shared" si="5"/>
        <v>43922</v>
      </c>
      <c r="C332" s="3" t="str">
        <f>VLOOKUP(MONTH(Tabela1[[#This Row],[Periodo]]),NUMMESES,2,FALSE)</f>
        <v>Abril</v>
      </c>
      <c r="D332" s="2">
        <f>YEAR(Tabela1[[#This Row],[Periodo]])</f>
        <v>2020</v>
      </c>
      <c r="E332" s="147">
        <v>0.8</v>
      </c>
      <c r="F332" s="18"/>
      <c r="G332" s="18"/>
      <c r="H332" s="18"/>
    </row>
    <row r="333" spans="1:8" x14ac:dyDescent="0.3">
      <c r="A333" t="s">
        <v>672</v>
      </c>
      <c r="B333" s="3">
        <f t="shared" si="5"/>
        <v>43952</v>
      </c>
      <c r="C333" s="3" t="str">
        <f>VLOOKUP(MONTH(Tabela1[[#This Row],[Periodo]]),NUMMESES,2,FALSE)</f>
        <v>Maio</v>
      </c>
      <c r="D333" s="2">
        <f>YEAR(Tabela1[[#This Row],[Periodo]])</f>
        <v>2020</v>
      </c>
      <c r="E333" s="147">
        <v>0.28000000000000003</v>
      </c>
      <c r="F333" s="18"/>
      <c r="G333" s="18"/>
      <c r="H333" s="18"/>
    </row>
    <row r="334" spans="1:8" x14ac:dyDescent="0.3">
      <c r="A334" t="s">
        <v>672</v>
      </c>
      <c r="B334" s="3">
        <f t="shared" si="5"/>
        <v>43983</v>
      </c>
      <c r="C334" s="3" t="str">
        <f>VLOOKUP(MONTH(Tabela1[[#This Row],[Periodo]]),NUMMESES,2,FALSE)</f>
        <v>Junho</v>
      </c>
      <c r="D334" s="2">
        <f>YEAR(Tabela1[[#This Row],[Periodo]])</f>
        <v>2020</v>
      </c>
      <c r="E334" s="147">
        <v>1.56</v>
      </c>
      <c r="F334" s="18"/>
      <c r="G334" s="18"/>
      <c r="H334" s="18"/>
    </row>
    <row r="335" spans="1:8" x14ac:dyDescent="0.3">
      <c r="A335" t="s">
        <v>672</v>
      </c>
      <c r="B335" s="3">
        <f t="shared" si="5"/>
        <v>44013</v>
      </c>
      <c r="C335" s="3" t="str">
        <f>VLOOKUP(MONTH(Tabela1[[#This Row],[Periodo]]),NUMMESES,2,FALSE)</f>
        <v>Julho</v>
      </c>
      <c r="D335" s="2">
        <f>YEAR(Tabela1[[#This Row],[Periodo]])</f>
        <v>2020</v>
      </c>
      <c r="E335" s="147">
        <v>2.23</v>
      </c>
      <c r="F335" s="18"/>
      <c r="G335" s="18"/>
      <c r="H335" s="18"/>
    </row>
    <row r="336" spans="1:8" x14ac:dyDescent="0.3">
      <c r="A336" t="s">
        <v>672</v>
      </c>
      <c r="B336" s="3">
        <f t="shared" si="5"/>
        <v>44044</v>
      </c>
      <c r="C336" s="3" t="str">
        <f>VLOOKUP(MONTH(Tabela1[[#This Row],[Periodo]]),NUMMESES,2,FALSE)</f>
        <v>Agosto</v>
      </c>
      <c r="D336" s="2">
        <f>YEAR(Tabela1[[#This Row],[Periodo]])</f>
        <v>2020</v>
      </c>
      <c r="E336" s="147">
        <v>2.74</v>
      </c>
      <c r="F336" s="18"/>
      <c r="G336" s="18"/>
      <c r="H336" s="18"/>
    </row>
    <row r="337" spans="1:8" x14ac:dyDescent="0.3">
      <c r="A337" t="s">
        <v>672</v>
      </c>
      <c r="B337" s="3">
        <f t="shared" si="5"/>
        <v>44075</v>
      </c>
      <c r="C337" s="3" t="str">
        <f>VLOOKUP(MONTH(Tabela1[[#This Row],[Periodo]]),NUMMESES,2,FALSE)</f>
        <v>Setembro</v>
      </c>
      <c r="D337" s="2">
        <f>YEAR(Tabela1[[#This Row],[Periodo]])</f>
        <v>2020</v>
      </c>
      <c r="E337" s="147">
        <v>4.34</v>
      </c>
      <c r="F337" s="18"/>
      <c r="G337" s="18"/>
      <c r="H337" s="18"/>
    </row>
    <row r="338" spans="1:8" x14ac:dyDescent="0.3">
      <c r="A338" t="s">
        <v>672</v>
      </c>
      <c r="B338" s="3">
        <f t="shared" si="5"/>
        <v>44105</v>
      </c>
      <c r="C338" s="3" t="str">
        <f>VLOOKUP(MONTH(Tabela1[[#This Row],[Periodo]]),NUMMESES,2,FALSE)</f>
        <v>Outubro</v>
      </c>
      <c r="D338" s="2">
        <f>YEAR(Tabela1[[#This Row],[Periodo]])</f>
        <v>2020</v>
      </c>
      <c r="E338" s="147">
        <v>3.23</v>
      </c>
      <c r="F338" s="18"/>
      <c r="G338" s="18"/>
      <c r="H338" s="18"/>
    </row>
    <row r="339" spans="1:8" x14ac:dyDescent="0.3">
      <c r="A339" t="s">
        <v>672</v>
      </c>
      <c r="B339" s="3">
        <f t="shared" si="5"/>
        <v>44136</v>
      </c>
      <c r="C339" s="3" t="str">
        <f>VLOOKUP(MONTH(Tabela1[[#This Row],[Periodo]]),NUMMESES,2,FALSE)</f>
        <v>Novembro</v>
      </c>
      <c r="D339" s="2">
        <f>YEAR(Tabela1[[#This Row],[Periodo]])</f>
        <v>2020</v>
      </c>
      <c r="E339" s="147">
        <v>3.28</v>
      </c>
      <c r="F339" s="18"/>
      <c r="G339" s="18"/>
      <c r="H339" s="18"/>
    </row>
    <row r="340" spans="1:8" x14ac:dyDescent="0.3">
      <c r="A340" t="s">
        <v>672</v>
      </c>
      <c r="B340" s="3">
        <f t="shared" si="5"/>
        <v>44166</v>
      </c>
      <c r="C340" s="3" t="str">
        <f>VLOOKUP(MONTH(Tabela1[[#This Row],[Periodo]]),NUMMESES,2,FALSE)</f>
        <v>Dezembro</v>
      </c>
      <c r="D340" s="2">
        <f>YEAR(Tabela1[[#This Row],[Periodo]])</f>
        <v>2020</v>
      </c>
      <c r="E340" s="147">
        <v>0.96</v>
      </c>
      <c r="F340" s="18"/>
      <c r="G340" s="18"/>
      <c r="H340" s="18"/>
    </row>
    <row r="341" spans="1:8" x14ac:dyDescent="0.3">
      <c r="A341" t="s">
        <v>672</v>
      </c>
      <c r="B341" s="3">
        <f t="shared" si="5"/>
        <v>44197</v>
      </c>
      <c r="C341" s="3" t="str">
        <f>VLOOKUP(MONTH(Tabela1[[#This Row],[Periodo]]),NUMMESES,2,FALSE)</f>
        <v>Janeiro</v>
      </c>
      <c r="D341" s="2">
        <f>YEAR(Tabela1[[#This Row],[Periodo]])</f>
        <v>2021</v>
      </c>
      <c r="E341" s="147">
        <v>2.58</v>
      </c>
      <c r="F341" s="18"/>
      <c r="G341" s="18"/>
      <c r="H341" s="18"/>
    </row>
    <row r="342" spans="1:8" x14ac:dyDescent="0.3">
      <c r="A342" t="s">
        <v>672</v>
      </c>
      <c r="B342" s="3">
        <f t="shared" si="5"/>
        <v>44228</v>
      </c>
      <c r="C342" s="3" t="str">
        <f>VLOOKUP(MONTH(Tabela1[[#This Row],[Periodo]]),NUMMESES,2,FALSE)</f>
        <v>Fevereiro</v>
      </c>
      <c r="D342" s="2">
        <f>YEAR(Tabela1[[#This Row],[Periodo]])</f>
        <v>2021</v>
      </c>
      <c r="E342" s="147">
        <v>2.5299999999999998</v>
      </c>
      <c r="F342" s="18"/>
      <c r="G342" s="18"/>
      <c r="H342" s="18"/>
    </row>
    <row r="343" spans="1:8" x14ac:dyDescent="0.3">
      <c r="A343" t="s">
        <v>672</v>
      </c>
      <c r="B343" s="3">
        <f t="shared" si="5"/>
        <v>44256</v>
      </c>
      <c r="C343" s="3" t="str">
        <f>VLOOKUP(MONTH(Tabela1[[#This Row],[Periodo]]),NUMMESES,2,FALSE)</f>
        <v>Março</v>
      </c>
      <c r="D343" s="2">
        <f>YEAR(Tabela1[[#This Row],[Periodo]])</f>
        <v>2021</v>
      </c>
      <c r="E343" s="147">
        <v>2.94</v>
      </c>
      <c r="F343" s="18"/>
      <c r="G343" s="18"/>
      <c r="H343" s="18"/>
    </row>
    <row r="344" spans="1:8" x14ac:dyDescent="0.3">
      <c r="A344" t="s">
        <v>672</v>
      </c>
      <c r="B344" s="3">
        <f t="shared" si="5"/>
        <v>44287</v>
      </c>
      <c r="C344" s="3" t="str">
        <f>VLOOKUP(MONTH(Tabela1[[#This Row],[Periodo]]),NUMMESES,2,FALSE)</f>
        <v>Abril</v>
      </c>
      <c r="D344" s="2">
        <f>YEAR(Tabela1[[#This Row],[Periodo]])</f>
        <v>2021</v>
      </c>
      <c r="E344" s="147">
        <v>1.51</v>
      </c>
      <c r="F344" s="18"/>
      <c r="G344" s="18"/>
      <c r="H344" s="18"/>
    </row>
    <row r="345" spans="1:8" x14ac:dyDescent="0.3">
      <c r="A345" t="s">
        <v>672</v>
      </c>
      <c r="B345" s="3">
        <f t="shared" si="5"/>
        <v>44317</v>
      </c>
      <c r="C345" s="3" t="str">
        <f>VLOOKUP(MONTH(Tabela1[[#This Row],[Periodo]]),NUMMESES,2,FALSE)</f>
        <v>Maio</v>
      </c>
      <c r="D345" s="2">
        <f>YEAR(Tabela1[[#This Row],[Periodo]])</f>
        <v>2021</v>
      </c>
      <c r="E345" s="147">
        <v>4.0999999999999996</v>
      </c>
      <c r="F345" s="18"/>
      <c r="G345" s="18"/>
      <c r="H345" s="18"/>
    </row>
    <row r="346" spans="1:8" x14ac:dyDescent="0.3">
      <c r="A346" t="s">
        <v>672</v>
      </c>
      <c r="B346" s="3">
        <f t="shared" si="5"/>
        <v>44348</v>
      </c>
      <c r="C346" s="3" t="str">
        <f>VLOOKUP(MONTH(Tabela1[[#This Row],[Periodo]]),NUMMESES,2,FALSE)</f>
        <v>Junho</v>
      </c>
      <c r="D346" s="2">
        <f>YEAR(Tabela1[[#This Row],[Periodo]])</f>
        <v>2021</v>
      </c>
      <c r="E346" s="147">
        <v>0.6</v>
      </c>
      <c r="F346" s="18"/>
      <c r="G346" s="18"/>
      <c r="H346" s="18"/>
    </row>
    <row r="347" spans="1:8" x14ac:dyDescent="0.3">
      <c r="A347" t="s">
        <v>672</v>
      </c>
      <c r="B347" s="3">
        <f t="shared" si="5"/>
        <v>44378</v>
      </c>
      <c r="C347" s="3" t="str">
        <f>VLOOKUP(MONTH(Tabela1[[#This Row],[Periodo]]),NUMMESES,2,FALSE)</f>
        <v>Julho</v>
      </c>
      <c r="D347" s="2">
        <f>YEAR(Tabela1[[#This Row],[Periodo]])</f>
        <v>2021</v>
      </c>
      <c r="E347" s="147">
        <v>0.78</v>
      </c>
      <c r="F347" s="18"/>
      <c r="G347" s="18"/>
      <c r="H347" s="18"/>
    </row>
    <row r="348" spans="1:8" x14ac:dyDescent="0.3">
      <c r="A348" t="s">
        <v>672</v>
      </c>
      <c r="B348" s="3">
        <f t="shared" si="5"/>
        <v>44409</v>
      </c>
      <c r="C348" s="3" t="str">
        <f>VLOOKUP(MONTH(Tabela1[[#This Row],[Periodo]]),NUMMESES,2,FALSE)</f>
        <v>Agosto</v>
      </c>
      <c r="D348" s="2">
        <f>YEAR(Tabela1[[#This Row],[Periodo]])</f>
        <v>2021</v>
      </c>
      <c r="E348" s="147">
        <v>0.66</v>
      </c>
      <c r="F348" s="18"/>
      <c r="G348" s="18"/>
      <c r="H348" s="18"/>
    </row>
    <row r="349" spans="1:8" x14ac:dyDescent="0.3">
      <c r="A349" t="s">
        <v>672</v>
      </c>
      <c r="B349" s="3">
        <f t="shared" si="5"/>
        <v>44440</v>
      </c>
      <c r="C349" s="3" t="str">
        <f>VLOOKUP(MONTH(Tabela1[[#This Row],[Periodo]]),NUMMESES,2,FALSE)</f>
        <v>Setembro</v>
      </c>
      <c r="D349" s="2">
        <f>YEAR(Tabela1[[#This Row],[Periodo]])</f>
        <v>2021</v>
      </c>
      <c r="E349" s="147">
        <v>-0.64</v>
      </c>
      <c r="F349" s="18"/>
      <c r="G349" s="18"/>
      <c r="H349" s="18"/>
    </row>
    <row r="350" spans="1:8" x14ac:dyDescent="0.3">
      <c r="A350" t="s">
        <v>672</v>
      </c>
      <c r="B350" s="3">
        <f t="shared" si="5"/>
        <v>44470</v>
      </c>
      <c r="C350" s="3" t="str">
        <f>VLOOKUP(MONTH(Tabela1[[#This Row],[Periodo]]),NUMMESES,2,FALSE)</f>
        <v>Outubro</v>
      </c>
      <c r="D350" s="2">
        <f>YEAR(Tabela1[[#This Row],[Periodo]])</f>
        <v>2021</v>
      </c>
      <c r="E350" s="147">
        <v>0.64</v>
      </c>
      <c r="F350" s="18"/>
      <c r="G350" s="18"/>
      <c r="H350" s="18"/>
    </row>
    <row r="351" spans="1:8" x14ac:dyDescent="0.3">
      <c r="A351" t="s">
        <v>672</v>
      </c>
      <c r="B351" s="3">
        <f t="shared" si="5"/>
        <v>44501</v>
      </c>
      <c r="C351" s="3" t="str">
        <f>VLOOKUP(MONTH(Tabela1[[#This Row],[Periodo]]),NUMMESES,2,FALSE)</f>
        <v>Novembro</v>
      </c>
      <c r="D351" s="2">
        <f>YEAR(Tabela1[[#This Row],[Periodo]])</f>
        <v>2021</v>
      </c>
      <c r="E351" s="147">
        <v>0.02</v>
      </c>
      <c r="F351" s="18"/>
      <c r="G351" s="18"/>
      <c r="H351" s="18"/>
    </row>
    <row r="352" spans="1:8" x14ac:dyDescent="0.3">
      <c r="A352" t="s">
        <v>672</v>
      </c>
      <c r="B352" s="3">
        <f t="shared" si="5"/>
        <v>44531</v>
      </c>
      <c r="C352" s="3" t="str">
        <f>VLOOKUP(MONTH(Tabela1[[#This Row],[Periodo]]),NUMMESES,2,FALSE)</f>
        <v>Dezembro</v>
      </c>
      <c r="D352" s="2">
        <f>YEAR(Tabela1[[#This Row],[Periodo]])</f>
        <v>2021</v>
      </c>
      <c r="E352" s="147">
        <v>0.87</v>
      </c>
      <c r="F352" s="18"/>
      <c r="G352" s="18"/>
      <c r="H352" s="18"/>
    </row>
    <row r="353" spans="1:8" x14ac:dyDescent="0.3">
      <c r="A353" t="s">
        <v>672</v>
      </c>
      <c r="B353" s="3">
        <f t="shared" si="5"/>
        <v>44562</v>
      </c>
      <c r="C353" s="3" t="str">
        <f>VLOOKUP(MONTH(Tabela1[[#This Row],[Periodo]]),NUMMESES,2,FALSE)</f>
        <v>Janeiro</v>
      </c>
      <c r="D353" s="2">
        <f>YEAR(Tabela1[[#This Row],[Periodo]])</f>
        <v>2022</v>
      </c>
      <c r="E353" s="147">
        <v>1.82</v>
      </c>
      <c r="F353" s="18"/>
      <c r="G353" s="18"/>
      <c r="H353" s="18"/>
    </row>
    <row r="354" spans="1:8" x14ac:dyDescent="0.3">
      <c r="A354" t="s">
        <v>672</v>
      </c>
      <c r="B354" s="3">
        <f t="shared" si="5"/>
        <v>44593</v>
      </c>
      <c r="C354" s="3" t="str">
        <f>VLOOKUP(MONTH(Tabela1[[#This Row],[Periodo]]),NUMMESES,2,FALSE)</f>
        <v>Fevereiro</v>
      </c>
      <c r="D354" s="2">
        <f>YEAR(Tabela1[[#This Row],[Periodo]])</f>
        <v>2022</v>
      </c>
      <c r="E354" s="147">
        <v>1.83</v>
      </c>
      <c r="F354" s="18"/>
      <c r="G354" s="18"/>
      <c r="H354" s="18"/>
    </row>
    <row r="355" spans="1:8" x14ac:dyDescent="0.3">
      <c r="A355" t="s">
        <v>672</v>
      </c>
      <c r="B355" s="3">
        <f t="shared" si="5"/>
        <v>44621</v>
      </c>
      <c r="C355" s="3" t="str">
        <f>VLOOKUP(MONTH(Tabela1[[#This Row],[Periodo]]),NUMMESES,2,FALSE)</f>
        <v>Março</v>
      </c>
      <c r="D355" s="2">
        <f>YEAR(Tabela1[[#This Row],[Periodo]])</f>
        <v>2022</v>
      </c>
      <c r="E355" s="147">
        <v>1.74</v>
      </c>
      <c r="F355" s="18"/>
      <c r="G355" s="18"/>
      <c r="H355" s="18"/>
    </row>
    <row r="356" spans="1:8" x14ac:dyDescent="0.3">
      <c r="A356" t="s">
        <v>672</v>
      </c>
      <c r="B356" s="3">
        <f t="shared" si="5"/>
        <v>44652</v>
      </c>
      <c r="C356" s="3" t="str">
        <f>VLOOKUP(MONTH(Tabela1[[#This Row],[Periodo]]),NUMMESES,2,FALSE)</f>
        <v>Abril</v>
      </c>
      <c r="D356" s="2">
        <f>YEAR(Tabela1[[#This Row],[Periodo]])</f>
        <v>2022</v>
      </c>
      <c r="E356" s="147">
        <v>1.41</v>
      </c>
      <c r="F356" s="18"/>
      <c r="G356" s="18"/>
      <c r="H356" s="18"/>
    </row>
    <row r="357" spans="1:8" x14ac:dyDescent="0.3">
      <c r="A357" t="s">
        <v>672</v>
      </c>
      <c r="B357" s="3">
        <f t="shared" si="5"/>
        <v>44682</v>
      </c>
      <c r="C357" s="3" t="str">
        <f>VLOOKUP(MONTH(Tabela1[[#This Row],[Periodo]]),NUMMESES,2,FALSE)</f>
        <v>Maio</v>
      </c>
      <c r="D357" s="2">
        <f>YEAR(Tabela1[[#This Row],[Periodo]])</f>
        <v>2022</v>
      </c>
      <c r="E357" s="147">
        <v>0.52</v>
      </c>
      <c r="F357" s="18"/>
      <c r="G357" s="18"/>
      <c r="H357" s="18"/>
    </row>
    <row r="358" spans="1:8" x14ac:dyDescent="0.3">
      <c r="A358" t="s">
        <v>672</v>
      </c>
      <c r="B358" s="3">
        <f t="shared" si="5"/>
        <v>44713</v>
      </c>
      <c r="C358" s="3" t="str">
        <f>VLOOKUP(MONTH(Tabela1[[#This Row],[Periodo]]),NUMMESES,2,FALSE)</f>
        <v>Junho</v>
      </c>
      <c r="D358" s="2">
        <f>YEAR(Tabela1[[#This Row],[Periodo]])</f>
        <v>2022</v>
      </c>
      <c r="E358" s="147">
        <v>0.59</v>
      </c>
      <c r="F358" s="18"/>
      <c r="G358" s="18"/>
      <c r="H358" s="18"/>
    </row>
    <row r="359" spans="1:8" x14ac:dyDescent="0.3">
      <c r="A359" t="s">
        <v>672</v>
      </c>
      <c r="B359" s="3">
        <f t="shared" si="5"/>
        <v>44743</v>
      </c>
      <c r="C359" s="3" t="str">
        <f>VLOOKUP(MONTH(Tabela1[[#This Row],[Periodo]]),NUMMESES,2,FALSE)</f>
        <v>Julho</v>
      </c>
      <c r="D359" s="2">
        <f>YEAR(Tabela1[[#This Row],[Periodo]])</f>
        <v>2022</v>
      </c>
      <c r="E359" s="147">
        <v>0.21</v>
      </c>
      <c r="F359" s="18"/>
      <c r="G359" s="18"/>
      <c r="H359" s="18"/>
    </row>
    <row r="360" spans="1:8" x14ac:dyDescent="0.3">
      <c r="A360" t="s">
        <v>672</v>
      </c>
      <c r="B360" s="3">
        <f t="shared" si="5"/>
        <v>44774</v>
      </c>
      <c r="C360" s="3" t="str">
        <f>VLOOKUP(MONTH(Tabela1[[#This Row],[Periodo]]),NUMMESES,2,FALSE)</f>
        <v>Agosto</v>
      </c>
      <c r="D360" s="2">
        <f>YEAR(Tabela1[[#This Row],[Periodo]])</f>
        <v>2022</v>
      </c>
      <c r="E360" s="147">
        <v>-0.7</v>
      </c>
      <c r="F360" s="18"/>
      <c r="G360" s="18"/>
      <c r="H360" s="18"/>
    </row>
    <row r="361" spans="1:8" x14ac:dyDescent="0.3">
      <c r="A361" t="s">
        <v>672</v>
      </c>
      <c r="B361" s="3">
        <f t="shared" si="5"/>
        <v>44805</v>
      </c>
      <c r="C361" s="3" t="str">
        <f>VLOOKUP(MONTH(Tabela1[[#This Row],[Periodo]]),NUMMESES,2,FALSE)</f>
        <v>Setembro</v>
      </c>
      <c r="D361" s="2">
        <f>YEAR(Tabela1[[#This Row],[Periodo]])</f>
        <v>2022</v>
      </c>
      <c r="E361" s="147">
        <v>-0.95</v>
      </c>
      <c r="F361" s="18"/>
      <c r="G361" s="18"/>
      <c r="H361" s="18"/>
    </row>
    <row r="362" spans="1:8" x14ac:dyDescent="0.3">
      <c r="A362" t="s">
        <v>672</v>
      </c>
      <c r="B362" s="3">
        <f t="shared" si="5"/>
        <v>44835</v>
      </c>
      <c r="C362" s="3" t="str">
        <f>VLOOKUP(MONTH(Tabela1[[#This Row],[Periodo]]),NUMMESES,2,FALSE)</f>
        <v>Outubro</v>
      </c>
      <c r="D362" s="2">
        <f>YEAR(Tabela1[[#This Row],[Periodo]])</f>
        <v>2022</v>
      </c>
      <c r="E362" s="147">
        <v>-0.97</v>
      </c>
      <c r="F362" s="18"/>
      <c r="G362" s="18"/>
      <c r="H362" s="18"/>
    </row>
    <row r="363" spans="1:8" x14ac:dyDescent="0.3">
      <c r="A363" t="s">
        <v>672</v>
      </c>
      <c r="B363" s="3">
        <f t="shared" si="5"/>
        <v>44866</v>
      </c>
      <c r="C363" s="3" t="str">
        <f>VLOOKUP(MONTH(Tabela1[[#This Row],[Periodo]]),NUMMESES,2,FALSE)</f>
        <v>Novembro</v>
      </c>
      <c r="D363" s="2">
        <f>YEAR(Tabela1[[#This Row],[Periodo]])</f>
        <v>2022</v>
      </c>
      <c r="E363" s="147">
        <v>-0.56000000000000005</v>
      </c>
      <c r="F363" s="18"/>
      <c r="G363" s="18"/>
      <c r="H363" s="18"/>
    </row>
    <row r="364" spans="1:8" x14ac:dyDescent="0.3">
      <c r="A364" t="s">
        <v>672</v>
      </c>
      <c r="B364" s="3">
        <f t="shared" si="5"/>
        <v>44896</v>
      </c>
      <c r="C364" s="3" t="str">
        <f>VLOOKUP(MONTH(Tabela1[[#This Row],[Periodo]]),NUMMESES,2,FALSE)</f>
        <v>Dezembro</v>
      </c>
      <c r="D364" s="2">
        <f>YEAR(Tabela1[[#This Row],[Periodo]])</f>
        <v>2022</v>
      </c>
      <c r="E364" s="147">
        <v>0.45</v>
      </c>
      <c r="F364" s="18"/>
      <c r="G364" s="18"/>
      <c r="H364" s="18"/>
    </row>
    <row r="365" spans="1:8" x14ac:dyDescent="0.3">
      <c r="A365" t="s">
        <v>672</v>
      </c>
      <c r="B365" s="3">
        <f t="shared" si="5"/>
        <v>44927</v>
      </c>
      <c r="C365" s="3" t="str">
        <f>VLOOKUP(MONTH(Tabela1[[#This Row],[Periodo]]),NUMMESES,2,FALSE)</f>
        <v>Janeiro</v>
      </c>
      <c r="D365" s="2">
        <f>YEAR(Tabela1[[#This Row],[Periodo]])</f>
        <v>2023</v>
      </c>
      <c r="E365" s="147">
        <v>0.21</v>
      </c>
      <c r="F365" s="18"/>
      <c r="G365" s="18"/>
      <c r="H365" s="18"/>
    </row>
    <row r="366" spans="1:8" x14ac:dyDescent="0.3">
      <c r="A366" t="s">
        <v>672</v>
      </c>
      <c r="B366" s="3">
        <f t="shared" si="5"/>
        <v>44958</v>
      </c>
      <c r="C366" s="3" t="str">
        <f>VLOOKUP(MONTH(Tabela1[[#This Row],[Periodo]]),NUMMESES,2,FALSE)</f>
        <v>Fevereiro</v>
      </c>
      <c r="D366" s="2">
        <f>YEAR(Tabela1[[#This Row],[Periodo]])</f>
        <v>2023</v>
      </c>
      <c r="E366" s="147">
        <v>-0.06</v>
      </c>
      <c r="F366" s="18"/>
      <c r="G366" s="18"/>
      <c r="H366" s="18"/>
    </row>
    <row r="367" spans="1:8" x14ac:dyDescent="0.3">
      <c r="A367" t="s">
        <v>672</v>
      </c>
      <c r="B367" s="3">
        <f t="shared" si="5"/>
        <v>44986</v>
      </c>
      <c r="C367" s="3" t="str">
        <f>VLOOKUP(MONTH(Tabela1[[#This Row],[Periodo]]),NUMMESES,2,FALSE)</f>
        <v>Março</v>
      </c>
      <c r="D367" s="2">
        <f>YEAR(Tabela1[[#This Row],[Periodo]])</f>
        <v>2023</v>
      </c>
      <c r="E367" s="147">
        <v>0.05</v>
      </c>
      <c r="F367" s="18"/>
      <c r="G367" s="18"/>
      <c r="H367" s="18"/>
    </row>
    <row r="368" spans="1:8" x14ac:dyDescent="0.3">
      <c r="A368" t="s">
        <v>672</v>
      </c>
      <c r="B368" s="3">
        <f t="shared" si="5"/>
        <v>45017</v>
      </c>
      <c r="C368" s="3" t="str">
        <f>VLOOKUP(MONTH(Tabela1[[#This Row],[Periodo]]),NUMMESES,2,FALSE)</f>
        <v>Abril</v>
      </c>
      <c r="D368" s="2">
        <f>YEAR(Tabela1[[#This Row],[Periodo]])</f>
        <v>2023</v>
      </c>
      <c r="E368" s="147">
        <v>-0.95</v>
      </c>
      <c r="F368" s="18"/>
      <c r="G368" s="18"/>
      <c r="H368" s="18"/>
    </row>
    <row r="369" spans="1:8" x14ac:dyDescent="0.3">
      <c r="A369" t="s">
        <v>672</v>
      </c>
      <c r="B369" s="3">
        <f t="shared" si="5"/>
        <v>45047</v>
      </c>
      <c r="C369" s="3" t="str">
        <f>VLOOKUP(MONTH(Tabela1[[#This Row],[Periodo]]),NUMMESES,2,FALSE)</f>
        <v>Maio</v>
      </c>
      <c r="D369" s="2">
        <f>YEAR(Tabela1[[#This Row],[Periodo]])</f>
        <v>2023</v>
      </c>
      <c r="E369" s="147">
        <v>-0.95</v>
      </c>
      <c r="F369" s="18"/>
      <c r="G369" s="18"/>
      <c r="H369" s="18"/>
    </row>
    <row r="370" spans="1:8" x14ac:dyDescent="0.3">
      <c r="A370" t="s">
        <v>672</v>
      </c>
      <c r="B370" s="3">
        <f t="shared" si="5"/>
        <v>45078</v>
      </c>
      <c r="C370" s="3" t="str">
        <f>VLOOKUP(MONTH(Tabela1[[#This Row],[Periodo]]),NUMMESES,2,FALSE)</f>
        <v>Junho</v>
      </c>
      <c r="D370" s="2">
        <f>YEAR(Tabela1[[#This Row],[Periodo]])</f>
        <v>2023</v>
      </c>
      <c r="E370" s="147">
        <v>-0.95</v>
      </c>
      <c r="F370" s="18"/>
      <c r="G370" s="18"/>
      <c r="H370" s="18"/>
    </row>
    <row r="371" spans="1:8" x14ac:dyDescent="0.3">
      <c r="A371" t="s">
        <v>672</v>
      </c>
      <c r="B371" s="3">
        <f t="shared" si="5"/>
        <v>45108</v>
      </c>
      <c r="C371" s="3" t="str">
        <f>VLOOKUP(MONTH(Tabela1[[#This Row],[Periodo]]),NUMMESES,2,FALSE)</f>
        <v>Julho</v>
      </c>
      <c r="D371" s="2">
        <f>YEAR(Tabela1[[#This Row],[Periodo]])</f>
        <v>2023</v>
      </c>
      <c r="E371" s="147">
        <v>-0.95</v>
      </c>
      <c r="F371" s="18"/>
      <c r="G371" s="18"/>
      <c r="H371" s="18"/>
    </row>
    <row r="372" spans="1:8" x14ac:dyDescent="0.3">
      <c r="A372" t="s">
        <v>672</v>
      </c>
      <c r="B372" s="3">
        <f t="shared" si="5"/>
        <v>45139</v>
      </c>
      <c r="C372" s="3" t="str">
        <f>VLOOKUP(MONTH(Tabela1[[#This Row],[Periodo]]),NUMMESES,2,FALSE)</f>
        <v>Agosto</v>
      </c>
      <c r="D372" s="2">
        <f>YEAR(Tabela1[[#This Row],[Periodo]])</f>
        <v>2023</v>
      </c>
      <c r="E372" s="147">
        <v>-0.95</v>
      </c>
      <c r="F372" s="18"/>
      <c r="G372" s="18"/>
      <c r="H372" s="18"/>
    </row>
    <row r="373" spans="1:8" x14ac:dyDescent="0.3">
      <c r="A373" t="s">
        <v>672</v>
      </c>
      <c r="B373" s="3">
        <f t="shared" si="5"/>
        <v>45170</v>
      </c>
      <c r="C373" s="3" t="str">
        <f>VLOOKUP(MONTH(Tabela1[[#This Row],[Periodo]]),NUMMESES,2,FALSE)</f>
        <v>Setembro</v>
      </c>
      <c r="D373" s="2">
        <f>YEAR(Tabela1[[#This Row],[Periodo]])</f>
        <v>2023</v>
      </c>
      <c r="E373" s="147">
        <v>-0.95</v>
      </c>
      <c r="F373" s="18"/>
      <c r="G373" s="18"/>
      <c r="H373" s="18"/>
    </row>
    <row r="374" spans="1:8" x14ac:dyDescent="0.3">
      <c r="A374" t="s">
        <v>672</v>
      </c>
      <c r="B374" s="3">
        <f t="shared" si="5"/>
        <v>45200</v>
      </c>
      <c r="C374" s="3" t="str">
        <f>VLOOKUP(MONTH(Tabela1[[#This Row],[Periodo]]),NUMMESES,2,FALSE)</f>
        <v>Outubro</v>
      </c>
      <c r="D374" s="2">
        <f>YEAR(Tabela1[[#This Row],[Periodo]])</f>
        <v>2023</v>
      </c>
      <c r="E374" s="147">
        <v>-0.95</v>
      </c>
      <c r="F374" s="18"/>
      <c r="G374" s="18"/>
      <c r="H374" s="18"/>
    </row>
    <row r="375" spans="1:8" x14ac:dyDescent="0.3">
      <c r="A375" t="s">
        <v>672</v>
      </c>
      <c r="B375" s="3">
        <f t="shared" si="5"/>
        <v>45231</v>
      </c>
      <c r="C375" s="3" t="str">
        <f>VLOOKUP(MONTH(Tabela1[[#This Row],[Periodo]]),NUMMESES,2,FALSE)</f>
        <v>Novembro</v>
      </c>
      <c r="D375" s="2">
        <f>YEAR(Tabela1[[#This Row],[Periodo]])</f>
        <v>2023</v>
      </c>
      <c r="E375" s="147">
        <v>-0.95</v>
      </c>
      <c r="F375" s="18"/>
      <c r="G375" s="18"/>
      <c r="H375" s="18"/>
    </row>
    <row r="376" spans="1:8" x14ac:dyDescent="0.3">
      <c r="A376" t="s">
        <v>672</v>
      </c>
      <c r="B376" s="3">
        <f t="shared" si="5"/>
        <v>45261</v>
      </c>
      <c r="C376" s="3" t="str">
        <f>VLOOKUP(MONTH(Tabela1[[#This Row],[Periodo]]),NUMMESES,2,FALSE)</f>
        <v>Dezembro</v>
      </c>
      <c r="D376" s="2">
        <f>YEAR(Tabela1[[#This Row],[Periodo]])</f>
        <v>2023</v>
      </c>
      <c r="E376" s="147">
        <v>-0.95</v>
      </c>
      <c r="F376" s="18"/>
      <c r="G376" s="18"/>
      <c r="H376" s="18"/>
    </row>
    <row r="377" spans="1:8" x14ac:dyDescent="0.3">
      <c r="A377" t="s">
        <v>672</v>
      </c>
      <c r="B377" s="3">
        <f t="shared" si="5"/>
        <v>45292</v>
      </c>
      <c r="C377" s="3" t="str">
        <f>VLOOKUP(MONTH(Tabela1[[#This Row],[Periodo]]),NUMMESES,2,FALSE)</f>
        <v>Janeiro</v>
      </c>
      <c r="D377" s="2">
        <f>YEAR(Tabela1[[#This Row],[Periodo]])</f>
        <v>2024</v>
      </c>
      <c r="E377" s="147">
        <v>-0.95</v>
      </c>
      <c r="F377" s="18"/>
      <c r="G377" s="18"/>
      <c r="H377" s="18"/>
    </row>
    <row r="378" spans="1:8" x14ac:dyDescent="0.3">
      <c r="A378" t="s">
        <v>672</v>
      </c>
      <c r="B378" s="3">
        <f t="shared" si="5"/>
        <v>45323</v>
      </c>
      <c r="C378" s="3" t="str">
        <f>VLOOKUP(MONTH(Tabela1[[#This Row],[Periodo]]),NUMMESES,2,FALSE)</f>
        <v>Fevereiro</v>
      </c>
      <c r="D378" s="2">
        <f>YEAR(Tabela1[[#This Row],[Periodo]])</f>
        <v>2024</v>
      </c>
      <c r="E378" s="147">
        <v>-0.95</v>
      </c>
      <c r="F378" s="18"/>
      <c r="G378" s="18"/>
      <c r="H378" s="18"/>
    </row>
    <row r="379" spans="1:8" x14ac:dyDescent="0.3">
      <c r="A379" t="s">
        <v>672</v>
      </c>
      <c r="B379" s="3">
        <f t="shared" si="5"/>
        <v>45352</v>
      </c>
      <c r="C379" s="3" t="str">
        <f>VLOOKUP(MONTH(Tabela1[[#This Row],[Periodo]]),NUMMESES,2,FALSE)</f>
        <v>Março</v>
      </c>
      <c r="D379" s="2">
        <f>YEAR(Tabela1[[#This Row],[Periodo]])</f>
        <v>2024</v>
      </c>
      <c r="E379" s="147">
        <v>-0.95</v>
      </c>
      <c r="F379" s="18"/>
      <c r="G379" s="18"/>
      <c r="H379" s="18"/>
    </row>
    <row r="380" spans="1:8" x14ac:dyDescent="0.3">
      <c r="A380" t="s">
        <v>672</v>
      </c>
      <c r="B380" s="3">
        <f t="shared" si="5"/>
        <v>45383</v>
      </c>
      <c r="C380" s="3" t="str">
        <f>VLOOKUP(MONTH(Tabela1[[#This Row],[Periodo]]),NUMMESES,2,FALSE)</f>
        <v>Abril</v>
      </c>
      <c r="D380" s="2">
        <f>YEAR(Tabela1[[#This Row],[Periodo]])</f>
        <v>2024</v>
      </c>
      <c r="E380" s="147">
        <v>-0.95</v>
      </c>
      <c r="F380" s="18"/>
      <c r="G380" s="18"/>
      <c r="H380" s="18"/>
    </row>
    <row r="381" spans="1:8" x14ac:dyDescent="0.3">
      <c r="A381" t="s">
        <v>672</v>
      </c>
      <c r="B381" s="3">
        <f t="shared" si="5"/>
        <v>45413</v>
      </c>
      <c r="C381" s="3" t="str">
        <f>VLOOKUP(MONTH(Tabela1[[#This Row],[Periodo]]),NUMMESES,2,FALSE)</f>
        <v>Maio</v>
      </c>
      <c r="D381" s="2">
        <f>YEAR(Tabela1[[#This Row],[Periodo]])</f>
        <v>2024</v>
      </c>
      <c r="E381" s="147">
        <v>-0.95</v>
      </c>
      <c r="F381" s="18"/>
      <c r="G381" s="18"/>
      <c r="H381" s="18"/>
    </row>
    <row r="382" spans="1:8" x14ac:dyDescent="0.3">
      <c r="A382" t="s">
        <v>672</v>
      </c>
      <c r="B382" s="3">
        <f t="shared" si="5"/>
        <v>45444</v>
      </c>
      <c r="C382" s="3" t="str">
        <f>VLOOKUP(MONTH(Tabela1[[#This Row],[Periodo]]),NUMMESES,2,FALSE)</f>
        <v>Junho</v>
      </c>
      <c r="D382" s="2">
        <f>YEAR(Tabela1[[#This Row],[Periodo]])</f>
        <v>2024</v>
      </c>
      <c r="E382" s="147">
        <v>-0.95</v>
      </c>
      <c r="F382" s="18"/>
      <c r="G382" s="18"/>
      <c r="H382" s="18"/>
    </row>
    <row r="383" spans="1:8" x14ac:dyDescent="0.3">
      <c r="A383" t="s">
        <v>672</v>
      </c>
      <c r="B383" s="3">
        <f t="shared" si="5"/>
        <v>45474</v>
      </c>
      <c r="C383" s="3" t="str">
        <f>VLOOKUP(MONTH(Tabela1[[#This Row],[Periodo]]),NUMMESES,2,FALSE)</f>
        <v>Julho</v>
      </c>
      <c r="D383" s="2">
        <f>YEAR(Tabela1[[#This Row],[Periodo]])</f>
        <v>2024</v>
      </c>
      <c r="E383" s="147">
        <v>-0.95</v>
      </c>
      <c r="F383" s="18"/>
      <c r="G383" s="18"/>
      <c r="H383" s="18"/>
    </row>
    <row r="384" spans="1:8" x14ac:dyDescent="0.3">
      <c r="A384" t="s">
        <v>672</v>
      </c>
      <c r="B384" s="3">
        <f t="shared" si="5"/>
        <v>45505</v>
      </c>
      <c r="C384" s="3" t="str">
        <f>VLOOKUP(MONTH(Tabela1[[#This Row],[Periodo]]),NUMMESES,2,FALSE)</f>
        <v>Agosto</v>
      </c>
      <c r="D384" s="2">
        <f>YEAR(Tabela1[[#This Row],[Periodo]])</f>
        <v>2024</v>
      </c>
      <c r="E384" s="147">
        <v>-0.95</v>
      </c>
      <c r="F384" s="18"/>
      <c r="G384" s="18"/>
      <c r="H384" s="18"/>
    </row>
    <row r="385" spans="1:8" x14ac:dyDescent="0.3">
      <c r="A385" t="s">
        <v>672</v>
      </c>
      <c r="B385" s="3">
        <f t="shared" si="5"/>
        <v>45536</v>
      </c>
      <c r="C385" s="3" t="str">
        <f>VLOOKUP(MONTH(Tabela1[[#This Row],[Periodo]]),NUMMESES,2,FALSE)</f>
        <v>Setembro</v>
      </c>
      <c r="D385" s="2">
        <f>YEAR(Tabela1[[#This Row],[Periodo]])</f>
        <v>2024</v>
      </c>
      <c r="E385" s="147">
        <v>-0.95</v>
      </c>
      <c r="F385" s="18"/>
      <c r="G385" s="18"/>
      <c r="H385" s="18"/>
    </row>
    <row r="386" spans="1:8" x14ac:dyDescent="0.3">
      <c r="A386" t="s">
        <v>672</v>
      </c>
      <c r="B386" s="3">
        <f t="shared" si="5"/>
        <v>45566</v>
      </c>
      <c r="C386" s="3" t="str">
        <f>VLOOKUP(MONTH(Tabela1[[#This Row],[Periodo]]),NUMMESES,2,FALSE)</f>
        <v>Outubro</v>
      </c>
      <c r="D386" s="2">
        <f>YEAR(Tabela1[[#This Row],[Periodo]])</f>
        <v>2024</v>
      </c>
      <c r="E386" s="147">
        <v>-0.95</v>
      </c>
      <c r="F386" s="18"/>
      <c r="G386" s="18"/>
      <c r="H386" s="18"/>
    </row>
    <row r="387" spans="1:8" x14ac:dyDescent="0.3">
      <c r="A387" t="s">
        <v>672</v>
      </c>
      <c r="B387" s="3">
        <f t="shared" si="5"/>
        <v>45597</v>
      </c>
      <c r="C387" s="3" t="str">
        <f>VLOOKUP(MONTH(Tabela1[[#This Row],[Periodo]]),NUMMESES,2,FALSE)</f>
        <v>Novembro</v>
      </c>
      <c r="D387" s="2">
        <f>YEAR(Tabela1[[#This Row],[Periodo]])</f>
        <v>2024</v>
      </c>
      <c r="E387" s="147">
        <v>-0.95</v>
      </c>
      <c r="F387" s="18"/>
      <c r="G387" s="18"/>
      <c r="H387" s="18"/>
    </row>
    <row r="388" spans="1:8" x14ac:dyDescent="0.3">
      <c r="A388" t="s">
        <v>672</v>
      </c>
      <c r="B388" s="3">
        <f t="shared" si="5"/>
        <v>45627</v>
      </c>
      <c r="C388" s="3" t="str">
        <f>VLOOKUP(MONTH(Tabela1[[#This Row],[Periodo]]),NUMMESES,2,FALSE)</f>
        <v>Dezembro</v>
      </c>
      <c r="D388" s="2">
        <f>YEAR(Tabela1[[#This Row],[Periodo]])</f>
        <v>2024</v>
      </c>
      <c r="E388" s="147">
        <v>-0.95</v>
      </c>
      <c r="F388" s="18"/>
      <c r="G388" s="18"/>
      <c r="H388" s="18"/>
    </row>
    <row r="389" spans="1:8" x14ac:dyDescent="0.3">
      <c r="A389" t="s">
        <v>672</v>
      </c>
      <c r="B389" s="3">
        <f t="shared" si="5"/>
        <v>45658</v>
      </c>
      <c r="C389" s="3" t="str">
        <f>VLOOKUP(MONTH(Tabela1[[#This Row],[Periodo]]),NUMMESES,2,FALSE)</f>
        <v>Janeiro</v>
      </c>
      <c r="D389" s="2">
        <f>YEAR(Tabela1[[#This Row],[Periodo]])</f>
        <v>2025</v>
      </c>
      <c r="E389" s="147">
        <v>-0.95</v>
      </c>
      <c r="F389" s="18"/>
      <c r="G389" s="18"/>
      <c r="H389" s="18"/>
    </row>
    <row r="390" spans="1:8" x14ac:dyDescent="0.3">
      <c r="A390" t="s">
        <v>672</v>
      </c>
      <c r="B390" s="3">
        <f t="shared" si="5"/>
        <v>45689</v>
      </c>
      <c r="C390" s="3" t="str">
        <f>VLOOKUP(MONTH(Tabela1[[#This Row],[Periodo]]),NUMMESES,2,FALSE)</f>
        <v>Fevereiro</v>
      </c>
      <c r="D390" s="2">
        <f>YEAR(Tabela1[[#This Row],[Periodo]])</f>
        <v>2025</v>
      </c>
      <c r="E390" s="147">
        <v>-0.95</v>
      </c>
      <c r="F390" s="18"/>
      <c r="G390" s="18"/>
      <c r="H390" s="18"/>
    </row>
    <row r="391" spans="1:8" x14ac:dyDescent="0.3">
      <c r="A391" t="s">
        <v>672</v>
      </c>
      <c r="B391" s="3">
        <f t="shared" si="5"/>
        <v>45717</v>
      </c>
      <c r="C391" s="3" t="str">
        <f>VLOOKUP(MONTH(Tabela1[[#This Row],[Periodo]]),NUMMESES,2,FALSE)</f>
        <v>Março</v>
      </c>
      <c r="D391" s="2">
        <f>YEAR(Tabela1[[#This Row],[Periodo]])</f>
        <v>2025</v>
      </c>
      <c r="E391" s="147">
        <v>-0.95</v>
      </c>
      <c r="F391" s="18"/>
      <c r="G391" s="18"/>
      <c r="H391" s="18"/>
    </row>
    <row r="392" spans="1:8" x14ac:dyDescent="0.3">
      <c r="A392" t="s">
        <v>672</v>
      </c>
      <c r="B392" s="3">
        <f t="shared" si="5"/>
        <v>45748</v>
      </c>
      <c r="C392" s="3" t="str">
        <f>VLOOKUP(MONTH(Tabela1[[#This Row],[Periodo]]),NUMMESES,2,FALSE)</f>
        <v>Abril</v>
      </c>
      <c r="D392" s="2">
        <f>YEAR(Tabela1[[#This Row],[Periodo]])</f>
        <v>2025</v>
      </c>
      <c r="E392" s="147">
        <v>-0.95</v>
      </c>
      <c r="F392" s="18"/>
      <c r="G392" s="18"/>
      <c r="H392" s="18"/>
    </row>
    <row r="393" spans="1:8" x14ac:dyDescent="0.3">
      <c r="A393" t="s">
        <v>672</v>
      </c>
      <c r="B393" s="3">
        <f t="shared" si="5"/>
        <v>45778</v>
      </c>
      <c r="C393" s="3" t="str">
        <f>VLOOKUP(MONTH(Tabela1[[#This Row],[Periodo]]),NUMMESES,2,FALSE)</f>
        <v>Maio</v>
      </c>
      <c r="D393" s="2">
        <f>YEAR(Tabela1[[#This Row],[Periodo]])</f>
        <v>2025</v>
      </c>
      <c r="E393" s="147">
        <v>-0.95</v>
      </c>
      <c r="F393" s="18"/>
      <c r="G393" s="18"/>
      <c r="H393" s="18"/>
    </row>
    <row r="394" spans="1:8" x14ac:dyDescent="0.3">
      <c r="A394" t="s">
        <v>672</v>
      </c>
      <c r="B394" s="3">
        <f t="shared" si="5"/>
        <v>45809</v>
      </c>
      <c r="C394" s="3" t="str">
        <f>VLOOKUP(MONTH(Tabela1[[#This Row],[Periodo]]),NUMMESES,2,FALSE)</f>
        <v>Junho</v>
      </c>
      <c r="D394" s="2">
        <f>YEAR(Tabela1[[#This Row],[Periodo]])</f>
        <v>2025</v>
      </c>
      <c r="E394" s="147">
        <v>-0.95</v>
      </c>
      <c r="F394" s="18"/>
      <c r="G394" s="18"/>
      <c r="H394" s="18"/>
    </row>
    <row r="395" spans="1:8" x14ac:dyDescent="0.3">
      <c r="A395" t="s">
        <v>672</v>
      </c>
      <c r="B395" s="3">
        <f t="shared" si="5"/>
        <v>45839</v>
      </c>
      <c r="C395" s="3" t="str">
        <f>VLOOKUP(MONTH(Tabela1[[#This Row],[Periodo]]),NUMMESES,2,FALSE)</f>
        <v>Julho</v>
      </c>
      <c r="D395" s="2">
        <f>YEAR(Tabela1[[#This Row],[Periodo]])</f>
        <v>2025</v>
      </c>
      <c r="E395" s="147">
        <v>-0.95</v>
      </c>
      <c r="F395" s="18"/>
      <c r="G395" s="18"/>
      <c r="H395" s="18"/>
    </row>
    <row r="396" spans="1:8" x14ac:dyDescent="0.3">
      <c r="A396" t="s">
        <v>672</v>
      </c>
      <c r="B396" s="3">
        <f t="shared" si="5"/>
        <v>45870</v>
      </c>
      <c r="C396" s="3" t="str">
        <f>VLOOKUP(MONTH(Tabela1[[#This Row],[Periodo]]),NUMMESES,2,FALSE)</f>
        <v>Agosto</v>
      </c>
      <c r="D396" s="2">
        <f>YEAR(Tabela1[[#This Row],[Periodo]])</f>
        <v>2025</v>
      </c>
      <c r="E396" s="147">
        <v>-0.95</v>
      </c>
      <c r="F396" s="18"/>
      <c r="G396" s="18"/>
      <c r="H396" s="18"/>
    </row>
    <row r="397" spans="1:8" x14ac:dyDescent="0.3">
      <c r="A397" t="s">
        <v>672</v>
      </c>
      <c r="B397" s="3">
        <f t="shared" si="5"/>
        <v>45901</v>
      </c>
      <c r="C397" s="3" t="str">
        <f>VLOOKUP(MONTH(Tabela1[[#This Row],[Periodo]]),NUMMESES,2,FALSE)</f>
        <v>Setembro</v>
      </c>
      <c r="D397" s="2">
        <f>YEAR(Tabela1[[#This Row],[Periodo]])</f>
        <v>2025</v>
      </c>
      <c r="E397" s="147">
        <v>-0.95</v>
      </c>
      <c r="F397" s="18"/>
      <c r="G397" s="18"/>
      <c r="H397" s="18"/>
    </row>
    <row r="398" spans="1:8" x14ac:dyDescent="0.3">
      <c r="A398" t="s">
        <v>672</v>
      </c>
      <c r="B398" s="3">
        <f t="shared" si="5"/>
        <v>45931</v>
      </c>
      <c r="C398" s="3" t="str">
        <f>VLOOKUP(MONTH(Tabela1[[#This Row],[Periodo]]),NUMMESES,2,FALSE)</f>
        <v>Outubro</v>
      </c>
      <c r="D398" s="2">
        <f>YEAR(Tabela1[[#This Row],[Periodo]])</f>
        <v>2025</v>
      </c>
      <c r="E398" s="147">
        <v>-0.95</v>
      </c>
      <c r="F398" s="18"/>
      <c r="G398" s="18"/>
      <c r="H398" s="18"/>
    </row>
    <row r="399" spans="1:8" x14ac:dyDescent="0.3">
      <c r="A399" t="s">
        <v>672</v>
      </c>
      <c r="B399" s="3">
        <f t="shared" si="5"/>
        <v>45962</v>
      </c>
      <c r="C399" s="3" t="str">
        <f>VLOOKUP(MONTH(Tabela1[[#This Row],[Periodo]]),NUMMESES,2,FALSE)</f>
        <v>Novembro</v>
      </c>
      <c r="D399" s="2">
        <f>YEAR(Tabela1[[#This Row],[Periodo]])</f>
        <v>2025</v>
      </c>
      <c r="E399" s="147">
        <v>-0.95</v>
      </c>
      <c r="F399" s="18"/>
      <c r="G399" s="18"/>
      <c r="H399" s="18"/>
    </row>
    <row r="400" spans="1:8" x14ac:dyDescent="0.3">
      <c r="A400" t="s">
        <v>672</v>
      </c>
      <c r="B400" s="3">
        <f t="shared" si="5"/>
        <v>45992</v>
      </c>
      <c r="C400" s="3" t="str">
        <f>VLOOKUP(MONTH(Tabela1[[#This Row],[Periodo]]),NUMMESES,2,FALSE)</f>
        <v>Dezembro</v>
      </c>
      <c r="D400" s="2">
        <f>YEAR(Tabela1[[#This Row],[Periodo]])</f>
        <v>2025</v>
      </c>
      <c r="E400" s="147">
        <v>-0.95</v>
      </c>
      <c r="F400" s="18"/>
      <c r="G400" s="18"/>
      <c r="H400" s="18"/>
    </row>
    <row r="401" spans="1:8" x14ac:dyDescent="0.3">
      <c r="A401" t="s">
        <v>672</v>
      </c>
      <c r="B401" s="3">
        <f t="shared" si="5"/>
        <v>46023</v>
      </c>
      <c r="C401" s="3" t="str">
        <f>VLOOKUP(MONTH(Tabela1[[#This Row],[Periodo]]),NUMMESES,2,FALSE)</f>
        <v>Janeiro</v>
      </c>
      <c r="D401" s="2">
        <f>YEAR(Tabela1[[#This Row],[Periodo]])</f>
        <v>2026</v>
      </c>
      <c r="E401" s="147">
        <v>-0.95</v>
      </c>
      <c r="F401" s="18"/>
      <c r="G401" s="18"/>
      <c r="H401" s="18"/>
    </row>
    <row r="402" spans="1:8" x14ac:dyDescent="0.3">
      <c r="B402" s="3"/>
      <c r="C402" s="2"/>
      <c r="D402" s="2"/>
      <c r="E402" s="147"/>
      <c r="F402" s="18"/>
      <c r="G402" s="18"/>
      <c r="H402" s="18"/>
    </row>
    <row r="403" spans="1:8" x14ac:dyDescent="0.3">
      <c r="A403" t="s">
        <v>673</v>
      </c>
      <c r="B403" s="3">
        <v>43101</v>
      </c>
      <c r="C403" s="3" t="str">
        <f>VLOOKUP(MONTH(Tabela1[[#This Row],[Periodo]]),NUMMESES,2,FALSE)</f>
        <v>Janeiro</v>
      </c>
      <c r="D403" s="2">
        <f>YEAR(Tabela1[[#This Row],[Periodo]])</f>
        <v>2018</v>
      </c>
      <c r="E403" s="147">
        <v>0.57999999999999996</v>
      </c>
      <c r="F403" s="18"/>
      <c r="G403" s="18"/>
      <c r="H403" s="18"/>
    </row>
    <row r="404" spans="1:8" x14ac:dyDescent="0.3">
      <c r="A404" t="s">
        <v>673</v>
      </c>
      <c r="B404" s="3">
        <f t="shared" ref="B404:B499" si="6">DATE(YEAR(B403),MONTH(B403)+1,DAY(B403))</f>
        <v>43132</v>
      </c>
      <c r="C404" s="3" t="str">
        <f>VLOOKUP(MONTH(Tabela1[[#This Row],[Periodo]]),NUMMESES,2,FALSE)</f>
        <v>Fevereiro</v>
      </c>
      <c r="D404" s="2">
        <f>YEAR(Tabela1[[#This Row],[Periodo]])</f>
        <v>2018</v>
      </c>
      <c r="E404" s="147">
        <v>0.47</v>
      </c>
      <c r="F404" s="18"/>
      <c r="G404" s="18"/>
      <c r="H404" s="18"/>
    </row>
    <row r="405" spans="1:8" x14ac:dyDescent="0.3">
      <c r="A405" t="s">
        <v>673</v>
      </c>
      <c r="B405" s="3">
        <f t="shared" si="6"/>
        <v>43160</v>
      </c>
      <c r="C405" s="3" t="str">
        <f>VLOOKUP(MONTH(Tabela1[[#This Row],[Periodo]]),NUMMESES,2,FALSE)</f>
        <v>Março</v>
      </c>
      <c r="D405" s="2">
        <f>YEAR(Tabela1[[#This Row],[Periodo]])</f>
        <v>2018</v>
      </c>
      <c r="E405" s="147">
        <v>0.53</v>
      </c>
      <c r="F405" s="18"/>
      <c r="G405" s="18"/>
      <c r="H405" s="18"/>
    </row>
    <row r="406" spans="1:8" x14ac:dyDescent="0.3">
      <c r="A406" t="s">
        <v>673</v>
      </c>
      <c r="B406" s="3">
        <f t="shared" si="6"/>
        <v>43191</v>
      </c>
      <c r="C406" s="3" t="str">
        <f>VLOOKUP(MONTH(Tabela1[[#This Row],[Periodo]]),NUMMESES,2,FALSE)</f>
        <v>Abril</v>
      </c>
      <c r="D406" s="2">
        <f>YEAR(Tabela1[[#This Row],[Periodo]])</f>
        <v>2018</v>
      </c>
      <c r="E406" s="147">
        <v>0.52</v>
      </c>
      <c r="F406" s="18"/>
      <c r="G406" s="18"/>
      <c r="H406" s="18"/>
    </row>
    <row r="407" spans="1:8" x14ac:dyDescent="0.3">
      <c r="A407" t="s">
        <v>673</v>
      </c>
      <c r="B407" s="3">
        <f t="shared" si="6"/>
        <v>43221</v>
      </c>
      <c r="C407" s="3" t="str">
        <f>VLOOKUP(MONTH(Tabela1[[#This Row],[Periodo]]),NUMMESES,2,FALSE)</f>
        <v>Maio</v>
      </c>
      <c r="D407" s="2">
        <f>YEAR(Tabela1[[#This Row],[Periodo]])</f>
        <v>2018</v>
      </c>
      <c r="E407" s="147">
        <v>0.52</v>
      </c>
      <c r="F407" s="18"/>
      <c r="G407" s="18"/>
      <c r="H407" s="18"/>
    </row>
    <row r="408" spans="1:8" x14ac:dyDescent="0.3">
      <c r="A408" t="s">
        <v>673</v>
      </c>
      <c r="B408" s="3">
        <f t="shared" si="6"/>
        <v>43252</v>
      </c>
      <c r="C408" s="3" t="str">
        <f>VLOOKUP(MONTH(Tabela1[[#This Row],[Periodo]]),NUMMESES,2,FALSE)</f>
        <v>Junho</v>
      </c>
      <c r="D408" s="2">
        <f>YEAR(Tabela1[[#This Row],[Periodo]])</f>
        <v>2018</v>
      </c>
      <c r="E408" s="147">
        <v>0.52</v>
      </c>
      <c r="F408" s="18"/>
      <c r="G408" s="18"/>
      <c r="H408" s="18"/>
    </row>
    <row r="409" spans="1:8" x14ac:dyDescent="0.3">
      <c r="A409" t="s">
        <v>673</v>
      </c>
      <c r="B409" s="3">
        <f t="shared" si="6"/>
        <v>43282</v>
      </c>
      <c r="C409" s="3" t="str">
        <f>VLOOKUP(MONTH(Tabela1[[#This Row],[Periodo]]),NUMMESES,2,FALSE)</f>
        <v>Julho</v>
      </c>
      <c r="D409" s="2">
        <f>YEAR(Tabela1[[#This Row],[Periodo]])</f>
        <v>2018</v>
      </c>
      <c r="E409" s="147">
        <v>0.52</v>
      </c>
      <c r="F409" s="18"/>
      <c r="G409" s="18"/>
      <c r="H409" s="18"/>
    </row>
    <row r="410" spans="1:8" x14ac:dyDescent="0.3">
      <c r="A410" t="s">
        <v>673</v>
      </c>
      <c r="B410" s="3">
        <f t="shared" si="6"/>
        <v>43313</v>
      </c>
      <c r="C410" s="3" t="str">
        <f>VLOOKUP(MONTH(Tabela1[[#This Row],[Periodo]]),NUMMESES,2,FALSE)</f>
        <v>Agosto</v>
      </c>
      <c r="D410" s="2">
        <f>YEAR(Tabela1[[#This Row],[Periodo]])</f>
        <v>2018</v>
      </c>
      <c r="E410" s="147">
        <v>0.56999999999999995</v>
      </c>
      <c r="F410" s="18"/>
      <c r="G410" s="18"/>
      <c r="H410" s="18"/>
    </row>
    <row r="411" spans="1:8" x14ac:dyDescent="0.3">
      <c r="A411" t="s">
        <v>673</v>
      </c>
      <c r="B411" s="3">
        <f t="shared" si="6"/>
        <v>43344</v>
      </c>
      <c r="C411" s="3" t="str">
        <f>VLOOKUP(MONTH(Tabela1[[#This Row],[Periodo]]),NUMMESES,2,FALSE)</f>
        <v>Setembro</v>
      </c>
      <c r="D411" s="2">
        <f>YEAR(Tabela1[[#This Row],[Periodo]])</f>
        <v>2018</v>
      </c>
      <c r="E411" s="147">
        <v>0.47</v>
      </c>
      <c r="F411" s="18"/>
      <c r="G411" s="18"/>
      <c r="H411" s="18"/>
    </row>
    <row r="412" spans="1:8" x14ac:dyDescent="0.3">
      <c r="A412" t="s">
        <v>673</v>
      </c>
      <c r="B412" s="3">
        <f t="shared" si="6"/>
        <v>43374</v>
      </c>
      <c r="C412" s="3" t="str">
        <f>VLOOKUP(MONTH(Tabela1[[#This Row],[Periodo]]),NUMMESES,2,FALSE)</f>
        <v>Outubro</v>
      </c>
      <c r="D412" s="2">
        <f>YEAR(Tabela1[[#This Row],[Periodo]])</f>
        <v>2018</v>
      </c>
      <c r="E412" s="147">
        <v>0.47</v>
      </c>
      <c r="F412" s="18"/>
      <c r="G412" s="18"/>
      <c r="H412" s="18"/>
    </row>
    <row r="413" spans="1:8" x14ac:dyDescent="0.3">
      <c r="A413" t="s">
        <v>673</v>
      </c>
      <c r="B413" s="3">
        <f t="shared" si="6"/>
        <v>43405</v>
      </c>
      <c r="C413" s="3" t="str">
        <f>VLOOKUP(MONTH(Tabela1[[#This Row],[Periodo]]),NUMMESES,2,FALSE)</f>
        <v>Novembro</v>
      </c>
      <c r="D413" s="2">
        <f>YEAR(Tabela1[[#This Row],[Periodo]])</f>
        <v>2018</v>
      </c>
      <c r="E413" s="147">
        <v>0.49</v>
      </c>
      <c r="F413" s="18"/>
      <c r="G413" s="18"/>
      <c r="H413" s="18"/>
    </row>
    <row r="414" spans="1:8" x14ac:dyDescent="0.3">
      <c r="A414" t="s">
        <v>673</v>
      </c>
      <c r="B414" s="3">
        <f t="shared" si="6"/>
        <v>43435</v>
      </c>
      <c r="C414" s="3" t="str">
        <f>VLOOKUP(MONTH(Tabela1[[#This Row],[Periodo]]),NUMMESES,2,FALSE)</f>
        <v>Dezembro</v>
      </c>
      <c r="D414" s="2">
        <f>YEAR(Tabela1[[#This Row],[Periodo]])</f>
        <v>2018</v>
      </c>
      <c r="E414" s="147">
        <v>0.49</v>
      </c>
      <c r="F414" s="18"/>
      <c r="G414" s="18"/>
      <c r="H414" s="18"/>
    </row>
    <row r="415" spans="1:8" x14ac:dyDescent="0.3">
      <c r="A415" t="s">
        <v>673</v>
      </c>
      <c r="B415" s="3">
        <f t="shared" si="6"/>
        <v>43466</v>
      </c>
      <c r="C415" s="3" t="str">
        <f>VLOOKUP(MONTH(Tabela1[[#This Row],[Periodo]]),NUMMESES,2,FALSE)</f>
        <v>Janeiro</v>
      </c>
      <c r="D415" s="2">
        <f>YEAR(Tabela1[[#This Row],[Periodo]])</f>
        <v>2019</v>
      </c>
      <c r="E415" s="147">
        <v>0.54</v>
      </c>
      <c r="F415" s="18"/>
      <c r="G415" s="18"/>
      <c r="H415" s="18"/>
    </row>
    <row r="416" spans="1:8" x14ac:dyDescent="0.3">
      <c r="A416" t="s">
        <v>673</v>
      </c>
      <c r="B416" s="3">
        <f t="shared" si="6"/>
        <v>43497</v>
      </c>
      <c r="C416" s="3" t="str">
        <f>VLOOKUP(MONTH(Tabela1[[#This Row],[Periodo]]),NUMMESES,2,FALSE)</f>
        <v>Fevereiro</v>
      </c>
      <c r="D416" s="2">
        <f>YEAR(Tabela1[[#This Row],[Periodo]])</f>
        <v>2019</v>
      </c>
      <c r="E416" s="147">
        <v>0.49</v>
      </c>
      <c r="F416" s="18"/>
      <c r="G416" s="18"/>
      <c r="H416" s="18"/>
    </row>
    <row r="417" spans="1:8" x14ac:dyDescent="0.3">
      <c r="A417" t="s">
        <v>673</v>
      </c>
      <c r="B417" s="3">
        <f t="shared" si="6"/>
        <v>43525</v>
      </c>
      <c r="C417" s="3" t="str">
        <f>VLOOKUP(MONTH(Tabela1[[#This Row],[Periodo]]),NUMMESES,2,FALSE)</f>
        <v>Março</v>
      </c>
      <c r="D417" s="2">
        <f>YEAR(Tabela1[[#This Row],[Periodo]])</f>
        <v>2019</v>
      </c>
      <c r="E417" s="147">
        <v>0.47</v>
      </c>
      <c r="F417" s="18"/>
      <c r="G417" s="18"/>
      <c r="H417" s="18"/>
    </row>
    <row r="418" spans="1:8" x14ac:dyDescent="0.3">
      <c r="A418" t="s">
        <v>673</v>
      </c>
      <c r="B418" s="3">
        <f t="shared" si="6"/>
        <v>43556</v>
      </c>
      <c r="C418" s="3" t="str">
        <f>VLOOKUP(MONTH(Tabela1[[#This Row],[Periodo]]),NUMMESES,2,FALSE)</f>
        <v>Abril</v>
      </c>
      <c r="D418" s="2">
        <f>YEAR(Tabela1[[#This Row],[Periodo]])</f>
        <v>2019</v>
      </c>
      <c r="E418" s="147">
        <v>0.52</v>
      </c>
      <c r="F418" s="18"/>
      <c r="G418" s="18"/>
      <c r="H418" s="18"/>
    </row>
    <row r="419" spans="1:8" x14ac:dyDescent="0.3">
      <c r="A419" t="s">
        <v>673</v>
      </c>
      <c r="B419" s="3">
        <f t="shared" si="6"/>
        <v>43586</v>
      </c>
      <c r="C419" s="3" t="str">
        <f>VLOOKUP(MONTH(Tabela1[[#This Row],[Periodo]]),NUMMESES,2,FALSE)</f>
        <v>Maio</v>
      </c>
      <c r="D419" s="2">
        <f>YEAR(Tabela1[[#This Row],[Periodo]])</f>
        <v>2019</v>
      </c>
      <c r="E419" s="147">
        <v>0.54</v>
      </c>
      <c r="F419" s="18"/>
      <c r="G419" s="18"/>
      <c r="H419" s="18"/>
    </row>
    <row r="420" spans="1:8" x14ac:dyDescent="0.3">
      <c r="A420" t="s">
        <v>673</v>
      </c>
      <c r="B420" s="3">
        <f t="shared" si="6"/>
        <v>43617</v>
      </c>
      <c r="C420" s="3" t="str">
        <f>VLOOKUP(MONTH(Tabela1[[#This Row],[Periodo]]),NUMMESES,2,FALSE)</f>
        <v>Junho</v>
      </c>
      <c r="D420" s="2">
        <f>YEAR(Tabela1[[#This Row],[Periodo]])</f>
        <v>2019</v>
      </c>
      <c r="E420" s="147">
        <v>0.47</v>
      </c>
      <c r="F420" s="18"/>
      <c r="G420" s="18"/>
      <c r="H420" s="18"/>
    </row>
    <row r="421" spans="1:8" x14ac:dyDescent="0.3">
      <c r="A421" t="s">
        <v>673</v>
      </c>
      <c r="B421" s="3">
        <f t="shared" si="6"/>
        <v>43647</v>
      </c>
      <c r="C421" s="3" t="str">
        <f>VLOOKUP(MONTH(Tabela1[[#This Row],[Periodo]]),NUMMESES,2,FALSE)</f>
        <v>Julho</v>
      </c>
      <c r="D421" s="2">
        <f>YEAR(Tabela1[[#This Row],[Periodo]])</f>
        <v>2019</v>
      </c>
      <c r="E421" s="147">
        <v>0.56999999999999995</v>
      </c>
      <c r="F421" s="18"/>
      <c r="G421" s="18"/>
      <c r="H421" s="18"/>
    </row>
    <row r="422" spans="1:8" x14ac:dyDescent="0.3">
      <c r="A422" t="s">
        <v>673</v>
      </c>
      <c r="B422" s="3">
        <f t="shared" si="6"/>
        <v>43678</v>
      </c>
      <c r="C422" s="3" t="str">
        <f>VLOOKUP(MONTH(Tabela1[[#This Row],[Periodo]]),NUMMESES,2,FALSE)</f>
        <v>Agosto</v>
      </c>
      <c r="D422" s="2">
        <f>YEAR(Tabela1[[#This Row],[Periodo]])</f>
        <v>2019</v>
      </c>
      <c r="E422" s="147">
        <v>0.5</v>
      </c>
      <c r="F422" s="18"/>
      <c r="G422" s="18"/>
      <c r="H422" s="18"/>
    </row>
    <row r="423" spans="1:8" x14ac:dyDescent="0.3">
      <c r="A423" t="s">
        <v>673</v>
      </c>
      <c r="B423" s="3">
        <f t="shared" si="6"/>
        <v>43709</v>
      </c>
      <c r="C423" s="3" t="str">
        <f>VLOOKUP(MONTH(Tabela1[[#This Row],[Periodo]]),NUMMESES,2,FALSE)</f>
        <v>Setembro</v>
      </c>
      <c r="D423" s="2">
        <f>YEAR(Tabela1[[#This Row],[Periodo]])</f>
        <v>2019</v>
      </c>
      <c r="E423" s="147">
        <v>0.46</v>
      </c>
      <c r="F423" s="18"/>
      <c r="G423" s="18"/>
      <c r="H423" s="18"/>
    </row>
    <row r="424" spans="1:8" x14ac:dyDescent="0.3">
      <c r="A424" t="s">
        <v>673</v>
      </c>
      <c r="B424" s="3">
        <f t="shared" si="6"/>
        <v>43739</v>
      </c>
      <c r="C424" s="3" t="str">
        <f>VLOOKUP(MONTH(Tabela1[[#This Row],[Periodo]]),NUMMESES,2,FALSE)</f>
        <v>Outubro</v>
      </c>
      <c r="D424" s="2">
        <f>YEAR(Tabela1[[#This Row],[Periodo]])</f>
        <v>2019</v>
      </c>
      <c r="E424" s="147">
        <v>0.48</v>
      </c>
      <c r="F424" s="18"/>
      <c r="G424" s="18"/>
      <c r="H424" s="18"/>
    </row>
    <row r="425" spans="1:8" x14ac:dyDescent="0.3">
      <c r="A425" t="s">
        <v>673</v>
      </c>
      <c r="B425" s="3">
        <f t="shared" si="6"/>
        <v>43770</v>
      </c>
      <c r="C425" s="3" t="str">
        <f>VLOOKUP(MONTH(Tabela1[[#This Row],[Periodo]]),NUMMESES,2,FALSE)</f>
        <v>Novembro</v>
      </c>
      <c r="D425" s="2">
        <f>YEAR(Tabela1[[#This Row],[Periodo]])</f>
        <v>2019</v>
      </c>
      <c r="E425" s="147">
        <v>0.38</v>
      </c>
      <c r="F425" s="18"/>
      <c r="G425" s="18"/>
      <c r="H425" s="18"/>
    </row>
    <row r="426" spans="1:8" x14ac:dyDescent="0.3">
      <c r="A426" t="s">
        <v>673</v>
      </c>
      <c r="B426" s="3">
        <f t="shared" si="6"/>
        <v>43800</v>
      </c>
      <c r="C426" s="3" t="str">
        <f>VLOOKUP(MONTH(Tabela1[[#This Row],[Periodo]]),NUMMESES,2,FALSE)</f>
        <v>Dezembro</v>
      </c>
      <c r="D426" s="2">
        <f>YEAR(Tabela1[[#This Row],[Periodo]])</f>
        <v>2019</v>
      </c>
      <c r="E426" s="147">
        <v>0.37</v>
      </c>
      <c r="F426" s="18"/>
      <c r="G426" s="18"/>
      <c r="H426" s="18"/>
    </row>
    <row r="427" spans="1:8" x14ac:dyDescent="0.3">
      <c r="A427" t="s">
        <v>673</v>
      </c>
      <c r="B427" s="3">
        <f t="shared" si="6"/>
        <v>43831</v>
      </c>
      <c r="C427" s="3" t="str">
        <f>VLOOKUP(MONTH(Tabela1[[#This Row],[Periodo]]),NUMMESES,2,FALSE)</f>
        <v>Janeiro</v>
      </c>
      <c r="D427" s="2">
        <f>YEAR(Tabela1[[#This Row],[Periodo]])</f>
        <v>2020</v>
      </c>
      <c r="E427" s="147">
        <v>0.38</v>
      </c>
      <c r="F427" s="18"/>
      <c r="G427" s="18"/>
      <c r="H427" s="18"/>
    </row>
    <row r="428" spans="1:8" x14ac:dyDescent="0.3">
      <c r="A428" t="s">
        <v>673</v>
      </c>
      <c r="B428" s="3">
        <f t="shared" si="6"/>
        <v>43862</v>
      </c>
      <c r="C428" s="3" t="str">
        <f>VLOOKUP(MONTH(Tabela1[[#This Row],[Periodo]]),NUMMESES,2,FALSE)</f>
        <v>Fevereiro</v>
      </c>
      <c r="D428" s="2">
        <f>YEAR(Tabela1[[#This Row],[Periodo]])</f>
        <v>2020</v>
      </c>
      <c r="E428" s="147">
        <v>0.28999999999999998</v>
      </c>
      <c r="F428" s="18"/>
      <c r="G428" s="18"/>
      <c r="H428" s="18"/>
    </row>
    <row r="429" spans="1:8" x14ac:dyDescent="0.3">
      <c r="A429" t="s">
        <v>673</v>
      </c>
      <c r="B429" s="3">
        <f t="shared" si="6"/>
        <v>43891</v>
      </c>
      <c r="C429" s="3" t="str">
        <f>VLOOKUP(MONTH(Tabela1[[#This Row],[Periodo]]),NUMMESES,2,FALSE)</f>
        <v>Março</v>
      </c>
      <c r="D429" s="2">
        <f>YEAR(Tabela1[[#This Row],[Periodo]])</f>
        <v>2020</v>
      </c>
      <c r="E429" s="147">
        <v>0.34</v>
      </c>
      <c r="F429" s="18"/>
      <c r="G429" s="18"/>
      <c r="H429" s="18"/>
    </row>
    <row r="430" spans="1:8" x14ac:dyDescent="0.3">
      <c r="A430" t="s">
        <v>673</v>
      </c>
      <c r="B430" s="3">
        <f t="shared" si="6"/>
        <v>43922</v>
      </c>
      <c r="C430" s="3" t="str">
        <f>VLOOKUP(MONTH(Tabela1[[#This Row],[Periodo]]),NUMMESES,2,FALSE)</f>
        <v>Abril</v>
      </c>
      <c r="D430" s="2">
        <f>YEAR(Tabela1[[#This Row],[Periodo]])</f>
        <v>2020</v>
      </c>
      <c r="E430" s="147">
        <v>0.28000000000000003</v>
      </c>
      <c r="F430" s="18"/>
      <c r="G430" s="18"/>
      <c r="H430" s="18"/>
    </row>
    <row r="431" spans="1:8" x14ac:dyDescent="0.3">
      <c r="A431" t="s">
        <v>673</v>
      </c>
      <c r="B431" s="3">
        <f t="shared" si="6"/>
        <v>43952</v>
      </c>
      <c r="C431" s="3" t="str">
        <f>VLOOKUP(MONTH(Tabela1[[#This Row],[Periodo]]),NUMMESES,2,FALSE)</f>
        <v>Maio</v>
      </c>
      <c r="D431" s="2">
        <f>YEAR(Tabela1[[#This Row],[Periodo]])</f>
        <v>2020</v>
      </c>
      <c r="E431" s="147">
        <v>0.24</v>
      </c>
      <c r="F431" s="18"/>
      <c r="G431" s="18"/>
      <c r="H431" s="18"/>
    </row>
    <row r="432" spans="1:8" x14ac:dyDescent="0.3">
      <c r="A432" t="s">
        <v>673</v>
      </c>
      <c r="B432" s="3">
        <f t="shared" si="6"/>
        <v>43983</v>
      </c>
      <c r="C432" s="3" t="str">
        <f>VLOOKUP(MONTH(Tabela1[[#This Row],[Periodo]]),NUMMESES,2,FALSE)</f>
        <v>Junho</v>
      </c>
      <c r="D432" s="2">
        <f>YEAR(Tabela1[[#This Row],[Periodo]])</f>
        <v>2020</v>
      </c>
      <c r="E432" s="147">
        <v>0.21</v>
      </c>
      <c r="F432" s="18"/>
      <c r="G432" s="18"/>
      <c r="H432" s="18"/>
    </row>
    <row r="433" spans="1:8" x14ac:dyDescent="0.3">
      <c r="A433" t="s">
        <v>673</v>
      </c>
      <c r="B433" s="3">
        <f t="shared" si="6"/>
        <v>44013</v>
      </c>
      <c r="C433" s="3" t="str">
        <f>VLOOKUP(MONTH(Tabela1[[#This Row],[Periodo]]),NUMMESES,2,FALSE)</f>
        <v>Julho</v>
      </c>
      <c r="D433" s="2">
        <f>YEAR(Tabela1[[#This Row],[Periodo]])</f>
        <v>2020</v>
      </c>
      <c r="E433" s="147">
        <v>0.19</v>
      </c>
      <c r="F433" s="18"/>
      <c r="G433" s="18"/>
      <c r="H433" s="18"/>
    </row>
    <row r="434" spans="1:8" x14ac:dyDescent="0.3">
      <c r="A434" t="s">
        <v>673</v>
      </c>
      <c r="B434" s="3">
        <f t="shared" si="6"/>
        <v>44044</v>
      </c>
      <c r="C434" s="3" t="str">
        <f>VLOOKUP(MONTH(Tabela1[[#This Row],[Periodo]]),NUMMESES,2,FALSE)</f>
        <v>Agosto</v>
      </c>
      <c r="D434" s="2">
        <f>YEAR(Tabela1[[#This Row],[Periodo]])</f>
        <v>2020</v>
      </c>
      <c r="E434" s="147">
        <v>0.16</v>
      </c>
      <c r="F434" s="18"/>
      <c r="G434" s="18"/>
      <c r="H434" s="18"/>
    </row>
    <row r="435" spans="1:8" x14ac:dyDescent="0.3">
      <c r="A435" t="s">
        <v>673</v>
      </c>
      <c r="B435" s="3">
        <f t="shared" si="6"/>
        <v>44075</v>
      </c>
      <c r="C435" s="3" t="str">
        <f>VLOOKUP(MONTH(Tabela1[[#This Row],[Periodo]]),NUMMESES,2,FALSE)</f>
        <v>Setembro</v>
      </c>
      <c r="D435" s="2">
        <f>YEAR(Tabela1[[#This Row],[Periodo]])</f>
        <v>2020</v>
      </c>
      <c r="E435" s="147">
        <v>0.16</v>
      </c>
      <c r="F435" s="18"/>
      <c r="G435" s="18"/>
      <c r="H435" s="18"/>
    </row>
    <row r="436" spans="1:8" x14ac:dyDescent="0.3">
      <c r="A436" t="s">
        <v>673</v>
      </c>
      <c r="B436" s="3">
        <f t="shared" si="6"/>
        <v>44105</v>
      </c>
      <c r="C436" s="3" t="str">
        <f>VLOOKUP(MONTH(Tabela1[[#This Row],[Periodo]]),NUMMESES,2,FALSE)</f>
        <v>Outubro</v>
      </c>
      <c r="D436" s="2">
        <f>YEAR(Tabela1[[#This Row],[Periodo]])</f>
        <v>2020</v>
      </c>
      <c r="E436" s="147">
        <v>0.16</v>
      </c>
      <c r="F436" s="18"/>
      <c r="G436" s="18"/>
      <c r="H436" s="18"/>
    </row>
    <row r="437" spans="1:8" x14ac:dyDescent="0.3">
      <c r="A437" t="s">
        <v>673</v>
      </c>
      <c r="B437" s="3">
        <f t="shared" si="6"/>
        <v>44136</v>
      </c>
      <c r="C437" s="3" t="str">
        <f>VLOOKUP(MONTH(Tabela1[[#This Row],[Periodo]]),NUMMESES,2,FALSE)</f>
        <v>Novembro</v>
      </c>
      <c r="D437" s="2">
        <f>YEAR(Tabela1[[#This Row],[Periodo]])</f>
        <v>2020</v>
      </c>
      <c r="E437" s="147">
        <v>0.15</v>
      </c>
      <c r="F437" s="18"/>
      <c r="G437" s="18"/>
      <c r="H437" s="18"/>
    </row>
    <row r="438" spans="1:8" x14ac:dyDescent="0.3">
      <c r="A438" t="s">
        <v>673</v>
      </c>
      <c r="B438" s="3">
        <f t="shared" si="6"/>
        <v>44166</v>
      </c>
      <c r="C438" s="3" t="str">
        <f>VLOOKUP(MONTH(Tabela1[[#This Row],[Periodo]]),NUMMESES,2,FALSE)</f>
        <v>Dezembro</v>
      </c>
      <c r="D438" s="2">
        <f>YEAR(Tabela1[[#This Row],[Periodo]])</f>
        <v>2020</v>
      </c>
      <c r="E438" s="147">
        <v>0.17299999999999999</v>
      </c>
      <c r="F438" s="18"/>
      <c r="G438" s="18"/>
      <c r="H438" s="18"/>
    </row>
    <row r="439" spans="1:8" x14ac:dyDescent="0.3">
      <c r="A439" t="s">
        <v>673</v>
      </c>
      <c r="B439" s="3">
        <f t="shared" si="6"/>
        <v>44197</v>
      </c>
      <c r="C439" s="3" t="str">
        <f>VLOOKUP(MONTH(Tabela1[[#This Row],[Periodo]]),NUMMESES,2,FALSE)</f>
        <v>Janeiro</v>
      </c>
      <c r="D439" s="2">
        <f>YEAR(Tabela1[[#This Row],[Periodo]])</f>
        <v>2021</v>
      </c>
      <c r="E439" s="147">
        <v>0.15</v>
      </c>
      <c r="F439" s="18"/>
      <c r="G439" s="18"/>
      <c r="H439" s="18"/>
    </row>
    <row r="440" spans="1:8" x14ac:dyDescent="0.3">
      <c r="A440" t="s">
        <v>673</v>
      </c>
      <c r="B440" s="3">
        <f t="shared" si="6"/>
        <v>44228</v>
      </c>
      <c r="C440" s="3" t="str">
        <f>VLOOKUP(MONTH(Tabela1[[#This Row],[Periodo]]),NUMMESES,2,FALSE)</f>
        <v>Fevereiro</v>
      </c>
      <c r="D440" s="2">
        <f>YEAR(Tabela1[[#This Row],[Periodo]])</f>
        <v>2021</v>
      </c>
      <c r="E440" s="147">
        <v>0.13</v>
      </c>
      <c r="F440" s="18"/>
      <c r="G440" s="18"/>
      <c r="H440" s="18"/>
    </row>
    <row r="441" spans="1:8" x14ac:dyDescent="0.3">
      <c r="A441" t="s">
        <v>673</v>
      </c>
      <c r="B441" s="3">
        <f t="shared" si="6"/>
        <v>44256</v>
      </c>
      <c r="C441" s="3" t="str">
        <f>VLOOKUP(MONTH(Tabela1[[#This Row],[Periodo]]),NUMMESES,2,FALSE)</f>
        <v>Março</v>
      </c>
      <c r="D441" s="2">
        <f>YEAR(Tabela1[[#This Row],[Periodo]])</f>
        <v>2021</v>
      </c>
      <c r="E441" s="147">
        <v>0.2</v>
      </c>
      <c r="F441" s="18"/>
      <c r="G441" s="18"/>
      <c r="H441" s="18"/>
    </row>
    <row r="442" spans="1:8" x14ac:dyDescent="0.3">
      <c r="A442" t="s">
        <v>673</v>
      </c>
      <c r="B442" s="3">
        <f t="shared" si="6"/>
        <v>44287</v>
      </c>
      <c r="C442" s="3" t="str">
        <f>VLOOKUP(MONTH(Tabela1[[#This Row],[Periodo]]),NUMMESES,2,FALSE)</f>
        <v>Abril</v>
      </c>
      <c r="D442" s="2">
        <f>YEAR(Tabela1[[#This Row],[Periodo]])</f>
        <v>2021</v>
      </c>
      <c r="E442" s="147">
        <v>0.21</v>
      </c>
      <c r="F442" s="18"/>
      <c r="G442" s="18"/>
      <c r="H442" s="18"/>
    </row>
    <row r="443" spans="1:8" x14ac:dyDescent="0.3">
      <c r="A443" t="s">
        <v>673</v>
      </c>
      <c r="B443" s="3">
        <f t="shared" si="6"/>
        <v>44317</v>
      </c>
      <c r="C443" s="3" t="str">
        <f>VLOOKUP(MONTH(Tabela1[[#This Row],[Periodo]]),NUMMESES,2,FALSE)</f>
        <v>Maio</v>
      </c>
      <c r="D443" s="2">
        <f>YEAR(Tabela1[[#This Row],[Periodo]])</f>
        <v>2021</v>
      </c>
      <c r="E443" s="147">
        <v>0.27</v>
      </c>
      <c r="F443" s="18"/>
      <c r="G443" s="18"/>
      <c r="H443" s="18"/>
    </row>
    <row r="444" spans="1:8" x14ac:dyDescent="0.3">
      <c r="A444" t="s">
        <v>673</v>
      </c>
      <c r="B444" s="3">
        <f t="shared" si="6"/>
        <v>44348</v>
      </c>
      <c r="C444" s="3" t="str">
        <f>VLOOKUP(MONTH(Tabela1[[#This Row],[Periodo]]),NUMMESES,2,FALSE)</f>
        <v>Junho</v>
      </c>
      <c r="D444" s="2">
        <f>YEAR(Tabela1[[#This Row],[Periodo]])</f>
        <v>2021</v>
      </c>
      <c r="E444" s="147">
        <v>0.31</v>
      </c>
      <c r="F444" s="18"/>
      <c r="G444" s="18"/>
      <c r="H444" s="18"/>
    </row>
    <row r="445" spans="1:8" x14ac:dyDescent="0.3">
      <c r="A445" t="s">
        <v>673</v>
      </c>
      <c r="B445" s="3">
        <f t="shared" si="6"/>
        <v>44378</v>
      </c>
      <c r="C445" s="3" t="str">
        <f>VLOOKUP(MONTH(Tabela1[[#This Row],[Periodo]]),NUMMESES,2,FALSE)</f>
        <v>Julho</v>
      </c>
      <c r="D445" s="2">
        <f>YEAR(Tabela1[[#This Row],[Periodo]])</f>
        <v>2021</v>
      </c>
      <c r="E445" s="147">
        <v>0.36</v>
      </c>
      <c r="F445" s="18"/>
      <c r="G445" s="18"/>
      <c r="H445" s="18"/>
    </row>
    <row r="446" spans="1:8" x14ac:dyDescent="0.3">
      <c r="A446" t="s">
        <v>673</v>
      </c>
      <c r="B446" s="3">
        <f t="shared" si="6"/>
        <v>44409</v>
      </c>
      <c r="C446" s="3" t="str">
        <f>VLOOKUP(MONTH(Tabela1[[#This Row],[Periodo]]),NUMMESES,2,FALSE)</f>
        <v>Agosto</v>
      </c>
      <c r="D446" s="2">
        <f>YEAR(Tabela1[[#This Row],[Periodo]])</f>
        <v>2021</v>
      </c>
      <c r="E446" s="147">
        <v>0.43</v>
      </c>
      <c r="F446" s="18"/>
      <c r="G446" s="18"/>
      <c r="H446" s="18"/>
    </row>
    <row r="447" spans="1:8" x14ac:dyDescent="0.3">
      <c r="A447" t="s">
        <v>673</v>
      </c>
      <c r="B447" s="3">
        <f t="shared" si="6"/>
        <v>44440</v>
      </c>
      <c r="C447" s="3" t="str">
        <f>VLOOKUP(MONTH(Tabela1[[#This Row],[Periodo]]),NUMMESES,2,FALSE)</f>
        <v>Setembro</v>
      </c>
      <c r="D447" s="2">
        <f>YEAR(Tabela1[[#This Row],[Periodo]])</f>
        <v>2021</v>
      </c>
      <c r="E447" s="147">
        <v>0.44</v>
      </c>
      <c r="F447" s="18"/>
      <c r="G447" s="18"/>
      <c r="H447" s="18"/>
    </row>
    <row r="448" spans="1:8" x14ac:dyDescent="0.3">
      <c r="A448" t="s">
        <v>673</v>
      </c>
      <c r="B448" s="3">
        <f t="shared" si="6"/>
        <v>44470</v>
      </c>
      <c r="C448" s="3" t="str">
        <f>VLOOKUP(MONTH(Tabela1[[#This Row],[Periodo]]),NUMMESES,2,FALSE)</f>
        <v>Outubro</v>
      </c>
      <c r="D448" s="2">
        <f>YEAR(Tabela1[[#This Row],[Periodo]])</f>
        <v>2021</v>
      </c>
      <c r="E448" s="147">
        <v>0.49</v>
      </c>
      <c r="F448" s="18"/>
      <c r="G448" s="18"/>
      <c r="H448" s="18"/>
    </row>
    <row r="449" spans="1:8" x14ac:dyDescent="0.3">
      <c r="A449" t="s">
        <v>673</v>
      </c>
      <c r="B449" s="3">
        <f t="shared" si="6"/>
        <v>44501</v>
      </c>
      <c r="C449" s="3" t="str">
        <f>VLOOKUP(MONTH(Tabela1[[#This Row],[Periodo]]),NUMMESES,2,FALSE)</f>
        <v>Novembro</v>
      </c>
      <c r="D449" s="2">
        <f>YEAR(Tabela1[[#This Row],[Periodo]])</f>
        <v>2021</v>
      </c>
      <c r="E449" s="147">
        <v>0.59</v>
      </c>
      <c r="F449" s="18"/>
      <c r="G449" s="18"/>
      <c r="H449" s="18"/>
    </row>
    <row r="450" spans="1:8" x14ac:dyDescent="0.3">
      <c r="A450" t="s">
        <v>673</v>
      </c>
      <c r="B450" s="3">
        <f t="shared" si="6"/>
        <v>44531</v>
      </c>
      <c r="C450" s="3" t="str">
        <f>VLOOKUP(MONTH(Tabela1[[#This Row],[Periodo]]),NUMMESES,2,FALSE)</f>
        <v>Dezembro</v>
      </c>
      <c r="D450" s="2">
        <f>YEAR(Tabela1[[#This Row],[Periodo]])</f>
        <v>2021</v>
      </c>
      <c r="E450" s="147">
        <v>0.77</v>
      </c>
      <c r="F450" s="18"/>
      <c r="G450" s="18"/>
      <c r="H450" s="18"/>
    </row>
    <row r="451" spans="1:8" x14ac:dyDescent="0.3">
      <c r="A451" t="s">
        <v>673</v>
      </c>
      <c r="B451" s="3">
        <f t="shared" si="6"/>
        <v>44562</v>
      </c>
      <c r="C451" s="3" t="str">
        <f>VLOOKUP(MONTH(Tabela1[[#This Row],[Periodo]]),NUMMESES,2,FALSE)</f>
        <v>Janeiro</v>
      </c>
      <c r="D451" s="2">
        <f>YEAR(Tabela1[[#This Row],[Periodo]])</f>
        <v>2022</v>
      </c>
      <c r="E451" s="147">
        <v>0.73</v>
      </c>
      <c r="F451" s="18"/>
      <c r="G451" s="18"/>
      <c r="H451" s="18"/>
    </row>
    <row r="452" spans="1:8" x14ac:dyDescent="0.3">
      <c r="A452" t="s">
        <v>673</v>
      </c>
      <c r="B452" s="3">
        <f t="shared" si="6"/>
        <v>44593</v>
      </c>
      <c r="C452" s="3" t="str">
        <f>VLOOKUP(MONTH(Tabela1[[#This Row],[Periodo]]),NUMMESES,2,FALSE)</f>
        <v>Fevereiro</v>
      </c>
      <c r="D452" s="2">
        <f>YEAR(Tabela1[[#This Row],[Periodo]])</f>
        <v>2022</v>
      </c>
      <c r="E452" s="147">
        <v>0.76</v>
      </c>
      <c r="F452" s="18"/>
      <c r="G452" s="18"/>
      <c r="H452" s="18"/>
    </row>
    <row r="453" spans="1:8" x14ac:dyDescent="0.3">
      <c r="A453" t="s">
        <v>673</v>
      </c>
      <c r="B453" s="3">
        <f t="shared" si="6"/>
        <v>44621</v>
      </c>
      <c r="C453" s="3" t="str">
        <f>VLOOKUP(MONTH(Tabela1[[#This Row],[Periodo]]),NUMMESES,2,FALSE)</f>
        <v>Março</v>
      </c>
      <c r="D453" s="2">
        <f>YEAR(Tabela1[[#This Row],[Periodo]])</f>
        <v>2022</v>
      </c>
      <c r="E453" s="147">
        <v>0.93</v>
      </c>
      <c r="F453" s="18"/>
      <c r="G453" s="18"/>
      <c r="H453" s="18"/>
    </row>
    <row r="454" spans="1:8" x14ac:dyDescent="0.3">
      <c r="A454" t="s">
        <v>673</v>
      </c>
      <c r="B454" s="3">
        <f t="shared" si="6"/>
        <v>44652</v>
      </c>
      <c r="C454" s="3" t="str">
        <f>VLOOKUP(MONTH(Tabela1[[#This Row],[Periodo]]),NUMMESES,2,FALSE)</f>
        <v>Abril</v>
      </c>
      <c r="D454" s="2">
        <f>YEAR(Tabela1[[#This Row],[Periodo]])</f>
        <v>2022</v>
      </c>
      <c r="E454" s="147">
        <v>0.83</v>
      </c>
      <c r="F454" s="18"/>
      <c r="G454" s="18"/>
      <c r="H454" s="18"/>
    </row>
    <row r="455" spans="1:8" x14ac:dyDescent="0.3">
      <c r="A455" t="s">
        <v>673</v>
      </c>
      <c r="B455" s="3">
        <f t="shared" si="6"/>
        <v>44682</v>
      </c>
      <c r="C455" s="3" t="str">
        <f>VLOOKUP(MONTH(Tabela1[[#This Row],[Periodo]]),NUMMESES,2,FALSE)</f>
        <v>Maio</v>
      </c>
      <c r="D455" s="2">
        <f>YEAR(Tabela1[[#This Row],[Periodo]])</f>
        <v>2022</v>
      </c>
      <c r="E455" s="147">
        <v>1.03</v>
      </c>
      <c r="F455" s="18"/>
      <c r="G455" s="18"/>
      <c r="H455" s="18"/>
    </row>
    <row r="456" spans="1:8" x14ac:dyDescent="0.3">
      <c r="A456" t="s">
        <v>673</v>
      </c>
      <c r="B456" s="3">
        <f t="shared" si="6"/>
        <v>44713</v>
      </c>
      <c r="C456" s="3" t="str">
        <f>VLOOKUP(MONTH(Tabela1[[#This Row],[Periodo]]),NUMMESES,2,FALSE)</f>
        <v>Junho</v>
      </c>
      <c r="D456" s="2">
        <f>YEAR(Tabela1[[#This Row],[Periodo]])</f>
        <v>2022</v>
      </c>
      <c r="E456" s="147">
        <v>1.02</v>
      </c>
      <c r="F456" s="18"/>
      <c r="G456" s="18"/>
      <c r="H456" s="18"/>
    </row>
    <row r="457" spans="1:8" x14ac:dyDescent="0.3">
      <c r="A457" t="s">
        <v>673</v>
      </c>
      <c r="B457" s="3">
        <f t="shared" si="6"/>
        <v>44743</v>
      </c>
      <c r="C457" s="3" t="str">
        <f>VLOOKUP(MONTH(Tabela1[[#This Row],[Periodo]]),NUMMESES,2,FALSE)</f>
        <v>Julho</v>
      </c>
      <c r="D457" s="2">
        <f>YEAR(Tabela1[[#This Row],[Periodo]])</f>
        <v>2022</v>
      </c>
      <c r="E457" s="147">
        <v>1.03</v>
      </c>
      <c r="F457" s="18"/>
      <c r="G457" s="18"/>
      <c r="H457" s="18"/>
    </row>
    <row r="458" spans="1:8" x14ac:dyDescent="0.3">
      <c r="A458" t="s">
        <v>673</v>
      </c>
      <c r="B458" s="3">
        <f t="shared" si="6"/>
        <v>44774</v>
      </c>
      <c r="C458" s="3" t="str">
        <f>VLOOKUP(MONTH(Tabela1[[#This Row],[Periodo]]),NUMMESES,2,FALSE)</f>
        <v>Agosto</v>
      </c>
      <c r="D458" s="2">
        <f>YEAR(Tabela1[[#This Row],[Periodo]])</f>
        <v>2022</v>
      </c>
      <c r="E458" s="147">
        <v>1.17</v>
      </c>
      <c r="F458" s="18"/>
      <c r="G458" s="18"/>
      <c r="H458" s="18"/>
    </row>
    <row r="459" spans="1:8" x14ac:dyDescent="0.3">
      <c r="A459" t="s">
        <v>673</v>
      </c>
      <c r="B459" s="3">
        <f t="shared" si="6"/>
        <v>44805</v>
      </c>
      <c r="C459" s="3" t="str">
        <f>VLOOKUP(MONTH(Tabela1[[#This Row],[Periodo]]),NUMMESES,2,FALSE)</f>
        <v>Setembro</v>
      </c>
      <c r="D459" s="2">
        <f>YEAR(Tabela1[[#This Row],[Periodo]])</f>
        <v>2022</v>
      </c>
      <c r="E459" s="147">
        <v>1.07</v>
      </c>
      <c r="F459" s="18"/>
      <c r="G459" s="18"/>
      <c r="H459" s="18"/>
    </row>
    <row r="460" spans="1:8" x14ac:dyDescent="0.3">
      <c r="A460" t="s">
        <v>673</v>
      </c>
      <c r="B460" s="3">
        <f t="shared" si="6"/>
        <v>44835</v>
      </c>
      <c r="C460" s="3" t="str">
        <f>VLOOKUP(MONTH(Tabela1[[#This Row],[Periodo]]),NUMMESES,2,FALSE)</f>
        <v>Outubro</v>
      </c>
      <c r="D460" s="2">
        <f>YEAR(Tabela1[[#This Row],[Periodo]])</f>
        <v>2022</v>
      </c>
      <c r="E460" s="147">
        <v>1.02</v>
      </c>
      <c r="F460" s="18"/>
      <c r="G460" s="18"/>
      <c r="H460" s="18"/>
    </row>
    <row r="461" spans="1:8" x14ac:dyDescent="0.3">
      <c r="A461" t="s">
        <v>673</v>
      </c>
      <c r="B461" s="3">
        <f t="shared" si="6"/>
        <v>44866</v>
      </c>
      <c r="C461" s="3" t="str">
        <f>VLOOKUP(MONTH(Tabela1[[#This Row],[Periodo]]),NUMMESES,2,FALSE)</f>
        <v>Novembro</v>
      </c>
      <c r="D461" s="2">
        <f>YEAR(Tabela1[[#This Row],[Periodo]])</f>
        <v>2022</v>
      </c>
      <c r="E461" s="147">
        <v>1.02</v>
      </c>
      <c r="F461" s="18"/>
      <c r="G461" s="18"/>
      <c r="H461" s="18"/>
    </row>
    <row r="462" spans="1:8" x14ac:dyDescent="0.3">
      <c r="A462" t="s">
        <v>673</v>
      </c>
      <c r="B462" s="3">
        <f t="shared" si="6"/>
        <v>44896</v>
      </c>
      <c r="C462" s="3" t="str">
        <f>VLOOKUP(MONTH(Tabela1[[#This Row],[Periodo]]),NUMMESES,2,FALSE)</f>
        <v>Dezembro</v>
      </c>
      <c r="D462" s="2">
        <f>YEAR(Tabela1[[#This Row],[Periodo]])</f>
        <v>2022</v>
      </c>
      <c r="E462" s="147">
        <v>1.1200000000000001</v>
      </c>
      <c r="F462" s="18"/>
      <c r="G462" s="18"/>
      <c r="H462" s="18"/>
    </row>
    <row r="463" spans="1:8" x14ac:dyDescent="0.3">
      <c r="A463" t="s">
        <v>673</v>
      </c>
      <c r="B463" s="3">
        <f t="shared" si="6"/>
        <v>44927</v>
      </c>
      <c r="C463" s="3" t="str">
        <f>VLOOKUP(MONTH(Tabela1[[#This Row],[Periodo]]),NUMMESES,2,FALSE)</f>
        <v>Janeiro</v>
      </c>
      <c r="D463" s="2">
        <f>YEAR(Tabela1[[#This Row],[Periodo]])</f>
        <v>2023</v>
      </c>
      <c r="E463" s="147">
        <v>1.1200000000000001</v>
      </c>
      <c r="F463" s="18"/>
      <c r="G463" s="18"/>
      <c r="H463" s="18"/>
    </row>
    <row r="464" spans="1:8" x14ac:dyDescent="0.3">
      <c r="A464" t="s">
        <v>673</v>
      </c>
      <c r="B464" s="3">
        <f t="shared" si="6"/>
        <v>44958</v>
      </c>
      <c r="C464" s="3" t="str">
        <f>VLOOKUP(MONTH(Tabela1[[#This Row],[Periodo]]),NUMMESES,2,FALSE)</f>
        <v>Fevereiro</v>
      </c>
      <c r="D464" s="2">
        <f>YEAR(Tabela1[[#This Row],[Periodo]])</f>
        <v>2023</v>
      </c>
      <c r="E464" s="147">
        <v>0.92</v>
      </c>
      <c r="F464" s="18"/>
      <c r="G464" s="18"/>
      <c r="H464" s="18"/>
    </row>
    <row r="465" spans="1:8" x14ac:dyDescent="0.3">
      <c r="A465" t="s">
        <v>673</v>
      </c>
      <c r="B465" s="3">
        <f t="shared" si="6"/>
        <v>44986</v>
      </c>
      <c r="C465" s="3" t="str">
        <f>VLOOKUP(MONTH(Tabela1[[#This Row],[Periodo]]),NUMMESES,2,FALSE)</f>
        <v>Março</v>
      </c>
      <c r="D465" s="2">
        <f>YEAR(Tabela1[[#This Row],[Periodo]])</f>
        <v>2023</v>
      </c>
      <c r="E465" s="147">
        <v>1.17</v>
      </c>
      <c r="F465" s="18"/>
      <c r="G465" s="18"/>
      <c r="H465" s="18"/>
    </row>
    <row r="466" spans="1:8" x14ac:dyDescent="0.3">
      <c r="A466" t="s">
        <v>673</v>
      </c>
      <c r="B466" s="3">
        <f t="shared" si="6"/>
        <v>45017</v>
      </c>
      <c r="C466" s="3" t="str">
        <f>VLOOKUP(MONTH(Tabela1[[#This Row],[Periodo]]),NUMMESES,2,FALSE)</f>
        <v>Abril</v>
      </c>
      <c r="D466" s="2">
        <f>YEAR(Tabela1[[#This Row],[Periodo]])</f>
        <v>2023</v>
      </c>
      <c r="E466" s="147">
        <v>1.1200000000000001</v>
      </c>
      <c r="F466" s="18"/>
      <c r="G466" s="18"/>
      <c r="H466" s="18"/>
    </row>
    <row r="467" spans="1:8" x14ac:dyDescent="0.3">
      <c r="A467" t="s">
        <v>673</v>
      </c>
      <c r="B467" s="3">
        <f t="shared" si="6"/>
        <v>45047</v>
      </c>
      <c r="C467" s="3" t="str">
        <f>VLOOKUP(MONTH(Tabela1[[#This Row],[Periodo]]),NUMMESES,2,FALSE)</f>
        <v>Maio</v>
      </c>
      <c r="D467" s="2">
        <f>YEAR(Tabela1[[#This Row],[Periodo]])</f>
        <v>2023</v>
      </c>
      <c r="E467" s="147">
        <v>1.1200000000000001</v>
      </c>
      <c r="F467" s="18"/>
      <c r="G467" s="18"/>
      <c r="H467" s="18"/>
    </row>
    <row r="468" spans="1:8" x14ac:dyDescent="0.3">
      <c r="A468" t="s">
        <v>673</v>
      </c>
      <c r="B468" s="3">
        <f t="shared" si="6"/>
        <v>45078</v>
      </c>
      <c r="C468" s="3" t="str">
        <f>VLOOKUP(MONTH(Tabela1[[#This Row],[Periodo]]),NUMMESES,2,FALSE)</f>
        <v>Junho</v>
      </c>
      <c r="D468" s="2">
        <f>YEAR(Tabela1[[#This Row],[Periodo]])</f>
        <v>2023</v>
      </c>
      <c r="E468" s="147">
        <v>1.1200000000000001</v>
      </c>
      <c r="F468" s="18"/>
      <c r="G468" s="18"/>
      <c r="H468" s="18"/>
    </row>
    <row r="469" spans="1:8" x14ac:dyDescent="0.3">
      <c r="A469" t="s">
        <v>673</v>
      </c>
      <c r="B469" s="3">
        <f t="shared" si="6"/>
        <v>45108</v>
      </c>
      <c r="C469" s="3" t="str">
        <f>VLOOKUP(MONTH(Tabela1[[#This Row],[Periodo]]),NUMMESES,2,FALSE)</f>
        <v>Julho</v>
      </c>
      <c r="D469" s="2">
        <f>YEAR(Tabela1[[#This Row],[Periodo]])</f>
        <v>2023</v>
      </c>
      <c r="E469" s="147">
        <v>1.1200000000000001</v>
      </c>
      <c r="F469" s="18"/>
      <c r="G469" s="18"/>
      <c r="H469" s="18"/>
    </row>
    <row r="470" spans="1:8" x14ac:dyDescent="0.3">
      <c r="A470" t="s">
        <v>673</v>
      </c>
      <c r="B470" s="3">
        <f t="shared" si="6"/>
        <v>45139</v>
      </c>
      <c r="C470" s="3" t="str">
        <f>VLOOKUP(MONTH(Tabela1[[#This Row],[Periodo]]),NUMMESES,2,FALSE)</f>
        <v>Agosto</v>
      </c>
      <c r="D470" s="2">
        <f>YEAR(Tabela1[[#This Row],[Periodo]])</f>
        <v>2023</v>
      </c>
      <c r="E470" s="147">
        <v>1.1200000000000001</v>
      </c>
      <c r="F470" s="18"/>
      <c r="G470" s="18"/>
      <c r="H470" s="18"/>
    </row>
    <row r="471" spans="1:8" x14ac:dyDescent="0.3">
      <c r="A471" t="s">
        <v>673</v>
      </c>
      <c r="B471" s="3">
        <f t="shared" si="6"/>
        <v>45170</v>
      </c>
      <c r="C471" s="3" t="str">
        <f>VLOOKUP(MONTH(Tabela1[[#This Row],[Periodo]]),NUMMESES,2,FALSE)</f>
        <v>Setembro</v>
      </c>
      <c r="D471" s="2">
        <f>YEAR(Tabela1[[#This Row],[Periodo]])</f>
        <v>2023</v>
      </c>
      <c r="E471" s="147">
        <v>1.1200000000000001</v>
      </c>
      <c r="F471" s="18"/>
      <c r="G471" s="18"/>
      <c r="H471" s="18"/>
    </row>
    <row r="472" spans="1:8" x14ac:dyDescent="0.3">
      <c r="A472" t="s">
        <v>673</v>
      </c>
      <c r="B472" s="3">
        <f t="shared" si="6"/>
        <v>45200</v>
      </c>
      <c r="C472" s="3" t="str">
        <f>VLOOKUP(MONTH(Tabela1[[#This Row],[Periodo]]),NUMMESES,2,FALSE)</f>
        <v>Outubro</v>
      </c>
      <c r="D472" s="2">
        <f>YEAR(Tabela1[[#This Row],[Periodo]])</f>
        <v>2023</v>
      </c>
      <c r="E472" s="147">
        <v>1.1200000000000001</v>
      </c>
      <c r="F472" s="18"/>
      <c r="G472" s="18"/>
      <c r="H472" s="18"/>
    </row>
    <row r="473" spans="1:8" x14ac:dyDescent="0.3">
      <c r="A473" t="s">
        <v>673</v>
      </c>
      <c r="B473" s="3">
        <f t="shared" si="6"/>
        <v>45231</v>
      </c>
      <c r="C473" s="3" t="str">
        <f>VLOOKUP(MONTH(Tabela1[[#This Row],[Periodo]]),NUMMESES,2,FALSE)</f>
        <v>Novembro</v>
      </c>
      <c r="D473" s="2">
        <f>YEAR(Tabela1[[#This Row],[Periodo]])</f>
        <v>2023</v>
      </c>
      <c r="E473" s="147">
        <v>1.1200000000000001</v>
      </c>
      <c r="F473" s="18"/>
      <c r="G473" s="18"/>
      <c r="H473" s="18"/>
    </row>
    <row r="474" spans="1:8" x14ac:dyDescent="0.3">
      <c r="A474" t="s">
        <v>673</v>
      </c>
      <c r="B474" s="3">
        <f t="shared" si="6"/>
        <v>45261</v>
      </c>
      <c r="C474" s="3" t="str">
        <f>VLOOKUP(MONTH(Tabela1[[#This Row],[Periodo]]),NUMMESES,2,FALSE)</f>
        <v>Dezembro</v>
      </c>
      <c r="D474" s="2">
        <f>YEAR(Tabela1[[#This Row],[Periodo]])</f>
        <v>2023</v>
      </c>
      <c r="E474" s="147">
        <v>1.1200000000000001</v>
      </c>
      <c r="F474" s="18"/>
      <c r="G474" s="18"/>
      <c r="H474" s="18"/>
    </row>
    <row r="475" spans="1:8" x14ac:dyDescent="0.3">
      <c r="A475" t="s">
        <v>673</v>
      </c>
      <c r="B475" s="3">
        <f t="shared" si="6"/>
        <v>45292</v>
      </c>
      <c r="C475" s="3" t="str">
        <f>VLOOKUP(MONTH(Tabela1[[#This Row],[Periodo]]),NUMMESES,2,FALSE)</f>
        <v>Janeiro</v>
      </c>
      <c r="D475" s="2">
        <f>YEAR(Tabela1[[#This Row],[Periodo]])</f>
        <v>2024</v>
      </c>
      <c r="E475" s="147">
        <v>1.1200000000000001</v>
      </c>
      <c r="F475" s="18"/>
      <c r="G475" s="18"/>
      <c r="H475" s="18"/>
    </row>
    <row r="476" spans="1:8" x14ac:dyDescent="0.3">
      <c r="A476" t="s">
        <v>673</v>
      </c>
      <c r="B476" s="3">
        <f t="shared" si="6"/>
        <v>45323</v>
      </c>
      <c r="C476" s="3" t="str">
        <f>VLOOKUP(MONTH(Tabela1[[#This Row],[Periodo]]),NUMMESES,2,FALSE)</f>
        <v>Fevereiro</v>
      </c>
      <c r="D476" s="2">
        <f>YEAR(Tabela1[[#This Row],[Periodo]])</f>
        <v>2024</v>
      </c>
      <c r="E476" s="147">
        <v>1.1200000000000001</v>
      </c>
      <c r="F476" s="18"/>
      <c r="G476" s="18"/>
      <c r="H476" s="18"/>
    </row>
    <row r="477" spans="1:8" x14ac:dyDescent="0.3">
      <c r="A477" t="s">
        <v>673</v>
      </c>
      <c r="B477" s="3">
        <f t="shared" si="6"/>
        <v>45352</v>
      </c>
      <c r="C477" s="3" t="str">
        <f>VLOOKUP(MONTH(Tabela1[[#This Row],[Periodo]]),NUMMESES,2,FALSE)</f>
        <v>Março</v>
      </c>
      <c r="D477" s="2">
        <f>YEAR(Tabela1[[#This Row],[Periodo]])</f>
        <v>2024</v>
      </c>
      <c r="E477" s="147">
        <v>1.1200000000000001</v>
      </c>
      <c r="F477" s="18"/>
      <c r="G477" s="18"/>
      <c r="H477" s="18"/>
    </row>
    <row r="478" spans="1:8" x14ac:dyDescent="0.3">
      <c r="A478" t="s">
        <v>673</v>
      </c>
      <c r="B478" s="3">
        <f t="shared" si="6"/>
        <v>45383</v>
      </c>
      <c r="C478" s="3" t="str">
        <f>VLOOKUP(MONTH(Tabela1[[#This Row],[Periodo]]),NUMMESES,2,FALSE)</f>
        <v>Abril</v>
      </c>
      <c r="D478" s="2">
        <f>YEAR(Tabela1[[#This Row],[Periodo]])</f>
        <v>2024</v>
      </c>
      <c r="E478" s="147">
        <v>1.1200000000000001</v>
      </c>
      <c r="F478" s="18"/>
      <c r="G478" s="18"/>
      <c r="H478" s="18"/>
    </row>
    <row r="479" spans="1:8" x14ac:dyDescent="0.3">
      <c r="A479" t="s">
        <v>673</v>
      </c>
      <c r="B479" s="3">
        <f t="shared" si="6"/>
        <v>45413</v>
      </c>
      <c r="C479" s="3" t="str">
        <f>VLOOKUP(MONTH(Tabela1[[#This Row],[Periodo]]),NUMMESES,2,FALSE)</f>
        <v>Maio</v>
      </c>
      <c r="D479" s="2">
        <f>YEAR(Tabela1[[#This Row],[Periodo]])</f>
        <v>2024</v>
      </c>
      <c r="E479" s="147">
        <v>1.1200000000000001</v>
      </c>
      <c r="F479" s="18"/>
      <c r="G479" s="18"/>
      <c r="H479" s="18"/>
    </row>
    <row r="480" spans="1:8" x14ac:dyDescent="0.3">
      <c r="A480" t="s">
        <v>673</v>
      </c>
      <c r="B480" s="3">
        <f t="shared" si="6"/>
        <v>45444</v>
      </c>
      <c r="C480" s="3" t="str">
        <f>VLOOKUP(MONTH(Tabela1[[#This Row],[Periodo]]),NUMMESES,2,FALSE)</f>
        <v>Junho</v>
      </c>
      <c r="D480" s="2">
        <f>YEAR(Tabela1[[#This Row],[Periodo]])</f>
        <v>2024</v>
      </c>
      <c r="E480" s="147">
        <v>1.1200000000000001</v>
      </c>
      <c r="F480" s="18"/>
      <c r="G480" s="18"/>
      <c r="H480" s="18"/>
    </row>
    <row r="481" spans="1:8" x14ac:dyDescent="0.3">
      <c r="A481" t="s">
        <v>673</v>
      </c>
      <c r="B481" s="3">
        <f t="shared" si="6"/>
        <v>45474</v>
      </c>
      <c r="C481" s="3" t="str">
        <f>VLOOKUP(MONTH(Tabela1[[#This Row],[Periodo]]),NUMMESES,2,FALSE)</f>
        <v>Julho</v>
      </c>
      <c r="D481" s="2">
        <f>YEAR(Tabela1[[#This Row],[Periodo]])</f>
        <v>2024</v>
      </c>
      <c r="E481" s="147">
        <v>1.1200000000000001</v>
      </c>
      <c r="F481" s="18"/>
      <c r="G481" s="18"/>
      <c r="H481" s="18"/>
    </row>
    <row r="482" spans="1:8" x14ac:dyDescent="0.3">
      <c r="A482" t="s">
        <v>673</v>
      </c>
      <c r="B482" s="3">
        <f t="shared" si="6"/>
        <v>45505</v>
      </c>
      <c r="C482" s="3" t="str">
        <f>VLOOKUP(MONTH(Tabela1[[#This Row],[Periodo]]),NUMMESES,2,FALSE)</f>
        <v>Agosto</v>
      </c>
      <c r="D482" s="2">
        <f>YEAR(Tabela1[[#This Row],[Periodo]])</f>
        <v>2024</v>
      </c>
      <c r="E482" s="147">
        <v>1.1200000000000001</v>
      </c>
      <c r="F482" s="18"/>
      <c r="G482" s="18"/>
      <c r="H482" s="18"/>
    </row>
    <row r="483" spans="1:8" x14ac:dyDescent="0.3">
      <c r="A483" t="s">
        <v>673</v>
      </c>
      <c r="B483" s="3">
        <f t="shared" si="6"/>
        <v>45536</v>
      </c>
      <c r="C483" s="3" t="str">
        <f>VLOOKUP(MONTH(Tabela1[[#This Row],[Periodo]]),NUMMESES,2,FALSE)</f>
        <v>Setembro</v>
      </c>
      <c r="D483" s="2">
        <f>YEAR(Tabela1[[#This Row],[Periodo]])</f>
        <v>2024</v>
      </c>
      <c r="E483" s="147">
        <v>1.1200000000000001</v>
      </c>
      <c r="F483" s="18"/>
      <c r="G483" s="18"/>
      <c r="H483" s="18"/>
    </row>
    <row r="484" spans="1:8" x14ac:dyDescent="0.3">
      <c r="A484" t="s">
        <v>673</v>
      </c>
      <c r="B484" s="3">
        <f t="shared" si="6"/>
        <v>45566</v>
      </c>
      <c r="C484" s="3" t="str">
        <f>VLOOKUP(MONTH(Tabela1[[#This Row],[Periodo]]),NUMMESES,2,FALSE)</f>
        <v>Outubro</v>
      </c>
      <c r="D484" s="2">
        <f>YEAR(Tabela1[[#This Row],[Periodo]])</f>
        <v>2024</v>
      </c>
      <c r="E484" s="147">
        <v>1.1200000000000001</v>
      </c>
      <c r="F484" s="18"/>
      <c r="G484" s="18"/>
      <c r="H484" s="18"/>
    </row>
    <row r="485" spans="1:8" x14ac:dyDescent="0.3">
      <c r="A485" t="s">
        <v>673</v>
      </c>
      <c r="B485" s="3">
        <f t="shared" si="6"/>
        <v>45597</v>
      </c>
      <c r="C485" s="3" t="str">
        <f>VLOOKUP(MONTH(Tabela1[[#This Row],[Periodo]]),NUMMESES,2,FALSE)</f>
        <v>Novembro</v>
      </c>
      <c r="D485" s="2">
        <f>YEAR(Tabela1[[#This Row],[Periodo]])</f>
        <v>2024</v>
      </c>
      <c r="E485" s="147">
        <v>1.1200000000000001</v>
      </c>
      <c r="F485" s="18"/>
      <c r="G485" s="18"/>
      <c r="H485" s="18"/>
    </row>
    <row r="486" spans="1:8" x14ac:dyDescent="0.3">
      <c r="A486" t="s">
        <v>673</v>
      </c>
      <c r="B486" s="3">
        <f t="shared" si="6"/>
        <v>45627</v>
      </c>
      <c r="C486" s="3" t="str">
        <f>VLOOKUP(MONTH(Tabela1[[#This Row],[Periodo]]),NUMMESES,2,FALSE)</f>
        <v>Dezembro</v>
      </c>
      <c r="D486" s="2">
        <f>YEAR(Tabela1[[#This Row],[Periodo]])</f>
        <v>2024</v>
      </c>
      <c r="E486" s="147">
        <v>1.1200000000000001</v>
      </c>
      <c r="F486" s="18"/>
      <c r="G486" s="18"/>
      <c r="H486" s="18"/>
    </row>
    <row r="487" spans="1:8" x14ac:dyDescent="0.3">
      <c r="A487" t="s">
        <v>673</v>
      </c>
      <c r="B487" s="3">
        <f t="shared" si="6"/>
        <v>45658</v>
      </c>
      <c r="C487" s="3" t="str">
        <f>VLOOKUP(MONTH(Tabela1[[#This Row],[Periodo]]),NUMMESES,2,FALSE)</f>
        <v>Janeiro</v>
      </c>
      <c r="D487" s="2">
        <f>YEAR(Tabela1[[#This Row],[Periodo]])</f>
        <v>2025</v>
      </c>
      <c r="E487" s="147">
        <v>1.1200000000000001</v>
      </c>
      <c r="F487" s="18"/>
      <c r="G487" s="18"/>
      <c r="H487" s="18"/>
    </row>
    <row r="488" spans="1:8" x14ac:dyDescent="0.3">
      <c r="A488" t="s">
        <v>673</v>
      </c>
      <c r="B488" s="3">
        <f t="shared" si="6"/>
        <v>45689</v>
      </c>
      <c r="C488" s="3" t="str">
        <f>VLOOKUP(MONTH(Tabela1[[#This Row],[Periodo]]),NUMMESES,2,FALSE)</f>
        <v>Fevereiro</v>
      </c>
      <c r="D488" s="2">
        <f>YEAR(Tabela1[[#This Row],[Periodo]])</f>
        <v>2025</v>
      </c>
      <c r="E488" s="147">
        <v>1.1200000000000001</v>
      </c>
      <c r="F488" s="18"/>
      <c r="G488" s="18"/>
      <c r="H488" s="18"/>
    </row>
    <row r="489" spans="1:8" x14ac:dyDescent="0.3">
      <c r="A489" t="s">
        <v>673</v>
      </c>
      <c r="B489" s="3">
        <f t="shared" si="6"/>
        <v>45717</v>
      </c>
      <c r="C489" s="3" t="str">
        <f>VLOOKUP(MONTH(Tabela1[[#This Row],[Periodo]]),NUMMESES,2,FALSE)</f>
        <v>Março</v>
      </c>
      <c r="D489" s="2">
        <f>YEAR(Tabela1[[#This Row],[Periodo]])</f>
        <v>2025</v>
      </c>
      <c r="E489" s="147">
        <v>1.1200000000000001</v>
      </c>
      <c r="F489" s="18"/>
      <c r="G489" s="18"/>
      <c r="H489" s="18"/>
    </row>
    <row r="490" spans="1:8" x14ac:dyDescent="0.3">
      <c r="A490" t="s">
        <v>673</v>
      </c>
      <c r="B490" s="3">
        <f t="shared" si="6"/>
        <v>45748</v>
      </c>
      <c r="C490" s="3" t="str">
        <f>VLOOKUP(MONTH(Tabela1[[#This Row],[Periodo]]),NUMMESES,2,FALSE)</f>
        <v>Abril</v>
      </c>
      <c r="D490" s="2">
        <f>YEAR(Tabela1[[#This Row],[Periodo]])</f>
        <v>2025</v>
      </c>
      <c r="E490" s="147">
        <v>1.1200000000000001</v>
      </c>
      <c r="F490" s="18"/>
      <c r="G490" s="18"/>
      <c r="H490" s="18"/>
    </row>
    <row r="491" spans="1:8" x14ac:dyDescent="0.3">
      <c r="A491" t="s">
        <v>673</v>
      </c>
      <c r="B491" s="3">
        <f t="shared" si="6"/>
        <v>45778</v>
      </c>
      <c r="C491" s="3" t="str">
        <f>VLOOKUP(MONTH(Tabela1[[#This Row],[Periodo]]),NUMMESES,2,FALSE)</f>
        <v>Maio</v>
      </c>
      <c r="D491" s="2">
        <f>YEAR(Tabela1[[#This Row],[Periodo]])</f>
        <v>2025</v>
      </c>
      <c r="E491" s="147">
        <v>1.1200000000000001</v>
      </c>
      <c r="F491" s="18"/>
      <c r="G491" s="18"/>
      <c r="H491" s="18"/>
    </row>
    <row r="492" spans="1:8" x14ac:dyDescent="0.3">
      <c r="A492" t="s">
        <v>673</v>
      </c>
      <c r="B492" s="3">
        <f t="shared" si="6"/>
        <v>45809</v>
      </c>
      <c r="C492" s="3" t="str">
        <f>VLOOKUP(MONTH(Tabela1[[#This Row],[Periodo]]),NUMMESES,2,FALSE)</f>
        <v>Junho</v>
      </c>
      <c r="D492" s="2">
        <f>YEAR(Tabela1[[#This Row],[Periodo]])</f>
        <v>2025</v>
      </c>
      <c r="E492" s="147">
        <v>1.1200000000000001</v>
      </c>
      <c r="F492" s="18"/>
      <c r="G492" s="18"/>
      <c r="H492" s="18"/>
    </row>
    <row r="493" spans="1:8" x14ac:dyDescent="0.3">
      <c r="A493" t="s">
        <v>673</v>
      </c>
      <c r="B493" s="3">
        <f t="shared" si="6"/>
        <v>45839</v>
      </c>
      <c r="C493" s="3" t="str">
        <f>VLOOKUP(MONTH(Tabela1[[#This Row],[Periodo]]),NUMMESES,2,FALSE)</f>
        <v>Julho</v>
      </c>
      <c r="D493" s="2">
        <f>YEAR(Tabela1[[#This Row],[Periodo]])</f>
        <v>2025</v>
      </c>
      <c r="E493" s="147">
        <v>1.1200000000000001</v>
      </c>
      <c r="F493" s="18"/>
      <c r="G493" s="18"/>
      <c r="H493" s="18"/>
    </row>
    <row r="494" spans="1:8" x14ac:dyDescent="0.3">
      <c r="A494" t="s">
        <v>673</v>
      </c>
      <c r="B494" s="3">
        <f t="shared" si="6"/>
        <v>45870</v>
      </c>
      <c r="C494" s="3" t="str">
        <f>VLOOKUP(MONTH(Tabela1[[#This Row],[Periodo]]),NUMMESES,2,FALSE)</f>
        <v>Agosto</v>
      </c>
      <c r="D494" s="2">
        <f>YEAR(Tabela1[[#This Row],[Periodo]])</f>
        <v>2025</v>
      </c>
      <c r="E494" s="147">
        <v>1.1200000000000001</v>
      </c>
      <c r="F494" s="18"/>
      <c r="G494" s="18"/>
      <c r="H494" s="18"/>
    </row>
    <row r="495" spans="1:8" x14ac:dyDescent="0.3">
      <c r="A495" t="s">
        <v>673</v>
      </c>
      <c r="B495" s="3">
        <f t="shared" si="6"/>
        <v>45901</v>
      </c>
      <c r="C495" s="3" t="str">
        <f>VLOOKUP(MONTH(Tabela1[[#This Row],[Periodo]]),NUMMESES,2,FALSE)</f>
        <v>Setembro</v>
      </c>
      <c r="D495" s="2">
        <f>YEAR(Tabela1[[#This Row],[Periodo]])</f>
        <v>2025</v>
      </c>
      <c r="E495" s="147">
        <v>1.1200000000000001</v>
      </c>
      <c r="F495" s="18"/>
      <c r="G495" s="18"/>
      <c r="H495" s="18"/>
    </row>
    <row r="496" spans="1:8" x14ac:dyDescent="0.3">
      <c r="A496" t="s">
        <v>673</v>
      </c>
      <c r="B496" s="3">
        <f t="shared" si="6"/>
        <v>45931</v>
      </c>
      <c r="C496" s="3" t="str">
        <f>VLOOKUP(MONTH(Tabela1[[#This Row],[Periodo]]),NUMMESES,2,FALSE)</f>
        <v>Outubro</v>
      </c>
      <c r="D496" s="2">
        <f>YEAR(Tabela1[[#This Row],[Periodo]])</f>
        <v>2025</v>
      </c>
      <c r="E496" s="147">
        <v>1.1200000000000001</v>
      </c>
      <c r="F496" s="18"/>
      <c r="G496" s="18"/>
      <c r="H496" s="18"/>
    </row>
    <row r="497" spans="1:8" x14ac:dyDescent="0.3">
      <c r="A497" t="s">
        <v>673</v>
      </c>
      <c r="B497" s="3">
        <f t="shared" si="6"/>
        <v>45962</v>
      </c>
      <c r="C497" s="3" t="str">
        <f>VLOOKUP(MONTH(Tabela1[[#This Row],[Periodo]]),NUMMESES,2,FALSE)</f>
        <v>Novembro</v>
      </c>
      <c r="D497" s="2">
        <f>YEAR(Tabela1[[#This Row],[Periodo]])</f>
        <v>2025</v>
      </c>
      <c r="E497" s="147">
        <v>1.1200000000000001</v>
      </c>
      <c r="F497" s="18"/>
      <c r="G497" s="18"/>
      <c r="H497" s="18"/>
    </row>
    <row r="498" spans="1:8" x14ac:dyDescent="0.3">
      <c r="A498" t="s">
        <v>673</v>
      </c>
      <c r="B498" s="3">
        <f t="shared" si="6"/>
        <v>45992</v>
      </c>
      <c r="C498" s="3" t="str">
        <f>VLOOKUP(MONTH(Tabela1[[#This Row],[Periodo]]),NUMMESES,2,FALSE)</f>
        <v>Dezembro</v>
      </c>
      <c r="D498" s="2">
        <f>YEAR(Tabela1[[#This Row],[Periodo]])</f>
        <v>2025</v>
      </c>
      <c r="E498" s="147">
        <v>1.1200000000000001</v>
      </c>
      <c r="F498" s="18"/>
      <c r="G498" s="18"/>
      <c r="H498" s="18"/>
    </row>
    <row r="499" spans="1:8" x14ac:dyDescent="0.3">
      <c r="A499" t="s">
        <v>673</v>
      </c>
      <c r="B499" s="3">
        <f t="shared" si="6"/>
        <v>46023</v>
      </c>
      <c r="C499" s="3" t="str">
        <f>VLOOKUP(MONTH(Tabela1[[#This Row],[Periodo]]),NUMMESES,2,FALSE)</f>
        <v>Janeiro</v>
      </c>
      <c r="D499" s="2">
        <f>YEAR(Tabela1[[#This Row],[Periodo]])</f>
        <v>2026</v>
      </c>
      <c r="E499" s="147">
        <v>1.1200000000000001</v>
      </c>
      <c r="F499" s="18"/>
      <c r="G499" s="18"/>
      <c r="H499" s="18"/>
    </row>
    <row r="500" spans="1:8" x14ac:dyDescent="0.3">
      <c r="B500" s="3"/>
      <c r="C500" s="2"/>
      <c r="D500" s="2"/>
      <c r="F500" s="2"/>
      <c r="G500" s="223"/>
      <c r="H500" s="18"/>
    </row>
    <row r="501" spans="1:8" x14ac:dyDescent="0.3">
      <c r="A501" t="s">
        <v>674</v>
      </c>
      <c r="B501" s="3">
        <v>41609</v>
      </c>
      <c r="C501" s="2" t="str">
        <f>VLOOKUP(MONTH(Tabela1[[#This Row],[Periodo]]),NUMMESES,2,FALSE)</f>
        <v>Dezembro</v>
      </c>
      <c r="D501" s="2">
        <f>YEAR(Tabela1[[#This Row],[Periodo]])</f>
        <v>2013</v>
      </c>
      <c r="E50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6201265.330000001</v>
      </c>
      <c r="F501" s="18"/>
      <c r="G501" s="18"/>
      <c r="H501" s="18"/>
    </row>
    <row r="502" spans="1:8" x14ac:dyDescent="0.3">
      <c r="A502" t="s">
        <v>674</v>
      </c>
      <c r="B502" s="3">
        <v>41974</v>
      </c>
      <c r="C502" s="3" t="str">
        <f>VLOOKUP(MONTH(Tabela1[[#This Row],[Periodo]]),NUMMESES,2,FALSE)</f>
        <v>Dezembro</v>
      </c>
      <c r="D502" s="2">
        <f>YEAR(Tabela1[[#This Row],[Periodo]])</f>
        <v>2014</v>
      </c>
      <c r="E50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8310392.7266479991</v>
      </c>
      <c r="F502" s="18"/>
      <c r="G502" s="18"/>
      <c r="H502" s="18"/>
    </row>
    <row r="503" spans="1:8" x14ac:dyDescent="0.3">
      <c r="A503" t="s">
        <v>674</v>
      </c>
      <c r="B503" s="3">
        <v>42339</v>
      </c>
      <c r="C503" s="3" t="str">
        <f>VLOOKUP(MONTH(Tabela1[[#This Row],[Periodo]]),NUMMESES,2,FALSE)</f>
        <v>Dezembro</v>
      </c>
      <c r="D503" s="2">
        <f>YEAR(Tabela1[[#This Row],[Periodo]])</f>
        <v>2015</v>
      </c>
      <c r="E50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11687307.869999995</v>
      </c>
      <c r="F503" s="18"/>
      <c r="G503" s="18"/>
      <c r="H503" s="18"/>
    </row>
    <row r="504" spans="1:8" x14ac:dyDescent="0.3">
      <c r="A504" t="s">
        <v>674</v>
      </c>
      <c r="B504" s="3">
        <v>42705</v>
      </c>
      <c r="C504" s="3" t="str">
        <f>VLOOKUP(MONTH(Tabela1[[#This Row],[Periodo]]),NUMMESES,2,FALSE)</f>
        <v>Dezembro</v>
      </c>
      <c r="D504" s="2">
        <f>YEAR(Tabela1[[#This Row],[Periodo]])</f>
        <v>2016</v>
      </c>
      <c r="E50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13589895.405553121</v>
      </c>
      <c r="F504" s="18"/>
      <c r="G504" s="18"/>
      <c r="H504" s="2"/>
    </row>
    <row r="505" spans="1:8" x14ac:dyDescent="0.3">
      <c r="A505" t="s">
        <v>674</v>
      </c>
      <c r="B505" s="3">
        <v>43070</v>
      </c>
      <c r="C505" s="3" t="str">
        <f>VLOOKUP(MONTH(Tabela1[[#This Row],[Periodo]]),NUMMESES,2,FALSE)</f>
        <v>Dezembro</v>
      </c>
      <c r="D505" s="2">
        <f>YEAR(Tabela1[[#This Row],[Periodo]])</f>
        <v>2017</v>
      </c>
      <c r="E50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13809428.419999998</v>
      </c>
      <c r="F505" s="18"/>
      <c r="G505" s="18"/>
      <c r="H505" s="18"/>
    </row>
    <row r="506" spans="1:8" x14ac:dyDescent="0.3">
      <c r="A506" t="s">
        <v>674</v>
      </c>
      <c r="B506" s="3">
        <v>43101</v>
      </c>
      <c r="C506" s="3" t="str">
        <f>VLOOKUP(MONTH(Tabela1[[#This Row],[Periodo]]),NUMMESES,2,FALSE)</f>
        <v>Janeiro</v>
      </c>
      <c r="D506" s="2">
        <f>YEAR(Tabela1[[#This Row],[Periodo]])</f>
        <v>2018</v>
      </c>
      <c r="E50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14158794.593835996</v>
      </c>
      <c r="F506" s="18"/>
      <c r="G506" s="18"/>
      <c r="H506" s="18"/>
    </row>
    <row r="507" spans="1:8" x14ac:dyDescent="0.3">
      <c r="A507" t="s">
        <v>674</v>
      </c>
      <c r="B507" s="3">
        <f t="shared" ref="B507:B602" si="7">DATE(YEAR(B506),MONTH(B506)+1,DAY(B506))</f>
        <v>43132</v>
      </c>
      <c r="C507" s="3" t="str">
        <f>VLOOKUP(MONTH(Tabela1[[#This Row],[Periodo]]),NUMMESES,2,FALSE)</f>
        <v>Fevereiro</v>
      </c>
      <c r="D507" s="2">
        <f>YEAR(Tabela1[[#This Row],[Periodo]])</f>
        <v>2018</v>
      </c>
      <c r="E50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14451095.597668</v>
      </c>
      <c r="F507" s="18"/>
      <c r="G507" s="18"/>
      <c r="H507" s="18"/>
    </row>
    <row r="508" spans="1:8" x14ac:dyDescent="0.3">
      <c r="A508" t="s">
        <v>674</v>
      </c>
      <c r="B508" s="3">
        <f t="shared" si="7"/>
        <v>43160</v>
      </c>
      <c r="C508" s="3" t="str">
        <f>VLOOKUP(MONTH(Tabela1[[#This Row],[Periodo]]),NUMMESES,2,FALSE)</f>
        <v>Março</v>
      </c>
      <c r="D508" s="2">
        <f>YEAR(Tabela1[[#This Row],[Periodo]])</f>
        <v>2018</v>
      </c>
      <c r="E50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15056964.650511995</v>
      </c>
      <c r="F508" s="18"/>
      <c r="G508" s="18"/>
      <c r="H508" s="18"/>
    </row>
    <row r="509" spans="1:8" x14ac:dyDescent="0.3">
      <c r="A509" t="s">
        <v>674</v>
      </c>
      <c r="B509" s="3">
        <f t="shared" si="7"/>
        <v>43191</v>
      </c>
      <c r="C509" s="3" t="str">
        <f>VLOOKUP(MONTH(Tabela1[[#This Row],[Periodo]]),NUMMESES,2,FALSE)</f>
        <v>Abril</v>
      </c>
      <c r="D509" s="2">
        <f>YEAR(Tabela1[[#This Row],[Periodo]])</f>
        <v>2018</v>
      </c>
      <c r="E50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11224150.739980001</v>
      </c>
      <c r="F509" s="18"/>
      <c r="G509" s="18"/>
      <c r="H509" s="18"/>
    </row>
    <row r="510" spans="1:8" x14ac:dyDescent="0.3">
      <c r="A510" t="s">
        <v>674</v>
      </c>
      <c r="B510" s="3">
        <f t="shared" si="7"/>
        <v>43221</v>
      </c>
      <c r="C510" s="3" t="str">
        <f>VLOOKUP(MONTH(Tabela1[[#This Row],[Periodo]]),NUMMESES,2,FALSE)</f>
        <v>Maio</v>
      </c>
      <c r="D510" s="2">
        <f>YEAR(Tabela1[[#This Row],[Periodo]])</f>
        <v>2018</v>
      </c>
      <c r="E51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11073646.653176</v>
      </c>
      <c r="F510" s="18"/>
      <c r="G510" s="18"/>
      <c r="H510" s="18"/>
    </row>
    <row r="511" spans="1:8" x14ac:dyDescent="0.3">
      <c r="A511" t="s">
        <v>674</v>
      </c>
      <c r="B511" s="3">
        <f t="shared" si="7"/>
        <v>43252</v>
      </c>
      <c r="C511" s="3" t="str">
        <f>VLOOKUP(MONTH(Tabela1[[#This Row],[Periodo]]),NUMMESES,2,FALSE)</f>
        <v>Junho</v>
      </c>
      <c r="D511" s="2">
        <f>YEAR(Tabela1[[#This Row],[Periodo]])</f>
        <v>2018</v>
      </c>
      <c r="E51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11283792.798540002</v>
      </c>
      <c r="F511" s="18"/>
      <c r="G511" s="18"/>
      <c r="H511" s="18"/>
    </row>
    <row r="512" spans="1:8" x14ac:dyDescent="0.3">
      <c r="A512" t="s">
        <v>674</v>
      </c>
      <c r="B512" s="3">
        <f t="shared" si="7"/>
        <v>43282</v>
      </c>
      <c r="C512" s="3" t="str">
        <f>VLOOKUP(MONTH(Tabela1[[#This Row],[Periodo]]),NUMMESES,2,FALSE)</f>
        <v>Julho</v>
      </c>
      <c r="D512" s="2">
        <f>YEAR(Tabela1[[#This Row],[Periodo]])</f>
        <v>2018</v>
      </c>
      <c r="E51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11952861.84</v>
      </c>
      <c r="F512" s="18"/>
      <c r="G512" s="18"/>
      <c r="H512" s="18"/>
    </row>
    <row r="513" spans="1:8" x14ac:dyDescent="0.3">
      <c r="A513" t="s">
        <v>674</v>
      </c>
      <c r="B513" s="3">
        <f t="shared" si="7"/>
        <v>43313</v>
      </c>
      <c r="C513" s="3" t="str">
        <f>VLOOKUP(MONTH(Tabela1[[#This Row],[Periodo]]),NUMMESES,2,FALSE)</f>
        <v>Agosto</v>
      </c>
      <c r="D513" s="2">
        <f>YEAR(Tabela1[[#This Row],[Periodo]])</f>
        <v>2018</v>
      </c>
      <c r="E51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12284469.909999998</v>
      </c>
      <c r="F513" s="18"/>
      <c r="G513" s="18"/>
      <c r="H513" s="18"/>
    </row>
    <row r="514" spans="1:8" x14ac:dyDescent="0.3">
      <c r="A514" t="s">
        <v>674</v>
      </c>
      <c r="B514" s="3">
        <f t="shared" si="7"/>
        <v>43344</v>
      </c>
      <c r="C514" s="3" t="str">
        <f>VLOOKUP(MONTH(Tabela1[[#This Row],[Periodo]]),NUMMESES,2,FALSE)</f>
        <v>Setembro</v>
      </c>
      <c r="D514" s="2">
        <f>YEAR(Tabela1[[#This Row],[Periodo]])</f>
        <v>2018</v>
      </c>
      <c r="E51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13490057.84</v>
      </c>
      <c r="F514" s="18"/>
      <c r="G514" s="18"/>
      <c r="H514" s="18"/>
    </row>
    <row r="515" spans="1:8" x14ac:dyDescent="0.3">
      <c r="A515" t="s">
        <v>674</v>
      </c>
      <c r="B515" s="3">
        <f t="shared" si="7"/>
        <v>43374</v>
      </c>
      <c r="C515" s="3" t="str">
        <f>VLOOKUP(MONTH(Tabela1[[#This Row],[Periodo]]),NUMMESES,2,FALSE)</f>
        <v>Outubro</v>
      </c>
      <c r="D515" s="2">
        <f>YEAR(Tabela1[[#This Row],[Periodo]])</f>
        <v>2018</v>
      </c>
      <c r="E51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13430373.078539999</v>
      </c>
      <c r="F515" s="18"/>
      <c r="G515" s="18"/>
      <c r="H515" s="18"/>
    </row>
    <row r="516" spans="1:8" x14ac:dyDescent="0.3">
      <c r="A516" t="s">
        <v>674</v>
      </c>
      <c r="B516" s="3">
        <f t="shared" si="7"/>
        <v>43405</v>
      </c>
      <c r="C516" s="3" t="str">
        <f>VLOOKUP(MONTH(Tabela1[[#This Row],[Periodo]]),NUMMESES,2,FALSE)</f>
        <v>Novembro</v>
      </c>
      <c r="D516" s="2">
        <f>YEAR(Tabela1[[#This Row],[Periodo]])</f>
        <v>2018</v>
      </c>
      <c r="E51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13432856.658539999</v>
      </c>
      <c r="F516" s="18"/>
      <c r="G516" s="18"/>
      <c r="H516" s="18"/>
    </row>
    <row r="517" spans="1:8" x14ac:dyDescent="0.3">
      <c r="A517" t="s">
        <v>674</v>
      </c>
      <c r="B517" s="3">
        <f t="shared" si="7"/>
        <v>43435</v>
      </c>
      <c r="C517" s="3" t="str">
        <f>VLOOKUP(MONTH(Tabela1[[#This Row],[Periodo]]),NUMMESES,2,FALSE)</f>
        <v>Dezembro</v>
      </c>
      <c r="D517" s="2">
        <f>YEAR(Tabela1[[#This Row],[Periodo]])</f>
        <v>2018</v>
      </c>
      <c r="E51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13549363.538540002</v>
      </c>
      <c r="F517" s="18"/>
      <c r="G517" s="18"/>
      <c r="H517" s="18"/>
    </row>
    <row r="518" spans="1:8" x14ac:dyDescent="0.3">
      <c r="A518" t="s">
        <v>674</v>
      </c>
      <c r="B518" s="3">
        <f t="shared" si="7"/>
        <v>43466</v>
      </c>
      <c r="C518" s="3" t="str">
        <f>VLOOKUP(MONTH(Tabela1[[#This Row],[Periodo]]),NUMMESES,2,FALSE)</f>
        <v>Janeiro</v>
      </c>
      <c r="D518" s="2">
        <f>YEAR(Tabela1[[#This Row],[Periodo]])</f>
        <v>2019</v>
      </c>
      <c r="E51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13769866.281200001</v>
      </c>
      <c r="F518" s="18"/>
      <c r="G518" s="18"/>
      <c r="H518" s="18"/>
    </row>
    <row r="519" spans="1:8" x14ac:dyDescent="0.3">
      <c r="A519" t="s">
        <v>674</v>
      </c>
      <c r="B519" s="3">
        <f t="shared" si="7"/>
        <v>43497</v>
      </c>
      <c r="C519" s="3" t="str">
        <f>VLOOKUP(MONTH(Tabela1[[#This Row],[Periodo]]),NUMMESES,2,FALSE)</f>
        <v>Fevereiro</v>
      </c>
      <c r="D519" s="2">
        <f>YEAR(Tabela1[[#This Row],[Periodo]])</f>
        <v>2019</v>
      </c>
      <c r="E51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13902166.261199996</v>
      </c>
      <c r="F519" s="18"/>
      <c r="G519" s="18"/>
      <c r="H519" s="18"/>
    </row>
    <row r="520" spans="1:8" x14ac:dyDescent="0.3">
      <c r="A520" t="s">
        <v>674</v>
      </c>
      <c r="B520" s="3">
        <f t="shared" si="7"/>
        <v>43525</v>
      </c>
      <c r="C520" s="3" t="str">
        <f>VLOOKUP(MONTH(Tabela1[[#This Row],[Periodo]]),NUMMESES,2,FALSE)</f>
        <v>Março</v>
      </c>
      <c r="D520" s="2">
        <f>YEAR(Tabela1[[#This Row],[Periodo]])</f>
        <v>2019</v>
      </c>
      <c r="E52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14180188.041199999</v>
      </c>
      <c r="F520" s="18"/>
      <c r="G520" s="18"/>
      <c r="H520" s="18"/>
    </row>
    <row r="521" spans="1:8" x14ac:dyDescent="0.3">
      <c r="A521" t="s">
        <v>674</v>
      </c>
      <c r="B521" s="3">
        <f t="shared" si="7"/>
        <v>43556</v>
      </c>
      <c r="C521" s="3" t="str">
        <f>VLOOKUP(MONTH(Tabela1[[#This Row],[Periodo]]),NUMMESES,2,FALSE)</f>
        <v>Abril</v>
      </c>
      <c r="D521" s="2">
        <f>YEAR(Tabela1[[#This Row],[Periodo]])</f>
        <v>2019</v>
      </c>
      <c r="E52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14719236.611199997</v>
      </c>
      <c r="F521" s="18"/>
      <c r="G521" s="18"/>
      <c r="H521" s="18"/>
    </row>
    <row r="522" spans="1:8" x14ac:dyDescent="0.3">
      <c r="A522" t="s">
        <v>674</v>
      </c>
      <c r="B522" s="3">
        <f t="shared" si="7"/>
        <v>43586</v>
      </c>
      <c r="C522" s="3" t="str">
        <f>VLOOKUP(MONTH(Tabela1[[#This Row],[Periodo]]),NUMMESES,2,FALSE)</f>
        <v>Maio</v>
      </c>
      <c r="D522" s="2">
        <f>YEAR(Tabela1[[#This Row],[Periodo]])</f>
        <v>2019</v>
      </c>
      <c r="E52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15234880.49</v>
      </c>
      <c r="F522" s="18"/>
      <c r="G522" s="18"/>
      <c r="H522" s="18"/>
    </row>
    <row r="523" spans="1:8" x14ac:dyDescent="0.3">
      <c r="A523" t="s">
        <v>674</v>
      </c>
      <c r="B523" s="3">
        <f t="shared" si="7"/>
        <v>43617</v>
      </c>
      <c r="C523" s="3" t="str">
        <f>VLOOKUP(MONTH(Tabela1[[#This Row],[Periodo]]),NUMMESES,2,FALSE)</f>
        <v>Junho</v>
      </c>
      <c r="D523" s="2">
        <f>YEAR(Tabela1[[#This Row],[Periodo]])</f>
        <v>2019</v>
      </c>
      <c r="E52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15351861.941200003</v>
      </c>
      <c r="F523" s="18"/>
      <c r="G523" s="18"/>
      <c r="H523" s="18"/>
    </row>
    <row r="524" spans="1:8" x14ac:dyDescent="0.3">
      <c r="A524" t="s">
        <v>674</v>
      </c>
      <c r="B524" s="3">
        <f t="shared" si="7"/>
        <v>43647</v>
      </c>
      <c r="C524" s="3" t="str">
        <f>VLOOKUP(MONTH(Tabela1[[#This Row],[Periodo]]),NUMMESES,2,FALSE)</f>
        <v>Julho</v>
      </c>
      <c r="D524" s="2">
        <f>YEAR(Tabela1[[#This Row],[Periodo]])</f>
        <v>2019</v>
      </c>
      <c r="E52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16017346.131199999</v>
      </c>
      <c r="F524" s="18"/>
      <c r="G524" s="18"/>
      <c r="H524" s="18"/>
    </row>
    <row r="525" spans="1:8" x14ac:dyDescent="0.3">
      <c r="A525" t="s">
        <v>674</v>
      </c>
      <c r="B525" s="3">
        <f t="shared" si="7"/>
        <v>43678</v>
      </c>
      <c r="C525" s="3" t="str">
        <f>VLOOKUP(MONTH(Tabela1[[#This Row],[Periodo]]),NUMMESES,2,FALSE)</f>
        <v>Agosto</v>
      </c>
      <c r="D525" s="2">
        <f>YEAR(Tabela1[[#This Row],[Periodo]])</f>
        <v>2019</v>
      </c>
      <c r="E52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16381186.131200003</v>
      </c>
      <c r="F525" s="18"/>
      <c r="G525" s="18"/>
      <c r="H525" s="18"/>
    </row>
    <row r="526" spans="1:8" x14ac:dyDescent="0.3">
      <c r="A526" t="s">
        <v>674</v>
      </c>
      <c r="B526" s="3">
        <f t="shared" si="7"/>
        <v>43709</v>
      </c>
      <c r="C526" s="3" t="str">
        <f>VLOOKUP(MONTH(Tabela1[[#This Row],[Periodo]]),NUMMESES,2,FALSE)</f>
        <v>Setembro</v>
      </c>
      <c r="D526" s="2">
        <f>YEAR(Tabela1[[#This Row],[Periodo]])</f>
        <v>2019</v>
      </c>
      <c r="E52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17232964.891199999</v>
      </c>
      <c r="F526" s="18"/>
      <c r="G526" s="18"/>
      <c r="H526" s="18"/>
    </row>
    <row r="527" spans="1:8" x14ac:dyDescent="0.3">
      <c r="A527" t="s">
        <v>674</v>
      </c>
      <c r="B527" s="3">
        <f t="shared" si="7"/>
        <v>43739</v>
      </c>
      <c r="C527" s="3" t="str">
        <f>VLOOKUP(MONTH(Tabela1[[#This Row],[Periodo]]),NUMMESES,2,FALSE)</f>
        <v>Outubro</v>
      </c>
      <c r="D527" s="2">
        <f>YEAR(Tabela1[[#This Row],[Periodo]])</f>
        <v>2019</v>
      </c>
      <c r="E52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17739754.001200002</v>
      </c>
      <c r="F527" s="18"/>
      <c r="G527" s="18"/>
      <c r="H527" s="18"/>
    </row>
    <row r="528" spans="1:8" x14ac:dyDescent="0.3">
      <c r="A528" t="s">
        <v>674</v>
      </c>
      <c r="B528" s="3">
        <f t="shared" si="7"/>
        <v>43770</v>
      </c>
      <c r="C528" s="3" t="str">
        <f>VLOOKUP(MONTH(Tabela1[[#This Row],[Periodo]]),NUMMESES,2,FALSE)</f>
        <v>Novembro</v>
      </c>
      <c r="D528" s="2">
        <f>YEAR(Tabela1[[#This Row],[Periodo]])</f>
        <v>2019</v>
      </c>
      <c r="E52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18103785.731199998</v>
      </c>
      <c r="F528" s="18"/>
      <c r="G528" s="18"/>
      <c r="H528" s="18"/>
    </row>
    <row r="529" spans="1:8" x14ac:dyDescent="0.3">
      <c r="A529" t="s">
        <v>674</v>
      </c>
      <c r="B529" s="3">
        <f t="shared" si="7"/>
        <v>43800</v>
      </c>
      <c r="C529" s="3" t="str">
        <f>VLOOKUP(MONTH(Tabela1[[#This Row],[Periodo]]),NUMMESES,2,FALSE)</f>
        <v>Dezembro</v>
      </c>
      <c r="D529" s="2">
        <f>YEAR(Tabela1[[#This Row],[Periodo]])</f>
        <v>2019</v>
      </c>
      <c r="E52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18090585.721199997</v>
      </c>
      <c r="F529" s="18"/>
      <c r="G529" s="18"/>
      <c r="H529" s="18"/>
    </row>
    <row r="530" spans="1:8" x14ac:dyDescent="0.3">
      <c r="A530" t="s">
        <v>674</v>
      </c>
      <c r="B530" s="3">
        <f t="shared" si="7"/>
        <v>43831</v>
      </c>
      <c r="C530" s="3" t="str">
        <f>VLOOKUP(MONTH(Tabela1[[#This Row],[Periodo]]),NUMMESES,2,FALSE)</f>
        <v>Janeiro</v>
      </c>
      <c r="D530" s="2">
        <f>YEAR(Tabela1[[#This Row],[Periodo]])</f>
        <v>2020</v>
      </c>
      <c r="E53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18547065.869999997</v>
      </c>
      <c r="F530" s="18"/>
      <c r="G530" s="18"/>
      <c r="H530" s="18"/>
    </row>
    <row r="531" spans="1:8" x14ac:dyDescent="0.3">
      <c r="A531" t="s">
        <v>674</v>
      </c>
      <c r="B531" s="3">
        <f t="shared" si="7"/>
        <v>43862</v>
      </c>
      <c r="C531" s="2" t="str">
        <f>VLOOKUP(MONTH(Tabela1[[#This Row],[Periodo]]),NUMMESES,2,FALSE)</f>
        <v>Fevereiro</v>
      </c>
      <c r="D531" s="2">
        <f>YEAR(Tabela1[[#This Row],[Periodo]])</f>
        <v>2020</v>
      </c>
      <c r="E53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18780887.190000001</v>
      </c>
      <c r="F531" s="18"/>
      <c r="G531" s="18"/>
      <c r="H531" s="18"/>
    </row>
    <row r="532" spans="1:8" x14ac:dyDescent="0.3">
      <c r="A532" t="s">
        <v>674</v>
      </c>
      <c r="B532" s="3">
        <f t="shared" si="7"/>
        <v>43891</v>
      </c>
      <c r="C532" s="2" t="str">
        <f>VLOOKUP(MONTH(Tabela1[[#This Row],[Periodo]]),NUMMESES,2,FALSE)</f>
        <v>Março</v>
      </c>
      <c r="D532" s="2">
        <f>YEAR(Tabela1[[#This Row],[Periodo]])</f>
        <v>2020</v>
      </c>
      <c r="E53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18714336.619999997</v>
      </c>
      <c r="F532" s="18"/>
      <c r="G532" s="18"/>
      <c r="H532" s="18"/>
    </row>
    <row r="533" spans="1:8" x14ac:dyDescent="0.3">
      <c r="A533" t="s">
        <v>674</v>
      </c>
      <c r="B533" s="3">
        <f t="shared" si="7"/>
        <v>43922</v>
      </c>
      <c r="C533" s="2" t="str">
        <f>VLOOKUP(MONTH(Tabela1[[#This Row],[Periodo]]),NUMMESES,2,FALSE)</f>
        <v>Abril</v>
      </c>
      <c r="D533" s="2">
        <f>YEAR(Tabela1[[#This Row],[Periodo]])</f>
        <v>2020</v>
      </c>
      <c r="E53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18760874.159999996</v>
      </c>
      <c r="F533" s="18"/>
      <c r="G533" s="18"/>
      <c r="H533" s="18"/>
    </row>
    <row r="534" spans="1:8" x14ac:dyDescent="0.3">
      <c r="A534" t="s">
        <v>674</v>
      </c>
      <c r="B534" s="3">
        <f t="shared" si="7"/>
        <v>43952</v>
      </c>
      <c r="C534" s="2" t="str">
        <f>VLOOKUP(MONTH(Tabela1[[#This Row],[Periodo]]),NUMMESES,2,FALSE)</f>
        <v>Maio</v>
      </c>
      <c r="D534" s="2">
        <f>YEAR(Tabela1[[#This Row],[Periodo]])</f>
        <v>2020</v>
      </c>
      <c r="E53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18989711.119999997</v>
      </c>
      <c r="F534" s="18"/>
      <c r="G534" s="18"/>
      <c r="H534" s="18"/>
    </row>
    <row r="535" spans="1:8" x14ac:dyDescent="0.3">
      <c r="A535" t="s">
        <v>674</v>
      </c>
      <c r="B535" s="3">
        <f t="shared" si="7"/>
        <v>43983</v>
      </c>
      <c r="C535" s="2" t="str">
        <f>VLOOKUP(MONTH(Tabela1[[#This Row],[Periodo]]),NUMMESES,2,FALSE)</f>
        <v>Junho</v>
      </c>
      <c r="D535" s="2">
        <f>YEAR(Tabela1[[#This Row],[Periodo]])</f>
        <v>2020</v>
      </c>
      <c r="E53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20269499.93</v>
      </c>
      <c r="F535" s="18"/>
      <c r="G535" s="18"/>
      <c r="H535" s="18"/>
    </row>
    <row r="536" spans="1:8" x14ac:dyDescent="0.3">
      <c r="A536" t="s">
        <v>674</v>
      </c>
      <c r="B536" s="3">
        <f t="shared" si="7"/>
        <v>44013</v>
      </c>
      <c r="C536" s="2" t="str">
        <f>VLOOKUP(MONTH(Tabela1[[#This Row],[Periodo]]),NUMMESES,2,FALSE)</f>
        <v>Julho</v>
      </c>
      <c r="D536" s="2">
        <f>YEAR(Tabela1[[#This Row],[Periodo]])</f>
        <v>2020</v>
      </c>
      <c r="E53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21452911.489999998</v>
      </c>
      <c r="F536" s="18"/>
      <c r="G536" s="18"/>
      <c r="H536" s="18"/>
    </row>
    <row r="537" spans="1:8" x14ac:dyDescent="0.3">
      <c r="A537" t="s">
        <v>674</v>
      </c>
      <c r="B537" s="3">
        <f t="shared" si="7"/>
        <v>44044</v>
      </c>
      <c r="C537" s="2" t="str">
        <f>VLOOKUP(MONTH(Tabela1[[#This Row],[Periodo]]),NUMMESES,2,FALSE)</f>
        <v>Agosto</v>
      </c>
      <c r="D537" s="2">
        <f>YEAR(Tabela1[[#This Row],[Periodo]])</f>
        <v>2020</v>
      </c>
      <c r="E53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22458935.66</v>
      </c>
      <c r="F537" s="18"/>
      <c r="G537" s="18"/>
      <c r="H537" s="18"/>
    </row>
    <row r="538" spans="1:8" x14ac:dyDescent="0.3">
      <c r="A538" t="s">
        <v>674</v>
      </c>
      <c r="B538" s="3">
        <f t="shared" si="7"/>
        <v>44075</v>
      </c>
      <c r="C538" s="2" t="str">
        <f>VLOOKUP(MONTH(Tabela1[[#This Row],[Periodo]]),NUMMESES,2,FALSE)</f>
        <v>Setembro</v>
      </c>
      <c r="D538" s="2">
        <f>YEAR(Tabela1[[#This Row],[Periodo]])</f>
        <v>2020</v>
      </c>
      <c r="E53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23754811.089999996</v>
      </c>
      <c r="F538" s="18"/>
      <c r="G538" s="18"/>
      <c r="H538" s="18"/>
    </row>
    <row r="539" spans="1:8" x14ac:dyDescent="0.3">
      <c r="A539" t="s">
        <v>674</v>
      </c>
      <c r="B539" s="3">
        <f t="shared" si="7"/>
        <v>44105</v>
      </c>
      <c r="C539" s="2" t="str">
        <f>VLOOKUP(MONTH(Tabela1[[#This Row],[Periodo]]),NUMMESES,2,FALSE)</f>
        <v>Outubro</v>
      </c>
      <c r="D539" s="2">
        <f>YEAR(Tabela1[[#This Row],[Periodo]])</f>
        <v>2020</v>
      </c>
      <c r="E53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25414629.910000004</v>
      </c>
      <c r="F539" s="18"/>
      <c r="G539" s="18"/>
      <c r="H539" s="18"/>
    </row>
    <row r="540" spans="1:8" x14ac:dyDescent="0.3">
      <c r="A540" t="s">
        <v>674</v>
      </c>
      <c r="B540" s="3">
        <f>DATE(YEAR(B539),MONTH(B539)+1,DAY(B539))</f>
        <v>44136</v>
      </c>
      <c r="C540" s="2" t="str">
        <f>VLOOKUP(MONTH(Tabela1[[#This Row],[Periodo]]),NUMMESES,2,FALSE)</f>
        <v>Novembro</v>
      </c>
      <c r="D540" s="2">
        <f>YEAR(Tabela1[[#This Row],[Periodo]])</f>
        <v>2020</v>
      </c>
      <c r="E54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26331588.270000003</v>
      </c>
      <c r="F540" s="18"/>
      <c r="G540" s="18"/>
      <c r="H540" s="18"/>
    </row>
    <row r="541" spans="1:8" x14ac:dyDescent="0.3">
      <c r="A541" t="s">
        <v>674</v>
      </c>
      <c r="B541" s="3">
        <f t="shared" si="7"/>
        <v>44166</v>
      </c>
      <c r="C541" s="2" t="str">
        <f>VLOOKUP(MONTH(Tabela1[[#This Row],[Periodo]]),NUMMESES,2,FALSE)</f>
        <v>Dezembro</v>
      </c>
      <c r="D541" s="2">
        <f>YEAR(Tabela1[[#This Row],[Periodo]])</f>
        <v>2020</v>
      </c>
      <c r="E54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27389624.040000007</v>
      </c>
      <c r="F541" s="18"/>
      <c r="G541" s="18"/>
      <c r="H541" s="18"/>
    </row>
    <row r="542" spans="1:8" x14ac:dyDescent="0.3">
      <c r="A542" t="s">
        <v>674</v>
      </c>
      <c r="B542" s="3">
        <f t="shared" si="7"/>
        <v>44197</v>
      </c>
      <c r="C542" s="2" t="str">
        <f>VLOOKUP(MONTH(Tabela1[[#This Row],[Periodo]]),NUMMESES,2,FALSE)</f>
        <v>Janeiro</v>
      </c>
      <c r="D542" s="2">
        <f>YEAR(Tabela1[[#This Row],[Periodo]])</f>
        <v>2021</v>
      </c>
      <c r="E54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28573669.670000002</v>
      </c>
      <c r="F542" s="18"/>
      <c r="G542" s="18"/>
      <c r="H542" s="18"/>
    </row>
    <row r="543" spans="1:8" x14ac:dyDescent="0.3">
      <c r="A543" t="s">
        <v>674</v>
      </c>
      <c r="B543" s="3">
        <f t="shared" si="7"/>
        <v>44228</v>
      </c>
      <c r="C543" s="2" t="str">
        <f>VLOOKUP(MONTH(Tabela1[[#This Row],[Periodo]]),NUMMESES,2,FALSE)</f>
        <v>Fevereiro</v>
      </c>
      <c r="D543" s="2">
        <f>YEAR(Tabela1[[#This Row],[Periodo]])</f>
        <v>2021</v>
      </c>
      <c r="E54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29061365.91</v>
      </c>
      <c r="F543" s="18"/>
      <c r="G543" s="18"/>
      <c r="H543" s="18"/>
    </row>
    <row r="544" spans="1:8" x14ac:dyDescent="0.3">
      <c r="A544" t="s">
        <v>674</v>
      </c>
      <c r="B544" s="3">
        <f t="shared" si="7"/>
        <v>44256</v>
      </c>
      <c r="C544" s="2" t="str">
        <f>VLOOKUP(MONTH(Tabela1[[#This Row],[Periodo]]),NUMMESES,2,FALSE)</f>
        <v>Março</v>
      </c>
      <c r="D544" s="2">
        <f>YEAR(Tabela1[[#This Row],[Periodo]])</f>
        <v>2021</v>
      </c>
      <c r="E54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30662948.140000001</v>
      </c>
      <c r="F544" s="18"/>
      <c r="G544" s="18"/>
      <c r="H544" s="18"/>
    </row>
    <row r="545" spans="1:8" x14ac:dyDescent="0.3">
      <c r="A545" t="s">
        <v>674</v>
      </c>
      <c r="B545" s="3">
        <f t="shared" si="7"/>
        <v>44287</v>
      </c>
      <c r="C545" s="2" t="str">
        <f>VLOOKUP(MONTH(Tabela1[[#This Row],[Periodo]]),NUMMESES,2,FALSE)</f>
        <v>Abril</v>
      </c>
      <c r="D545" s="2">
        <f>YEAR(Tabela1[[#This Row],[Periodo]])</f>
        <v>2021</v>
      </c>
      <c r="E54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32950773.230000004</v>
      </c>
      <c r="F545" s="18"/>
      <c r="G545" s="18"/>
      <c r="H545" s="18"/>
    </row>
    <row r="546" spans="1:8" x14ac:dyDescent="0.3">
      <c r="A546" t="s">
        <v>674</v>
      </c>
      <c r="B546" s="3">
        <f t="shared" si="7"/>
        <v>44317</v>
      </c>
      <c r="C546" s="2" t="str">
        <f>VLOOKUP(MONTH(Tabela1[[#This Row],[Periodo]]),NUMMESES,2,FALSE)</f>
        <v>Maio</v>
      </c>
      <c r="D546" s="2">
        <f>YEAR(Tabela1[[#This Row],[Periodo]])</f>
        <v>2021</v>
      </c>
      <c r="E54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34871180.95000001</v>
      </c>
      <c r="F546" s="18"/>
      <c r="G546" s="18"/>
      <c r="H546" s="18"/>
    </row>
    <row r="547" spans="1:8" x14ac:dyDescent="0.3">
      <c r="A547" t="s">
        <v>674</v>
      </c>
      <c r="B547" s="3">
        <f t="shared" si="7"/>
        <v>44348</v>
      </c>
      <c r="C547" s="2" t="str">
        <f>VLOOKUP(MONTH(Tabela1[[#This Row],[Periodo]]),NUMMESES,2,FALSE)</f>
        <v>Junho</v>
      </c>
      <c r="D547" s="2">
        <f>YEAR(Tabela1[[#This Row],[Periodo]])</f>
        <v>2021</v>
      </c>
      <c r="E54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34815587.050000004</v>
      </c>
      <c r="F547" s="18"/>
      <c r="G547" s="18"/>
      <c r="H547" s="18"/>
    </row>
    <row r="548" spans="1:8" x14ac:dyDescent="0.3">
      <c r="A548" t="s">
        <v>674</v>
      </c>
      <c r="B548" s="3">
        <f t="shared" si="7"/>
        <v>44378</v>
      </c>
      <c r="C548" s="2" t="str">
        <f>VLOOKUP(MONTH(Tabela1[[#This Row],[Periodo]]),NUMMESES,2,FALSE)</f>
        <v>Julho</v>
      </c>
      <c r="D548" s="2">
        <f>YEAR(Tabela1[[#This Row],[Periodo]])</f>
        <v>2021</v>
      </c>
      <c r="E54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37453851.100000009</v>
      </c>
      <c r="F548" s="18"/>
      <c r="G548" s="18"/>
      <c r="H548" s="18"/>
    </row>
    <row r="549" spans="1:8" x14ac:dyDescent="0.3">
      <c r="A549" t="s">
        <v>674</v>
      </c>
      <c r="B549" s="3">
        <f t="shared" si="7"/>
        <v>44409</v>
      </c>
      <c r="C549" s="2" t="str">
        <f>VLOOKUP(MONTH(Tabela1[[#This Row],[Periodo]]),NUMMESES,2,FALSE)</f>
        <v>Agosto</v>
      </c>
      <c r="D549" s="2">
        <f>YEAR(Tabela1[[#This Row],[Periodo]])</f>
        <v>2021</v>
      </c>
      <c r="E54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40095762.100000001</v>
      </c>
      <c r="F549" s="18"/>
      <c r="G549" s="18"/>
      <c r="H549" s="18"/>
    </row>
    <row r="550" spans="1:8" x14ac:dyDescent="0.3">
      <c r="A550" t="s">
        <v>674</v>
      </c>
      <c r="B550" s="3">
        <f t="shared" si="7"/>
        <v>44440</v>
      </c>
      <c r="C550" s="2" t="str">
        <f>VLOOKUP(MONTH(Tabela1[[#This Row],[Periodo]]),NUMMESES,2,FALSE)</f>
        <v>Setembro</v>
      </c>
      <c r="D550" s="2">
        <f>YEAR(Tabela1[[#This Row],[Periodo]])</f>
        <v>2021</v>
      </c>
      <c r="E55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43062360.840000004</v>
      </c>
      <c r="F550" s="18"/>
      <c r="G550" s="18"/>
      <c r="H550" s="18"/>
    </row>
    <row r="551" spans="1:8" x14ac:dyDescent="0.3">
      <c r="A551" t="s">
        <v>674</v>
      </c>
      <c r="B551" s="3">
        <f t="shared" si="7"/>
        <v>44470</v>
      </c>
      <c r="C551" s="2" t="str">
        <f>VLOOKUP(MONTH(Tabela1[[#This Row],[Periodo]]),NUMMESES,2,FALSE)</f>
        <v>Outubro</v>
      </c>
      <c r="D551" s="2">
        <f>YEAR(Tabela1[[#This Row],[Periodo]])</f>
        <v>2021</v>
      </c>
      <c r="E55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44339862.369999997</v>
      </c>
      <c r="F551" s="18"/>
      <c r="G551" s="18"/>
      <c r="H551" s="18"/>
    </row>
    <row r="552" spans="1:8" x14ac:dyDescent="0.3">
      <c r="A552" t="s">
        <v>674</v>
      </c>
      <c r="B552" s="3">
        <f t="shared" si="7"/>
        <v>44501</v>
      </c>
      <c r="C552" s="2" t="str">
        <f>VLOOKUP(MONTH(Tabela1[[#This Row],[Periodo]]),NUMMESES,2,FALSE)</f>
        <v>Novembro</v>
      </c>
      <c r="D552" s="2">
        <f>YEAR(Tabela1[[#This Row],[Periodo]])</f>
        <v>2021</v>
      </c>
      <c r="E55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45456941.509999998</v>
      </c>
      <c r="F552" s="18"/>
      <c r="G552" s="18"/>
      <c r="H552" s="18"/>
    </row>
    <row r="553" spans="1:8" x14ac:dyDescent="0.3">
      <c r="A553" t="s">
        <v>674</v>
      </c>
      <c r="B553" s="3">
        <f t="shared" si="7"/>
        <v>44531</v>
      </c>
      <c r="C553" s="2" t="str">
        <f>VLOOKUP(MONTH(Tabela1[[#This Row],[Periodo]]),NUMMESES,2,FALSE)</f>
        <v>Dezembro</v>
      </c>
      <c r="D553" s="2">
        <f>YEAR(Tabela1[[#This Row],[Periodo]])</f>
        <v>2021</v>
      </c>
      <c r="E55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45711150.600000001</v>
      </c>
      <c r="F553" s="18"/>
      <c r="G553" s="18"/>
      <c r="H553" s="18"/>
    </row>
    <row r="554" spans="1:8" x14ac:dyDescent="0.3">
      <c r="A554" t="s">
        <v>674</v>
      </c>
      <c r="B554" s="3">
        <f t="shared" si="7"/>
        <v>44562</v>
      </c>
      <c r="C554" s="2" t="str">
        <f>VLOOKUP(MONTH(Tabela1[[#This Row],[Periodo]]),NUMMESES,2,FALSE)</f>
        <v>Janeiro</v>
      </c>
      <c r="D554" s="2">
        <f>YEAR(Tabela1[[#This Row],[Periodo]])</f>
        <v>2022</v>
      </c>
      <c r="E55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46464784.460000008</v>
      </c>
      <c r="F554" s="18"/>
      <c r="G554" s="18"/>
      <c r="H554" s="18"/>
    </row>
    <row r="555" spans="1:8" x14ac:dyDescent="0.3">
      <c r="A555" t="s">
        <v>674</v>
      </c>
      <c r="B555" s="3">
        <f t="shared" si="7"/>
        <v>44593</v>
      </c>
      <c r="C555" s="2" t="str">
        <f>VLOOKUP(MONTH(Tabela1[[#This Row],[Periodo]]),NUMMESES,2,FALSE)</f>
        <v>Fevereiro</v>
      </c>
      <c r="D555" s="2">
        <f>YEAR(Tabela1[[#This Row],[Periodo]])</f>
        <v>2022</v>
      </c>
      <c r="E55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48006736.359999992</v>
      </c>
      <c r="F555" s="18"/>
      <c r="G555" s="18"/>
      <c r="H555" s="18"/>
    </row>
    <row r="556" spans="1:8" x14ac:dyDescent="0.3">
      <c r="A556" t="s">
        <v>674</v>
      </c>
      <c r="B556" s="3">
        <f t="shared" si="7"/>
        <v>44621</v>
      </c>
      <c r="C556" s="2" t="str">
        <f>VLOOKUP(MONTH(Tabela1[[#This Row],[Periodo]]),NUMMESES,2,FALSE)</f>
        <v>Março</v>
      </c>
      <c r="D556" s="2">
        <f>YEAR(Tabela1[[#This Row],[Periodo]])</f>
        <v>2022</v>
      </c>
      <c r="E55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48958231.019999996</v>
      </c>
      <c r="F556" s="18"/>
      <c r="G556" s="18"/>
      <c r="H556" s="18"/>
    </row>
    <row r="557" spans="1:8" x14ac:dyDescent="0.3">
      <c r="A557" t="s">
        <v>674</v>
      </c>
      <c r="B557" s="3">
        <f t="shared" si="7"/>
        <v>44652</v>
      </c>
      <c r="C557" s="2" t="str">
        <f>VLOOKUP(MONTH(Tabela1[[#This Row],[Periodo]]),NUMMESES,2,FALSE)</f>
        <v>Abril</v>
      </c>
      <c r="D557" s="2">
        <f>YEAR(Tabela1[[#This Row],[Periodo]])</f>
        <v>2022</v>
      </c>
      <c r="E55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50444235.089999996</v>
      </c>
      <c r="F557" s="18"/>
      <c r="G557" s="18"/>
      <c r="H557" s="18"/>
    </row>
    <row r="558" spans="1:8" x14ac:dyDescent="0.3">
      <c r="A558" t="s">
        <v>674</v>
      </c>
      <c r="B558" s="3">
        <f t="shared" si="7"/>
        <v>44682</v>
      </c>
      <c r="C558" s="2" t="str">
        <f>VLOOKUP(MONTH(Tabela1[[#This Row],[Periodo]]),NUMMESES,2,FALSE)</f>
        <v>Maio</v>
      </c>
      <c r="D558" s="2">
        <f>YEAR(Tabela1[[#This Row],[Periodo]])</f>
        <v>2022</v>
      </c>
      <c r="E55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51605011.560000002</v>
      </c>
      <c r="F558" s="18"/>
      <c r="G558" s="18"/>
      <c r="H558" s="18"/>
    </row>
    <row r="559" spans="1:8" x14ac:dyDescent="0.3">
      <c r="A559" t="s">
        <v>674</v>
      </c>
      <c r="B559" s="3">
        <f t="shared" si="7"/>
        <v>44713</v>
      </c>
      <c r="C559" s="2" t="str">
        <f>VLOOKUP(MONTH(Tabela1[[#This Row],[Periodo]]),NUMMESES,2,FALSE)</f>
        <v>Junho</v>
      </c>
      <c r="D559" s="2">
        <f>YEAR(Tabela1[[#This Row],[Periodo]])</f>
        <v>2022</v>
      </c>
      <c r="E55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52912884.24000001</v>
      </c>
      <c r="F559" s="18"/>
      <c r="G559" s="18"/>
      <c r="H559" s="18"/>
    </row>
    <row r="560" spans="1:8" x14ac:dyDescent="0.3">
      <c r="A560" t="s">
        <v>674</v>
      </c>
      <c r="B560" s="3">
        <f t="shared" si="7"/>
        <v>44743</v>
      </c>
      <c r="C560" s="2" t="str">
        <f>VLOOKUP(MONTH(Tabela1[[#This Row],[Periodo]]),NUMMESES,2,FALSE)</f>
        <v>Julho</v>
      </c>
      <c r="D560" s="2">
        <f>YEAR(Tabela1[[#This Row],[Periodo]])</f>
        <v>2022</v>
      </c>
      <c r="E56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54868883.399999991</v>
      </c>
      <c r="F560" s="18"/>
      <c r="G560" s="18"/>
      <c r="H560" s="18"/>
    </row>
    <row r="561" spans="1:8" x14ac:dyDescent="0.3">
      <c r="A561" t="s">
        <v>674</v>
      </c>
      <c r="B561" s="3">
        <f t="shared" si="7"/>
        <v>44774</v>
      </c>
      <c r="C561" s="2" t="str">
        <f>VLOOKUP(MONTH(Tabela1[[#This Row],[Periodo]]),NUMMESES,2,FALSE)</f>
        <v>Agosto</v>
      </c>
      <c r="D561" s="2">
        <f>YEAR(Tabela1[[#This Row],[Periodo]])</f>
        <v>2022</v>
      </c>
      <c r="E56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55702952.919999994</v>
      </c>
      <c r="F561" s="18"/>
      <c r="G561" s="18"/>
      <c r="H561" s="18"/>
    </row>
    <row r="562" spans="1:8" x14ac:dyDescent="0.3">
      <c r="A562" t="s">
        <v>674</v>
      </c>
      <c r="B562" s="3">
        <f t="shared" si="7"/>
        <v>44805</v>
      </c>
      <c r="C562" s="2" t="str">
        <f>VLOOKUP(MONTH(Tabela1[[#This Row],[Periodo]]),NUMMESES,2,FALSE)</f>
        <v>Setembro</v>
      </c>
      <c r="D562" s="2">
        <f>YEAR(Tabela1[[#This Row],[Periodo]])</f>
        <v>2022</v>
      </c>
      <c r="E56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57192619.100000001</v>
      </c>
      <c r="F562" s="18"/>
      <c r="G562" s="18"/>
      <c r="H562" s="18"/>
    </row>
    <row r="563" spans="1:8" x14ac:dyDescent="0.3">
      <c r="A563" t="s">
        <v>674</v>
      </c>
      <c r="B563" s="3">
        <f t="shared" si="7"/>
        <v>44835</v>
      </c>
      <c r="C563" s="2" t="str">
        <f>VLOOKUP(MONTH(Tabela1[[#This Row],[Periodo]]),NUMMESES,2,FALSE)</f>
        <v>Outubro</v>
      </c>
      <c r="D563" s="2">
        <f>YEAR(Tabela1[[#This Row],[Periodo]])</f>
        <v>2022</v>
      </c>
      <c r="E56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57023274.350000009</v>
      </c>
      <c r="F563" s="18"/>
      <c r="G563" s="18"/>
      <c r="H563" s="18"/>
    </row>
    <row r="564" spans="1:8" x14ac:dyDescent="0.3">
      <c r="A564" t="s">
        <v>674</v>
      </c>
      <c r="B564" s="3">
        <f t="shared" si="7"/>
        <v>44866</v>
      </c>
      <c r="C564" s="2" t="str">
        <f>VLOOKUP(MONTH(Tabela1[[#This Row],[Periodo]]),NUMMESES,2,FALSE)</f>
        <v>Novembro</v>
      </c>
      <c r="D564" s="2">
        <f>YEAR(Tabela1[[#This Row],[Periodo]])</f>
        <v>2022</v>
      </c>
      <c r="E56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58401434.289999999</v>
      </c>
      <c r="F564" s="18"/>
      <c r="G564" s="18"/>
      <c r="H564" s="18"/>
    </row>
    <row r="565" spans="1:8" x14ac:dyDescent="0.3">
      <c r="A565" t="s">
        <v>674</v>
      </c>
      <c r="B565" s="3">
        <f t="shared" si="7"/>
        <v>44896</v>
      </c>
      <c r="C565" s="2" t="str">
        <f>VLOOKUP(MONTH(Tabela1[[#This Row],[Periodo]]),NUMMESES,2,FALSE)</f>
        <v>Dezembro</v>
      </c>
      <c r="D565" s="2">
        <f>YEAR(Tabela1[[#This Row],[Periodo]])</f>
        <v>2022</v>
      </c>
      <c r="E56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58422737.955000013</v>
      </c>
      <c r="F565" s="18"/>
      <c r="G565" s="18"/>
      <c r="H565" s="18"/>
    </row>
    <row r="566" spans="1:8" x14ac:dyDescent="0.3">
      <c r="A566" t="s">
        <v>674</v>
      </c>
      <c r="B566" s="3">
        <f t="shared" si="7"/>
        <v>44927</v>
      </c>
      <c r="C566" s="2" t="str">
        <f>VLOOKUP(MONTH(Tabela1[[#This Row],[Periodo]]),NUMMESES,2,FALSE)</f>
        <v>Janeiro</v>
      </c>
      <c r="D566" s="2">
        <f>YEAR(Tabela1[[#This Row],[Periodo]])</f>
        <v>2023</v>
      </c>
      <c r="E56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58886268.542599991</v>
      </c>
      <c r="F566" s="18"/>
      <c r="G566" s="18"/>
      <c r="H566" s="18"/>
    </row>
    <row r="567" spans="1:8" x14ac:dyDescent="0.3">
      <c r="A567" t="s">
        <v>674</v>
      </c>
      <c r="B567" s="3">
        <f t="shared" si="7"/>
        <v>44958</v>
      </c>
      <c r="C567" s="2" t="str">
        <f>VLOOKUP(MONTH(Tabela1[[#This Row],[Periodo]]),NUMMESES,2,FALSE)</f>
        <v>Fevereiro</v>
      </c>
      <c r="D567" s="2">
        <f>YEAR(Tabela1[[#This Row],[Periodo]])</f>
        <v>2023</v>
      </c>
      <c r="E56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58990650.708400004</v>
      </c>
      <c r="F567" s="18"/>
      <c r="G567" s="18"/>
      <c r="H567" s="18"/>
    </row>
    <row r="568" spans="1:8" x14ac:dyDescent="0.3">
      <c r="A568" t="s">
        <v>674</v>
      </c>
      <c r="B568" s="3">
        <f t="shared" si="7"/>
        <v>44986</v>
      </c>
      <c r="C568" s="2" t="str">
        <f>VLOOKUP(MONTH(Tabela1[[#This Row],[Periodo]]),NUMMESES,2,FALSE)</f>
        <v>Março</v>
      </c>
      <c r="D568" s="2">
        <f>YEAR(Tabela1[[#This Row],[Periodo]])</f>
        <v>2023</v>
      </c>
      <c r="E56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59672353.2042</v>
      </c>
      <c r="F568" s="18"/>
      <c r="G568" s="18"/>
      <c r="H568" s="18"/>
    </row>
    <row r="569" spans="1:8" x14ac:dyDescent="0.3">
      <c r="A569" t="s">
        <v>674</v>
      </c>
      <c r="B569" s="3">
        <f t="shared" si="7"/>
        <v>45017</v>
      </c>
      <c r="C569" s="2" t="str">
        <f>VLOOKUP(MONTH(Tabela1[[#This Row],[Periodo]]),NUMMESES,2,FALSE)</f>
        <v>Abril</v>
      </c>
      <c r="D569" s="2">
        <f>YEAR(Tabela1[[#This Row],[Periodo]])</f>
        <v>2023</v>
      </c>
      <c r="E56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60297646.804799996</v>
      </c>
      <c r="F569" s="18"/>
      <c r="G569" s="18"/>
      <c r="H569" s="18"/>
    </row>
    <row r="570" spans="1:8" x14ac:dyDescent="0.3">
      <c r="A570" t="s">
        <v>674</v>
      </c>
      <c r="B570" s="3">
        <f t="shared" si="7"/>
        <v>45047</v>
      </c>
      <c r="C570" s="2" t="str">
        <f>VLOOKUP(MONTH(Tabela1[[#This Row],[Periodo]]),NUMMESES,2,FALSE)</f>
        <v>Maio</v>
      </c>
      <c r="D570" s="2">
        <f>YEAR(Tabela1[[#This Row],[Periodo]])</f>
        <v>2023</v>
      </c>
      <c r="E57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62046598.670400001</v>
      </c>
      <c r="F570" s="18"/>
      <c r="G570" s="18"/>
      <c r="H570" s="18"/>
    </row>
    <row r="571" spans="1:8" x14ac:dyDescent="0.3">
      <c r="A571" t="s">
        <v>674</v>
      </c>
      <c r="B571" s="3">
        <f t="shared" si="7"/>
        <v>45078</v>
      </c>
      <c r="C571" s="2" t="str">
        <f>VLOOKUP(MONTH(Tabela1[[#This Row],[Periodo]]),NUMMESES,2,FALSE)</f>
        <v>Junho</v>
      </c>
      <c r="D571" s="2">
        <f>YEAR(Tabela1[[#This Row],[Periodo]])</f>
        <v>2023</v>
      </c>
      <c r="E57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63135835.859199993</v>
      </c>
      <c r="F571" s="18"/>
      <c r="G571" s="18"/>
      <c r="H571" s="18"/>
    </row>
    <row r="572" spans="1:8" x14ac:dyDescent="0.3">
      <c r="A572" t="s">
        <v>674</v>
      </c>
      <c r="B572" s="3">
        <f t="shared" si="7"/>
        <v>45108</v>
      </c>
      <c r="C572" s="2" t="str">
        <f>VLOOKUP(MONTH(Tabela1[[#This Row],[Periodo]]),NUMMESES,2,FALSE)</f>
        <v>Julho</v>
      </c>
      <c r="D572" s="2">
        <f>YEAR(Tabela1[[#This Row],[Periodo]])</f>
        <v>2023</v>
      </c>
      <c r="E57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62856841.378200002</v>
      </c>
      <c r="F572" s="18"/>
      <c r="G572" s="18"/>
      <c r="H572" s="18"/>
    </row>
    <row r="573" spans="1:8" x14ac:dyDescent="0.3">
      <c r="A573" t="s">
        <v>674</v>
      </c>
      <c r="B573" s="3">
        <f t="shared" si="7"/>
        <v>45139</v>
      </c>
      <c r="C573" s="2" t="str">
        <f>VLOOKUP(MONTH(Tabela1[[#This Row],[Periodo]]),NUMMESES,2,FALSE)</f>
        <v>Agosto</v>
      </c>
      <c r="D573" s="2">
        <f>YEAR(Tabela1[[#This Row],[Periodo]])</f>
        <v>2023</v>
      </c>
      <c r="E57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63627965.151600003</v>
      </c>
      <c r="F573" s="18"/>
      <c r="G573" s="18"/>
      <c r="H573" s="18"/>
    </row>
    <row r="574" spans="1:8" x14ac:dyDescent="0.3">
      <c r="A574" t="s">
        <v>674</v>
      </c>
      <c r="B574" s="3">
        <f t="shared" si="7"/>
        <v>45170</v>
      </c>
      <c r="C574" s="2" t="str">
        <f>VLOOKUP(MONTH(Tabela1[[#This Row],[Periodo]]),NUMMESES,2,FALSE)</f>
        <v>Setembro</v>
      </c>
      <c r="D574" s="2">
        <f>YEAR(Tabela1[[#This Row],[Periodo]])</f>
        <v>2023</v>
      </c>
      <c r="E57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64024715.954199985</v>
      </c>
      <c r="F574" s="18"/>
      <c r="G574" s="18"/>
      <c r="H574" s="18"/>
    </row>
    <row r="575" spans="1:8" x14ac:dyDescent="0.3">
      <c r="A575" t="s">
        <v>674</v>
      </c>
      <c r="B575" s="3">
        <f t="shared" si="7"/>
        <v>45200</v>
      </c>
      <c r="C575" s="2" t="str">
        <f>VLOOKUP(MONTH(Tabela1[[#This Row],[Periodo]]),NUMMESES,2,FALSE)</f>
        <v>Outubro</v>
      </c>
      <c r="D575" s="2">
        <f>YEAR(Tabela1[[#This Row],[Periodo]])</f>
        <v>2023</v>
      </c>
      <c r="E57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64953301.078999981</v>
      </c>
      <c r="F575" s="18"/>
      <c r="G575" s="18"/>
      <c r="H575" s="18"/>
    </row>
    <row r="576" spans="1:8" x14ac:dyDescent="0.3">
      <c r="A576" t="s">
        <v>674</v>
      </c>
      <c r="B576" s="3">
        <f t="shared" si="7"/>
        <v>45231</v>
      </c>
      <c r="C576" s="2" t="str">
        <f>VLOOKUP(MONTH(Tabela1[[#This Row],[Periodo]]),NUMMESES,2,FALSE)</f>
        <v>Novembro</v>
      </c>
      <c r="D576" s="2">
        <f>YEAR(Tabela1[[#This Row],[Periodo]])</f>
        <v>2023</v>
      </c>
      <c r="E57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64941362.785399996</v>
      </c>
      <c r="F576" s="18"/>
      <c r="G576" s="18"/>
      <c r="H576" s="18"/>
    </row>
    <row r="577" spans="1:8" x14ac:dyDescent="0.3">
      <c r="A577" t="s">
        <v>674</v>
      </c>
      <c r="B577" s="3">
        <f t="shared" si="7"/>
        <v>45261</v>
      </c>
      <c r="C577" s="2" t="str">
        <f>VLOOKUP(MONTH(Tabela1[[#This Row],[Periodo]]),NUMMESES,2,FALSE)</f>
        <v>Dezembro</v>
      </c>
      <c r="D577" s="2">
        <f>YEAR(Tabela1[[#This Row],[Periodo]])</f>
        <v>2023</v>
      </c>
      <c r="E57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66371459.695799991</v>
      </c>
      <c r="F577" s="18"/>
      <c r="G577" s="18"/>
      <c r="H577" s="18"/>
    </row>
    <row r="578" spans="1:8" x14ac:dyDescent="0.3">
      <c r="A578" t="s">
        <v>674</v>
      </c>
      <c r="B578" s="3">
        <f t="shared" si="7"/>
        <v>45292</v>
      </c>
      <c r="C578" s="2" t="str">
        <f>VLOOKUP(MONTH(Tabela1[[#This Row],[Periodo]]),NUMMESES,2,FALSE)</f>
        <v>Janeiro</v>
      </c>
      <c r="D578" s="2">
        <f>YEAR(Tabela1[[#This Row],[Periodo]])</f>
        <v>2024</v>
      </c>
      <c r="E57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67691472.524199992</v>
      </c>
      <c r="F578" s="18"/>
      <c r="G578" s="18"/>
      <c r="H578" s="18"/>
    </row>
    <row r="579" spans="1:8" x14ac:dyDescent="0.3">
      <c r="A579" t="s">
        <v>674</v>
      </c>
      <c r="B579" s="3">
        <f t="shared" si="7"/>
        <v>45323</v>
      </c>
      <c r="C579" s="2" t="str">
        <f>VLOOKUP(MONTH(Tabela1[[#This Row],[Periodo]]),NUMMESES,2,FALSE)</f>
        <v>Fevereiro</v>
      </c>
      <c r="D579" s="2">
        <f>YEAR(Tabela1[[#This Row],[Periodo]])</f>
        <v>2024</v>
      </c>
      <c r="E57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68786941.21100001</v>
      </c>
      <c r="F579" s="18"/>
      <c r="G579" s="18"/>
      <c r="H579" s="18"/>
    </row>
    <row r="580" spans="1:8" x14ac:dyDescent="0.3">
      <c r="A580" t="s">
        <v>674</v>
      </c>
      <c r="B580" s="3">
        <f t="shared" si="7"/>
        <v>45352</v>
      </c>
      <c r="C580" s="2" t="str">
        <f>VLOOKUP(MONTH(Tabela1[[#This Row],[Periodo]]),NUMMESES,2,FALSE)</f>
        <v>Março</v>
      </c>
      <c r="D580" s="2">
        <f>YEAR(Tabela1[[#This Row],[Periodo]])</f>
        <v>2024</v>
      </c>
      <c r="E58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68388234.382400006</v>
      </c>
      <c r="F580" s="18"/>
      <c r="G580" s="18"/>
      <c r="H580" s="18"/>
    </row>
    <row r="581" spans="1:8" x14ac:dyDescent="0.3">
      <c r="A581" t="s">
        <v>674</v>
      </c>
      <c r="B581" s="3">
        <f t="shared" si="7"/>
        <v>45383</v>
      </c>
      <c r="C581" s="2" t="str">
        <f>VLOOKUP(MONTH(Tabela1[[#This Row],[Periodo]]),NUMMESES,2,FALSE)</f>
        <v>Abril</v>
      </c>
      <c r="D581" s="2">
        <f>YEAR(Tabela1[[#This Row],[Periodo]])</f>
        <v>2024</v>
      </c>
      <c r="E58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70293275.555000007</v>
      </c>
      <c r="F581" s="18"/>
      <c r="G581" s="18"/>
      <c r="H581" s="18"/>
    </row>
    <row r="582" spans="1:8" x14ac:dyDescent="0.3">
      <c r="A582" t="s">
        <v>674</v>
      </c>
      <c r="B582" s="3">
        <f t="shared" si="7"/>
        <v>45413</v>
      </c>
      <c r="C582" s="2" t="str">
        <f>VLOOKUP(MONTH(Tabela1[[#This Row],[Periodo]]),NUMMESES,2,FALSE)</f>
        <v>Maio</v>
      </c>
      <c r="D582" s="2">
        <f>YEAR(Tabela1[[#This Row],[Periodo]])</f>
        <v>2024</v>
      </c>
      <c r="E58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65745277.316600002</v>
      </c>
      <c r="F582" s="18"/>
      <c r="G582" s="18"/>
      <c r="H582" s="18"/>
    </row>
    <row r="583" spans="1:8" x14ac:dyDescent="0.3">
      <c r="A583" t="s">
        <v>674</v>
      </c>
      <c r="B583" s="3">
        <f t="shared" si="7"/>
        <v>45444</v>
      </c>
      <c r="C583" s="2" t="str">
        <f>VLOOKUP(MONTH(Tabela1[[#This Row],[Periodo]]),NUMMESES,2,FALSE)</f>
        <v>Junho</v>
      </c>
      <c r="D583" s="2">
        <f>YEAR(Tabela1[[#This Row],[Periodo]])</f>
        <v>2024</v>
      </c>
      <c r="E58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66702096.924099989</v>
      </c>
      <c r="F583" s="18"/>
      <c r="G583" s="18"/>
      <c r="H583" s="18"/>
    </row>
    <row r="584" spans="1:8" x14ac:dyDescent="0.3">
      <c r="A584" t="s">
        <v>674</v>
      </c>
      <c r="B584" s="3">
        <f t="shared" si="7"/>
        <v>45474</v>
      </c>
      <c r="C584" s="2" t="str">
        <f>VLOOKUP(MONTH(Tabela1[[#This Row],[Periodo]]),NUMMESES,2,FALSE)</f>
        <v>Julho</v>
      </c>
      <c r="D584" s="2">
        <f>YEAR(Tabela1[[#This Row],[Periodo]])</f>
        <v>2024</v>
      </c>
      <c r="E58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66894220.054099999</v>
      </c>
      <c r="F584" s="18"/>
      <c r="G584" s="18"/>
      <c r="H584" s="18"/>
    </row>
    <row r="585" spans="1:8" x14ac:dyDescent="0.3">
      <c r="A585" t="s">
        <v>674</v>
      </c>
      <c r="B585" s="3">
        <f t="shared" si="7"/>
        <v>45505</v>
      </c>
      <c r="C585" s="2" t="str">
        <f>VLOOKUP(MONTH(Tabela1[[#This Row],[Periodo]]),NUMMESES,2,FALSE)</f>
        <v>Agosto</v>
      </c>
      <c r="D585" s="2">
        <f>YEAR(Tabela1[[#This Row],[Periodo]])</f>
        <v>2024</v>
      </c>
      <c r="E58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67555237.734099984</v>
      </c>
      <c r="F585" s="18"/>
      <c r="G585" s="18"/>
      <c r="H585" s="18"/>
    </row>
    <row r="586" spans="1:8" x14ac:dyDescent="0.3">
      <c r="A586" t="s">
        <v>674</v>
      </c>
      <c r="B586" s="3">
        <f t="shared" si="7"/>
        <v>45536</v>
      </c>
      <c r="C586" s="2" t="str">
        <f>VLOOKUP(MONTH(Tabela1[[#This Row],[Periodo]]),NUMMESES,2,FALSE)</f>
        <v>Setembro</v>
      </c>
      <c r="D586" s="2">
        <f>YEAR(Tabela1[[#This Row],[Periodo]])</f>
        <v>2024</v>
      </c>
      <c r="E58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69064373.354100019</v>
      </c>
      <c r="F586" s="18"/>
      <c r="G586" s="18"/>
      <c r="H586" s="18"/>
    </row>
    <row r="587" spans="1:8" x14ac:dyDescent="0.3">
      <c r="A587" t="s">
        <v>674</v>
      </c>
      <c r="B587" s="3">
        <f t="shared" si="7"/>
        <v>45566</v>
      </c>
      <c r="C587" s="2" t="str">
        <f>VLOOKUP(MONTH(Tabela1[[#This Row],[Periodo]]),NUMMESES,2,FALSE)</f>
        <v>Outubro</v>
      </c>
      <c r="D587" s="2">
        <f>YEAR(Tabela1[[#This Row],[Periodo]])</f>
        <v>2024</v>
      </c>
      <c r="E58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69509537.314100012</v>
      </c>
      <c r="F587" s="18"/>
      <c r="G587" s="18"/>
      <c r="H587" s="18"/>
    </row>
    <row r="588" spans="1:8" x14ac:dyDescent="0.3">
      <c r="A588" t="s">
        <v>674</v>
      </c>
      <c r="B588" s="3">
        <f t="shared" si="7"/>
        <v>45597</v>
      </c>
      <c r="C588" s="2" t="str">
        <f>VLOOKUP(MONTH(Tabela1[[#This Row],[Periodo]]),NUMMESES,2,FALSE)</f>
        <v>Novembro</v>
      </c>
      <c r="D588" s="2">
        <f>YEAR(Tabela1[[#This Row],[Periodo]])</f>
        <v>2024</v>
      </c>
      <c r="E58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69216679.454099998</v>
      </c>
      <c r="F588" s="18"/>
      <c r="G588" s="18"/>
      <c r="H588" s="18"/>
    </row>
    <row r="589" spans="1:8" x14ac:dyDescent="0.3">
      <c r="A589" t="s">
        <v>674</v>
      </c>
      <c r="B589" s="3">
        <f t="shared" si="7"/>
        <v>45627</v>
      </c>
      <c r="C589" s="2" t="str">
        <f>VLOOKUP(MONTH(Tabela1[[#This Row],[Periodo]]),NUMMESES,2,FALSE)</f>
        <v>Dezembro</v>
      </c>
      <c r="D589" s="2">
        <f>YEAR(Tabela1[[#This Row],[Periodo]])</f>
        <v>2024</v>
      </c>
      <c r="E58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71058325.324099988</v>
      </c>
      <c r="F589" s="18"/>
      <c r="G589" s="18"/>
      <c r="H589" s="18"/>
    </row>
    <row r="590" spans="1:8" x14ac:dyDescent="0.3">
      <c r="A590" t="s">
        <v>674</v>
      </c>
      <c r="B590" s="3">
        <f t="shared" si="7"/>
        <v>45658</v>
      </c>
      <c r="C590" s="2" t="str">
        <f>VLOOKUP(MONTH(Tabela1[[#This Row],[Periodo]]),NUMMESES,2,FALSE)</f>
        <v>Janeiro</v>
      </c>
      <c r="D590" s="2">
        <f>YEAR(Tabela1[[#This Row],[Periodo]])</f>
        <v>2025</v>
      </c>
      <c r="E59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72343574.291800007</v>
      </c>
      <c r="F590" s="18"/>
      <c r="G590" s="18"/>
      <c r="H590" s="18"/>
    </row>
    <row r="591" spans="1:8" x14ac:dyDescent="0.3">
      <c r="A591" t="s">
        <v>674</v>
      </c>
      <c r="B591" s="3">
        <f t="shared" si="7"/>
        <v>45689</v>
      </c>
      <c r="C591" s="2" t="str">
        <f>VLOOKUP(MONTH(Tabela1[[#This Row],[Periodo]]),NUMMESES,2,FALSE)</f>
        <v>Fevereiro</v>
      </c>
      <c r="D591" s="2">
        <f>YEAR(Tabela1[[#This Row],[Periodo]])</f>
        <v>2025</v>
      </c>
      <c r="E59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72938507.046800002</v>
      </c>
      <c r="F591" s="18"/>
      <c r="G591" s="18"/>
      <c r="H591" s="18"/>
    </row>
    <row r="592" spans="1:8" x14ac:dyDescent="0.3">
      <c r="A592" t="s">
        <v>674</v>
      </c>
      <c r="B592" s="3">
        <f t="shared" si="7"/>
        <v>45717</v>
      </c>
      <c r="C592" s="2" t="str">
        <f>VLOOKUP(MONTH(Tabela1[[#This Row],[Periodo]]),NUMMESES,2,FALSE)</f>
        <v>Março</v>
      </c>
      <c r="D592" s="2">
        <f>YEAR(Tabela1[[#This Row],[Periodo]])</f>
        <v>2025</v>
      </c>
      <c r="E59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74177093.447999999</v>
      </c>
      <c r="F592" s="18"/>
      <c r="G592" s="18"/>
      <c r="H592" s="18"/>
    </row>
    <row r="593" spans="1:8" x14ac:dyDescent="0.3">
      <c r="A593" t="s">
        <v>674</v>
      </c>
      <c r="B593" s="3">
        <f t="shared" si="7"/>
        <v>45748</v>
      </c>
      <c r="C593" s="2" t="str">
        <f>VLOOKUP(MONTH(Tabela1[[#This Row],[Periodo]]),NUMMESES,2,FALSE)</f>
        <v>Abril</v>
      </c>
      <c r="D593" s="2">
        <f>YEAR(Tabela1[[#This Row],[Periodo]])</f>
        <v>2025</v>
      </c>
      <c r="E593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76356607.094199985</v>
      </c>
      <c r="F593" s="18"/>
      <c r="G593" s="18"/>
      <c r="H593" s="18"/>
    </row>
    <row r="594" spans="1:8" x14ac:dyDescent="0.3">
      <c r="A594" t="s">
        <v>674</v>
      </c>
      <c r="B594" s="3">
        <f t="shared" si="7"/>
        <v>45778</v>
      </c>
      <c r="C594" s="2" t="str">
        <f>VLOOKUP(MONTH(Tabela1[[#This Row],[Periodo]]),NUMMESES,2,FALSE)</f>
        <v>Maio</v>
      </c>
      <c r="D594" s="2">
        <f>YEAR(Tabela1[[#This Row],[Periodo]])</f>
        <v>2025</v>
      </c>
      <c r="E594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78134582.401199982</v>
      </c>
      <c r="F594" s="18"/>
      <c r="G594" s="18"/>
      <c r="H594" s="18"/>
    </row>
    <row r="595" spans="1:8" x14ac:dyDescent="0.3">
      <c r="A595" t="s">
        <v>674</v>
      </c>
      <c r="B595" s="3">
        <f t="shared" si="7"/>
        <v>45809</v>
      </c>
      <c r="C595" s="2" t="str">
        <f>VLOOKUP(MONTH(Tabela1[[#This Row],[Periodo]]),NUMMESES,2,FALSE)</f>
        <v>Junho</v>
      </c>
      <c r="D595" s="2">
        <f>YEAR(Tabela1[[#This Row],[Periodo]])</f>
        <v>2025</v>
      </c>
      <c r="E595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77744065.378700003</v>
      </c>
      <c r="F595" s="18"/>
      <c r="G595" s="18"/>
      <c r="H595" s="18"/>
    </row>
    <row r="596" spans="1:8" x14ac:dyDescent="0.3">
      <c r="A596" t="s">
        <v>674</v>
      </c>
      <c r="B596" s="3">
        <f t="shared" si="7"/>
        <v>45839</v>
      </c>
      <c r="C596" s="2" t="str">
        <f>VLOOKUP(MONTH(Tabela1[[#This Row],[Periodo]]),NUMMESES,2,FALSE)</f>
        <v>Julho</v>
      </c>
      <c r="D596" s="2">
        <f>YEAR(Tabela1[[#This Row],[Periodo]])</f>
        <v>2025</v>
      </c>
      <c r="E596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77779545.444899976</v>
      </c>
      <c r="F596" s="18"/>
      <c r="G596" s="18"/>
      <c r="H596" s="18"/>
    </row>
    <row r="597" spans="1:8" x14ac:dyDescent="0.3">
      <c r="A597" t="s">
        <v>674</v>
      </c>
      <c r="B597" s="3">
        <f t="shared" si="7"/>
        <v>45870</v>
      </c>
      <c r="C597" s="2" t="str">
        <f>VLOOKUP(MONTH(Tabela1[[#This Row],[Periodo]]),NUMMESES,2,FALSE)</f>
        <v>Agosto</v>
      </c>
      <c r="D597" s="2">
        <f>YEAR(Tabela1[[#This Row],[Periodo]])</f>
        <v>2025</v>
      </c>
      <c r="E597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78818484.964899987</v>
      </c>
      <c r="F597" s="18"/>
      <c r="G597" s="18"/>
      <c r="H597" s="18"/>
    </row>
    <row r="598" spans="1:8" x14ac:dyDescent="0.3">
      <c r="A598" t="s">
        <v>674</v>
      </c>
      <c r="B598" s="3">
        <f t="shared" si="7"/>
        <v>45901</v>
      </c>
      <c r="C598" s="2" t="str">
        <f>VLOOKUP(MONTH(Tabela1[[#This Row],[Periodo]]),NUMMESES,2,FALSE)</f>
        <v>Setembro</v>
      </c>
      <c r="D598" s="2">
        <f>YEAR(Tabela1[[#This Row],[Periodo]])</f>
        <v>2025</v>
      </c>
      <c r="E598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79035266.581099987</v>
      </c>
      <c r="F598" s="18"/>
      <c r="G598" s="18"/>
      <c r="H598" s="18"/>
    </row>
    <row r="599" spans="1:8" x14ac:dyDescent="0.3">
      <c r="A599" t="s">
        <v>674</v>
      </c>
      <c r="B599" s="3">
        <f t="shared" si="7"/>
        <v>45931</v>
      </c>
      <c r="C599" s="2" t="str">
        <f>VLOOKUP(MONTH(Tabela1[[#This Row],[Periodo]]),NUMMESES,2,FALSE)</f>
        <v>Outubro</v>
      </c>
      <c r="D599" s="2">
        <f>YEAR(Tabela1[[#This Row],[Periodo]])</f>
        <v>2025</v>
      </c>
      <c r="E599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78747614.120699987</v>
      </c>
      <c r="F599" s="18"/>
      <c r="G599" s="18"/>
      <c r="H599" s="18"/>
    </row>
    <row r="600" spans="1:8" x14ac:dyDescent="0.3">
      <c r="A600" t="s">
        <v>674</v>
      </c>
      <c r="B600" s="3">
        <f t="shared" si="7"/>
        <v>45962</v>
      </c>
      <c r="C600" s="2" t="str">
        <f>VLOOKUP(MONTH(Tabela1[[#This Row],[Periodo]]),NUMMESES,2,FALSE)</f>
        <v>Novembro</v>
      </c>
      <c r="D600" s="2">
        <f>YEAR(Tabela1[[#This Row],[Periodo]])</f>
        <v>2025</v>
      </c>
      <c r="E600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79432581.886099994</v>
      </c>
      <c r="F600" s="18"/>
      <c r="G600" s="18"/>
      <c r="H600" s="18"/>
    </row>
    <row r="601" spans="1:8" x14ac:dyDescent="0.3">
      <c r="A601" t="s">
        <v>674</v>
      </c>
      <c r="B601" s="3">
        <f t="shared" si="7"/>
        <v>45992</v>
      </c>
      <c r="C601" s="2" t="str">
        <f>VLOOKUP(MONTH(Tabela1[[#This Row],[Periodo]]),NUMMESES,2,FALSE)</f>
        <v>Dezembro</v>
      </c>
      <c r="D601" s="2">
        <f>YEAR(Tabela1[[#This Row],[Periodo]])</f>
        <v>2025</v>
      </c>
      <c r="E601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65227138.632900007</v>
      </c>
      <c r="F601" s="18"/>
      <c r="G601" s="18"/>
      <c r="H601" s="18"/>
    </row>
    <row r="602" spans="1:8" x14ac:dyDescent="0.3">
      <c r="A602" t="s">
        <v>674</v>
      </c>
      <c r="B602" s="3">
        <f t="shared" si="7"/>
        <v>46023</v>
      </c>
      <c r="C602" s="2" t="str">
        <f>VLOOKUP(MONTH(Tabela1[[#This Row],[Periodo]]),NUMMESES,2,FALSE)</f>
        <v>Janeiro</v>
      </c>
      <c r="D602" s="2">
        <f>YEAR(Tabela1[[#This Row],[Periodo]])</f>
        <v>2026</v>
      </c>
      <c r="E602" s="18">
        <f>INDEX(TBBP[],MATCH("2.9",planoContas,0)+1,MATCH(Tabela1[[#This Row],[Periodo]],listaPeriodos,0))-INDEX(TBBP[],MATCH("1.3.3",planoContas,0)+1,MATCH(Tabela1[[#This Row],[Periodo]],listaPeriodos,0))-INDEX(TBBP[],MATCH("1.3.4",planoContas,0)+1,MATCH(Tabela1[[#This Row],[Periodo]],listaPeriodos,0))</f>
        <v>66186513.579200007</v>
      </c>
      <c r="F602" s="18"/>
      <c r="G602" s="18"/>
      <c r="H602" s="18"/>
    </row>
    <row r="603" spans="1:8" x14ac:dyDescent="0.3">
      <c r="B603" s="3"/>
      <c r="C603" s="2"/>
      <c r="D603" s="2"/>
      <c r="E603" s="18"/>
      <c r="F603" s="18"/>
      <c r="G603" s="18"/>
      <c r="H603" s="18"/>
    </row>
    <row r="604" spans="1:8" x14ac:dyDescent="0.3">
      <c r="A604" t="s">
        <v>675</v>
      </c>
      <c r="B604" s="3">
        <v>41609</v>
      </c>
      <c r="C604" s="2" t="str">
        <f>VLOOKUP(MONTH(Tabela1[[#This Row],[Periodo]]),NUMMESES,2,FALSE)</f>
        <v>Dezembro</v>
      </c>
      <c r="D604" s="2">
        <f>YEAR(Tabela1[[#This Row],[Periodo]])</f>
        <v>2013</v>
      </c>
      <c r="E60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0.1917880823096586</v>
      </c>
      <c r="F604" s="33"/>
      <c r="G604" s="228"/>
      <c r="H604" s="18"/>
    </row>
    <row r="605" spans="1:8" x14ac:dyDescent="0.3">
      <c r="A605" t="s">
        <v>675</v>
      </c>
      <c r="B605" s="3">
        <v>41974</v>
      </c>
      <c r="C605" s="2" t="str">
        <f>VLOOKUP(MONTH(Tabela1[[#This Row],[Periodo]]),NUMMESES,2,FALSE)</f>
        <v>Dezembro</v>
      </c>
      <c r="D605" s="2">
        <f>YEAR(Tabela1[[#This Row],[Periodo]])</f>
        <v>2014</v>
      </c>
      <c r="E60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0.29715632289821503</v>
      </c>
      <c r="F605" s="33"/>
      <c r="G605" s="228"/>
      <c r="H605" s="18"/>
    </row>
    <row r="606" spans="1:8" x14ac:dyDescent="0.3">
      <c r="A606" t="s">
        <v>675</v>
      </c>
      <c r="B606" s="3">
        <v>42339</v>
      </c>
      <c r="C606" s="2" t="str">
        <f>VLOOKUP(MONTH(Tabela1[[#This Row],[Periodo]]),NUMMESES,2,FALSE)</f>
        <v>Dezembro</v>
      </c>
      <c r="D606" s="2">
        <f>YEAR(Tabela1[[#This Row],[Periodo]])</f>
        <v>2015</v>
      </c>
      <c r="E60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0.18729769280844663</v>
      </c>
      <c r="F606" s="33"/>
      <c r="G606" s="228"/>
      <c r="H606" s="18"/>
    </row>
    <row r="607" spans="1:8" x14ac:dyDescent="0.3">
      <c r="A607" t="s">
        <v>675</v>
      </c>
      <c r="B607" s="3">
        <v>42705</v>
      </c>
      <c r="C607" s="2" t="str">
        <f>VLOOKUP(MONTH(Tabela1[[#This Row],[Periodo]]),NUMMESES,2,FALSE)</f>
        <v>Dezembro</v>
      </c>
      <c r="D607" s="2">
        <f>YEAR(Tabela1[[#This Row],[Periodo]])</f>
        <v>2016</v>
      </c>
      <c r="E60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0.13317935077118248</v>
      </c>
      <c r="F607" s="33"/>
      <c r="G607" s="228"/>
      <c r="H607" s="18"/>
    </row>
    <row r="608" spans="1:8" x14ac:dyDescent="0.3">
      <c r="A608" t="s">
        <v>675</v>
      </c>
      <c r="B608" s="3">
        <v>43070</v>
      </c>
      <c r="C608" s="2" t="str">
        <f>VLOOKUP(MONTH(Tabela1[[#This Row],[Periodo]]),NUMMESES,2,FALSE)</f>
        <v>Dezembro</v>
      </c>
      <c r="D608" s="2">
        <f>YEAR(Tabela1[[#This Row],[Periodo]])</f>
        <v>2017</v>
      </c>
      <c r="E60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0.13643886829482094</v>
      </c>
      <c r="F608" s="33"/>
      <c r="G608" s="228"/>
      <c r="H608" s="18"/>
    </row>
    <row r="609" spans="1:8" x14ac:dyDescent="0.3">
      <c r="A609" t="s">
        <v>675</v>
      </c>
      <c r="B609" s="3">
        <v>43101</v>
      </c>
      <c r="C609" s="2" t="str">
        <f>VLOOKUP(MONTH(Tabela1[[#This Row],[Periodo]]),NUMMESES,2,FALSE)</f>
        <v>Janeiro</v>
      </c>
      <c r="D609" s="2">
        <f>YEAR(Tabela1[[#This Row],[Periodo]])</f>
        <v>2018</v>
      </c>
      <c r="E60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0.11678543608337119</v>
      </c>
      <c r="F609" s="33"/>
      <c r="G609" s="228"/>
      <c r="H609" s="18"/>
    </row>
    <row r="610" spans="1:8" x14ac:dyDescent="0.3">
      <c r="A610" t="s">
        <v>675</v>
      </c>
      <c r="B610" s="3">
        <f t="shared" ref="B610:B705" si="8">DATE(YEAR(B609),MONTH(B609)+1,DAY(B609))</f>
        <v>43132</v>
      </c>
      <c r="C610" s="2" t="str">
        <f>VLOOKUP(MONTH(Tabela1[[#This Row],[Periodo]]),NUMMESES,2,FALSE)</f>
        <v>Fevereiro</v>
      </c>
      <c r="D610" s="2">
        <f>YEAR(Tabela1[[#This Row],[Periodo]])</f>
        <v>2018</v>
      </c>
      <c r="E61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0.12410099834733386</v>
      </c>
      <c r="F610" s="33"/>
      <c r="G610" s="228"/>
      <c r="H610" s="18"/>
    </row>
    <row r="611" spans="1:8" x14ac:dyDescent="0.3">
      <c r="A611" t="s">
        <v>675</v>
      </c>
      <c r="B611" s="3">
        <f t="shared" si="8"/>
        <v>43160</v>
      </c>
      <c r="C611" s="2" t="str">
        <f>VLOOKUP(MONTH(Tabela1[[#This Row],[Periodo]]),NUMMESES,2,FALSE)</f>
        <v>Março</v>
      </c>
      <c r="D611" s="2">
        <f>YEAR(Tabela1[[#This Row],[Periodo]])</f>
        <v>2018</v>
      </c>
      <c r="E61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0.13750934664392675</v>
      </c>
      <c r="F611" s="33"/>
      <c r="G611" s="228"/>
      <c r="H611" s="18"/>
    </row>
    <row r="612" spans="1:8" x14ac:dyDescent="0.3">
      <c r="A612" t="s">
        <v>675</v>
      </c>
      <c r="B612" s="3">
        <f t="shared" si="8"/>
        <v>43191</v>
      </c>
      <c r="C612" s="2" t="str">
        <f>VLOOKUP(MONTH(Tabela1[[#This Row],[Periodo]]),NUMMESES,2,FALSE)</f>
        <v>Abril</v>
      </c>
      <c r="D612" s="2">
        <f>YEAR(Tabela1[[#This Row],[Periodo]])</f>
        <v>2018</v>
      </c>
      <c r="E61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0.31984198959396232</v>
      </c>
      <c r="F612" s="33"/>
      <c r="G612" s="228"/>
      <c r="H612" s="33"/>
    </row>
    <row r="613" spans="1:8" x14ac:dyDescent="0.3">
      <c r="A613" t="s">
        <v>675</v>
      </c>
      <c r="B613" s="3">
        <f t="shared" si="8"/>
        <v>43221</v>
      </c>
      <c r="C613" s="2" t="str">
        <f>VLOOKUP(MONTH(Tabela1[[#This Row],[Periodo]]),NUMMESES,2,FALSE)</f>
        <v>Maio</v>
      </c>
      <c r="D613" s="2">
        <f>YEAR(Tabela1[[#This Row],[Periodo]])</f>
        <v>2018</v>
      </c>
      <c r="E61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0.29400067550941689</v>
      </c>
      <c r="F613" s="33"/>
      <c r="G613" s="228"/>
      <c r="H613" s="33"/>
    </row>
    <row r="614" spans="1:8" x14ac:dyDescent="0.3">
      <c r="A614" t="s">
        <v>675</v>
      </c>
      <c r="B614" s="3">
        <f t="shared" si="8"/>
        <v>43252</v>
      </c>
      <c r="C614" s="2" t="str">
        <f>VLOOKUP(MONTH(Tabela1[[#This Row],[Periodo]]),NUMMESES,2,FALSE)</f>
        <v>Junho</v>
      </c>
      <c r="D614" s="2">
        <f>YEAR(Tabela1[[#This Row],[Periodo]])</f>
        <v>2018</v>
      </c>
      <c r="E61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0.30858580703961436</v>
      </c>
      <c r="F614" s="33"/>
      <c r="G614" s="228"/>
      <c r="H614" s="33"/>
    </row>
    <row r="615" spans="1:8" x14ac:dyDescent="0.3">
      <c r="A615" t="s">
        <v>675</v>
      </c>
      <c r="B615" s="3">
        <f t="shared" si="8"/>
        <v>43282</v>
      </c>
      <c r="C615" s="2" t="str">
        <f>VLOOKUP(MONTH(Tabela1[[#This Row],[Periodo]]),NUMMESES,2,FALSE)</f>
        <v>Julho</v>
      </c>
      <c r="D615" s="2">
        <f>YEAR(Tabela1[[#This Row],[Periodo]])</f>
        <v>2018</v>
      </c>
      <c r="E61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0.28747975199315845</v>
      </c>
      <c r="F615" s="33"/>
      <c r="G615" s="228"/>
      <c r="H615" s="33"/>
    </row>
    <row r="616" spans="1:8" x14ac:dyDescent="0.3">
      <c r="A616" t="s">
        <v>675</v>
      </c>
      <c r="B616" s="3">
        <f t="shared" si="8"/>
        <v>43313</v>
      </c>
      <c r="C616" s="2" t="str">
        <f>VLOOKUP(MONTH(Tabela1[[#This Row],[Periodo]]),NUMMESES,2,FALSE)</f>
        <v>Agosto</v>
      </c>
      <c r="D616" s="2">
        <f>YEAR(Tabela1[[#This Row],[Periodo]])</f>
        <v>2018</v>
      </c>
      <c r="E61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0.29112505822853896</v>
      </c>
      <c r="F616" s="33"/>
      <c r="G616" s="228"/>
      <c r="H616" s="33"/>
    </row>
    <row r="617" spans="1:8" x14ac:dyDescent="0.3">
      <c r="A617" t="s">
        <v>675</v>
      </c>
      <c r="B617" s="3">
        <f t="shared" si="8"/>
        <v>43344</v>
      </c>
      <c r="C617" s="2" t="str">
        <f>VLOOKUP(MONTH(Tabela1[[#This Row],[Periodo]]),NUMMESES,2,FALSE)</f>
        <v>Setembro</v>
      </c>
      <c r="D617" s="2">
        <f>YEAR(Tabela1[[#This Row],[Periodo]])</f>
        <v>2018</v>
      </c>
      <c r="E61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0.30700619540100005</v>
      </c>
      <c r="F617" s="33"/>
      <c r="G617" s="228"/>
      <c r="H617" s="33"/>
    </row>
    <row r="618" spans="1:8" x14ac:dyDescent="0.3">
      <c r="A618" t="s">
        <v>675</v>
      </c>
      <c r="B618" s="3">
        <f t="shared" si="8"/>
        <v>43374</v>
      </c>
      <c r="C618" s="2" t="str">
        <f>VLOOKUP(MONTH(Tabela1[[#This Row],[Periodo]]),NUMMESES,2,FALSE)</f>
        <v>Outubro</v>
      </c>
      <c r="D618" s="2">
        <f>YEAR(Tabela1[[#This Row],[Periodo]])</f>
        <v>2018</v>
      </c>
      <c r="E61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0.29041941353239559</v>
      </c>
      <c r="F618" s="33"/>
      <c r="G618" s="228"/>
      <c r="H618" s="33"/>
    </row>
    <row r="619" spans="1:8" x14ac:dyDescent="0.3">
      <c r="A619" t="s">
        <v>675</v>
      </c>
      <c r="B619" s="3">
        <f t="shared" si="8"/>
        <v>43405</v>
      </c>
      <c r="C619" s="2" t="str">
        <f>VLOOKUP(MONTH(Tabela1[[#This Row],[Periodo]]),NUMMESES,2,FALSE)</f>
        <v>Novembro</v>
      </c>
      <c r="D619" s="2">
        <f>YEAR(Tabela1[[#This Row],[Periodo]])</f>
        <v>2018</v>
      </c>
      <c r="E61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0.26451793772016147</v>
      </c>
      <c r="F619" s="33"/>
      <c r="G619" s="228"/>
      <c r="H619" s="33"/>
    </row>
    <row r="620" spans="1:8" x14ac:dyDescent="0.3">
      <c r="A620" t="s">
        <v>675</v>
      </c>
      <c r="B620" s="3">
        <f t="shared" si="8"/>
        <v>43435</v>
      </c>
      <c r="C620" s="2" t="str">
        <f>VLOOKUP(MONTH(Tabela1[[#This Row],[Periodo]]),NUMMESES,2,FALSE)</f>
        <v>Dezembro</v>
      </c>
      <c r="D620" s="2">
        <f>YEAR(Tabela1[[#This Row],[Periodo]])</f>
        <v>2018</v>
      </c>
      <c r="E62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0.25319145758156369</v>
      </c>
      <c r="F620" s="33"/>
      <c r="G620" s="228"/>
      <c r="H620" s="33"/>
    </row>
    <row r="621" spans="1:8" x14ac:dyDescent="0.3">
      <c r="A621" t="s">
        <v>675</v>
      </c>
      <c r="B621" s="3">
        <f t="shared" si="8"/>
        <v>43466</v>
      </c>
      <c r="C621" s="2" t="str">
        <f>VLOOKUP(MONTH(Tabela1[[#This Row],[Periodo]]),NUMMESES,2,FALSE)</f>
        <v>Janeiro</v>
      </c>
      <c r="D621" s="2">
        <f>YEAR(Tabela1[[#This Row],[Periodo]])</f>
        <v>2019</v>
      </c>
      <c r="E62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0.27096617170550363</v>
      </c>
      <c r="F621" s="33"/>
      <c r="G621" s="228"/>
      <c r="H621" s="33"/>
    </row>
    <row r="622" spans="1:8" x14ac:dyDescent="0.3">
      <c r="A622" t="s">
        <v>675</v>
      </c>
      <c r="B622" s="3">
        <f t="shared" si="8"/>
        <v>43497</v>
      </c>
      <c r="C622" s="2" t="str">
        <f>VLOOKUP(MONTH(Tabela1[[#This Row],[Periodo]]),NUMMESES,2,FALSE)</f>
        <v>Fevereiro</v>
      </c>
      <c r="D622" s="2">
        <f>YEAR(Tabela1[[#This Row],[Periodo]])</f>
        <v>2019</v>
      </c>
      <c r="E62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0.26041166252267772</v>
      </c>
      <c r="F622" s="33"/>
      <c r="G622" s="228"/>
      <c r="H622" s="33"/>
    </row>
    <row r="623" spans="1:8" x14ac:dyDescent="0.3">
      <c r="A623" t="s">
        <v>675</v>
      </c>
      <c r="B623" s="3">
        <f t="shared" si="8"/>
        <v>43525</v>
      </c>
      <c r="C623" s="2" t="str">
        <f>VLOOKUP(MONTH(Tabela1[[#This Row],[Periodo]]),NUMMESES,2,FALSE)</f>
        <v>Março</v>
      </c>
      <c r="D623" s="2">
        <f>YEAR(Tabela1[[#This Row],[Periodo]])</f>
        <v>2019</v>
      </c>
      <c r="E62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0.27594745260699827</v>
      </c>
      <c r="F623" s="33"/>
      <c r="G623" s="228"/>
      <c r="H623" s="33"/>
    </row>
    <row r="624" spans="1:8" x14ac:dyDescent="0.3">
      <c r="A624" t="s">
        <v>675</v>
      </c>
      <c r="B624" s="3">
        <f t="shared" si="8"/>
        <v>43556</v>
      </c>
      <c r="C624" s="2" t="str">
        <f>VLOOKUP(MONTH(Tabela1[[#This Row],[Periodo]]),NUMMESES,2,FALSE)</f>
        <v>Abril</v>
      </c>
      <c r="D624" s="2">
        <f>YEAR(Tabela1[[#This Row],[Periodo]])</f>
        <v>2019</v>
      </c>
      <c r="E62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0.25417595297513335</v>
      </c>
      <c r="F624" s="33"/>
      <c r="G624" s="228"/>
      <c r="H624" s="33"/>
    </row>
    <row r="625" spans="1:8" x14ac:dyDescent="0.3">
      <c r="A625" t="s">
        <v>675</v>
      </c>
      <c r="B625" s="3">
        <f t="shared" si="8"/>
        <v>43586</v>
      </c>
      <c r="C625" s="2" t="str">
        <f>VLOOKUP(MONTH(Tabela1[[#This Row],[Periodo]]),NUMMESES,2,FALSE)</f>
        <v>Maio</v>
      </c>
      <c r="D625" s="2">
        <f>YEAR(Tabela1[[#This Row],[Periodo]])</f>
        <v>2019</v>
      </c>
      <c r="E62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0.26253745443454379</v>
      </c>
      <c r="F625" s="33"/>
      <c r="G625" s="228"/>
      <c r="H625" s="33"/>
    </row>
    <row r="626" spans="1:8" x14ac:dyDescent="0.3">
      <c r="A626" t="s">
        <v>675</v>
      </c>
      <c r="B626" s="3">
        <f t="shared" si="8"/>
        <v>43617</v>
      </c>
      <c r="C626" s="2" t="str">
        <f>VLOOKUP(MONTH(Tabela1[[#This Row],[Periodo]]),NUMMESES,2,FALSE)</f>
        <v>Junho</v>
      </c>
      <c r="D626" s="2">
        <f>YEAR(Tabela1[[#This Row],[Periodo]])</f>
        <v>2019</v>
      </c>
      <c r="E62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0.27581499711679547</v>
      </c>
      <c r="F626" s="33"/>
      <c r="G626" s="228"/>
      <c r="H626" s="33"/>
    </row>
    <row r="627" spans="1:8" x14ac:dyDescent="0.3">
      <c r="A627" t="s">
        <v>675</v>
      </c>
      <c r="B627" s="3">
        <f t="shared" si="8"/>
        <v>43647</v>
      </c>
      <c r="C627" s="2" t="str">
        <f>VLOOKUP(MONTH(Tabela1[[#This Row],[Periodo]]),NUMMESES,2,FALSE)</f>
        <v>Julho</v>
      </c>
      <c r="D627" s="2">
        <f>YEAR(Tabela1[[#This Row],[Periodo]])</f>
        <v>2019</v>
      </c>
      <c r="E62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0.26867231966273153</v>
      </c>
      <c r="F627" s="33"/>
      <c r="G627" s="228"/>
      <c r="H627" s="33"/>
    </row>
    <row r="628" spans="1:8" x14ac:dyDescent="0.3">
      <c r="A628" t="s">
        <v>675</v>
      </c>
      <c r="B628" s="3">
        <f t="shared" si="8"/>
        <v>43678</v>
      </c>
      <c r="C628" s="2" t="str">
        <f>VLOOKUP(MONTH(Tabela1[[#This Row],[Periodo]]),NUMMESES,2,FALSE)</f>
        <v>Agosto</v>
      </c>
      <c r="D628" s="2">
        <f>YEAR(Tabela1[[#This Row],[Periodo]])</f>
        <v>2019</v>
      </c>
      <c r="E62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0.24756857637978116</v>
      </c>
      <c r="F628" s="33"/>
      <c r="G628" s="228"/>
      <c r="H628" s="33"/>
    </row>
    <row r="629" spans="1:8" x14ac:dyDescent="0.3">
      <c r="A629" t="s">
        <v>675</v>
      </c>
      <c r="B629" s="3">
        <f t="shared" si="8"/>
        <v>43709</v>
      </c>
      <c r="C629" s="2" t="str">
        <f>VLOOKUP(MONTH(Tabela1[[#This Row],[Periodo]]),NUMMESES,2,FALSE)</f>
        <v>Setembro</v>
      </c>
      <c r="D629" s="2">
        <f>YEAR(Tabela1[[#This Row],[Periodo]])</f>
        <v>2019</v>
      </c>
      <c r="E62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0.2573282920728342</v>
      </c>
      <c r="F629" s="33"/>
      <c r="G629" s="228"/>
      <c r="H629" s="33"/>
    </row>
    <row r="630" spans="1:8" x14ac:dyDescent="0.3">
      <c r="A630" t="s">
        <v>675</v>
      </c>
      <c r="B630" s="3">
        <f t="shared" si="8"/>
        <v>43739</v>
      </c>
      <c r="C630" s="2" t="str">
        <f>VLOOKUP(MONTH(Tabela1[[#This Row],[Periodo]]),NUMMESES,2,FALSE)</f>
        <v>Outubro</v>
      </c>
      <c r="D630" s="2">
        <f>YEAR(Tabela1[[#This Row],[Periodo]])</f>
        <v>2019</v>
      </c>
      <c r="E63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0.20033634162027034</v>
      </c>
      <c r="F630" s="33"/>
      <c r="G630" s="228"/>
      <c r="H630" s="33"/>
    </row>
    <row r="631" spans="1:8" x14ac:dyDescent="0.3">
      <c r="A631" t="s">
        <v>675</v>
      </c>
      <c r="B631" s="3">
        <f t="shared" si="8"/>
        <v>43770</v>
      </c>
      <c r="C631" s="2" t="str">
        <f>VLOOKUP(MONTH(Tabela1[[#This Row],[Periodo]]),NUMMESES,2,FALSE)</f>
        <v>Novembro</v>
      </c>
      <c r="D631" s="2">
        <f>YEAR(Tabela1[[#This Row],[Periodo]])</f>
        <v>2019</v>
      </c>
      <c r="E63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0.21204136572302992</v>
      </c>
      <c r="F631" s="33"/>
      <c r="G631" s="228"/>
      <c r="H631" s="33"/>
    </row>
    <row r="632" spans="1:8" x14ac:dyDescent="0.3">
      <c r="A632" t="s">
        <v>675</v>
      </c>
      <c r="B632" s="3">
        <f t="shared" si="8"/>
        <v>43800</v>
      </c>
      <c r="C632" s="2" t="str">
        <f>VLOOKUP(MONTH(Tabela1[[#This Row],[Periodo]]),NUMMESES,2,FALSE)</f>
        <v>Dezembro</v>
      </c>
      <c r="D632" s="2">
        <f>YEAR(Tabela1[[#This Row],[Periodo]])</f>
        <v>2019</v>
      </c>
      <c r="E63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0.18722131488352506</v>
      </c>
      <c r="F632" s="33"/>
      <c r="G632" s="228"/>
      <c r="H632" s="33"/>
    </row>
    <row r="633" spans="1:8" x14ac:dyDescent="0.3">
      <c r="A633" t="s">
        <v>675</v>
      </c>
      <c r="B633" s="3">
        <f t="shared" si="8"/>
        <v>43831</v>
      </c>
      <c r="C633" s="2" t="str">
        <f>VLOOKUP(MONTH(Tabela1[[#This Row],[Periodo]]),NUMMESES,2,FALSE)</f>
        <v>Janeiro</v>
      </c>
      <c r="D633" s="2">
        <f>YEAR(Tabela1[[#This Row],[Periodo]])</f>
        <v>2020</v>
      </c>
      <c r="E63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0.18777082418121774</v>
      </c>
      <c r="F633" s="33"/>
      <c r="G633" s="228"/>
      <c r="H633" s="33"/>
    </row>
    <row r="634" spans="1:8" x14ac:dyDescent="0.3">
      <c r="A634" t="s">
        <v>675</v>
      </c>
      <c r="B634" s="3">
        <f t="shared" si="8"/>
        <v>43862</v>
      </c>
      <c r="C634" s="2" t="str">
        <f>VLOOKUP(MONTH(Tabela1[[#This Row],[Periodo]]),NUMMESES,2,FALSE)</f>
        <v>Fevereiro</v>
      </c>
      <c r="D634" s="2">
        <f>YEAR(Tabela1[[#This Row],[Periodo]])</f>
        <v>2020</v>
      </c>
      <c r="E63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0.23386746375883213</v>
      </c>
      <c r="F634" s="33"/>
      <c r="G634" s="228"/>
      <c r="H634" s="33"/>
    </row>
    <row r="635" spans="1:8" x14ac:dyDescent="0.3">
      <c r="A635" t="s">
        <v>675</v>
      </c>
      <c r="B635" s="3">
        <f t="shared" si="8"/>
        <v>43891</v>
      </c>
      <c r="C635" s="2" t="str">
        <f>VLOOKUP(MONTH(Tabela1[[#This Row],[Periodo]]),NUMMESES,2,FALSE)</f>
        <v>Março</v>
      </c>
      <c r="D635" s="2">
        <f>YEAR(Tabela1[[#This Row],[Periodo]])</f>
        <v>2020</v>
      </c>
      <c r="E63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0.21492621022923011</v>
      </c>
      <c r="F635" s="33"/>
      <c r="G635" s="228"/>
      <c r="H635" s="33"/>
    </row>
    <row r="636" spans="1:8" x14ac:dyDescent="0.3">
      <c r="A636" t="s">
        <v>675</v>
      </c>
      <c r="B636" s="3">
        <f t="shared" si="8"/>
        <v>43922</v>
      </c>
      <c r="C636" s="2" t="str">
        <f>VLOOKUP(MONTH(Tabela1[[#This Row],[Periodo]]),NUMMESES,2,FALSE)</f>
        <v>Abril</v>
      </c>
      <c r="D636" s="2">
        <f>YEAR(Tabela1[[#This Row],[Periodo]])</f>
        <v>2020</v>
      </c>
      <c r="E63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0.19045011603419537</v>
      </c>
      <c r="F636" s="33"/>
      <c r="G636" s="228"/>
      <c r="H636" s="33"/>
    </row>
    <row r="637" spans="1:8" x14ac:dyDescent="0.3">
      <c r="A637" t="s">
        <v>675</v>
      </c>
      <c r="B637" s="3">
        <f t="shared" si="8"/>
        <v>43952</v>
      </c>
      <c r="C637" s="2" t="str">
        <f>VLOOKUP(MONTH(Tabela1[[#This Row],[Periodo]]),NUMMESES,2,FALSE)</f>
        <v>Maio</v>
      </c>
      <c r="D637" s="2">
        <f>YEAR(Tabela1[[#This Row],[Periodo]])</f>
        <v>2020</v>
      </c>
      <c r="E63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0.20802428147150603</v>
      </c>
      <c r="F637" s="33"/>
      <c r="G637" s="228"/>
      <c r="H637" s="33"/>
    </row>
    <row r="638" spans="1:8" x14ac:dyDescent="0.3">
      <c r="A638" t="s">
        <v>675</v>
      </c>
      <c r="B638" s="3">
        <f t="shared" si="8"/>
        <v>43983</v>
      </c>
      <c r="C638" s="2" t="str">
        <f>VLOOKUP(MONTH(Tabela1[[#This Row],[Periodo]]),NUMMESES,2,FALSE)</f>
        <v>Junho</v>
      </c>
      <c r="D638" s="2">
        <f>YEAR(Tabela1[[#This Row],[Periodo]])</f>
        <v>2020</v>
      </c>
      <c r="E63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0.20272031837801546</v>
      </c>
      <c r="F638" s="33"/>
      <c r="G638" s="228"/>
      <c r="H638" s="33"/>
    </row>
    <row r="639" spans="1:8" x14ac:dyDescent="0.3">
      <c r="A639" t="s">
        <v>675</v>
      </c>
      <c r="B639" s="3">
        <f t="shared" si="8"/>
        <v>44013</v>
      </c>
      <c r="C639" s="2" t="str">
        <f>VLOOKUP(MONTH(Tabela1[[#This Row],[Periodo]]),NUMMESES,2,FALSE)</f>
        <v>Julho</v>
      </c>
      <c r="D639" s="2">
        <f>YEAR(Tabela1[[#This Row],[Periodo]])</f>
        <v>2020</v>
      </c>
      <c r="E63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0.19420182378303769</v>
      </c>
      <c r="F639" s="33"/>
      <c r="G639" s="228"/>
      <c r="H639" s="33"/>
    </row>
    <row r="640" spans="1:8" x14ac:dyDescent="0.3">
      <c r="A640" t="s">
        <v>675</v>
      </c>
      <c r="B640" s="3">
        <f t="shared" si="8"/>
        <v>44044</v>
      </c>
      <c r="C640" s="2" t="str">
        <f>VLOOKUP(MONTH(Tabela1[[#This Row],[Periodo]]),NUMMESES,2,FALSE)</f>
        <v>Agosto</v>
      </c>
      <c r="D640" s="2">
        <f>YEAR(Tabela1[[#This Row],[Periodo]])</f>
        <v>2020</v>
      </c>
      <c r="E64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0.23001467041232992</v>
      </c>
      <c r="F640" s="33"/>
      <c r="G640" s="228"/>
      <c r="H640" s="33"/>
    </row>
    <row r="641" spans="1:8" x14ac:dyDescent="0.3">
      <c r="A641" t="s">
        <v>675</v>
      </c>
      <c r="B641" s="3">
        <f t="shared" si="8"/>
        <v>44075</v>
      </c>
      <c r="C641" s="2" t="str">
        <f>VLOOKUP(MONTH(Tabela1[[#This Row],[Periodo]]),NUMMESES,2,FALSE)</f>
        <v>Setembro</v>
      </c>
      <c r="D641" s="2">
        <f>YEAR(Tabela1[[#This Row],[Periodo]])</f>
        <v>2020</v>
      </c>
      <c r="E64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0.22670374865735748</v>
      </c>
      <c r="F641" s="33"/>
      <c r="G641" s="228"/>
      <c r="H641" s="33"/>
    </row>
    <row r="642" spans="1:8" x14ac:dyDescent="0.3">
      <c r="A642" t="s">
        <v>675</v>
      </c>
      <c r="B642" s="3">
        <f>DATE(YEAR(B641),MONTH(B641)+1,DAY(B641))</f>
        <v>44105</v>
      </c>
      <c r="C642" s="2" t="str">
        <f>VLOOKUP(MONTH(Tabela1[[#This Row],[Periodo]]),NUMMESES,2,FALSE)</f>
        <v>Outubro</v>
      </c>
      <c r="D642" s="2">
        <f>YEAR(Tabela1[[#This Row],[Periodo]])</f>
        <v>2020</v>
      </c>
      <c r="E64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0.19585063550689163</v>
      </c>
      <c r="F642" s="33"/>
      <c r="G642" s="228"/>
      <c r="H642" s="33"/>
    </row>
    <row r="643" spans="1:8" x14ac:dyDescent="0.3">
      <c r="A643" t="s">
        <v>675</v>
      </c>
      <c r="B643" s="3">
        <f t="shared" si="8"/>
        <v>44136</v>
      </c>
      <c r="C643" s="2" t="str">
        <f>VLOOKUP(MONTH(Tabela1[[#This Row],[Periodo]]),NUMMESES,2,FALSE)</f>
        <v>Novembro</v>
      </c>
      <c r="D643" s="2">
        <f>YEAR(Tabela1[[#This Row],[Periodo]])</f>
        <v>2020</v>
      </c>
      <c r="E64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0.21408707631907856</v>
      </c>
      <c r="F643" s="33"/>
      <c r="G643" s="228"/>
      <c r="H643" s="33"/>
    </row>
    <row r="644" spans="1:8" x14ac:dyDescent="0.3">
      <c r="A644" t="s">
        <v>675</v>
      </c>
      <c r="B644" s="3">
        <f t="shared" si="8"/>
        <v>44166</v>
      </c>
      <c r="C644" s="2" t="str">
        <f>VLOOKUP(MONTH(Tabela1[[#This Row],[Periodo]]),NUMMESES,2,FALSE)</f>
        <v>Dezembro</v>
      </c>
      <c r="D644" s="2">
        <f>YEAR(Tabela1[[#This Row],[Periodo]])</f>
        <v>2020</v>
      </c>
      <c r="E64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0.24155889299180322</v>
      </c>
      <c r="F644" s="33"/>
      <c r="G644" s="228"/>
      <c r="H644" s="33"/>
    </row>
    <row r="645" spans="1:8" x14ac:dyDescent="0.3">
      <c r="A645" t="s">
        <v>675</v>
      </c>
      <c r="B645" s="3">
        <f t="shared" si="8"/>
        <v>44197</v>
      </c>
      <c r="C645" s="2" t="str">
        <f>VLOOKUP(MONTH(Tabela1[[#This Row],[Periodo]]),NUMMESES,2,FALSE)</f>
        <v>Janeiro</v>
      </c>
      <c r="D645" s="2">
        <f>YEAR(Tabela1[[#This Row],[Periodo]])</f>
        <v>2021</v>
      </c>
      <c r="E64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0.226917316987681</v>
      </c>
      <c r="F645" s="33"/>
      <c r="G645" s="228"/>
      <c r="H645" s="33"/>
    </row>
    <row r="646" spans="1:8" x14ac:dyDescent="0.3">
      <c r="A646" t="s">
        <v>675</v>
      </c>
      <c r="B646" s="3">
        <f t="shared" si="8"/>
        <v>44228</v>
      </c>
      <c r="C646" s="2" t="str">
        <f>VLOOKUP(MONTH(Tabela1[[#This Row],[Periodo]]),NUMMESES,2,FALSE)</f>
        <v>Fevereiro</v>
      </c>
      <c r="D646" s="2">
        <f>YEAR(Tabela1[[#This Row],[Periodo]])</f>
        <v>2021</v>
      </c>
      <c r="E64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0.26943890640976415</v>
      </c>
      <c r="F646" s="33"/>
      <c r="G646" s="228"/>
      <c r="H646" s="33"/>
    </row>
    <row r="647" spans="1:8" x14ac:dyDescent="0.3">
      <c r="A647" t="s">
        <v>675</v>
      </c>
      <c r="B647" s="3">
        <f t="shared" si="8"/>
        <v>44256</v>
      </c>
      <c r="C647" s="2" t="str">
        <f>VLOOKUP(MONTH(Tabela1[[#This Row],[Periodo]]),NUMMESES,2,FALSE)</f>
        <v>Março</v>
      </c>
      <c r="D647" s="2">
        <f>YEAR(Tabela1[[#This Row],[Periodo]])</f>
        <v>2021</v>
      </c>
      <c r="E64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0.27754876803863082</v>
      </c>
      <c r="F647" s="33"/>
      <c r="G647" s="228"/>
      <c r="H647" s="33"/>
    </row>
    <row r="648" spans="1:8" x14ac:dyDescent="0.3">
      <c r="A648" t="s">
        <v>675</v>
      </c>
      <c r="B648" s="3">
        <f t="shared" si="8"/>
        <v>44287</v>
      </c>
      <c r="C648" s="2" t="str">
        <f>VLOOKUP(MONTH(Tabela1[[#This Row],[Periodo]]),NUMMESES,2,FALSE)</f>
        <v>Abril</v>
      </c>
      <c r="D648" s="2">
        <f>YEAR(Tabela1[[#This Row],[Periodo]])</f>
        <v>2021</v>
      </c>
      <c r="E64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0.26667550184344757</v>
      </c>
      <c r="F648" s="33"/>
      <c r="G648" s="228"/>
      <c r="H648" s="33"/>
    </row>
    <row r="649" spans="1:8" x14ac:dyDescent="0.3">
      <c r="A649" t="s">
        <v>675</v>
      </c>
      <c r="B649" s="3">
        <f t="shared" si="8"/>
        <v>44317</v>
      </c>
      <c r="C649" s="2" t="str">
        <f>VLOOKUP(MONTH(Tabela1[[#This Row],[Periodo]]),NUMMESES,2,FALSE)</f>
        <v>Maio</v>
      </c>
      <c r="D649" s="2">
        <f>YEAR(Tabela1[[#This Row],[Periodo]])</f>
        <v>2021</v>
      </c>
      <c r="E64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0.26293656235453516</v>
      </c>
      <c r="F649" s="33"/>
      <c r="G649" s="228"/>
      <c r="H649" s="33"/>
    </row>
    <row r="650" spans="1:8" x14ac:dyDescent="0.3">
      <c r="A650" t="s">
        <v>675</v>
      </c>
      <c r="B650" s="3">
        <f t="shared" si="8"/>
        <v>44348</v>
      </c>
      <c r="C650" s="2" t="str">
        <f>VLOOKUP(MONTH(Tabela1[[#This Row],[Periodo]]),NUMMESES,2,FALSE)</f>
        <v>Junho</v>
      </c>
      <c r="D650" s="2">
        <f>YEAR(Tabela1[[#This Row],[Periodo]])</f>
        <v>2021</v>
      </c>
      <c r="E65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0.27776586632274891</v>
      </c>
      <c r="F650" s="33"/>
      <c r="G650" s="228"/>
      <c r="H650" s="33"/>
    </row>
    <row r="651" spans="1:8" x14ac:dyDescent="0.3">
      <c r="A651" t="s">
        <v>675</v>
      </c>
      <c r="B651" s="3">
        <f t="shared" si="8"/>
        <v>44378</v>
      </c>
      <c r="C651" s="2" t="str">
        <f>VLOOKUP(MONTH(Tabela1[[#This Row],[Periodo]]),NUMMESES,2,FALSE)</f>
        <v>Julho</v>
      </c>
      <c r="D651" s="2">
        <f>YEAR(Tabela1[[#This Row],[Periodo]])</f>
        <v>2021</v>
      </c>
      <c r="E65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0.25612785395307774</v>
      </c>
      <c r="F651" s="33"/>
      <c r="G651" s="228"/>
      <c r="H651" s="33"/>
    </row>
    <row r="652" spans="1:8" x14ac:dyDescent="0.3">
      <c r="A652" t="s">
        <v>675</v>
      </c>
      <c r="B652" s="3">
        <f t="shared" si="8"/>
        <v>44409</v>
      </c>
      <c r="C652" s="2" t="str">
        <f>VLOOKUP(MONTH(Tabela1[[#This Row],[Periodo]]),NUMMESES,2,FALSE)</f>
        <v>Agosto</v>
      </c>
      <c r="D652" s="2">
        <f>YEAR(Tabela1[[#This Row],[Periodo]])</f>
        <v>2021</v>
      </c>
      <c r="E65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0.23166153063730888</v>
      </c>
      <c r="F652" s="33"/>
      <c r="G652" s="228"/>
      <c r="H652" s="33"/>
    </row>
    <row r="653" spans="1:8" x14ac:dyDescent="0.3">
      <c r="A653" t="s">
        <v>675</v>
      </c>
      <c r="B653" s="3">
        <f t="shared" si="8"/>
        <v>44440</v>
      </c>
      <c r="C653" s="2" t="str">
        <f>VLOOKUP(MONTH(Tabela1[[#This Row],[Periodo]]),NUMMESES,2,FALSE)</f>
        <v>Setembro</v>
      </c>
      <c r="D653" s="2">
        <f>YEAR(Tabela1[[#This Row],[Periodo]])</f>
        <v>2021</v>
      </c>
      <c r="E65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0.22075917393375905</v>
      </c>
      <c r="F653" s="33"/>
      <c r="G653" s="228"/>
      <c r="H653" s="33"/>
    </row>
    <row r="654" spans="1:8" x14ac:dyDescent="0.3">
      <c r="A654" t="s">
        <v>675</v>
      </c>
      <c r="B654" s="3">
        <f t="shared" si="8"/>
        <v>44470</v>
      </c>
      <c r="C654" s="2" t="str">
        <f>VLOOKUP(MONTH(Tabela1[[#This Row],[Periodo]]),NUMMESES,2,FALSE)</f>
        <v>Outubro</v>
      </c>
      <c r="D654" s="2">
        <f>YEAR(Tabela1[[#This Row],[Periodo]])</f>
        <v>2021</v>
      </c>
      <c r="E65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0.21474946245057966</v>
      </c>
      <c r="F654" s="33"/>
      <c r="G654" s="228"/>
      <c r="H654" s="33"/>
    </row>
    <row r="655" spans="1:8" x14ac:dyDescent="0.3">
      <c r="A655" t="s">
        <v>675</v>
      </c>
      <c r="B655" s="3">
        <f t="shared" si="8"/>
        <v>44501</v>
      </c>
      <c r="C655" s="2" t="str">
        <f>VLOOKUP(MONTH(Tabela1[[#This Row],[Periodo]]),NUMMESES,2,FALSE)</f>
        <v>Novembro</v>
      </c>
      <c r="D655" s="2">
        <f>YEAR(Tabela1[[#This Row],[Periodo]])</f>
        <v>2021</v>
      </c>
      <c r="E65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0.20272151144159292</v>
      </c>
      <c r="F655" s="33"/>
      <c r="G655" s="228"/>
      <c r="H655" s="33"/>
    </row>
    <row r="656" spans="1:8" x14ac:dyDescent="0.3">
      <c r="A656" t="s">
        <v>675</v>
      </c>
      <c r="B656" s="3">
        <f t="shared" si="8"/>
        <v>44531</v>
      </c>
      <c r="C656" s="2" t="str">
        <f>VLOOKUP(MONTH(Tabela1[[#This Row],[Periodo]]),NUMMESES,2,FALSE)</f>
        <v>Dezembro</v>
      </c>
      <c r="D656" s="2">
        <f>YEAR(Tabela1[[#This Row],[Periodo]])</f>
        <v>2021</v>
      </c>
      <c r="E65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0.19799626341850707</v>
      </c>
      <c r="F656" s="33"/>
      <c r="G656" s="228"/>
      <c r="H656" s="33"/>
    </row>
    <row r="657" spans="1:8" x14ac:dyDescent="0.3">
      <c r="A657" t="s">
        <v>675</v>
      </c>
      <c r="B657" s="3">
        <f t="shared" si="8"/>
        <v>44562</v>
      </c>
      <c r="C657" s="2" t="str">
        <f>VLOOKUP(MONTH(Tabela1[[#This Row],[Periodo]]),NUMMESES,2,FALSE)</f>
        <v>Janeiro</v>
      </c>
      <c r="D657" s="2">
        <f>YEAR(Tabela1[[#This Row],[Periodo]])</f>
        <v>2022</v>
      </c>
      <c r="E65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0.1862305038604653</v>
      </c>
      <c r="F657" s="33"/>
      <c r="G657" s="228"/>
      <c r="H657" s="33"/>
    </row>
    <row r="658" spans="1:8" x14ac:dyDescent="0.3">
      <c r="A658" t="s">
        <v>675</v>
      </c>
      <c r="B658" s="3">
        <f t="shared" si="8"/>
        <v>44593</v>
      </c>
      <c r="C658" s="2" t="str">
        <f>VLOOKUP(MONTH(Tabela1[[#This Row],[Periodo]]),NUMMESES,2,FALSE)</f>
        <v>Fevereiro</v>
      </c>
      <c r="D658" s="2">
        <f>YEAR(Tabela1[[#This Row],[Periodo]])</f>
        <v>2022</v>
      </c>
      <c r="E65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0.20053072224475282</v>
      </c>
      <c r="F658" s="33"/>
      <c r="G658" s="228"/>
      <c r="H658" s="33"/>
    </row>
    <row r="659" spans="1:8" x14ac:dyDescent="0.3">
      <c r="A659" t="s">
        <v>675</v>
      </c>
      <c r="B659" s="3">
        <f t="shared" si="8"/>
        <v>44621</v>
      </c>
      <c r="C659" s="2" t="str">
        <f>VLOOKUP(MONTH(Tabela1[[#This Row],[Periodo]]),NUMMESES,2,FALSE)</f>
        <v>Março</v>
      </c>
      <c r="D659" s="2">
        <f>YEAR(Tabela1[[#This Row],[Periodo]])</f>
        <v>2022</v>
      </c>
      <c r="E65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0.21079206242596635</v>
      </c>
      <c r="F659" s="33"/>
      <c r="G659" s="228"/>
      <c r="H659" s="33"/>
    </row>
    <row r="660" spans="1:8" x14ac:dyDescent="0.3">
      <c r="A660" t="s">
        <v>675</v>
      </c>
      <c r="B660" s="3">
        <f t="shared" si="8"/>
        <v>44652</v>
      </c>
      <c r="C660" s="2" t="str">
        <f>VLOOKUP(MONTH(Tabela1[[#This Row],[Periodo]]),NUMMESES,2,FALSE)</f>
        <v>Abril</v>
      </c>
      <c r="D660" s="2">
        <f>YEAR(Tabela1[[#This Row],[Periodo]])</f>
        <v>2022</v>
      </c>
      <c r="E66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0.19186380439094328</v>
      </c>
      <c r="F660" s="33"/>
      <c r="G660" s="228"/>
      <c r="H660" s="33"/>
    </row>
    <row r="661" spans="1:8" x14ac:dyDescent="0.3">
      <c r="A661" t="s">
        <v>675</v>
      </c>
      <c r="B661" s="3">
        <f t="shared" si="8"/>
        <v>44682</v>
      </c>
      <c r="C661" s="2" t="str">
        <f>VLOOKUP(MONTH(Tabela1[[#This Row],[Periodo]]),NUMMESES,2,FALSE)</f>
        <v>Maio</v>
      </c>
      <c r="D661" s="2">
        <f>YEAR(Tabela1[[#This Row],[Periodo]])</f>
        <v>2022</v>
      </c>
      <c r="E66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0.18054482460434276</v>
      </c>
      <c r="F661" s="33"/>
      <c r="G661" s="228"/>
      <c r="H661" s="33"/>
    </row>
    <row r="662" spans="1:8" x14ac:dyDescent="0.3">
      <c r="A662" t="s">
        <v>675</v>
      </c>
      <c r="B662" s="3">
        <f t="shared" si="8"/>
        <v>44713</v>
      </c>
      <c r="C662" s="2" t="str">
        <f>VLOOKUP(MONTH(Tabela1[[#This Row],[Periodo]]),NUMMESES,2,FALSE)</f>
        <v>Junho</v>
      </c>
      <c r="D662" s="2">
        <f>YEAR(Tabela1[[#This Row],[Periodo]])</f>
        <v>2022</v>
      </c>
      <c r="E66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0.18333382796489908</v>
      </c>
      <c r="F662" s="33"/>
      <c r="G662" s="228"/>
      <c r="H662" s="33"/>
    </row>
    <row r="663" spans="1:8" x14ac:dyDescent="0.3">
      <c r="A663" t="s">
        <v>675</v>
      </c>
      <c r="B663" s="3">
        <f t="shared" si="8"/>
        <v>44743</v>
      </c>
      <c r="C663" s="2" t="str">
        <f>VLOOKUP(MONTH(Tabela1[[#This Row],[Periodo]]),NUMMESES,2,FALSE)</f>
        <v>Julho</v>
      </c>
      <c r="D663" s="2">
        <f>YEAR(Tabela1[[#This Row],[Periodo]])</f>
        <v>2022</v>
      </c>
      <c r="E66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0.17730554025042247</v>
      </c>
      <c r="F663" s="33"/>
      <c r="G663" s="228"/>
      <c r="H663" s="33"/>
    </row>
    <row r="664" spans="1:8" x14ac:dyDescent="0.3">
      <c r="A664" t="s">
        <v>675</v>
      </c>
      <c r="B664" s="3">
        <f t="shared" si="8"/>
        <v>44774</v>
      </c>
      <c r="C664" s="2" t="str">
        <f>VLOOKUP(MONTH(Tabela1[[#This Row],[Periodo]]),NUMMESES,2,FALSE)</f>
        <v>Agosto</v>
      </c>
      <c r="D664" s="2">
        <f>YEAR(Tabela1[[#This Row],[Periodo]])</f>
        <v>2022</v>
      </c>
      <c r="E66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0.19183412872714198</v>
      </c>
      <c r="F664" s="33"/>
      <c r="G664" s="228"/>
      <c r="H664" s="33"/>
    </row>
    <row r="665" spans="1:8" x14ac:dyDescent="0.3">
      <c r="A665" t="s">
        <v>675</v>
      </c>
      <c r="B665" s="3">
        <f t="shared" si="8"/>
        <v>44805</v>
      </c>
      <c r="C665" s="2" t="str">
        <f>VLOOKUP(MONTH(Tabela1[[#This Row],[Periodo]]),NUMMESES,2,FALSE)</f>
        <v>Setembro</v>
      </c>
      <c r="D665" s="2">
        <f>YEAR(Tabela1[[#This Row],[Periodo]])</f>
        <v>2022</v>
      </c>
      <c r="E66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0.20062357411281043</v>
      </c>
      <c r="F665" s="33"/>
      <c r="G665" s="228"/>
      <c r="H665" s="33"/>
    </row>
    <row r="666" spans="1:8" x14ac:dyDescent="0.3">
      <c r="A666" t="s">
        <v>675</v>
      </c>
      <c r="B666" s="3">
        <f t="shared" si="8"/>
        <v>44835</v>
      </c>
      <c r="C666" s="2" t="str">
        <f>VLOOKUP(MONTH(Tabela1[[#This Row],[Periodo]]),NUMMESES,2,FALSE)</f>
        <v>Outubro</v>
      </c>
      <c r="D666" s="2">
        <f>YEAR(Tabela1[[#This Row],[Periodo]])</f>
        <v>2022</v>
      </c>
      <c r="E66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0.17662122924870613</v>
      </c>
      <c r="F666" s="33"/>
      <c r="G666" s="228"/>
      <c r="H666" s="33"/>
    </row>
    <row r="667" spans="1:8" x14ac:dyDescent="0.3">
      <c r="A667" t="s">
        <v>675</v>
      </c>
      <c r="B667" s="3">
        <f t="shared" si="8"/>
        <v>44866</v>
      </c>
      <c r="C667" s="2" t="str">
        <f>VLOOKUP(MONTH(Tabela1[[#This Row],[Periodo]]),NUMMESES,2,FALSE)</f>
        <v>Novembro</v>
      </c>
      <c r="D667" s="2">
        <f>YEAR(Tabela1[[#This Row],[Periodo]])</f>
        <v>2022</v>
      </c>
      <c r="E66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0.16497144296285154</v>
      </c>
      <c r="F667" s="33"/>
      <c r="G667" s="228"/>
      <c r="H667" s="33"/>
    </row>
    <row r="668" spans="1:8" x14ac:dyDescent="0.3">
      <c r="A668" t="s">
        <v>675</v>
      </c>
      <c r="B668" s="3">
        <f t="shared" si="8"/>
        <v>44896</v>
      </c>
      <c r="C668" s="2" t="str">
        <f>VLOOKUP(MONTH(Tabela1[[#This Row],[Periodo]]),NUMMESES,2,FALSE)</f>
        <v>Dezembro</v>
      </c>
      <c r="D668" s="2">
        <f>YEAR(Tabela1[[#This Row],[Periodo]])</f>
        <v>2022</v>
      </c>
      <c r="E66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0.15422964921731355</v>
      </c>
      <c r="F668" s="33"/>
      <c r="G668" s="228"/>
      <c r="H668" s="33"/>
    </row>
    <row r="669" spans="1:8" x14ac:dyDescent="0.3">
      <c r="A669" t="s">
        <v>675</v>
      </c>
      <c r="B669" s="3">
        <f t="shared" si="8"/>
        <v>44927</v>
      </c>
      <c r="C669" s="2" t="str">
        <f>VLOOKUP(MONTH(Tabela1[[#This Row],[Periodo]]),NUMMESES,2,FALSE)</f>
        <v>Janeiro</v>
      </c>
      <c r="D669" s="2">
        <f>YEAR(Tabela1[[#This Row],[Periodo]])</f>
        <v>2023</v>
      </c>
      <c r="E66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0.12708123384805242</v>
      </c>
      <c r="F669" s="33"/>
      <c r="G669" s="228"/>
      <c r="H669" s="33"/>
    </row>
    <row r="670" spans="1:8" x14ac:dyDescent="0.3">
      <c r="A670" t="s">
        <v>675</v>
      </c>
      <c r="B670" s="3">
        <f t="shared" si="8"/>
        <v>44958</v>
      </c>
      <c r="C670" s="2" t="str">
        <f>VLOOKUP(MONTH(Tabela1[[#This Row],[Periodo]]),NUMMESES,2,FALSE)</f>
        <v>Fevereiro</v>
      </c>
      <c r="D670" s="2">
        <f>YEAR(Tabela1[[#This Row],[Periodo]])</f>
        <v>2023</v>
      </c>
      <c r="E67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0.13852486155584018</v>
      </c>
      <c r="F670" s="33"/>
      <c r="G670" s="228"/>
      <c r="H670" s="33"/>
    </row>
    <row r="671" spans="1:8" x14ac:dyDescent="0.3">
      <c r="A671" t="s">
        <v>675</v>
      </c>
      <c r="B671" s="3">
        <f t="shared" si="8"/>
        <v>44986</v>
      </c>
      <c r="C671" s="2" t="str">
        <f>VLOOKUP(MONTH(Tabela1[[#This Row],[Periodo]]),NUMMESES,2,FALSE)</f>
        <v>Março</v>
      </c>
      <c r="D671" s="2">
        <f>YEAR(Tabela1[[#This Row],[Periodo]])</f>
        <v>2023</v>
      </c>
      <c r="E67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0.15826190730592307</v>
      </c>
      <c r="F671" s="33"/>
      <c r="G671" s="228"/>
      <c r="H671" s="33"/>
    </row>
    <row r="672" spans="1:8" x14ac:dyDescent="0.3">
      <c r="A672" t="s">
        <v>675</v>
      </c>
      <c r="B672" s="3">
        <f t="shared" si="8"/>
        <v>45017</v>
      </c>
      <c r="C672" s="2" t="str">
        <f>VLOOKUP(MONTH(Tabela1[[#This Row],[Periodo]]),NUMMESES,2,FALSE)</f>
        <v>Abril</v>
      </c>
      <c r="D672" s="2">
        <f>YEAR(Tabela1[[#This Row],[Periodo]])</f>
        <v>2023</v>
      </c>
      <c r="E67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0.15485797987339617</v>
      </c>
      <c r="F672" s="33"/>
      <c r="G672" s="228"/>
      <c r="H672" s="33"/>
    </row>
    <row r="673" spans="1:8" x14ac:dyDescent="0.3">
      <c r="A673" t="s">
        <v>675</v>
      </c>
      <c r="B673" s="3">
        <f t="shared" si="8"/>
        <v>45047</v>
      </c>
      <c r="C673" s="2" t="str">
        <f>VLOOKUP(MONTH(Tabela1[[#This Row],[Periodo]]),NUMMESES,2,FALSE)</f>
        <v>Maio</v>
      </c>
      <c r="D673" s="2">
        <f>YEAR(Tabela1[[#This Row],[Periodo]])</f>
        <v>2023</v>
      </c>
      <c r="E67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0.18489127378477688</v>
      </c>
      <c r="F673" s="33"/>
      <c r="G673" s="228"/>
      <c r="H673" s="33"/>
    </row>
    <row r="674" spans="1:8" x14ac:dyDescent="0.3">
      <c r="A674" t="s">
        <v>675</v>
      </c>
      <c r="B674" s="3">
        <f t="shared" si="8"/>
        <v>45078</v>
      </c>
      <c r="C674" s="2" t="str">
        <f>VLOOKUP(MONTH(Tabela1[[#This Row],[Periodo]]),NUMMESES,2,FALSE)</f>
        <v>Junho</v>
      </c>
      <c r="D674" s="2">
        <f>YEAR(Tabela1[[#This Row],[Periodo]])</f>
        <v>2023</v>
      </c>
      <c r="E67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0.18651680170942725</v>
      </c>
      <c r="F674" s="33"/>
      <c r="G674" s="228"/>
      <c r="H674" s="33"/>
    </row>
    <row r="675" spans="1:8" x14ac:dyDescent="0.3">
      <c r="A675" t="s">
        <v>675</v>
      </c>
      <c r="B675" s="3">
        <f t="shared" si="8"/>
        <v>45108</v>
      </c>
      <c r="C675" s="2" t="str">
        <f>VLOOKUP(MONTH(Tabela1[[#This Row],[Periodo]]),NUMMESES,2,FALSE)</f>
        <v>Julho</v>
      </c>
      <c r="D675" s="2">
        <f>YEAR(Tabela1[[#This Row],[Periodo]])</f>
        <v>2023</v>
      </c>
      <c r="E67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0.18993122706917456</v>
      </c>
      <c r="F675" s="33"/>
      <c r="G675" s="228"/>
      <c r="H675" s="33"/>
    </row>
    <row r="676" spans="1:8" x14ac:dyDescent="0.3">
      <c r="A676" t="s">
        <v>675</v>
      </c>
      <c r="B676" s="3">
        <f t="shared" si="8"/>
        <v>45139</v>
      </c>
      <c r="C676" s="2" t="str">
        <f>VLOOKUP(MONTH(Tabela1[[#This Row],[Periodo]]),NUMMESES,2,FALSE)</f>
        <v>Agosto</v>
      </c>
      <c r="D676" s="2">
        <f>YEAR(Tabela1[[#This Row],[Periodo]])</f>
        <v>2023</v>
      </c>
      <c r="E67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0.19225692272416231</v>
      </c>
      <c r="F676" s="33"/>
      <c r="G676" s="228"/>
      <c r="H676" s="33"/>
    </row>
    <row r="677" spans="1:8" x14ac:dyDescent="0.3">
      <c r="A677" t="s">
        <v>675</v>
      </c>
      <c r="B677" s="3">
        <f t="shared" si="8"/>
        <v>45170</v>
      </c>
      <c r="C677" s="2" t="str">
        <f>VLOOKUP(MONTH(Tabela1[[#This Row],[Periodo]]),NUMMESES,2,FALSE)</f>
        <v>Setembro</v>
      </c>
      <c r="D677" s="2">
        <f>YEAR(Tabela1[[#This Row],[Periodo]])</f>
        <v>2023</v>
      </c>
      <c r="E67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0.22533176978427352</v>
      </c>
      <c r="F677" s="33"/>
      <c r="G677" s="228"/>
      <c r="H677" s="33"/>
    </row>
    <row r="678" spans="1:8" x14ac:dyDescent="0.3">
      <c r="A678" t="s">
        <v>675</v>
      </c>
      <c r="B678" s="3">
        <f t="shared" si="8"/>
        <v>45200</v>
      </c>
      <c r="C678" s="2" t="str">
        <f>VLOOKUP(MONTH(Tabela1[[#This Row],[Periodo]]),NUMMESES,2,FALSE)</f>
        <v>Outubro</v>
      </c>
      <c r="D678" s="2">
        <f>YEAR(Tabela1[[#This Row],[Periodo]])</f>
        <v>2023</v>
      </c>
      <c r="E67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0.22480694743028146</v>
      </c>
      <c r="F678" s="33"/>
      <c r="G678" s="228"/>
      <c r="H678" s="33"/>
    </row>
    <row r="679" spans="1:8" x14ac:dyDescent="0.3">
      <c r="A679" t="s">
        <v>675</v>
      </c>
      <c r="B679" s="3">
        <f t="shared" si="8"/>
        <v>45231</v>
      </c>
      <c r="C679" s="2" t="str">
        <f>VLOOKUP(MONTH(Tabela1[[#This Row],[Periodo]]),NUMMESES,2,FALSE)</f>
        <v>Novembro</v>
      </c>
      <c r="D679" s="2">
        <f>YEAR(Tabela1[[#This Row],[Periodo]])</f>
        <v>2023</v>
      </c>
      <c r="E67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0.21813728078995381</v>
      </c>
      <c r="F679" s="33"/>
      <c r="G679" s="228"/>
      <c r="H679" s="33"/>
    </row>
    <row r="680" spans="1:8" x14ac:dyDescent="0.3">
      <c r="A680" t="s">
        <v>675</v>
      </c>
      <c r="B680" s="3">
        <f t="shared" si="8"/>
        <v>45261</v>
      </c>
      <c r="C680" s="2" t="str">
        <f>VLOOKUP(MONTH(Tabela1[[#This Row],[Periodo]]),NUMMESES,2,FALSE)</f>
        <v>Dezembro</v>
      </c>
      <c r="D680" s="2">
        <f>YEAR(Tabela1[[#This Row],[Periodo]])</f>
        <v>2023</v>
      </c>
      <c r="E68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0.21163295520663072</v>
      </c>
      <c r="F680" s="33"/>
      <c r="G680" s="228"/>
      <c r="H680" s="33"/>
    </row>
    <row r="681" spans="1:8" x14ac:dyDescent="0.3">
      <c r="A681" t="s">
        <v>675</v>
      </c>
      <c r="B681" s="3">
        <f t="shared" si="8"/>
        <v>45292</v>
      </c>
      <c r="C681" s="2" t="str">
        <f>VLOOKUP(MONTH(Tabela1[[#This Row],[Periodo]]),NUMMESES,2,FALSE)</f>
        <v>Janeiro</v>
      </c>
      <c r="D681" s="2">
        <f>YEAR(Tabela1[[#This Row],[Periodo]])</f>
        <v>2024</v>
      </c>
      <c r="E68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0.17001259666479226</v>
      </c>
      <c r="F681" s="33"/>
      <c r="G681" s="228"/>
      <c r="H681" s="33"/>
    </row>
    <row r="682" spans="1:8" x14ac:dyDescent="0.3">
      <c r="A682" t="s">
        <v>675</v>
      </c>
      <c r="B682" s="3">
        <f t="shared" si="8"/>
        <v>45323</v>
      </c>
      <c r="C682" s="2" t="str">
        <f>VLOOKUP(MONTH(Tabela1[[#This Row],[Periodo]]),NUMMESES,2,FALSE)</f>
        <v>Fevereiro</v>
      </c>
      <c r="D682" s="2">
        <f>YEAR(Tabela1[[#This Row],[Periodo]])</f>
        <v>2024</v>
      </c>
      <c r="E68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0.19453192331273672</v>
      </c>
      <c r="F682" s="33"/>
      <c r="G682" s="228"/>
      <c r="H682" s="33"/>
    </row>
    <row r="683" spans="1:8" x14ac:dyDescent="0.3">
      <c r="A683" t="s">
        <v>675</v>
      </c>
      <c r="B683" s="3">
        <f t="shared" si="8"/>
        <v>45352</v>
      </c>
      <c r="C683" s="2" t="str">
        <f>VLOOKUP(MONTH(Tabela1[[#This Row],[Periodo]]),NUMMESES,2,FALSE)</f>
        <v>Março</v>
      </c>
      <c r="D683" s="2">
        <f>YEAR(Tabela1[[#This Row],[Periodo]])</f>
        <v>2024</v>
      </c>
      <c r="E68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0.23076434506590687</v>
      </c>
      <c r="F683" s="33"/>
      <c r="G683" s="228"/>
      <c r="H683" s="33"/>
    </row>
    <row r="684" spans="1:8" x14ac:dyDescent="0.3">
      <c r="A684" t="s">
        <v>675</v>
      </c>
      <c r="B684" s="3">
        <f t="shared" si="8"/>
        <v>45383</v>
      </c>
      <c r="C684" s="2" t="str">
        <f>VLOOKUP(MONTH(Tabela1[[#This Row],[Periodo]]),NUMMESES,2,FALSE)</f>
        <v>Abril</v>
      </c>
      <c r="D684" s="2">
        <f>YEAR(Tabela1[[#This Row],[Periodo]])</f>
        <v>2024</v>
      </c>
      <c r="E68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0.25300542934022857</v>
      </c>
      <c r="F684" s="33"/>
      <c r="G684" s="228"/>
      <c r="H684" s="33"/>
    </row>
    <row r="685" spans="1:8" x14ac:dyDescent="0.3">
      <c r="A685" t="s">
        <v>675</v>
      </c>
      <c r="B685" s="3">
        <f t="shared" si="8"/>
        <v>45413</v>
      </c>
      <c r="C685" s="2" t="str">
        <f>VLOOKUP(MONTH(Tabela1[[#This Row],[Periodo]]),NUMMESES,2,FALSE)</f>
        <v>Maio</v>
      </c>
      <c r="D685" s="2">
        <f>YEAR(Tabela1[[#This Row],[Periodo]])</f>
        <v>2024</v>
      </c>
      <c r="E68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0.294101229483339</v>
      </c>
      <c r="F685" s="33"/>
      <c r="G685" s="228"/>
      <c r="H685" s="33"/>
    </row>
    <row r="686" spans="1:8" x14ac:dyDescent="0.3">
      <c r="A686" t="s">
        <v>675</v>
      </c>
      <c r="B686" s="3">
        <f t="shared" si="8"/>
        <v>45444</v>
      </c>
      <c r="C686" s="2" t="str">
        <f>VLOOKUP(MONTH(Tabela1[[#This Row],[Periodo]]),NUMMESES,2,FALSE)</f>
        <v>Junho</v>
      </c>
      <c r="D686" s="2">
        <f>YEAR(Tabela1[[#This Row],[Periodo]])</f>
        <v>2024</v>
      </c>
      <c r="E68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0.29851775275520936</v>
      </c>
      <c r="F686" s="33"/>
      <c r="G686" s="228"/>
      <c r="H686" s="33"/>
    </row>
    <row r="687" spans="1:8" x14ac:dyDescent="0.3">
      <c r="A687" t="s">
        <v>675</v>
      </c>
      <c r="B687" s="3">
        <f t="shared" si="8"/>
        <v>45474</v>
      </c>
      <c r="C687" s="2" t="str">
        <f>VLOOKUP(MONTH(Tabela1[[#This Row],[Periodo]]),NUMMESES,2,FALSE)</f>
        <v>Julho</v>
      </c>
      <c r="D687" s="2">
        <f>YEAR(Tabela1[[#This Row],[Periodo]])</f>
        <v>2024</v>
      </c>
      <c r="E68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0.36755678584918977</v>
      </c>
      <c r="F687" s="33"/>
      <c r="G687" s="228"/>
      <c r="H687" s="33"/>
    </row>
    <row r="688" spans="1:8" x14ac:dyDescent="0.3">
      <c r="A688" t="s">
        <v>675</v>
      </c>
      <c r="B688" s="3">
        <f t="shared" si="8"/>
        <v>45505</v>
      </c>
      <c r="C688" s="2" t="str">
        <f>VLOOKUP(MONTH(Tabela1[[#This Row],[Periodo]]),NUMMESES,2,FALSE)</f>
        <v>Agosto</v>
      </c>
      <c r="D688" s="2">
        <f>YEAR(Tabela1[[#This Row],[Periodo]])</f>
        <v>2024</v>
      </c>
      <c r="E68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0.36616145199698319</v>
      </c>
      <c r="F688" s="33"/>
      <c r="G688" s="228"/>
      <c r="H688" s="33"/>
    </row>
    <row r="689" spans="1:8" x14ac:dyDescent="0.3">
      <c r="A689" t="s">
        <v>675</v>
      </c>
      <c r="B689" s="3">
        <f t="shared" si="8"/>
        <v>45536</v>
      </c>
      <c r="C689" s="2" t="str">
        <f>VLOOKUP(MONTH(Tabela1[[#This Row],[Periodo]]),NUMMESES,2,FALSE)</f>
        <v>Setembro</v>
      </c>
      <c r="D689" s="2">
        <f>YEAR(Tabela1[[#This Row],[Periodo]])</f>
        <v>2024</v>
      </c>
      <c r="E68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0.36021500073068907</v>
      </c>
      <c r="F689" s="33"/>
      <c r="G689" s="228"/>
      <c r="H689" s="33"/>
    </row>
    <row r="690" spans="1:8" x14ac:dyDescent="0.3">
      <c r="A690" t="s">
        <v>675</v>
      </c>
      <c r="B690" s="3">
        <f t="shared" si="8"/>
        <v>45566</v>
      </c>
      <c r="C690" s="2" t="str">
        <f>VLOOKUP(MONTH(Tabela1[[#This Row],[Periodo]]),NUMMESES,2,FALSE)</f>
        <v>Outubro</v>
      </c>
      <c r="D690" s="2">
        <f>YEAR(Tabela1[[#This Row],[Periodo]])</f>
        <v>2024</v>
      </c>
      <c r="E69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0.36744492111649413</v>
      </c>
      <c r="F690" s="33"/>
      <c r="G690" s="228"/>
      <c r="H690" s="33"/>
    </row>
    <row r="691" spans="1:8" x14ac:dyDescent="0.3">
      <c r="A691" t="s">
        <v>675</v>
      </c>
      <c r="B691" s="3">
        <f t="shared" si="8"/>
        <v>45597</v>
      </c>
      <c r="C691" s="2" t="str">
        <f>VLOOKUP(MONTH(Tabela1[[#This Row],[Periodo]]),NUMMESES,2,FALSE)</f>
        <v>Novembro</v>
      </c>
      <c r="D691" s="2">
        <f>YEAR(Tabela1[[#This Row],[Periodo]])</f>
        <v>2024</v>
      </c>
      <c r="E69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0.38288981652640641</v>
      </c>
      <c r="F691" s="33"/>
      <c r="G691" s="228"/>
      <c r="H691" s="33"/>
    </row>
    <row r="692" spans="1:8" x14ac:dyDescent="0.3">
      <c r="A692" t="s">
        <v>675</v>
      </c>
      <c r="B692" s="3">
        <f t="shared" si="8"/>
        <v>45627</v>
      </c>
      <c r="C692" s="2" t="str">
        <f>VLOOKUP(MONTH(Tabela1[[#This Row],[Periodo]]),NUMMESES,2,FALSE)</f>
        <v>Dezembro</v>
      </c>
      <c r="D692" s="2">
        <f>YEAR(Tabela1[[#This Row],[Periodo]])</f>
        <v>2024</v>
      </c>
      <c r="E69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0.37431222572278394</v>
      </c>
      <c r="F692" s="33"/>
      <c r="G692" s="228"/>
      <c r="H692" s="33"/>
    </row>
    <row r="693" spans="1:8" x14ac:dyDescent="0.3">
      <c r="A693" t="s">
        <v>675</v>
      </c>
      <c r="B693" s="3">
        <f t="shared" si="8"/>
        <v>45658</v>
      </c>
      <c r="C693" s="2" t="str">
        <f>VLOOKUP(MONTH(Tabela1[[#This Row],[Periodo]]),NUMMESES,2,FALSE)</f>
        <v>Janeiro</v>
      </c>
      <c r="D693" s="2">
        <f>YEAR(Tabela1[[#This Row],[Periodo]])</f>
        <v>2025</v>
      </c>
      <c r="E69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0.34382535980601225</v>
      </c>
      <c r="F693" s="33"/>
      <c r="G693" s="228"/>
      <c r="H693" s="33"/>
    </row>
    <row r="694" spans="1:8" x14ac:dyDescent="0.3">
      <c r="A694" t="s">
        <v>675</v>
      </c>
      <c r="B694" s="3">
        <f t="shared" si="8"/>
        <v>45689</v>
      </c>
      <c r="C694" s="2" t="str">
        <f>VLOOKUP(MONTH(Tabela1[[#This Row],[Periodo]]),NUMMESES,2,FALSE)</f>
        <v>Fevereiro</v>
      </c>
      <c r="D694" s="2">
        <f>YEAR(Tabela1[[#This Row],[Periodo]])</f>
        <v>2025</v>
      </c>
      <c r="E69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0.340240104534273</v>
      </c>
      <c r="F694" s="33"/>
      <c r="G694" s="228"/>
      <c r="H694" s="33"/>
    </row>
    <row r="695" spans="1:8" x14ac:dyDescent="0.3">
      <c r="A695" t="s">
        <v>675</v>
      </c>
      <c r="B695" s="3">
        <f t="shared" si="8"/>
        <v>45717</v>
      </c>
      <c r="C695" s="2" t="str">
        <f>VLOOKUP(MONTH(Tabela1[[#This Row],[Periodo]]),NUMMESES,2,FALSE)</f>
        <v>Março</v>
      </c>
      <c r="D695" s="2">
        <f>YEAR(Tabela1[[#This Row],[Periodo]])</f>
        <v>2025</v>
      </c>
      <c r="E69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0.3227951002129224</v>
      </c>
      <c r="F695" s="33"/>
      <c r="G695" s="228"/>
      <c r="H695" s="33"/>
    </row>
    <row r="696" spans="1:8" x14ac:dyDescent="0.3">
      <c r="A696" t="s">
        <v>675</v>
      </c>
      <c r="B696" s="3">
        <f t="shared" si="8"/>
        <v>45748</v>
      </c>
      <c r="C696" s="2" t="str">
        <f>VLOOKUP(MONTH(Tabela1[[#This Row],[Periodo]]),NUMMESES,2,FALSE)</f>
        <v>Abril</v>
      </c>
      <c r="D696" s="2">
        <f>YEAR(Tabela1[[#This Row],[Periodo]])</f>
        <v>2025</v>
      </c>
      <c r="E696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0.3154253181516975</v>
      </c>
      <c r="F696" s="33"/>
      <c r="G696" s="228"/>
      <c r="H696" s="33"/>
    </row>
    <row r="697" spans="1:8" x14ac:dyDescent="0.3">
      <c r="A697" t="s">
        <v>675</v>
      </c>
      <c r="B697" s="3">
        <f t="shared" si="8"/>
        <v>45778</v>
      </c>
      <c r="C697" s="2" t="str">
        <f>VLOOKUP(MONTH(Tabela1[[#This Row],[Periodo]]),NUMMESES,2,FALSE)</f>
        <v>Maio</v>
      </c>
      <c r="D697" s="2">
        <f>YEAR(Tabela1[[#This Row],[Periodo]])</f>
        <v>2025</v>
      </c>
      <c r="E697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0.30835308626483127</v>
      </c>
      <c r="F697" s="33"/>
      <c r="G697" s="228"/>
      <c r="H697" s="33"/>
    </row>
    <row r="698" spans="1:8" x14ac:dyDescent="0.3">
      <c r="A698" t="s">
        <v>675</v>
      </c>
      <c r="B698" s="3">
        <f t="shared" si="8"/>
        <v>45809</v>
      </c>
      <c r="C698" s="2" t="str">
        <f>VLOOKUP(MONTH(Tabela1[[#This Row],[Periodo]]),NUMMESES,2,FALSE)</f>
        <v>Junho</v>
      </c>
      <c r="D698" s="2">
        <f>YEAR(Tabela1[[#This Row],[Periodo]])</f>
        <v>2025</v>
      </c>
      <c r="E698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0.32686794979400874</v>
      </c>
      <c r="F698" s="33"/>
      <c r="G698" s="228"/>
      <c r="H698" s="33"/>
    </row>
    <row r="699" spans="1:8" x14ac:dyDescent="0.3">
      <c r="A699" t="s">
        <v>675</v>
      </c>
      <c r="B699" s="3">
        <f t="shared" si="8"/>
        <v>45839</v>
      </c>
      <c r="C699" s="2" t="str">
        <f>VLOOKUP(MONTH(Tabela1[[#This Row],[Periodo]]),NUMMESES,2,FALSE)</f>
        <v>Julho</v>
      </c>
      <c r="D699" s="2">
        <f>YEAR(Tabela1[[#This Row],[Periodo]])</f>
        <v>2025</v>
      </c>
      <c r="E699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0.35227141229171449</v>
      </c>
      <c r="F699" s="33"/>
      <c r="G699" s="228"/>
      <c r="H699" s="33"/>
    </row>
    <row r="700" spans="1:8" x14ac:dyDescent="0.3">
      <c r="A700" t="s">
        <v>675</v>
      </c>
      <c r="B700" s="3">
        <f t="shared" si="8"/>
        <v>45870</v>
      </c>
      <c r="C700" s="2" t="str">
        <f>VLOOKUP(MONTH(Tabela1[[#This Row],[Periodo]]),NUMMESES,2,FALSE)</f>
        <v>Agosto</v>
      </c>
      <c r="D700" s="2">
        <f>YEAR(Tabela1[[#This Row],[Periodo]])</f>
        <v>2025</v>
      </c>
      <c r="E700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0.33935573844416383</v>
      </c>
      <c r="F700" s="33"/>
      <c r="G700" s="228"/>
      <c r="H700" s="33"/>
    </row>
    <row r="701" spans="1:8" x14ac:dyDescent="0.3">
      <c r="A701" t="s">
        <v>675</v>
      </c>
      <c r="B701" s="3">
        <f t="shared" si="8"/>
        <v>45901</v>
      </c>
      <c r="C701" s="2" t="str">
        <f>VLOOKUP(MONTH(Tabela1[[#This Row],[Periodo]]),NUMMESES,2,FALSE)</f>
        <v>Setembro</v>
      </c>
      <c r="D701" s="2">
        <f>YEAR(Tabela1[[#This Row],[Periodo]])</f>
        <v>2025</v>
      </c>
      <c r="E701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0.33797072031664588</v>
      </c>
      <c r="F701" s="33"/>
      <c r="G701" s="228"/>
      <c r="H701" s="33"/>
    </row>
    <row r="702" spans="1:8" x14ac:dyDescent="0.3">
      <c r="A702" t="s">
        <v>675</v>
      </c>
      <c r="B702" s="3">
        <f t="shared" si="8"/>
        <v>45931</v>
      </c>
      <c r="C702" s="2" t="str">
        <f>VLOOKUP(MONTH(Tabela1[[#This Row],[Periodo]]),NUMMESES,2,FALSE)</f>
        <v>Outubro</v>
      </c>
      <c r="D702" s="2">
        <f>YEAR(Tabela1[[#This Row],[Periodo]])</f>
        <v>2025</v>
      </c>
      <c r="E702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0.34718056107669859</v>
      </c>
      <c r="F702" s="33"/>
      <c r="G702" s="228"/>
      <c r="H702" s="33"/>
    </row>
    <row r="703" spans="1:8" x14ac:dyDescent="0.3">
      <c r="A703" t="s">
        <v>675</v>
      </c>
      <c r="B703" s="3">
        <f t="shared" si="8"/>
        <v>45962</v>
      </c>
      <c r="C703" s="2" t="str">
        <f>VLOOKUP(MONTH(Tabela1[[#This Row],[Periodo]]),NUMMESES,2,FALSE)</f>
        <v>Novembro</v>
      </c>
      <c r="D703" s="2">
        <f>YEAR(Tabela1[[#This Row],[Periodo]])</f>
        <v>2025</v>
      </c>
      <c r="E703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0.34758553712983253</v>
      </c>
      <c r="F703" s="33"/>
      <c r="G703" s="228"/>
      <c r="H703" s="33"/>
    </row>
    <row r="704" spans="1:8" x14ac:dyDescent="0.3">
      <c r="A704" t="s">
        <v>675</v>
      </c>
      <c r="B704" s="3">
        <f t="shared" si="8"/>
        <v>45992</v>
      </c>
      <c r="C704" s="2" t="str">
        <f>VLOOKUP(MONTH(Tabela1[[#This Row],[Periodo]]),NUMMESES,2,FALSE)</f>
        <v>Dezembro</v>
      </c>
      <c r="D704" s="2">
        <f>YEAR(Tabela1[[#This Row],[Periodo]])</f>
        <v>2025</v>
      </c>
      <c r="E704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0.41324172363421829</v>
      </c>
      <c r="F704" s="33"/>
      <c r="G704" s="228"/>
      <c r="H704" s="33"/>
    </row>
    <row r="705" spans="1:8" x14ac:dyDescent="0.3">
      <c r="A705" t="s">
        <v>675</v>
      </c>
      <c r="B705" s="3">
        <f t="shared" si="8"/>
        <v>46023</v>
      </c>
      <c r="C705" s="2" t="str">
        <f>VLOOKUP(MONTH(Tabela1[[#This Row],[Periodo]]),NUMMESES,2,FALSE)</f>
        <v>Janeiro</v>
      </c>
      <c r="D705" s="2">
        <f>YEAR(Tabela1[[#This Row],[Periodo]])</f>
        <v>2026</v>
      </c>
      <c r="E705" s="33">
        <f>(INDEX(TBBP[],MATCH("2.1",planoContas,0)+1,MATCH(Tabela1[[#This Row],[Periodo]],listaPeriodos,0))+INDEX(TBBP[],MATCH("2.3",planoContas,0)+1,MATCH(Tabela1[[#This Row],[Periodo]],listaPeriodos,0)))/INDEX(TBBP[],MATCH("1",planoContas,0)+1,MATCH(Tabela1[[#This Row],[Periodo]],listaPeriodos,0))</f>
        <v>0.41948325699529987</v>
      </c>
      <c r="F705" s="33"/>
      <c r="G705" s="228"/>
      <c r="H705" s="33"/>
    </row>
    <row r="706" spans="1:8" x14ac:dyDescent="0.3">
      <c r="B706" s="3"/>
      <c r="C706" s="2"/>
      <c r="D706" s="2"/>
      <c r="E706" s="33"/>
      <c r="F706" s="33"/>
      <c r="G706" s="228"/>
      <c r="H706" s="33"/>
    </row>
    <row r="707" spans="1:8" x14ac:dyDescent="0.3">
      <c r="A707" t="s">
        <v>681</v>
      </c>
      <c r="B707" s="3">
        <v>41609</v>
      </c>
      <c r="C707" s="2" t="str">
        <f>VLOOKUP(MONTH(Tabela1[[#This Row],[Periodo]]),NUMMESES,2,FALSE)</f>
        <v>Dezembro</v>
      </c>
      <c r="D707" s="2">
        <f>YEAR(Tabela1[[#This Row],[Periodo]])</f>
        <v>2013</v>
      </c>
      <c r="E707" s="33">
        <f>(INDEX(TBBP[],MATCH("2",planoContas,0)+1,MATCH(Tabela1[[#This Row],[Periodo]],listaPeriodos,0))/INDEX(TBBP[],MATCH("2.9",planoContas,0)+1,MATCH(Tabela1[[#This Row],[Periodo]],listaPeriodos,0)))-1</f>
        <v>0.23729925049575962</v>
      </c>
      <c r="F707" s="33"/>
      <c r="G707" s="228"/>
      <c r="H707" s="33"/>
    </row>
    <row r="708" spans="1:8" x14ac:dyDescent="0.3">
      <c r="A708" t="s">
        <v>681</v>
      </c>
      <c r="B708" s="3">
        <v>41974</v>
      </c>
      <c r="C708" s="2" t="str">
        <f>VLOOKUP(MONTH(Tabela1[[#This Row],[Periodo]]),NUMMESES,2,FALSE)</f>
        <v>Dezembro</v>
      </c>
      <c r="D708" s="2">
        <f>YEAR(Tabela1[[#This Row],[Periodo]])</f>
        <v>2014</v>
      </c>
      <c r="E708" s="33">
        <f>(INDEX(TBBP[],MATCH("2",planoContas,0)+1,MATCH(Tabela1[[#This Row],[Periodo]],listaPeriodos,0))/INDEX(TBBP[],MATCH("2.9",planoContas,0)+1,MATCH(Tabela1[[#This Row],[Periodo]],listaPeriodos,0)))-1</f>
        <v>0.41223682960950137</v>
      </c>
      <c r="F708" s="33"/>
      <c r="G708" s="228"/>
      <c r="H708" s="33"/>
    </row>
    <row r="709" spans="1:8" x14ac:dyDescent="0.3">
      <c r="A709" t="s">
        <v>681</v>
      </c>
      <c r="B709" s="3">
        <v>42339</v>
      </c>
      <c r="C709" s="2" t="str">
        <f>VLOOKUP(MONTH(Tabela1[[#This Row],[Periodo]]),NUMMESES,2,FALSE)</f>
        <v>Dezembro</v>
      </c>
      <c r="D709" s="2">
        <f>YEAR(Tabela1[[#This Row],[Periodo]])</f>
        <v>2015</v>
      </c>
      <c r="E709" s="33">
        <f>(INDEX(TBBP[],MATCH("2",planoContas,0)+1,MATCH(Tabela1[[#This Row],[Periodo]],listaPeriodos,0))/INDEX(TBBP[],MATCH("2.9",planoContas,0)+1,MATCH(Tabela1[[#This Row],[Periodo]],listaPeriodos,0)))-1</f>
        <v>0.23046285355789031</v>
      </c>
      <c r="F709" s="33"/>
      <c r="G709" s="228"/>
      <c r="H709" s="33"/>
    </row>
    <row r="710" spans="1:8" x14ac:dyDescent="0.3">
      <c r="A710" t="s">
        <v>681</v>
      </c>
      <c r="B710" s="3">
        <v>42705</v>
      </c>
      <c r="C710" s="2" t="str">
        <f>VLOOKUP(MONTH(Tabela1[[#This Row],[Periodo]]),NUMMESES,2,FALSE)</f>
        <v>Dezembro</v>
      </c>
      <c r="D710" s="2">
        <f>YEAR(Tabela1[[#This Row],[Periodo]])</f>
        <v>2016</v>
      </c>
      <c r="E710" s="33">
        <f>(INDEX(TBBP[],MATCH("2",planoContas,0)+1,MATCH(Tabela1[[#This Row],[Periodo]],listaPeriodos,0))/INDEX(TBBP[],MATCH("2.9",planoContas,0)+1,MATCH(Tabela1[[#This Row],[Periodo]],listaPeriodos,0)))-1</f>
        <v>0.1536411839351548</v>
      </c>
      <c r="F710" s="33"/>
      <c r="G710" s="228"/>
      <c r="H710" s="33"/>
    </row>
    <row r="711" spans="1:8" x14ac:dyDescent="0.3">
      <c r="A711" t="s">
        <v>681</v>
      </c>
      <c r="B711" s="3">
        <v>43070</v>
      </c>
      <c r="C711" s="2" t="str">
        <f>VLOOKUP(MONTH(Tabela1[[#This Row],[Periodo]]),NUMMESES,2,FALSE)</f>
        <v>Dezembro</v>
      </c>
      <c r="D711" s="2">
        <f>YEAR(Tabela1[[#This Row],[Periodo]])</f>
        <v>2017</v>
      </c>
      <c r="E711" s="33">
        <f>(INDEX(TBBP[],MATCH("2",planoContas,0)+1,MATCH(Tabela1[[#This Row],[Periodo]],listaPeriodos,0))/INDEX(TBBP[],MATCH("2.9",planoContas,0)+1,MATCH(Tabela1[[#This Row],[Periodo]],listaPeriodos,0)))-1</f>
        <v>0.1579956106007343</v>
      </c>
      <c r="F711" s="33"/>
      <c r="G711" s="228"/>
      <c r="H711" s="33"/>
    </row>
    <row r="712" spans="1:8" x14ac:dyDescent="0.3">
      <c r="A712" t="s">
        <v>681</v>
      </c>
      <c r="B712" s="3">
        <v>43101</v>
      </c>
      <c r="C712" s="2" t="str">
        <f>VLOOKUP(MONTH(Tabela1[[#This Row],[Periodo]]),NUMMESES,2,FALSE)</f>
        <v>Janeiro</v>
      </c>
      <c r="D712" s="2">
        <f>YEAR(Tabela1[[#This Row],[Periodo]])</f>
        <v>2018</v>
      </c>
      <c r="E712" s="33">
        <f>(INDEX(TBBP[],MATCH("2",planoContas,0)+1,MATCH(Tabela1[[#This Row],[Periodo]],listaPeriodos,0))/INDEX(TBBP[],MATCH("2.9",planoContas,0)+1,MATCH(Tabela1[[#This Row],[Periodo]],listaPeriodos,0)))-1</f>
        <v>0.13222770644257076</v>
      </c>
      <c r="F712" s="33"/>
      <c r="G712" s="228"/>
      <c r="H712" s="33"/>
    </row>
    <row r="713" spans="1:8" x14ac:dyDescent="0.3">
      <c r="A713" t="s">
        <v>681</v>
      </c>
      <c r="B713" s="3">
        <f t="shared" ref="B713:B808" si="9">DATE(YEAR(B712),MONTH(B712)+1,DAY(B712))</f>
        <v>43132</v>
      </c>
      <c r="C713" s="2" t="str">
        <f>VLOOKUP(MONTH(Tabela1[[#This Row],[Periodo]]),NUMMESES,2,FALSE)</f>
        <v>Fevereiro</v>
      </c>
      <c r="D713" s="2">
        <f>YEAR(Tabela1[[#This Row],[Periodo]])</f>
        <v>2018</v>
      </c>
      <c r="E713" s="33">
        <f>(INDEX(TBBP[],MATCH("2",planoContas,0)+1,MATCH(Tabela1[[#This Row],[Periodo]],listaPeriodos,0))/INDEX(TBBP[],MATCH("2.9",planoContas,0)+1,MATCH(Tabela1[[#This Row],[Periodo]],listaPeriodos,0)))-1</f>
        <v>0.14168414179394806</v>
      </c>
      <c r="F713" s="33"/>
      <c r="G713" s="228"/>
      <c r="H713" s="33"/>
    </row>
    <row r="714" spans="1:8" x14ac:dyDescent="0.3">
      <c r="A714" t="s">
        <v>681</v>
      </c>
      <c r="B714" s="3">
        <f t="shared" si="9"/>
        <v>43160</v>
      </c>
      <c r="C714" s="2" t="str">
        <f>VLOOKUP(MONTH(Tabela1[[#This Row],[Periodo]]),NUMMESES,2,FALSE)</f>
        <v>Março</v>
      </c>
      <c r="D714" s="2">
        <f>YEAR(Tabela1[[#This Row],[Periodo]])</f>
        <v>2018</v>
      </c>
      <c r="E714" s="33">
        <f>(INDEX(TBBP[],MATCH("2",planoContas,0)+1,MATCH(Tabela1[[#This Row],[Periodo]],listaPeriodos,0))/INDEX(TBBP[],MATCH("2.9",planoContas,0)+1,MATCH(Tabela1[[#This Row],[Periodo]],listaPeriodos,0)))-1</f>
        <v>0.15943285426340115</v>
      </c>
      <c r="F714" s="33"/>
      <c r="G714" s="228"/>
      <c r="H714" s="33"/>
    </row>
    <row r="715" spans="1:8" x14ac:dyDescent="0.3">
      <c r="A715" t="s">
        <v>681</v>
      </c>
      <c r="B715" s="3">
        <f t="shared" si="9"/>
        <v>43191</v>
      </c>
      <c r="C715" s="2" t="str">
        <f>VLOOKUP(MONTH(Tabela1[[#This Row],[Periodo]]),NUMMESES,2,FALSE)</f>
        <v>Abril</v>
      </c>
      <c r="D715" s="2">
        <f>YEAR(Tabela1[[#This Row],[Periodo]])</f>
        <v>2018</v>
      </c>
      <c r="E715" s="33">
        <f>(INDEX(TBBP[],MATCH("2",planoContas,0)+1,MATCH(Tabela1[[#This Row],[Periodo]],listaPeriodos,0))/INDEX(TBBP[],MATCH("2.9",planoContas,0)+1,MATCH(Tabela1[[#This Row],[Periodo]],listaPeriodos,0)))-1</f>
        <v>0.47024659665718382</v>
      </c>
      <c r="F715" s="33"/>
      <c r="G715" s="228"/>
      <c r="H715" s="33"/>
    </row>
    <row r="716" spans="1:8" ht="13.5" customHeight="1" x14ac:dyDescent="0.3">
      <c r="A716" t="s">
        <v>681</v>
      </c>
      <c r="B716" s="3">
        <f t="shared" si="9"/>
        <v>43221</v>
      </c>
      <c r="C716" s="2" t="str">
        <f>VLOOKUP(MONTH(Tabela1[[#This Row],[Periodo]]),NUMMESES,2,FALSE)</f>
        <v>Maio</v>
      </c>
      <c r="D716" s="2">
        <f>YEAR(Tabela1[[#This Row],[Periodo]])</f>
        <v>2018</v>
      </c>
      <c r="E716" s="33">
        <f>(INDEX(TBBP[],MATCH("2",planoContas,0)+1,MATCH(Tabela1[[#This Row],[Periodo]],listaPeriodos,0))/INDEX(TBBP[],MATCH("2.9",planoContas,0)+1,MATCH(Tabela1[[#This Row],[Periodo]],listaPeriodos,0)))-1</f>
        <v>0.41643195014518919</v>
      </c>
      <c r="F716" s="33"/>
      <c r="G716" s="228"/>
      <c r="H716" s="33"/>
    </row>
    <row r="717" spans="1:8" x14ac:dyDescent="0.3">
      <c r="A717" t="s">
        <v>681</v>
      </c>
      <c r="B717" s="3">
        <f t="shared" si="9"/>
        <v>43252</v>
      </c>
      <c r="C717" s="2" t="str">
        <f>VLOOKUP(MONTH(Tabela1[[#This Row],[Periodo]]),NUMMESES,2,FALSE)</f>
        <v>Junho</v>
      </c>
      <c r="D717" s="2">
        <f>YEAR(Tabela1[[#This Row],[Periodo]])</f>
        <v>2018</v>
      </c>
      <c r="E717" s="33">
        <f>(INDEX(TBBP[],MATCH("2",planoContas,0)+1,MATCH(Tabela1[[#This Row],[Periodo]],listaPeriodos,0))/INDEX(TBBP[],MATCH("2.9",planoContas,0)+1,MATCH(Tabela1[[#This Row],[Periodo]],listaPeriodos,0)))-1</f>
        <v>0.44631106819973776</v>
      </c>
      <c r="F717" s="33"/>
      <c r="G717" s="228"/>
      <c r="H717" s="33"/>
    </row>
    <row r="718" spans="1:8" x14ac:dyDescent="0.3">
      <c r="A718" t="s">
        <v>681</v>
      </c>
      <c r="B718" s="3">
        <f t="shared" si="9"/>
        <v>43282</v>
      </c>
      <c r="C718" s="2" t="str">
        <f>VLOOKUP(MONTH(Tabela1[[#This Row],[Periodo]]),NUMMESES,2,FALSE)</f>
        <v>Julho</v>
      </c>
      <c r="D718" s="2">
        <f>YEAR(Tabela1[[#This Row],[Periodo]])</f>
        <v>2018</v>
      </c>
      <c r="E718" s="33">
        <f>(INDEX(TBBP[],MATCH("2",planoContas,0)+1,MATCH(Tabela1[[#This Row],[Periodo]],listaPeriodos,0))/INDEX(TBBP[],MATCH("2.9",planoContas,0)+1,MATCH(Tabela1[[#This Row],[Periodo]],listaPeriodos,0)))-1</f>
        <v>0.40347025805383785</v>
      </c>
      <c r="F718" s="33"/>
      <c r="G718" s="228"/>
      <c r="H718" s="33"/>
    </row>
    <row r="719" spans="1:8" x14ac:dyDescent="0.3">
      <c r="A719" t="s">
        <v>681</v>
      </c>
      <c r="B719" s="3">
        <f t="shared" si="9"/>
        <v>43313</v>
      </c>
      <c r="C719" s="2" t="str">
        <f>VLOOKUP(MONTH(Tabela1[[#This Row],[Periodo]]),NUMMESES,2,FALSE)</f>
        <v>Agosto</v>
      </c>
      <c r="D719" s="2">
        <f>YEAR(Tabela1[[#This Row],[Periodo]])</f>
        <v>2018</v>
      </c>
      <c r="E719" s="33">
        <f>(INDEX(TBBP[],MATCH("2",planoContas,0)+1,MATCH(Tabela1[[#This Row],[Periodo]],listaPeriodos,0))/INDEX(TBBP[],MATCH("2.9",planoContas,0)+1,MATCH(Tabela1[[#This Row],[Periodo]],listaPeriodos,0)))-1</f>
        <v>0.4106860619180932</v>
      </c>
      <c r="F719" s="33"/>
      <c r="G719" s="228"/>
      <c r="H719" s="33"/>
    </row>
    <row r="720" spans="1:8" x14ac:dyDescent="0.3">
      <c r="A720" t="s">
        <v>681</v>
      </c>
      <c r="B720" s="3">
        <f t="shared" si="9"/>
        <v>43344</v>
      </c>
      <c r="C720" s="2" t="str">
        <f>VLOOKUP(MONTH(Tabela1[[#This Row],[Periodo]]),NUMMESES,2,FALSE)</f>
        <v>Setembro</v>
      </c>
      <c r="D720" s="2">
        <f>YEAR(Tabela1[[#This Row],[Periodo]])</f>
        <v>2018</v>
      </c>
      <c r="E720" s="33">
        <f>(INDEX(TBBP[],MATCH("2",planoContas,0)+1,MATCH(Tabela1[[#This Row],[Periodo]],listaPeriodos,0))/INDEX(TBBP[],MATCH("2.9",planoContas,0)+1,MATCH(Tabela1[[#This Row],[Periodo]],listaPeriodos,0)))-1</f>
        <v>0.44301434351011104</v>
      </c>
      <c r="F720" s="33"/>
      <c r="G720" s="228"/>
      <c r="H720" s="33"/>
    </row>
    <row r="721" spans="1:8" x14ac:dyDescent="0.3">
      <c r="A721" t="s">
        <v>681</v>
      </c>
      <c r="B721" s="3">
        <f t="shared" si="9"/>
        <v>43374</v>
      </c>
      <c r="C721" s="2" t="str">
        <f>VLOOKUP(MONTH(Tabela1[[#This Row],[Periodo]]),NUMMESES,2,FALSE)</f>
        <v>Outubro</v>
      </c>
      <c r="D721" s="2">
        <f>YEAR(Tabela1[[#This Row],[Periodo]])</f>
        <v>2018</v>
      </c>
      <c r="E721" s="33">
        <f>(INDEX(TBBP[],MATCH("2",planoContas,0)+1,MATCH(Tabela1[[#This Row],[Periodo]],listaPeriodos,0))/INDEX(TBBP[],MATCH("2.9",planoContas,0)+1,MATCH(Tabela1[[#This Row],[Periodo]],listaPeriodos,0)))-1</f>
        <v>0.40928320066274648</v>
      </c>
      <c r="F721" s="33"/>
      <c r="G721" s="228"/>
      <c r="H721" s="33"/>
    </row>
    <row r="722" spans="1:8" x14ac:dyDescent="0.3">
      <c r="A722" t="s">
        <v>681</v>
      </c>
      <c r="B722" s="3">
        <f t="shared" si="9"/>
        <v>43405</v>
      </c>
      <c r="C722" s="2" t="str">
        <f>VLOOKUP(MONTH(Tabela1[[#This Row],[Periodo]]),NUMMESES,2,FALSE)</f>
        <v>Novembro</v>
      </c>
      <c r="D722" s="2">
        <f>YEAR(Tabela1[[#This Row],[Periodo]])</f>
        <v>2018</v>
      </c>
      <c r="E722" s="33">
        <f>(INDEX(TBBP[],MATCH("2",planoContas,0)+1,MATCH(Tabela1[[#This Row],[Periodo]],listaPeriodos,0))/INDEX(TBBP[],MATCH("2.9",planoContas,0)+1,MATCH(Tabela1[[#This Row],[Periodo]],listaPeriodos,0)))-1</f>
        <v>0.3596524664697085</v>
      </c>
      <c r="F722" s="33"/>
      <c r="G722" s="228"/>
      <c r="H722" s="33"/>
    </row>
    <row r="723" spans="1:8" x14ac:dyDescent="0.3">
      <c r="A723" t="s">
        <v>681</v>
      </c>
      <c r="B723" s="3">
        <f t="shared" si="9"/>
        <v>43435</v>
      </c>
      <c r="C723" s="2" t="str">
        <f>VLOOKUP(MONTH(Tabela1[[#This Row],[Periodo]]),NUMMESES,2,FALSE)</f>
        <v>Dezembro</v>
      </c>
      <c r="D723" s="2">
        <f>YEAR(Tabela1[[#This Row],[Periodo]])</f>
        <v>2018</v>
      </c>
      <c r="E723" s="33">
        <f>(INDEX(TBBP[],MATCH("2",planoContas,0)+1,MATCH(Tabela1[[#This Row],[Periodo]],listaPeriodos,0))/INDEX(TBBP[],MATCH("2.9",planoContas,0)+1,MATCH(Tabela1[[#This Row],[Periodo]],listaPeriodos,0)))-1</f>
        <v>0.33903128207877442</v>
      </c>
      <c r="F723" s="33"/>
      <c r="G723" s="228"/>
      <c r="H723" s="33"/>
    </row>
    <row r="724" spans="1:8" x14ac:dyDescent="0.3">
      <c r="A724" t="s">
        <v>681</v>
      </c>
      <c r="B724" s="3">
        <f t="shared" si="9"/>
        <v>43466</v>
      </c>
      <c r="C724" s="2" t="str">
        <f>VLOOKUP(MONTH(Tabela1[[#This Row],[Periodo]]),NUMMESES,2,FALSE)</f>
        <v>Janeiro</v>
      </c>
      <c r="D724" s="2">
        <f>YEAR(Tabela1[[#This Row],[Periodo]])</f>
        <v>2019</v>
      </c>
      <c r="E724" s="33">
        <f>(INDEX(TBBP[],MATCH("2",planoContas,0)+1,MATCH(Tabela1[[#This Row],[Periodo]],listaPeriodos,0))/INDEX(TBBP[],MATCH("2.9",planoContas,0)+1,MATCH(Tabela1[[#This Row],[Periodo]],listaPeriodos,0)))-1</f>
        <v>0.37167846150611283</v>
      </c>
      <c r="F724" s="33"/>
      <c r="G724" s="228"/>
      <c r="H724" s="33"/>
    </row>
    <row r="725" spans="1:8" x14ac:dyDescent="0.3">
      <c r="A725" t="s">
        <v>681</v>
      </c>
      <c r="B725" s="3">
        <f t="shared" si="9"/>
        <v>43497</v>
      </c>
      <c r="C725" s="2" t="str">
        <f>VLOOKUP(MONTH(Tabela1[[#This Row],[Periodo]]),NUMMESES,2,FALSE)</f>
        <v>Fevereiro</v>
      </c>
      <c r="D725" s="2">
        <f>YEAR(Tabela1[[#This Row],[Periodo]])</f>
        <v>2019</v>
      </c>
      <c r="E725" s="33">
        <f>(INDEX(TBBP[],MATCH("2",planoContas,0)+1,MATCH(Tabela1[[#This Row],[Periodo]],listaPeriodos,0))/INDEX(TBBP[],MATCH("2.9",planoContas,0)+1,MATCH(Tabela1[[#This Row],[Periodo]],listaPeriodos,0)))-1</f>
        <v>0.35210352747413243</v>
      </c>
      <c r="F725" s="33"/>
      <c r="G725" s="228"/>
      <c r="H725" s="33"/>
    </row>
    <row r="726" spans="1:8" x14ac:dyDescent="0.3">
      <c r="A726" t="s">
        <v>681</v>
      </c>
      <c r="B726" s="3">
        <f t="shared" si="9"/>
        <v>43525</v>
      </c>
      <c r="C726" s="2" t="str">
        <f>VLOOKUP(MONTH(Tabela1[[#This Row],[Periodo]]),NUMMESES,2,FALSE)</f>
        <v>Março</v>
      </c>
      <c r="D726" s="2">
        <f>YEAR(Tabela1[[#This Row],[Periodo]])</f>
        <v>2019</v>
      </c>
      <c r="E726" s="33">
        <f>(INDEX(TBBP[],MATCH("2",planoContas,0)+1,MATCH(Tabela1[[#This Row],[Periodo]],listaPeriodos,0))/INDEX(TBBP[],MATCH("2.9",planoContas,0)+1,MATCH(Tabela1[[#This Row],[Periodo]],listaPeriodos,0)))-1</f>
        <v>0.38111522924907848</v>
      </c>
      <c r="F726" s="33"/>
      <c r="G726" s="228"/>
      <c r="H726" s="33"/>
    </row>
    <row r="727" spans="1:8" x14ac:dyDescent="0.3">
      <c r="A727" t="s">
        <v>681</v>
      </c>
      <c r="B727" s="3">
        <f t="shared" si="9"/>
        <v>43556</v>
      </c>
      <c r="C727" s="2" t="str">
        <f>VLOOKUP(MONTH(Tabela1[[#This Row],[Periodo]]),NUMMESES,2,FALSE)</f>
        <v>Abril</v>
      </c>
      <c r="D727" s="2">
        <f>YEAR(Tabela1[[#This Row],[Periodo]])</f>
        <v>2019</v>
      </c>
      <c r="E727" s="33">
        <f>(INDEX(TBBP[],MATCH("2",planoContas,0)+1,MATCH(Tabela1[[#This Row],[Periodo]],listaPeriodos,0))/INDEX(TBBP[],MATCH("2.9",planoContas,0)+1,MATCH(Tabela1[[#This Row],[Periodo]],listaPeriodos,0)))-1</f>
        <v>0.34079881705630322</v>
      </c>
      <c r="F727" s="33"/>
      <c r="G727" s="228"/>
      <c r="H727" s="33"/>
    </row>
    <row r="728" spans="1:8" x14ac:dyDescent="0.3">
      <c r="A728" t="s">
        <v>681</v>
      </c>
      <c r="B728" s="3">
        <f t="shared" si="9"/>
        <v>43586</v>
      </c>
      <c r="C728" s="2" t="str">
        <f>VLOOKUP(MONTH(Tabela1[[#This Row],[Periodo]]),NUMMESES,2,FALSE)</f>
        <v>Maio</v>
      </c>
      <c r="D728" s="2">
        <f>YEAR(Tabela1[[#This Row],[Periodo]])</f>
        <v>2019</v>
      </c>
      <c r="E728" s="33">
        <f>(INDEX(TBBP[],MATCH("2",planoContas,0)+1,MATCH(Tabela1[[#This Row],[Periodo]],listaPeriodos,0))/INDEX(TBBP[],MATCH("2.9",planoContas,0)+1,MATCH(Tabela1[[#This Row],[Periodo]],listaPeriodos,0)))-1</f>
        <v>0.35600106881799776</v>
      </c>
      <c r="F728" s="33"/>
      <c r="G728" s="228"/>
      <c r="H728" s="33"/>
    </row>
    <row r="729" spans="1:8" x14ac:dyDescent="0.3">
      <c r="A729" t="s">
        <v>681</v>
      </c>
      <c r="B729" s="3">
        <f t="shared" si="9"/>
        <v>43617</v>
      </c>
      <c r="C729" s="2" t="str">
        <f>VLOOKUP(MONTH(Tabela1[[#This Row],[Periodo]]),NUMMESES,2,FALSE)</f>
        <v>Junho</v>
      </c>
      <c r="D729" s="2">
        <f>YEAR(Tabela1[[#This Row],[Periodo]])</f>
        <v>2019</v>
      </c>
      <c r="E729" s="33">
        <f>(INDEX(TBBP[],MATCH("2",planoContas,0)+1,MATCH(Tabela1[[#This Row],[Periodo]],listaPeriodos,0))/INDEX(TBBP[],MATCH("2.9",planoContas,0)+1,MATCH(Tabela1[[#This Row],[Periodo]],listaPeriodos,0)))-1</f>
        <v>0.38086261935947952</v>
      </c>
      <c r="F729" s="33"/>
      <c r="G729" s="228"/>
      <c r="H729" s="33"/>
    </row>
    <row r="730" spans="1:8" x14ac:dyDescent="0.3">
      <c r="A730" t="s">
        <v>681</v>
      </c>
      <c r="B730" s="3">
        <f t="shared" si="9"/>
        <v>43647</v>
      </c>
      <c r="C730" s="2" t="str">
        <f>VLOOKUP(MONTH(Tabela1[[#This Row],[Periodo]]),NUMMESES,2,FALSE)</f>
        <v>Julho</v>
      </c>
      <c r="D730" s="2">
        <f>YEAR(Tabela1[[#This Row],[Periodo]])</f>
        <v>2019</v>
      </c>
      <c r="E730" s="33">
        <f>(INDEX(TBBP[],MATCH("2",planoContas,0)+1,MATCH(Tabela1[[#This Row],[Periodo]],listaPeriodos,0))/INDEX(TBBP[],MATCH("2.9",planoContas,0)+1,MATCH(Tabela1[[#This Row],[Periodo]],listaPeriodos,0)))-1</f>
        <v>0.3673761117890213</v>
      </c>
      <c r="F730" s="33"/>
      <c r="G730" s="228"/>
      <c r="H730" s="33"/>
    </row>
    <row r="731" spans="1:8" x14ac:dyDescent="0.3">
      <c r="A731" t="s">
        <v>681</v>
      </c>
      <c r="B731" s="3">
        <f t="shared" si="9"/>
        <v>43678</v>
      </c>
      <c r="C731" s="2" t="str">
        <f>VLOOKUP(MONTH(Tabela1[[#This Row],[Periodo]]),NUMMESES,2,FALSE)</f>
        <v>Agosto</v>
      </c>
      <c r="D731" s="2">
        <f>YEAR(Tabela1[[#This Row],[Periodo]])</f>
        <v>2019</v>
      </c>
      <c r="E731" s="33">
        <f>(INDEX(TBBP[],MATCH("2",planoContas,0)+1,MATCH(Tabela1[[#This Row],[Periodo]],listaPeriodos,0))/INDEX(TBBP[],MATCH("2.9",planoContas,0)+1,MATCH(Tabela1[[#This Row],[Periodo]],listaPeriodos,0)))-1</f>
        <v>0.32902477035509481</v>
      </c>
      <c r="F731" s="33"/>
      <c r="G731" s="228"/>
      <c r="H731" s="33"/>
    </row>
    <row r="732" spans="1:8" x14ac:dyDescent="0.3">
      <c r="A732" t="s">
        <v>681</v>
      </c>
      <c r="B732" s="3">
        <f t="shared" si="9"/>
        <v>43709</v>
      </c>
      <c r="C732" s="2" t="str">
        <f>VLOOKUP(MONTH(Tabela1[[#This Row],[Periodo]]),NUMMESES,2,FALSE)</f>
        <v>Setembro</v>
      </c>
      <c r="D732" s="2">
        <f>YEAR(Tabela1[[#This Row],[Periodo]])</f>
        <v>2019</v>
      </c>
      <c r="E732" s="33">
        <f>(INDEX(TBBP[],MATCH("2",planoContas,0)+1,MATCH(Tabela1[[#This Row],[Periodo]],listaPeriodos,0))/INDEX(TBBP[],MATCH("2.9",planoContas,0)+1,MATCH(Tabela1[[#This Row],[Periodo]],listaPeriodos,0)))-1</f>
        <v>0.34648996226862949</v>
      </c>
      <c r="F732" s="33"/>
      <c r="G732" s="228"/>
      <c r="H732" s="33"/>
    </row>
    <row r="733" spans="1:8" x14ac:dyDescent="0.3">
      <c r="A733" t="s">
        <v>681</v>
      </c>
      <c r="B733" s="3">
        <f t="shared" si="9"/>
        <v>43739</v>
      </c>
      <c r="C733" s="2" t="str">
        <f>VLOOKUP(MONTH(Tabela1[[#This Row],[Periodo]]),NUMMESES,2,FALSE)</f>
        <v>Outubro</v>
      </c>
      <c r="D733" s="2">
        <f>YEAR(Tabela1[[#This Row],[Periodo]])</f>
        <v>2019</v>
      </c>
      <c r="E733" s="33">
        <f>(INDEX(TBBP[],MATCH("2",planoContas,0)+1,MATCH(Tabela1[[#This Row],[Periodo]],listaPeriodos,0))/INDEX(TBBP[],MATCH("2.9",planoContas,0)+1,MATCH(Tabela1[[#This Row],[Periodo]],listaPeriodos,0)))-1</f>
        <v>0.25052575480900696</v>
      </c>
      <c r="F733" s="33"/>
      <c r="G733" s="228"/>
      <c r="H733" s="33"/>
    </row>
    <row r="734" spans="1:8" x14ac:dyDescent="0.3">
      <c r="A734" t="s">
        <v>681</v>
      </c>
      <c r="B734" s="3">
        <f t="shared" si="9"/>
        <v>43770</v>
      </c>
      <c r="C734" s="2" t="str">
        <f>VLOOKUP(MONTH(Tabela1[[#This Row],[Periodo]]),NUMMESES,2,FALSE)</f>
        <v>Novembro</v>
      </c>
      <c r="D734" s="2">
        <f>YEAR(Tabela1[[#This Row],[Periodo]])</f>
        <v>2019</v>
      </c>
      <c r="E734" s="33">
        <f>(INDEX(TBBP[],MATCH("2",planoContas,0)+1,MATCH(Tabela1[[#This Row],[Periodo]],listaPeriodos,0))/INDEX(TBBP[],MATCH("2.9",planoContas,0)+1,MATCH(Tabela1[[#This Row],[Periodo]],listaPeriodos,0)))-1</f>
        <v>0.26910215395476755</v>
      </c>
      <c r="F734" s="33"/>
      <c r="G734" s="228"/>
      <c r="H734" s="33"/>
    </row>
    <row r="735" spans="1:8" x14ac:dyDescent="0.3">
      <c r="A735" t="s">
        <v>681</v>
      </c>
      <c r="B735" s="3">
        <f t="shared" si="9"/>
        <v>43800</v>
      </c>
      <c r="C735" s="2" t="str">
        <f>VLOOKUP(MONTH(Tabela1[[#This Row],[Periodo]]),NUMMESES,2,FALSE)</f>
        <v>Dezembro</v>
      </c>
      <c r="D735" s="2">
        <f>YEAR(Tabela1[[#This Row],[Periodo]])</f>
        <v>2019</v>
      </c>
      <c r="E735" s="33">
        <f>(INDEX(TBBP[],MATCH("2",planoContas,0)+1,MATCH(Tabela1[[#This Row],[Periodo]],listaPeriodos,0))/INDEX(TBBP[],MATCH("2.9",planoContas,0)+1,MATCH(Tabela1[[#This Row],[Periodo]],listaPeriodos,0)))-1</f>
        <v>0.23034722526749496</v>
      </c>
      <c r="F735" s="33"/>
      <c r="G735" s="228"/>
      <c r="H735" s="33"/>
    </row>
    <row r="736" spans="1:8" x14ac:dyDescent="0.3">
      <c r="A736" t="s">
        <v>681</v>
      </c>
      <c r="B736" s="3">
        <f t="shared" si="9"/>
        <v>43831</v>
      </c>
      <c r="C736" s="2" t="str">
        <f>VLOOKUP(MONTH(Tabela1[[#This Row],[Periodo]]),NUMMESES,2,FALSE)</f>
        <v>Janeiro</v>
      </c>
      <c r="D736" s="2">
        <f>YEAR(Tabela1[[#This Row],[Periodo]])</f>
        <v>2020</v>
      </c>
      <c r="E736" s="33">
        <f>(INDEX(TBBP[],MATCH("2",planoContas,0)+1,MATCH(Tabela1[[#This Row],[Periodo]],listaPeriodos,0))/INDEX(TBBP[],MATCH("2.9",planoContas,0)+1,MATCH(Tabela1[[#This Row],[Periodo]],listaPeriodos,0)))-1</f>
        <v>0.23117961010441657</v>
      </c>
      <c r="F736" s="33"/>
      <c r="G736" s="228"/>
      <c r="H736" s="33"/>
    </row>
    <row r="737" spans="1:8" x14ac:dyDescent="0.3">
      <c r="A737" t="s">
        <v>681</v>
      </c>
      <c r="B737" s="3">
        <f t="shared" si="9"/>
        <v>43862</v>
      </c>
      <c r="C737" s="2" t="str">
        <f>VLOOKUP(MONTH(Tabela1[[#This Row],[Periodo]]),NUMMESES,2,FALSE)</f>
        <v>Fevereiro</v>
      </c>
      <c r="D737" s="2">
        <f>YEAR(Tabela1[[#This Row],[Periodo]])</f>
        <v>2020</v>
      </c>
      <c r="E737" s="33">
        <f>(INDEX(TBBP[],MATCH("2",planoContas,0)+1,MATCH(Tabela1[[#This Row],[Periodo]],listaPeriodos,0))/INDEX(TBBP[],MATCH("2.9",planoContas,0)+1,MATCH(Tabela1[[#This Row],[Periodo]],listaPeriodos,0)))-1</f>
        <v>0.30525718814428981</v>
      </c>
      <c r="F737" s="33"/>
      <c r="G737" s="228"/>
      <c r="H737" s="33"/>
    </row>
    <row r="738" spans="1:8" x14ac:dyDescent="0.3">
      <c r="A738" t="s">
        <v>681</v>
      </c>
      <c r="B738" s="3">
        <f t="shared" si="9"/>
        <v>43891</v>
      </c>
      <c r="C738" s="2" t="str">
        <f>VLOOKUP(MONTH(Tabela1[[#This Row],[Periodo]]),NUMMESES,2,FALSE)</f>
        <v>Março</v>
      </c>
      <c r="D738" s="2">
        <f>YEAR(Tabela1[[#This Row],[Periodo]])</f>
        <v>2020</v>
      </c>
      <c r="E738" s="33">
        <f>(INDEX(TBBP[],MATCH("2",planoContas,0)+1,MATCH(Tabela1[[#This Row],[Periodo]],listaPeriodos,0))/INDEX(TBBP[],MATCH("2.9",planoContas,0)+1,MATCH(Tabela1[[#This Row],[Periodo]],listaPeriodos,0)))-1</f>
        <v>0.27376561672245536</v>
      </c>
      <c r="F738" s="33"/>
      <c r="G738" s="228"/>
      <c r="H738" s="33"/>
    </row>
    <row r="739" spans="1:8" x14ac:dyDescent="0.3">
      <c r="A739" t="s">
        <v>681</v>
      </c>
      <c r="B739" s="3">
        <f t="shared" si="9"/>
        <v>43922</v>
      </c>
      <c r="C739" s="2" t="str">
        <f>VLOOKUP(MONTH(Tabela1[[#This Row],[Periodo]]),NUMMESES,2,FALSE)</f>
        <v>Abril</v>
      </c>
      <c r="D739" s="2">
        <f>YEAR(Tabela1[[#This Row],[Periodo]])</f>
        <v>2020</v>
      </c>
      <c r="E739" s="33">
        <f>(INDEX(TBBP[],MATCH("2",planoContas,0)+1,MATCH(Tabela1[[#This Row],[Periodo]],listaPeriodos,0))/INDEX(TBBP[],MATCH("2.9",planoContas,0)+1,MATCH(Tabela1[[#This Row],[Periodo]],listaPeriodos,0)))-1</f>
        <v>0.23525433059322132</v>
      </c>
      <c r="F739" s="33"/>
      <c r="G739" s="228"/>
      <c r="H739" s="33"/>
    </row>
    <row r="740" spans="1:8" x14ac:dyDescent="0.3">
      <c r="A740" t="s">
        <v>681</v>
      </c>
      <c r="B740" s="3">
        <f t="shared" si="9"/>
        <v>43952</v>
      </c>
      <c r="C740" s="2" t="str">
        <f>VLOOKUP(MONTH(Tabela1[[#This Row],[Periodo]]),NUMMESES,2,FALSE)</f>
        <v>Maio</v>
      </c>
      <c r="D740" s="2">
        <f>YEAR(Tabela1[[#This Row],[Periodo]])</f>
        <v>2020</v>
      </c>
      <c r="E740" s="33">
        <f>(INDEX(TBBP[],MATCH("2",planoContas,0)+1,MATCH(Tabela1[[#This Row],[Periodo]],listaPeriodos,0))/INDEX(TBBP[],MATCH("2.9",planoContas,0)+1,MATCH(Tabela1[[#This Row],[Periodo]],listaPeriodos,0)))-1</f>
        <v>0.26266497394392241</v>
      </c>
      <c r="F740" s="33"/>
      <c r="G740" s="228"/>
      <c r="H740" s="33"/>
    </row>
    <row r="741" spans="1:8" x14ac:dyDescent="0.3">
      <c r="A741" t="s">
        <v>681</v>
      </c>
      <c r="B741" s="3">
        <f t="shared" si="9"/>
        <v>43983</v>
      </c>
      <c r="C741" s="2" t="str">
        <f>VLOOKUP(MONTH(Tabela1[[#This Row],[Periodo]]),NUMMESES,2,FALSE)</f>
        <v>Junho</v>
      </c>
      <c r="D741" s="2">
        <f>YEAR(Tabela1[[#This Row],[Periodo]])</f>
        <v>2020</v>
      </c>
      <c r="E741" s="33">
        <f>(INDEX(TBBP[],MATCH("2",planoContas,0)+1,MATCH(Tabela1[[#This Row],[Periodo]],listaPeriodos,0))/INDEX(TBBP[],MATCH("2.9",planoContas,0)+1,MATCH(Tabela1[[#This Row],[Periodo]],listaPeriodos,0)))-1</f>
        <v>0.25426500016355824</v>
      </c>
      <c r="F741" s="33"/>
      <c r="G741" s="228"/>
      <c r="H741" s="33"/>
    </row>
    <row r="742" spans="1:8" x14ac:dyDescent="0.3">
      <c r="A742" t="s">
        <v>681</v>
      </c>
      <c r="B742" s="3">
        <f t="shared" si="9"/>
        <v>44013</v>
      </c>
      <c r="C742" s="2" t="str">
        <f>VLOOKUP(MONTH(Tabela1[[#This Row],[Periodo]]),NUMMESES,2,FALSE)</f>
        <v>Julho</v>
      </c>
      <c r="D742" s="2">
        <f>YEAR(Tabela1[[#This Row],[Periodo]])</f>
        <v>2020</v>
      </c>
      <c r="E742" s="33">
        <f>(INDEX(TBBP[],MATCH("2",planoContas,0)+1,MATCH(Tabela1[[#This Row],[Periodo]],listaPeriodos,0))/INDEX(TBBP[],MATCH("2.9",planoContas,0)+1,MATCH(Tabela1[[#This Row],[Periodo]],listaPeriodos,0)))-1</f>
        <v>0.24100553899832677</v>
      </c>
      <c r="F742" s="33"/>
      <c r="G742" s="228"/>
      <c r="H742" s="33"/>
    </row>
    <row r="743" spans="1:8" x14ac:dyDescent="0.3">
      <c r="A743" t="s">
        <v>681</v>
      </c>
      <c r="B743" s="3">
        <f t="shared" si="9"/>
        <v>44044</v>
      </c>
      <c r="C743" s="2" t="str">
        <f>VLOOKUP(MONTH(Tabela1[[#This Row],[Periodo]]),NUMMESES,2,FALSE)</f>
        <v>Agosto</v>
      </c>
      <c r="D743" s="2">
        <f>YEAR(Tabela1[[#This Row],[Periodo]])</f>
        <v>2020</v>
      </c>
      <c r="E743" s="33">
        <f>(INDEX(TBBP[],MATCH("2",planoContas,0)+1,MATCH(Tabela1[[#This Row],[Periodo]],listaPeriodos,0))/INDEX(TBBP[],MATCH("2.9",planoContas,0)+1,MATCH(Tabela1[[#This Row],[Periodo]],listaPeriodos,0)))-1</f>
        <v>0.29872604265785618</v>
      </c>
      <c r="F743" s="33"/>
      <c r="G743" s="228"/>
      <c r="H743" s="33"/>
    </row>
    <row r="744" spans="1:8" x14ac:dyDescent="0.3">
      <c r="A744" t="s">
        <v>681</v>
      </c>
      <c r="B744" s="3">
        <f>DATE(YEAR(B743),MONTH(B743)+1,DAY(B743))</f>
        <v>44075</v>
      </c>
      <c r="C744" s="2" t="str">
        <f>VLOOKUP(MONTH(Tabela1[[#This Row],[Periodo]]),NUMMESES,2,FALSE)</f>
        <v>Setembro</v>
      </c>
      <c r="D744" s="2">
        <f>YEAR(Tabela1[[#This Row],[Periodo]])</f>
        <v>2020</v>
      </c>
      <c r="E744" s="33">
        <f>(INDEX(TBBP[],MATCH("2",planoContas,0)+1,MATCH(Tabela1[[#This Row],[Periodo]],listaPeriodos,0))/INDEX(TBBP[],MATCH("2.9",planoContas,0)+1,MATCH(Tabela1[[#This Row],[Periodo]],listaPeriodos,0)))-1</f>
        <v>0.29328534764657843</v>
      </c>
      <c r="F744" s="33"/>
      <c r="G744" s="228"/>
      <c r="H744" s="33"/>
    </row>
    <row r="745" spans="1:8" x14ac:dyDescent="0.3">
      <c r="A745" t="s">
        <v>681</v>
      </c>
      <c r="B745" s="3">
        <f t="shared" si="9"/>
        <v>44105</v>
      </c>
      <c r="C745" s="2" t="str">
        <f>VLOOKUP(MONTH(Tabela1[[#This Row],[Periodo]]),NUMMESES,2,FALSE)</f>
        <v>Outubro</v>
      </c>
      <c r="D745" s="2">
        <f>YEAR(Tabela1[[#This Row],[Periodo]])</f>
        <v>2020</v>
      </c>
      <c r="E745" s="33">
        <f>(INDEX(TBBP[],MATCH("2",planoContas,0)+1,MATCH(Tabela1[[#This Row],[Periodo]],listaPeriodos,0))/INDEX(TBBP[],MATCH("2.9",planoContas,0)+1,MATCH(Tabela1[[#This Row],[Periodo]],listaPeriodos,0)))-1</f>
        <v>0.24364422688353748</v>
      </c>
      <c r="F745" s="33"/>
      <c r="G745" s="228"/>
      <c r="H745" s="33"/>
    </row>
    <row r="746" spans="1:8" x14ac:dyDescent="0.3">
      <c r="A746" t="s">
        <v>681</v>
      </c>
      <c r="B746" s="3">
        <f t="shared" si="9"/>
        <v>44136</v>
      </c>
      <c r="C746" s="2" t="str">
        <f>VLOOKUP(MONTH(Tabela1[[#This Row],[Periodo]]),NUMMESES,2,FALSE)</f>
        <v>Novembro</v>
      </c>
      <c r="D746" s="2">
        <f>YEAR(Tabela1[[#This Row],[Periodo]])</f>
        <v>2020</v>
      </c>
      <c r="E746" s="33">
        <f>(INDEX(TBBP[],MATCH("2",planoContas,0)+1,MATCH(Tabela1[[#This Row],[Periodo]],listaPeriodos,0))/INDEX(TBBP[],MATCH("2.9",planoContas,0)+1,MATCH(Tabela1[[#This Row],[Periodo]],listaPeriodos,0)))-1</f>
        <v>0.27250759517196999</v>
      </c>
      <c r="F746" s="33"/>
      <c r="G746" s="228"/>
      <c r="H746" s="33"/>
    </row>
    <row r="747" spans="1:8" x14ac:dyDescent="0.3">
      <c r="A747" t="s">
        <v>681</v>
      </c>
      <c r="B747" s="3">
        <f t="shared" si="9"/>
        <v>44166</v>
      </c>
      <c r="C747" s="2" t="str">
        <f>VLOOKUP(MONTH(Tabela1[[#This Row],[Periodo]]),NUMMESES,2,FALSE)</f>
        <v>Dezembro</v>
      </c>
      <c r="D747" s="2">
        <f>YEAR(Tabela1[[#This Row],[Periodo]])</f>
        <v>2020</v>
      </c>
      <c r="E747" s="33">
        <f>(INDEX(TBBP[],MATCH("2",planoContas,0)+1,MATCH(Tabela1[[#This Row],[Periodo]],listaPeriodos,0))/INDEX(TBBP[],MATCH("2.9",planoContas,0)+1,MATCH(Tabela1[[#This Row],[Periodo]],listaPeriodos,0)))-1</f>
        <v>0.31849393546807381</v>
      </c>
      <c r="F747" s="33"/>
      <c r="G747" s="228"/>
      <c r="H747" s="33"/>
    </row>
    <row r="748" spans="1:8" x14ac:dyDescent="0.3">
      <c r="A748" t="s">
        <v>681</v>
      </c>
      <c r="B748" s="3">
        <f t="shared" si="9"/>
        <v>44197</v>
      </c>
      <c r="C748" s="2" t="str">
        <f>VLOOKUP(MONTH(Tabela1[[#This Row],[Periodo]]),NUMMESES,2,FALSE)</f>
        <v>Janeiro</v>
      </c>
      <c r="D748" s="2">
        <f>YEAR(Tabela1[[#This Row],[Periodo]])</f>
        <v>2021</v>
      </c>
      <c r="E748" s="33">
        <f>(INDEX(TBBP[],MATCH("2",planoContas,0)+1,MATCH(Tabela1[[#This Row],[Periodo]],listaPeriodos,0))/INDEX(TBBP[],MATCH("2.9",planoContas,0)+1,MATCH(Tabela1[[#This Row],[Periodo]],listaPeriodos,0)))-1</f>
        <v>0.29352270070711839</v>
      </c>
      <c r="F748" s="33"/>
      <c r="G748" s="228"/>
      <c r="H748" s="33"/>
    </row>
    <row r="749" spans="1:8" x14ac:dyDescent="0.3">
      <c r="A749" t="s">
        <v>681</v>
      </c>
      <c r="B749" s="3">
        <f t="shared" si="9"/>
        <v>44228</v>
      </c>
      <c r="C749" s="2" t="str">
        <f>VLOOKUP(MONTH(Tabela1[[#This Row],[Periodo]]),NUMMESES,2,FALSE)</f>
        <v>Fevereiro</v>
      </c>
      <c r="D749" s="2">
        <f>YEAR(Tabela1[[#This Row],[Periodo]])</f>
        <v>2021</v>
      </c>
      <c r="E749" s="33">
        <f>(INDEX(TBBP[],MATCH("2",planoContas,0)+1,MATCH(Tabela1[[#This Row],[Periodo]],listaPeriodos,0))/INDEX(TBBP[],MATCH("2.9",planoContas,0)+1,MATCH(Tabela1[[#This Row],[Periodo]],listaPeriodos,0)))-1</f>
        <v>0.36881091639529551</v>
      </c>
      <c r="F749" s="33"/>
      <c r="G749" s="228"/>
      <c r="H749" s="33"/>
    </row>
    <row r="750" spans="1:8" x14ac:dyDescent="0.3">
      <c r="A750" t="s">
        <v>681</v>
      </c>
      <c r="B750" s="3">
        <f t="shared" si="9"/>
        <v>44256</v>
      </c>
      <c r="C750" s="2" t="str">
        <f>VLOOKUP(MONTH(Tabela1[[#This Row],[Periodo]]),NUMMESES,2,FALSE)</f>
        <v>Março</v>
      </c>
      <c r="D750" s="2">
        <f>YEAR(Tabela1[[#This Row],[Periodo]])</f>
        <v>2021</v>
      </c>
      <c r="E750" s="33">
        <f>(INDEX(TBBP[],MATCH("2",planoContas,0)+1,MATCH(Tabela1[[#This Row],[Periodo]],listaPeriodos,0))/INDEX(TBBP[],MATCH("2.9",planoContas,0)+1,MATCH(Tabela1[[#This Row],[Periodo]],listaPeriodos,0)))-1</f>
        <v>0.38417647553194567</v>
      </c>
      <c r="F750" s="33"/>
      <c r="G750" s="228"/>
      <c r="H750" s="33"/>
    </row>
    <row r="751" spans="1:8" x14ac:dyDescent="0.3">
      <c r="A751" t="s">
        <v>681</v>
      </c>
      <c r="B751" s="3">
        <f t="shared" si="9"/>
        <v>44287</v>
      </c>
      <c r="C751" s="2" t="str">
        <f>VLOOKUP(MONTH(Tabela1[[#This Row],[Periodo]]),NUMMESES,2,FALSE)</f>
        <v>Abril</v>
      </c>
      <c r="D751" s="2">
        <f>YEAR(Tabela1[[#This Row],[Periodo]])</f>
        <v>2021</v>
      </c>
      <c r="E751" s="33">
        <f>(INDEX(TBBP[],MATCH("2",planoContas,0)+1,MATCH(Tabela1[[#This Row],[Periodo]],listaPeriodos,0))/INDEX(TBBP[],MATCH("2.9",planoContas,0)+1,MATCH(Tabela1[[#This Row],[Periodo]],listaPeriodos,0)))-1</f>
        <v>0.36365279288203589</v>
      </c>
      <c r="F751" s="33"/>
      <c r="G751" s="228"/>
      <c r="H751" s="33"/>
    </row>
    <row r="752" spans="1:8" x14ac:dyDescent="0.3">
      <c r="A752" t="s">
        <v>681</v>
      </c>
      <c r="B752" s="3">
        <f t="shared" si="9"/>
        <v>44317</v>
      </c>
      <c r="C752" s="2" t="str">
        <f>VLOOKUP(MONTH(Tabela1[[#This Row],[Periodo]]),NUMMESES,2,FALSE)</f>
        <v>Maio</v>
      </c>
      <c r="D752" s="2">
        <f>YEAR(Tabela1[[#This Row],[Periodo]])</f>
        <v>2021</v>
      </c>
      <c r="E752" s="33">
        <f>(INDEX(TBBP[],MATCH("2",planoContas,0)+1,MATCH(Tabela1[[#This Row],[Periodo]],listaPeriodos,0))/INDEX(TBBP[],MATCH("2.9",planoContas,0)+1,MATCH(Tabela1[[#This Row],[Periodo]],listaPeriodos,0)))-1</f>
        <v>0.35673532144598163</v>
      </c>
      <c r="F752" s="33"/>
      <c r="G752" s="228"/>
      <c r="H752" s="33"/>
    </row>
    <row r="753" spans="1:8" x14ac:dyDescent="0.3">
      <c r="A753" t="s">
        <v>681</v>
      </c>
      <c r="B753" s="3">
        <f t="shared" si="9"/>
        <v>44348</v>
      </c>
      <c r="C753" s="2" t="str">
        <f>VLOOKUP(MONTH(Tabela1[[#This Row],[Periodo]]),NUMMESES,2,FALSE)</f>
        <v>Junho</v>
      </c>
      <c r="D753" s="2">
        <f>YEAR(Tabela1[[#This Row],[Periodo]])</f>
        <v>2021</v>
      </c>
      <c r="E753" s="33">
        <f>(INDEX(TBBP[],MATCH("2",planoContas,0)+1,MATCH(Tabela1[[#This Row],[Periodo]],listaPeriodos,0))/INDEX(TBBP[],MATCH("2.9",planoContas,0)+1,MATCH(Tabela1[[#This Row],[Periodo]],listaPeriodos,0)))-1</f>
        <v>0.38459254882970662</v>
      </c>
      <c r="F753" s="33"/>
      <c r="G753" s="228"/>
      <c r="H753" s="33"/>
    </row>
    <row r="754" spans="1:8" x14ac:dyDescent="0.3">
      <c r="A754" t="s">
        <v>681</v>
      </c>
      <c r="B754" s="3">
        <f t="shared" si="9"/>
        <v>44378</v>
      </c>
      <c r="C754" s="2" t="str">
        <f>VLOOKUP(MONTH(Tabela1[[#This Row],[Periodo]]),NUMMESES,2,FALSE)</f>
        <v>Julho</v>
      </c>
      <c r="D754" s="2">
        <f>YEAR(Tabela1[[#This Row],[Periodo]])</f>
        <v>2021</v>
      </c>
      <c r="E754" s="33">
        <f>(INDEX(TBBP[],MATCH("2",planoContas,0)+1,MATCH(Tabela1[[#This Row],[Periodo]],listaPeriodos,0))/INDEX(TBBP[],MATCH("2.9",planoContas,0)+1,MATCH(Tabela1[[#This Row],[Periodo]],listaPeriodos,0)))-1</f>
        <v>0.34431703796706148</v>
      </c>
      <c r="F754" s="33"/>
      <c r="G754" s="228"/>
      <c r="H754" s="33"/>
    </row>
    <row r="755" spans="1:8" x14ac:dyDescent="0.3">
      <c r="A755" t="s">
        <v>681</v>
      </c>
      <c r="B755" s="3">
        <f t="shared" si="9"/>
        <v>44409</v>
      </c>
      <c r="C755" s="2" t="str">
        <f>VLOOKUP(MONTH(Tabela1[[#This Row],[Periodo]]),NUMMESES,2,FALSE)</f>
        <v>Agosto</v>
      </c>
      <c r="D755" s="2">
        <f>YEAR(Tabela1[[#This Row],[Periodo]])</f>
        <v>2021</v>
      </c>
      <c r="E755" s="33">
        <f>(INDEX(TBBP[],MATCH("2",planoContas,0)+1,MATCH(Tabela1[[#This Row],[Periodo]],listaPeriodos,0))/INDEX(TBBP[],MATCH("2.9",planoContas,0)+1,MATCH(Tabela1[[#This Row],[Periodo]],listaPeriodos,0)))-1</f>
        <v>0.30150973805784265</v>
      </c>
      <c r="F755" s="33"/>
      <c r="G755" s="228"/>
      <c r="H755" s="33"/>
    </row>
    <row r="756" spans="1:8" x14ac:dyDescent="0.3">
      <c r="A756" t="s">
        <v>681</v>
      </c>
      <c r="B756" s="3">
        <f t="shared" si="9"/>
        <v>44440</v>
      </c>
      <c r="C756" s="2" t="str">
        <f>VLOOKUP(MONTH(Tabela1[[#This Row],[Periodo]]),NUMMESES,2,FALSE)</f>
        <v>Setembro</v>
      </c>
      <c r="D756" s="2">
        <f>YEAR(Tabela1[[#This Row],[Periodo]])</f>
        <v>2021</v>
      </c>
      <c r="E756" s="33">
        <f>(INDEX(TBBP[],MATCH("2",planoContas,0)+1,MATCH(Tabela1[[#This Row],[Periodo]],listaPeriodos,0))/INDEX(TBBP[],MATCH("2.9",planoContas,0)+1,MATCH(Tabela1[[#This Row],[Periodo]],listaPeriodos,0)))-1</f>
        <v>0.28330031814194601</v>
      </c>
      <c r="F756" s="33"/>
      <c r="G756" s="228"/>
      <c r="H756" s="33"/>
    </row>
    <row r="757" spans="1:8" x14ac:dyDescent="0.3">
      <c r="A757" t="s">
        <v>681</v>
      </c>
      <c r="B757" s="3">
        <f t="shared" si="9"/>
        <v>44470</v>
      </c>
      <c r="C757" s="2" t="str">
        <f>VLOOKUP(MONTH(Tabela1[[#This Row],[Periodo]]),NUMMESES,2,FALSE)</f>
        <v>Outubro</v>
      </c>
      <c r="D757" s="2">
        <f>YEAR(Tabela1[[#This Row],[Periodo]])</f>
        <v>2021</v>
      </c>
      <c r="E757" s="33">
        <f>(INDEX(TBBP[],MATCH("2",planoContas,0)+1,MATCH(Tabela1[[#This Row],[Periodo]],listaPeriodos,0))/INDEX(TBBP[],MATCH("2.9",planoContas,0)+1,MATCH(Tabela1[[#This Row],[Periodo]],listaPeriodos,0)))-1</f>
        <v>0.2734789117378531</v>
      </c>
      <c r="F757" s="33"/>
      <c r="G757" s="228"/>
      <c r="H757" s="33"/>
    </row>
    <row r="758" spans="1:8" x14ac:dyDescent="0.3">
      <c r="A758" t="s">
        <v>681</v>
      </c>
      <c r="B758" s="3">
        <f t="shared" si="9"/>
        <v>44501</v>
      </c>
      <c r="C758" s="2" t="str">
        <f>VLOOKUP(MONTH(Tabela1[[#This Row],[Periodo]]),NUMMESES,2,FALSE)</f>
        <v>Novembro</v>
      </c>
      <c r="D758" s="2">
        <f>YEAR(Tabela1[[#This Row],[Periodo]])</f>
        <v>2021</v>
      </c>
      <c r="E758" s="33">
        <f>(INDEX(TBBP[],MATCH("2",planoContas,0)+1,MATCH(Tabela1[[#This Row],[Periodo]],listaPeriodos,0))/INDEX(TBBP[],MATCH("2.9",planoContas,0)+1,MATCH(Tabela1[[#This Row],[Periodo]],listaPeriodos,0)))-1</f>
        <v>0.25426687707094953</v>
      </c>
      <c r="F758" s="33"/>
      <c r="G758" s="228"/>
      <c r="H758" s="33"/>
    </row>
    <row r="759" spans="1:8" x14ac:dyDescent="0.3">
      <c r="A759" t="s">
        <v>681</v>
      </c>
      <c r="B759" s="3">
        <f t="shared" si="9"/>
        <v>44531</v>
      </c>
      <c r="C759" s="2" t="str">
        <f>VLOOKUP(MONTH(Tabela1[[#This Row],[Periodo]]),NUMMESES,2,FALSE)</f>
        <v>Dezembro</v>
      </c>
      <c r="D759" s="2">
        <f>YEAR(Tabela1[[#This Row],[Periodo]])</f>
        <v>2021</v>
      </c>
      <c r="E759" s="33">
        <f>(INDEX(TBBP[],MATCH("2",planoContas,0)+1,MATCH(Tabela1[[#This Row],[Periodo]],listaPeriodos,0))/INDEX(TBBP[],MATCH("2.9",planoContas,0)+1,MATCH(Tabela1[[#This Row],[Periodo]],listaPeriodos,0)))-1</f>
        <v>0.24687698371887623</v>
      </c>
      <c r="F759" s="33"/>
      <c r="G759" s="228"/>
      <c r="H759" s="33"/>
    </row>
    <row r="760" spans="1:8" x14ac:dyDescent="0.3">
      <c r="A760" t="s">
        <v>681</v>
      </c>
      <c r="B760" s="3">
        <f t="shared" si="9"/>
        <v>44562</v>
      </c>
      <c r="C760" s="2" t="str">
        <f>VLOOKUP(MONTH(Tabela1[[#This Row],[Periodo]]),NUMMESES,2,FALSE)</f>
        <v>Janeiro</v>
      </c>
      <c r="D760" s="2">
        <f>YEAR(Tabela1[[#This Row],[Periodo]])</f>
        <v>2022</v>
      </c>
      <c r="E760" s="33">
        <f>(INDEX(TBBP[],MATCH("2",planoContas,0)+1,MATCH(Tabela1[[#This Row],[Periodo]],listaPeriodos,0))/INDEX(TBBP[],MATCH("2.9",planoContas,0)+1,MATCH(Tabela1[[#This Row],[Periodo]],listaPeriodos,0)))-1</f>
        <v>0.22884920698542977</v>
      </c>
      <c r="F760" s="33"/>
      <c r="G760" s="228"/>
      <c r="H760" s="33"/>
    </row>
    <row r="761" spans="1:8" x14ac:dyDescent="0.3">
      <c r="A761" t="s">
        <v>681</v>
      </c>
      <c r="B761" s="3">
        <f t="shared" si="9"/>
        <v>44593</v>
      </c>
      <c r="C761" s="2" t="str">
        <f>VLOOKUP(MONTH(Tabela1[[#This Row],[Periodo]]),NUMMESES,2,FALSE)</f>
        <v>Fevereiro</v>
      </c>
      <c r="D761" s="2">
        <f>YEAR(Tabela1[[#This Row],[Periodo]])</f>
        <v>2022</v>
      </c>
      <c r="E761" s="33">
        <f>(INDEX(TBBP[],MATCH("2",planoContas,0)+1,MATCH(Tabela1[[#This Row],[Periodo]],listaPeriodos,0))/INDEX(TBBP[],MATCH("2.9",planoContas,0)+1,MATCH(Tabela1[[#This Row],[Periodo]],listaPeriodos,0)))-1</f>
        <v>0.25082980400172938</v>
      </c>
      <c r="F761" s="33"/>
      <c r="G761" s="228"/>
      <c r="H761" s="33"/>
    </row>
    <row r="762" spans="1:8" x14ac:dyDescent="0.3">
      <c r="A762" t="s">
        <v>681</v>
      </c>
      <c r="B762" s="3">
        <f t="shared" si="9"/>
        <v>44621</v>
      </c>
      <c r="C762" s="2" t="str">
        <f>VLOOKUP(MONTH(Tabela1[[#This Row],[Periodo]]),NUMMESES,2,FALSE)</f>
        <v>Março</v>
      </c>
      <c r="D762" s="2">
        <f>YEAR(Tabela1[[#This Row],[Periodo]])</f>
        <v>2022</v>
      </c>
      <c r="E762" s="33">
        <f>(INDEX(TBBP[],MATCH("2",planoContas,0)+1,MATCH(Tabela1[[#This Row],[Periodo]],listaPeriodos,0))/INDEX(TBBP[],MATCH("2.9",planoContas,0)+1,MATCH(Tabela1[[#This Row],[Periodo]],listaPeriodos,0)))-1</f>
        <v>0.26709318595290066</v>
      </c>
      <c r="F762" s="33"/>
      <c r="G762" s="228"/>
      <c r="H762" s="33"/>
    </row>
    <row r="763" spans="1:8" x14ac:dyDescent="0.3">
      <c r="A763" t="s">
        <v>681</v>
      </c>
      <c r="B763" s="3">
        <f t="shared" si="9"/>
        <v>44652</v>
      </c>
      <c r="C763" s="2" t="str">
        <f>VLOOKUP(MONTH(Tabela1[[#This Row],[Periodo]]),NUMMESES,2,FALSE)</f>
        <v>Abril</v>
      </c>
      <c r="D763" s="2">
        <f>YEAR(Tabela1[[#This Row],[Periodo]])</f>
        <v>2022</v>
      </c>
      <c r="E763" s="33">
        <f>(INDEX(TBBP[],MATCH("2",planoContas,0)+1,MATCH(Tabela1[[#This Row],[Periodo]],listaPeriodos,0))/INDEX(TBBP[],MATCH("2.9",planoContas,0)+1,MATCH(Tabela1[[#This Row],[Periodo]],listaPeriodos,0)))-1</f>
        <v>0.23741518500646275</v>
      </c>
      <c r="F763" s="33"/>
      <c r="G763" s="228"/>
      <c r="H763" s="33"/>
    </row>
    <row r="764" spans="1:8" x14ac:dyDescent="0.3">
      <c r="A764" t="s">
        <v>681</v>
      </c>
      <c r="B764" s="3">
        <f t="shared" si="9"/>
        <v>44682</v>
      </c>
      <c r="C764" s="2" t="str">
        <f>VLOOKUP(MONTH(Tabela1[[#This Row],[Periodo]]),NUMMESES,2,FALSE)</f>
        <v>Maio</v>
      </c>
      <c r="D764" s="2">
        <f>YEAR(Tabela1[[#This Row],[Periodo]])</f>
        <v>2022</v>
      </c>
      <c r="E764" s="33">
        <f>(INDEX(TBBP[],MATCH("2",planoContas,0)+1,MATCH(Tabela1[[#This Row],[Periodo]],listaPeriodos,0))/INDEX(TBBP[],MATCH("2.9",planoContas,0)+1,MATCH(Tabela1[[#This Row],[Periodo]],listaPeriodos,0)))-1</f>
        <v>0.22032300243533198</v>
      </c>
      <c r="F764" s="33"/>
      <c r="G764" s="228"/>
      <c r="H764" s="33"/>
    </row>
    <row r="765" spans="1:8" x14ac:dyDescent="0.3">
      <c r="A765" t="s">
        <v>681</v>
      </c>
      <c r="B765" s="3">
        <f t="shared" si="9"/>
        <v>44713</v>
      </c>
      <c r="C765" s="2" t="str">
        <f>VLOOKUP(MONTH(Tabela1[[#This Row],[Periodo]]),NUMMESES,2,FALSE)</f>
        <v>Junho</v>
      </c>
      <c r="D765" s="2">
        <f>YEAR(Tabela1[[#This Row],[Periodo]])</f>
        <v>2022</v>
      </c>
      <c r="E765" s="33">
        <f>(INDEX(TBBP[],MATCH("2",planoContas,0)+1,MATCH(Tabela1[[#This Row],[Periodo]],listaPeriodos,0))/INDEX(TBBP[],MATCH("2.9",planoContas,0)+1,MATCH(Tabela1[[#This Row],[Periodo]],listaPeriodos,0)))-1</f>
        <v>0.22449053755714932</v>
      </c>
      <c r="F765" s="33"/>
      <c r="G765" s="228"/>
      <c r="H765" s="33"/>
    </row>
    <row r="766" spans="1:8" x14ac:dyDescent="0.3">
      <c r="A766" t="s">
        <v>681</v>
      </c>
      <c r="B766" s="3">
        <f t="shared" si="9"/>
        <v>44743</v>
      </c>
      <c r="C766" s="2" t="str">
        <f>VLOOKUP(MONTH(Tabela1[[#This Row],[Periodo]]),NUMMESES,2,FALSE)</f>
        <v>Julho</v>
      </c>
      <c r="D766" s="2">
        <f>YEAR(Tabela1[[#This Row],[Periodo]])</f>
        <v>2022</v>
      </c>
      <c r="E766" s="33">
        <f>(INDEX(TBBP[],MATCH("2",planoContas,0)+1,MATCH(Tabela1[[#This Row],[Periodo]],listaPeriodos,0))/INDEX(TBBP[],MATCH("2.9",planoContas,0)+1,MATCH(Tabela1[[#This Row],[Periodo]],listaPeriodos,0)))-1</f>
        <v>0.21551809198325333</v>
      </c>
      <c r="F766" s="33"/>
      <c r="G766" s="228"/>
      <c r="H766" s="33"/>
    </row>
    <row r="767" spans="1:8" x14ac:dyDescent="0.3">
      <c r="A767" t="s">
        <v>681</v>
      </c>
      <c r="B767" s="3">
        <f t="shared" si="9"/>
        <v>44774</v>
      </c>
      <c r="C767" s="2" t="str">
        <f>VLOOKUP(MONTH(Tabela1[[#This Row],[Periodo]]),NUMMESES,2,FALSE)</f>
        <v>Agosto</v>
      </c>
      <c r="D767" s="2">
        <f>YEAR(Tabela1[[#This Row],[Periodo]])</f>
        <v>2022</v>
      </c>
      <c r="E767" s="33">
        <f>(INDEX(TBBP[],MATCH("2",planoContas,0)+1,MATCH(Tabela1[[#This Row],[Periodo]],listaPeriodos,0))/INDEX(TBBP[],MATCH("2.9",planoContas,0)+1,MATCH(Tabela1[[#This Row],[Periodo]],listaPeriodos,0)))-1</f>
        <v>0.23736974740718009</v>
      </c>
      <c r="F767" s="33"/>
      <c r="G767" s="228"/>
      <c r="H767" s="33"/>
    </row>
    <row r="768" spans="1:8" x14ac:dyDescent="0.3">
      <c r="A768" t="s">
        <v>681</v>
      </c>
      <c r="B768" s="3">
        <f t="shared" si="9"/>
        <v>44805</v>
      </c>
      <c r="C768" s="2" t="str">
        <f>VLOOKUP(MONTH(Tabela1[[#This Row],[Periodo]]),NUMMESES,2,FALSE)</f>
        <v>Setembro</v>
      </c>
      <c r="D768" s="2">
        <f>YEAR(Tabela1[[#This Row],[Periodo]])</f>
        <v>2022</v>
      </c>
      <c r="E768" s="33">
        <f>(INDEX(TBBP[],MATCH("2",planoContas,0)+1,MATCH(Tabela1[[#This Row],[Periodo]],listaPeriodos,0))/INDEX(TBBP[],MATCH("2.9",planoContas,0)+1,MATCH(Tabela1[[#This Row],[Periodo]],listaPeriodos,0)))-1</f>
        <v>0.25097509460595857</v>
      </c>
      <c r="F768" s="33"/>
      <c r="G768" s="228"/>
      <c r="H768" s="33"/>
    </row>
    <row r="769" spans="1:8" x14ac:dyDescent="0.3">
      <c r="A769" t="s">
        <v>681</v>
      </c>
      <c r="B769" s="3">
        <f t="shared" si="9"/>
        <v>44835</v>
      </c>
      <c r="C769" s="2" t="str">
        <f>VLOOKUP(MONTH(Tabela1[[#This Row],[Periodo]]),NUMMESES,2,FALSE)</f>
        <v>Outubro</v>
      </c>
      <c r="D769" s="2">
        <f>YEAR(Tabela1[[#This Row],[Periodo]])</f>
        <v>2022</v>
      </c>
      <c r="E769" s="33">
        <f>(INDEX(TBBP[],MATCH("2",planoContas,0)+1,MATCH(Tabela1[[#This Row],[Periodo]],listaPeriodos,0))/INDEX(TBBP[],MATCH("2.9",planoContas,0)+1,MATCH(Tabela1[[#This Row],[Periodo]],listaPeriodos,0)))-1</f>
        <v>0.21450787356048506</v>
      </c>
      <c r="F769" s="33"/>
      <c r="G769" s="228"/>
      <c r="H769" s="33"/>
    </row>
    <row r="770" spans="1:8" x14ac:dyDescent="0.3">
      <c r="A770" t="s">
        <v>681</v>
      </c>
      <c r="B770" s="3">
        <f t="shared" si="9"/>
        <v>44866</v>
      </c>
      <c r="C770" s="2" t="str">
        <f>VLOOKUP(MONTH(Tabela1[[#This Row],[Periodo]]),NUMMESES,2,FALSE)</f>
        <v>Novembro</v>
      </c>
      <c r="D770" s="2">
        <f>YEAR(Tabela1[[#This Row],[Periodo]])</f>
        <v>2022</v>
      </c>
      <c r="E770" s="33">
        <f>(INDEX(TBBP[],MATCH("2",planoContas,0)+1,MATCH(Tabela1[[#This Row],[Periodo]],listaPeriodos,0))/INDEX(TBBP[],MATCH("2.9",planoContas,0)+1,MATCH(Tabela1[[#This Row],[Periodo]],listaPeriodos,0)))-1</f>
        <v>0.19756383368277119</v>
      </c>
      <c r="F770" s="33"/>
      <c r="G770" s="228"/>
      <c r="H770" s="33"/>
    </row>
    <row r="771" spans="1:8" x14ac:dyDescent="0.3">
      <c r="A771" t="s">
        <v>681</v>
      </c>
      <c r="B771" s="3">
        <f t="shared" si="9"/>
        <v>44896</v>
      </c>
      <c r="C771" s="2" t="str">
        <f>VLOOKUP(MONTH(Tabela1[[#This Row],[Periodo]]),NUMMESES,2,FALSE)</f>
        <v>Dezembro</v>
      </c>
      <c r="D771" s="2">
        <f>YEAR(Tabela1[[#This Row],[Periodo]])</f>
        <v>2022</v>
      </c>
      <c r="E771" s="33">
        <f>(INDEX(TBBP[],MATCH("2",planoContas,0)+1,MATCH(Tabela1[[#This Row],[Periodo]],listaPeriodos,0))/INDEX(TBBP[],MATCH("2.9",planoContas,0)+1,MATCH(Tabela1[[#This Row],[Periodo]],listaPeriodos,0)))-1</f>
        <v>0.18235405046603681</v>
      </c>
      <c r="F771" s="33"/>
      <c r="G771" s="228"/>
      <c r="H771" s="33"/>
    </row>
    <row r="772" spans="1:8" x14ac:dyDescent="0.3">
      <c r="A772" t="s">
        <v>681</v>
      </c>
      <c r="B772" s="3">
        <f t="shared" si="9"/>
        <v>44927</v>
      </c>
      <c r="C772" s="2" t="str">
        <f>VLOOKUP(MONTH(Tabela1[[#This Row],[Periodo]]),NUMMESES,2,FALSE)</f>
        <v>Janeiro</v>
      </c>
      <c r="D772" s="2">
        <f>YEAR(Tabela1[[#This Row],[Periodo]])</f>
        <v>2023</v>
      </c>
      <c r="E772" s="33">
        <f>(INDEX(TBBP[],MATCH("2",planoContas,0)+1,MATCH(Tabela1[[#This Row],[Periodo]],listaPeriodos,0))/INDEX(TBBP[],MATCH("2.9",planoContas,0)+1,MATCH(Tabela1[[#This Row],[Periodo]],listaPeriodos,0)))-1</f>
        <v>0.14560439769078015</v>
      </c>
      <c r="F772" s="33"/>
      <c r="G772" s="228"/>
      <c r="H772" s="33"/>
    </row>
    <row r="773" spans="1:8" x14ac:dyDescent="0.3">
      <c r="A773" t="s">
        <v>681</v>
      </c>
      <c r="B773" s="3">
        <f t="shared" si="9"/>
        <v>44958</v>
      </c>
      <c r="C773" s="2" t="str">
        <f>VLOOKUP(MONTH(Tabela1[[#This Row],[Periodo]]),NUMMESES,2,FALSE)</f>
        <v>Fevereiro</v>
      </c>
      <c r="D773" s="2">
        <f>YEAR(Tabela1[[#This Row],[Periodo]])</f>
        <v>2023</v>
      </c>
      <c r="E773" s="33">
        <f>(INDEX(TBBP[],MATCH("2",planoContas,0)+1,MATCH(Tabela1[[#This Row],[Periodo]],listaPeriodos,0))/INDEX(TBBP[],MATCH("2.9",planoContas,0)+1,MATCH(Tabela1[[#This Row],[Periodo]],listaPeriodos,0)))-1</f>
        <v>0.1607996045086324</v>
      </c>
      <c r="F773" s="33"/>
      <c r="G773" s="228"/>
      <c r="H773" s="33"/>
    </row>
    <row r="774" spans="1:8" x14ac:dyDescent="0.3">
      <c r="A774" t="s">
        <v>681</v>
      </c>
      <c r="B774" s="3">
        <f t="shared" si="9"/>
        <v>44986</v>
      </c>
      <c r="C774" s="2" t="str">
        <f>VLOOKUP(MONTH(Tabela1[[#This Row],[Periodo]]),NUMMESES,2,FALSE)</f>
        <v>Março</v>
      </c>
      <c r="D774" s="2">
        <f>YEAR(Tabela1[[#This Row],[Periodo]])</f>
        <v>2023</v>
      </c>
      <c r="E774" s="33">
        <f>(INDEX(TBBP[],MATCH("2",planoContas,0)+1,MATCH(Tabela1[[#This Row],[Periodo]],listaPeriodos,0))/INDEX(TBBP[],MATCH("2.9",planoContas,0)+1,MATCH(Tabela1[[#This Row],[Periodo]],listaPeriodos,0)))-1</f>
        <v>0.1880179935772992</v>
      </c>
      <c r="F774" s="33"/>
      <c r="G774" s="228"/>
      <c r="H774" s="33"/>
    </row>
    <row r="775" spans="1:8" x14ac:dyDescent="0.3">
      <c r="A775" t="s">
        <v>681</v>
      </c>
      <c r="B775" s="3">
        <f t="shared" si="9"/>
        <v>45017</v>
      </c>
      <c r="C775" s="2" t="str">
        <f>VLOOKUP(MONTH(Tabela1[[#This Row],[Periodo]]),NUMMESES,2,FALSE)</f>
        <v>Abril</v>
      </c>
      <c r="D775" s="2">
        <f>YEAR(Tabela1[[#This Row],[Periodo]])</f>
        <v>2023</v>
      </c>
      <c r="E775" s="33">
        <f>(INDEX(TBBP[],MATCH("2",planoContas,0)+1,MATCH(Tabela1[[#This Row],[Periodo]],listaPeriodos,0))/INDEX(TBBP[],MATCH("2.9",planoContas,0)+1,MATCH(Tabela1[[#This Row],[Periodo]],listaPeriodos,0)))-1</f>
        <v>0.18323308531055904</v>
      </c>
      <c r="F775" s="33"/>
      <c r="G775" s="228"/>
      <c r="H775" s="33"/>
    </row>
    <row r="776" spans="1:8" x14ac:dyDescent="0.3">
      <c r="A776" t="s">
        <v>681</v>
      </c>
      <c r="B776" s="3">
        <f t="shared" si="9"/>
        <v>45047</v>
      </c>
      <c r="C776" s="2" t="str">
        <f>VLOOKUP(MONTH(Tabela1[[#This Row],[Periodo]]),NUMMESES,2,FALSE)</f>
        <v>Maio</v>
      </c>
      <c r="D776" s="2">
        <f>YEAR(Tabela1[[#This Row],[Periodo]])</f>
        <v>2023</v>
      </c>
      <c r="E776" s="33">
        <f>(INDEX(TBBP[],MATCH("2",planoContas,0)+1,MATCH(Tabela1[[#This Row],[Periodo]],listaPeriodos,0))/INDEX(TBBP[],MATCH("2.9",planoContas,0)+1,MATCH(Tabela1[[#This Row],[Periodo]],listaPeriodos,0)))-1</f>
        <v>0.22683019803171356</v>
      </c>
      <c r="F776" s="33"/>
      <c r="G776" s="228"/>
      <c r="H776" s="33"/>
    </row>
    <row r="777" spans="1:8" x14ac:dyDescent="0.3">
      <c r="A777" t="s">
        <v>681</v>
      </c>
      <c r="B777" s="3">
        <f t="shared" si="9"/>
        <v>45078</v>
      </c>
      <c r="C777" s="2" t="str">
        <f>VLOOKUP(MONTH(Tabela1[[#This Row],[Periodo]]),NUMMESES,2,FALSE)</f>
        <v>Junho</v>
      </c>
      <c r="D777" s="2">
        <f>YEAR(Tabela1[[#This Row],[Periodo]])</f>
        <v>2023</v>
      </c>
      <c r="E777" s="33">
        <f>(INDEX(TBBP[],MATCH("2",planoContas,0)+1,MATCH(Tabela1[[#This Row],[Periodo]],listaPeriodos,0))/INDEX(TBBP[],MATCH("2.9",planoContas,0)+1,MATCH(Tabela1[[#This Row],[Periodo]],listaPeriodos,0)))-1</f>
        <v>0.22928168903963564</v>
      </c>
      <c r="F777" s="33"/>
      <c r="G777" s="228"/>
      <c r="H777" s="33"/>
    </row>
    <row r="778" spans="1:8" x14ac:dyDescent="0.3">
      <c r="A778" t="s">
        <v>681</v>
      </c>
      <c r="B778" s="3">
        <f t="shared" si="9"/>
        <v>45108</v>
      </c>
      <c r="C778" s="2" t="str">
        <f>VLOOKUP(MONTH(Tabela1[[#This Row],[Periodo]]),NUMMESES,2,FALSE)</f>
        <v>Julho</v>
      </c>
      <c r="D778" s="2">
        <f>YEAR(Tabela1[[#This Row],[Periodo]])</f>
        <v>2023</v>
      </c>
      <c r="E778" s="33">
        <f>(INDEX(TBBP[],MATCH("2",planoContas,0)+1,MATCH(Tabela1[[#This Row],[Periodo]],listaPeriodos,0))/INDEX(TBBP[],MATCH("2.9",planoContas,0)+1,MATCH(Tabela1[[#This Row],[Periodo]],listaPeriodos,0)))-1</f>
        <v>0.23446308932759408</v>
      </c>
      <c r="F778" s="33"/>
      <c r="G778" s="228"/>
      <c r="H778" s="33"/>
    </row>
    <row r="779" spans="1:8" x14ac:dyDescent="0.3">
      <c r="A779" t="s">
        <v>681</v>
      </c>
      <c r="B779" s="3">
        <f t="shared" si="9"/>
        <v>45139</v>
      </c>
      <c r="C779" s="2" t="str">
        <f>VLOOKUP(MONTH(Tabela1[[#This Row],[Periodo]]),NUMMESES,2,FALSE)</f>
        <v>Agosto</v>
      </c>
      <c r="D779" s="2">
        <f>YEAR(Tabela1[[#This Row],[Periodo]])</f>
        <v>2023</v>
      </c>
      <c r="E779" s="33">
        <f>(INDEX(TBBP[],MATCH("2",planoContas,0)+1,MATCH(Tabela1[[#This Row],[Periodo]],listaPeriodos,0))/INDEX(TBBP[],MATCH("2.9",planoContas,0)+1,MATCH(Tabela1[[#This Row],[Periodo]],listaPeriodos,0)))-1</f>
        <v>0.23801741931674658</v>
      </c>
      <c r="F779" s="33"/>
      <c r="G779" s="228"/>
      <c r="H779" s="33"/>
    </row>
    <row r="780" spans="1:8" x14ac:dyDescent="0.3">
      <c r="A780" t="s">
        <v>681</v>
      </c>
      <c r="B780" s="3">
        <f t="shared" si="9"/>
        <v>45170</v>
      </c>
      <c r="C780" s="2" t="str">
        <f>VLOOKUP(MONTH(Tabela1[[#This Row],[Periodo]]),NUMMESES,2,FALSE)</f>
        <v>Setembro</v>
      </c>
      <c r="D780" s="2">
        <f>YEAR(Tabela1[[#This Row],[Periodo]])</f>
        <v>2023</v>
      </c>
      <c r="E780" s="33">
        <f>(INDEX(TBBP[],MATCH("2",planoContas,0)+1,MATCH(Tabela1[[#This Row],[Periodo]],listaPeriodos,0))/INDEX(TBBP[],MATCH("2.9",planoContas,0)+1,MATCH(Tabela1[[#This Row],[Periodo]],listaPeriodos,0)))-1</f>
        <v>0.29087519146296237</v>
      </c>
      <c r="F780" s="33"/>
      <c r="G780" s="228"/>
      <c r="H780" s="33"/>
    </row>
    <row r="781" spans="1:8" x14ac:dyDescent="0.3">
      <c r="A781" t="s">
        <v>681</v>
      </c>
      <c r="B781" s="3">
        <f t="shared" si="9"/>
        <v>45200</v>
      </c>
      <c r="C781" s="2" t="str">
        <f>VLOOKUP(MONTH(Tabela1[[#This Row],[Periodo]]),NUMMESES,2,FALSE)</f>
        <v>Outubro</v>
      </c>
      <c r="D781" s="2">
        <f>YEAR(Tabela1[[#This Row],[Periodo]])</f>
        <v>2023</v>
      </c>
      <c r="E781" s="33">
        <f>(INDEX(TBBP[],MATCH("2",planoContas,0)+1,MATCH(Tabela1[[#This Row],[Periodo]],listaPeriodos,0))/INDEX(TBBP[],MATCH("2.9",planoContas,0)+1,MATCH(Tabela1[[#This Row],[Periodo]],listaPeriodos,0)))-1</f>
        <v>0.29000124121992576</v>
      </c>
      <c r="F781" s="33"/>
      <c r="G781" s="228"/>
      <c r="H781" s="33"/>
    </row>
    <row r="782" spans="1:8" x14ac:dyDescent="0.3">
      <c r="A782" t="s">
        <v>681</v>
      </c>
      <c r="B782" s="3">
        <f t="shared" si="9"/>
        <v>45231</v>
      </c>
      <c r="C782" s="2" t="str">
        <f>VLOOKUP(MONTH(Tabela1[[#This Row],[Periodo]]),NUMMESES,2,FALSE)</f>
        <v>Novembro</v>
      </c>
      <c r="D782" s="2">
        <f>YEAR(Tabela1[[#This Row],[Periodo]])</f>
        <v>2023</v>
      </c>
      <c r="E782" s="33">
        <f>(INDEX(TBBP[],MATCH("2",planoContas,0)+1,MATCH(Tabela1[[#This Row],[Periodo]],listaPeriodos,0))/INDEX(TBBP[],MATCH("2.9",planoContas,0)+1,MATCH(Tabela1[[#This Row],[Periodo]],listaPeriodos,0)))-1</f>
        <v>0.27899690755219608</v>
      </c>
      <c r="F782" s="33"/>
      <c r="G782" s="228"/>
      <c r="H782" s="33"/>
    </row>
    <row r="783" spans="1:8" x14ac:dyDescent="0.3">
      <c r="A783" t="s">
        <v>681</v>
      </c>
      <c r="B783" s="3">
        <f t="shared" si="9"/>
        <v>45261</v>
      </c>
      <c r="C783" s="2" t="str">
        <f>VLOOKUP(MONTH(Tabela1[[#This Row],[Periodo]]),NUMMESES,2,FALSE)</f>
        <v>Dezembro</v>
      </c>
      <c r="D783" s="2">
        <f>YEAR(Tabela1[[#This Row],[Periodo]])</f>
        <v>2023</v>
      </c>
      <c r="E783" s="33">
        <f>(INDEX(TBBP[],MATCH("2",planoContas,0)+1,MATCH(Tabela1[[#This Row],[Periodo]],listaPeriodos,0))/INDEX(TBBP[],MATCH("2.9",planoContas,0)+1,MATCH(Tabela1[[#This Row],[Periodo]],listaPeriodos,0)))-1</f>
        <v>0.26844470049368252</v>
      </c>
      <c r="F783" s="33"/>
      <c r="G783" s="228"/>
      <c r="H783" s="33"/>
    </row>
    <row r="784" spans="1:8" x14ac:dyDescent="0.3">
      <c r="A784" t="s">
        <v>681</v>
      </c>
      <c r="B784" s="3">
        <f t="shared" si="9"/>
        <v>45292</v>
      </c>
      <c r="C784" s="2" t="str">
        <f>VLOOKUP(MONTH(Tabela1[[#This Row],[Periodo]]),NUMMESES,2,FALSE)</f>
        <v>Janeiro</v>
      </c>
      <c r="D784" s="2">
        <f>YEAR(Tabela1[[#This Row],[Periodo]])</f>
        <v>2024</v>
      </c>
      <c r="E784" s="33">
        <f>(INDEX(TBBP[],MATCH("2",planoContas,0)+1,MATCH(Tabela1[[#This Row],[Periodo]],listaPeriodos,0))/INDEX(TBBP[],MATCH("2.9",planoContas,0)+1,MATCH(Tabela1[[#This Row],[Periodo]],listaPeriodos,0)))-1</f>
        <v>0.20483756257217456</v>
      </c>
      <c r="F784" s="33"/>
      <c r="G784" s="228"/>
      <c r="H784" s="33"/>
    </row>
    <row r="785" spans="1:8" x14ac:dyDescent="0.3">
      <c r="A785" t="s">
        <v>681</v>
      </c>
      <c r="B785" s="3">
        <f t="shared" si="9"/>
        <v>45323</v>
      </c>
      <c r="C785" s="2" t="str">
        <f>VLOOKUP(MONTH(Tabela1[[#This Row],[Periodo]]),NUMMESES,2,FALSE)</f>
        <v>Fevereiro</v>
      </c>
      <c r="D785" s="2">
        <f>YEAR(Tabela1[[#This Row],[Periodo]])</f>
        <v>2024</v>
      </c>
      <c r="E785" s="33">
        <f>(INDEX(TBBP[],MATCH("2",planoContas,0)+1,MATCH(Tabela1[[#This Row],[Periodo]],listaPeriodos,0))/INDEX(TBBP[],MATCH("2.9",planoContas,0)+1,MATCH(Tabela1[[#This Row],[Periodo]],listaPeriodos,0)))-1</f>
        <v>0.24151413189807514</v>
      </c>
      <c r="F785" s="33"/>
      <c r="G785" s="228"/>
      <c r="H785" s="33"/>
    </row>
    <row r="786" spans="1:8" x14ac:dyDescent="0.3">
      <c r="A786" t="s">
        <v>681</v>
      </c>
      <c r="B786" s="3">
        <f t="shared" si="9"/>
        <v>45352</v>
      </c>
      <c r="C786" s="2" t="str">
        <f>VLOOKUP(MONTH(Tabela1[[#This Row],[Periodo]]),NUMMESES,2,FALSE)</f>
        <v>Março</v>
      </c>
      <c r="D786" s="2">
        <f>YEAR(Tabela1[[#This Row],[Periodo]])</f>
        <v>2024</v>
      </c>
      <c r="E786" s="33">
        <f>(INDEX(TBBP[],MATCH("2",planoContas,0)+1,MATCH(Tabela1[[#This Row],[Periodo]],listaPeriodos,0))/INDEX(TBBP[],MATCH("2.9",planoContas,0)+1,MATCH(Tabela1[[#This Row],[Periodo]],listaPeriodos,0)))-1</f>
        <v>0.29999174321382482</v>
      </c>
      <c r="F786" s="33"/>
      <c r="G786" s="228"/>
      <c r="H786" s="33"/>
    </row>
    <row r="787" spans="1:8" x14ac:dyDescent="0.3">
      <c r="A787" t="s">
        <v>681</v>
      </c>
      <c r="B787" s="3">
        <f t="shared" si="9"/>
        <v>45383</v>
      </c>
      <c r="C787" s="2" t="str">
        <f>VLOOKUP(MONTH(Tabela1[[#This Row],[Periodo]]),NUMMESES,2,FALSE)</f>
        <v>Abril</v>
      </c>
      <c r="D787" s="2">
        <f>YEAR(Tabela1[[#This Row],[Periodo]])</f>
        <v>2024</v>
      </c>
      <c r="E787" s="33">
        <f>(INDEX(TBBP[],MATCH("2",planoContas,0)+1,MATCH(Tabela1[[#This Row],[Periodo]],listaPeriodos,0))/INDEX(TBBP[],MATCH("2.9",planoContas,0)+1,MATCH(Tabela1[[#This Row],[Periodo]],listaPeriodos,0)))-1</f>
        <v>0.33869781559023293</v>
      </c>
      <c r="F787" s="33"/>
      <c r="G787" s="228"/>
      <c r="H787" s="33"/>
    </row>
    <row r="788" spans="1:8" x14ac:dyDescent="0.3">
      <c r="A788" t="s">
        <v>681</v>
      </c>
      <c r="B788" s="3">
        <f t="shared" si="9"/>
        <v>45413</v>
      </c>
      <c r="C788" s="2" t="str">
        <f>VLOOKUP(MONTH(Tabela1[[#This Row],[Periodo]]),NUMMESES,2,FALSE)</f>
        <v>Maio</v>
      </c>
      <c r="D788" s="2">
        <f>YEAR(Tabela1[[#This Row],[Periodo]])</f>
        <v>2024</v>
      </c>
      <c r="E788" s="33">
        <f>(INDEX(TBBP[],MATCH("2",planoContas,0)+1,MATCH(Tabela1[[#This Row],[Periodo]],listaPeriodos,0))/INDEX(TBBP[],MATCH("2.9",planoContas,0)+1,MATCH(Tabela1[[#This Row],[Periodo]],listaPeriodos,0)))-1</f>
        <v>0.4166337182710782</v>
      </c>
      <c r="F788" s="33"/>
      <c r="G788" s="228"/>
      <c r="H788" s="33"/>
    </row>
    <row r="789" spans="1:8" x14ac:dyDescent="0.3">
      <c r="A789" t="s">
        <v>681</v>
      </c>
      <c r="B789" s="3">
        <f t="shared" si="9"/>
        <v>45444</v>
      </c>
      <c r="C789" s="2" t="str">
        <f>VLOOKUP(MONTH(Tabela1[[#This Row],[Periodo]]),NUMMESES,2,FALSE)</f>
        <v>Junho</v>
      </c>
      <c r="D789" s="2">
        <f>YEAR(Tabela1[[#This Row],[Periodo]])</f>
        <v>2024</v>
      </c>
      <c r="E789" s="33">
        <f>(INDEX(TBBP[],MATCH("2",planoContas,0)+1,MATCH(Tabela1[[#This Row],[Periodo]],listaPeriodos,0))/INDEX(TBBP[],MATCH("2.9",planoContas,0)+1,MATCH(Tabela1[[#This Row],[Periodo]],listaPeriodos,0)))-1</f>
        <v>0.42555282607321376</v>
      </c>
      <c r="F789" s="33"/>
      <c r="G789" s="228"/>
      <c r="H789" s="33"/>
    </row>
    <row r="790" spans="1:8" x14ac:dyDescent="0.3">
      <c r="A790" t="s">
        <v>681</v>
      </c>
      <c r="B790" s="3">
        <f t="shared" si="9"/>
        <v>45474</v>
      </c>
      <c r="C790" s="2" t="str">
        <f>VLOOKUP(MONTH(Tabela1[[#This Row],[Periodo]]),NUMMESES,2,FALSE)</f>
        <v>Julho</v>
      </c>
      <c r="D790" s="2">
        <f>YEAR(Tabela1[[#This Row],[Periodo]])</f>
        <v>2024</v>
      </c>
      <c r="E790" s="33">
        <f>(INDEX(TBBP[],MATCH("2",planoContas,0)+1,MATCH(Tabela1[[#This Row],[Periodo]],listaPeriodos,0))/INDEX(TBBP[],MATCH("2.9",planoContas,0)+1,MATCH(Tabela1[[#This Row],[Periodo]],listaPeriodos,0)))-1</f>
        <v>0.58116962539113182</v>
      </c>
      <c r="F790" s="33"/>
      <c r="G790" s="228"/>
      <c r="H790" s="33"/>
    </row>
    <row r="791" spans="1:8" x14ac:dyDescent="0.3">
      <c r="A791" t="s">
        <v>681</v>
      </c>
      <c r="B791" s="3">
        <f t="shared" si="9"/>
        <v>45505</v>
      </c>
      <c r="C791" s="2" t="str">
        <f>VLOOKUP(MONTH(Tabela1[[#This Row],[Periodo]]),NUMMESES,2,FALSE)</f>
        <v>Agosto</v>
      </c>
      <c r="D791" s="2">
        <f>YEAR(Tabela1[[#This Row],[Periodo]])</f>
        <v>2024</v>
      </c>
      <c r="E791" s="33">
        <f>(INDEX(TBBP[],MATCH("2",planoContas,0)+1,MATCH(Tabela1[[#This Row],[Periodo]],listaPeriodos,0))/INDEX(TBBP[],MATCH("2.9",planoContas,0)+1,MATCH(Tabela1[[#This Row],[Periodo]],listaPeriodos,0)))-1</f>
        <v>0.57768883440525687</v>
      </c>
      <c r="F791" s="33"/>
      <c r="G791" s="228"/>
      <c r="H791" s="33"/>
    </row>
    <row r="792" spans="1:8" x14ac:dyDescent="0.3">
      <c r="A792" t="s">
        <v>681</v>
      </c>
      <c r="B792" s="3">
        <f t="shared" si="9"/>
        <v>45536</v>
      </c>
      <c r="C792" s="2" t="str">
        <f>VLOOKUP(MONTH(Tabela1[[#This Row],[Periodo]]),NUMMESES,2,FALSE)</f>
        <v>Setembro</v>
      </c>
      <c r="D792" s="2">
        <f>YEAR(Tabela1[[#This Row],[Periodo]])</f>
        <v>2024</v>
      </c>
      <c r="E792" s="33">
        <f>(INDEX(TBBP[],MATCH("2",planoContas,0)+1,MATCH(Tabela1[[#This Row],[Periodo]],listaPeriodos,0))/INDEX(TBBP[],MATCH("2.9",planoContas,0)+1,MATCH(Tabela1[[#This Row],[Periodo]],listaPeriodos,0)))-1</f>
        <v>0.56302508052249634</v>
      </c>
      <c r="F792" s="33"/>
      <c r="G792" s="228"/>
      <c r="H792" s="33"/>
    </row>
    <row r="793" spans="1:8" x14ac:dyDescent="0.3">
      <c r="A793" t="s">
        <v>681</v>
      </c>
      <c r="B793" s="3">
        <f t="shared" si="9"/>
        <v>45566</v>
      </c>
      <c r="C793" s="2" t="str">
        <f>VLOOKUP(MONTH(Tabela1[[#This Row],[Periodo]]),NUMMESES,2,FALSE)</f>
        <v>Outubro</v>
      </c>
      <c r="D793" s="2">
        <f>YEAR(Tabela1[[#This Row],[Periodo]])</f>
        <v>2024</v>
      </c>
      <c r="E793" s="33">
        <f>(INDEX(TBBP[],MATCH("2",planoContas,0)+1,MATCH(Tabela1[[#This Row],[Periodo]],listaPeriodos,0))/INDEX(TBBP[],MATCH("2.9",planoContas,0)+1,MATCH(Tabela1[[#This Row],[Periodo]],listaPeriodos,0)))-1</f>
        <v>0.58089000212448605</v>
      </c>
      <c r="F793" s="33"/>
      <c r="G793" s="228"/>
      <c r="H793" s="33"/>
    </row>
    <row r="794" spans="1:8" x14ac:dyDescent="0.3">
      <c r="A794" t="s">
        <v>681</v>
      </c>
      <c r="B794" s="3">
        <f t="shared" si="9"/>
        <v>45597</v>
      </c>
      <c r="C794" s="2" t="str">
        <f>VLOOKUP(MONTH(Tabela1[[#This Row],[Periodo]]),NUMMESES,2,FALSE)</f>
        <v>Novembro</v>
      </c>
      <c r="D794" s="2">
        <f>YEAR(Tabela1[[#This Row],[Periodo]])</f>
        <v>2024</v>
      </c>
      <c r="E794" s="33">
        <f>(INDEX(TBBP[],MATCH("2",planoContas,0)+1,MATCH(Tabela1[[#This Row],[Periodo]],listaPeriodos,0))/INDEX(TBBP[],MATCH("2.9",planoContas,0)+1,MATCH(Tabela1[[#This Row],[Periodo]],listaPeriodos,0)))-1</f>
        <v>0.62045616290302297</v>
      </c>
      <c r="F794" s="33"/>
      <c r="G794" s="228"/>
      <c r="H794" s="33"/>
    </row>
    <row r="795" spans="1:8" x14ac:dyDescent="0.3">
      <c r="A795" t="s">
        <v>681</v>
      </c>
      <c r="B795" s="3">
        <f t="shared" si="9"/>
        <v>45627</v>
      </c>
      <c r="C795" s="2" t="str">
        <f>VLOOKUP(MONTH(Tabela1[[#This Row],[Periodo]]),NUMMESES,2,FALSE)</f>
        <v>Dezembro</v>
      </c>
      <c r="D795" s="2">
        <f>YEAR(Tabela1[[#This Row],[Periodo]])</f>
        <v>2024</v>
      </c>
      <c r="E795" s="33">
        <f>(INDEX(TBBP[],MATCH("2",planoContas,0)+1,MATCH(Tabela1[[#This Row],[Periodo]],listaPeriodos,0))/INDEX(TBBP[],MATCH("2.9",planoContas,0)+1,MATCH(Tabela1[[#This Row],[Periodo]],listaPeriodos,0)))-1</f>
        <v>0.598241233265558</v>
      </c>
      <c r="F795" s="33"/>
      <c r="G795" s="228"/>
      <c r="H795" s="33"/>
    </row>
    <row r="796" spans="1:8" x14ac:dyDescent="0.3">
      <c r="A796" t="s">
        <v>681</v>
      </c>
      <c r="B796" s="3">
        <f t="shared" si="9"/>
        <v>45658</v>
      </c>
      <c r="C796" s="2" t="str">
        <f>VLOOKUP(MONTH(Tabela1[[#This Row],[Periodo]]),NUMMESES,2,FALSE)</f>
        <v>Janeiro</v>
      </c>
      <c r="D796" s="2">
        <f>YEAR(Tabela1[[#This Row],[Periodo]])</f>
        <v>2025</v>
      </c>
      <c r="E796" s="33">
        <f>(INDEX(TBBP[],MATCH("2",planoContas,0)+1,MATCH(Tabela1[[#This Row],[Periodo]],listaPeriodos,0))/INDEX(TBBP[],MATCH("2.9",planoContas,0)+1,MATCH(Tabela1[[#This Row],[Periodo]],listaPeriodos,0)))-1</f>
        <v>0.5239845290338645</v>
      </c>
      <c r="F796" s="33"/>
      <c r="G796" s="228"/>
      <c r="H796" s="33"/>
    </row>
    <row r="797" spans="1:8" x14ac:dyDescent="0.3">
      <c r="A797" t="s">
        <v>681</v>
      </c>
      <c r="B797" s="3">
        <f t="shared" si="9"/>
        <v>45689</v>
      </c>
      <c r="C797" s="2" t="str">
        <f>VLOOKUP(MONTH(Tabela1[[#This Row],[Periodo]]),NUMMESES,2,FALSE)</f>
        <v>Fevereiro</v>
      </c>
      <c r="D797" s="2">
        <f>YEAR(Tabela1[[#This Row],[Periodo]])</f>
        <v>2025</v>
      </c>
      <c r="E797" s="33">
        <f>(INDEX(TBBP[],MATCH("2",planoContas,0)+1,MATCH(Tabela1[[#This Row],[Periodo]],listaPeriodos,0))/INDEX(TBBP[],MATCH("2.9",planoContas,0)+1,MATCH(Tabela1[[#This Row],[Periodo]],listaPeriodos,0)))-1</f>
        <v>0.5157029199146701</v>
      </c>
      <c r="F797" s="33"/>
      <c r="G797" s="228"/>
      <c r="H797" s="33"/>
    </row>
    <row r="798" spans="1:8" x14ac:dyDescent="0.3">
      <c r="A798" t="s">
        <v>681</v>
      </c>
      <c r="B798" s="3">
        <f t="shared" si="9"/>
        <v>45717</v>
      </c>
      <c r="C798" s="2" t="str">
        <f>VLOOKUP(MONTH(Tabela1[[#This Row],[Periodo]]),NUMMESES,2,FALSE)</f>
        <v>Março</v>
      </c>
      <c r="D798" s="2">
        <f>YEAR(Tabela1[[#This Row],[Periodo]])</f>
        <v>2025</v>
      </c>
      <c r="E798" s="33">
        <f>(INDEX(TBBP[],MATCH("2",planoContas,0)+1,MATCH(Tabela1[[#This Row],[Periodo]],listaPeriodos,0))/INDEX(TBBP[],MATCH("2.9",planoContas,0)+1,MATCH(Tabela1[[#This Row],[Periodo]],listaPeriodos,0)))-1</f>
        <v>0.47665795140350209</v>
      </c>
      <c r="F798" s="33"/>
      <c r="G798" s="228"/>
      <c r="H798" s="33"/>
    </row>
    <row r="799" spans="1:8" x14ac:dyDescent="0.3">
      <c r="A799" t="s">
        <v>681</v>
      </c>
      <c r="B799" s="3">
        <f t="shared" si="9"/>
        <v>45748</v>
      </c>
      <c r="C799" s="2" t="str">
        <f>VLOOKUP(MONTH(Tabela1[[#This Row],[Periodo]]),NUMMESES,2,FALSE)</f>
        <v>Abril</v>
      </c>
      <c r="D799" s="2">
        <f>YEAR(Tabela1[[#This Row],[Periodo]])</f>
        <v>2025</v>
      </c>
      <c r="E799" s="33">
        <f>(INDEX(TBBP[],MATCH("2",planoContas,0)+1,MATCH(Tabela1[[#This Row],[Periodo]],listaPeriodos,0))/INDEX(TBBP[],MATCH("2.9",planoContas,0)+1,MATCH(Tabela1[[#This Row],[Periodo]],listaPeriodos,0)))-1</f>
        <v>0.46076100462855529</v>
      </c>
      <c r="F799" s="33"/>
      <c r="G799" s="228"/>
      <c r="H799" s="33"/>
    </row>
    <row r="800" spans="1:8" x14ac:dyDescent="0.3">
      <c r="A800" t="s">
        <v>681</v>
      </c>
      <c r="B800" s="3">
        <f t="shared" si="9"/>
        <v>45778</v>
      </c>
      <c r="C800" s="2" t="str">
        <f>VLOOKUP(MONTH(Tabela1[[#This Row],[Periodo]]),NUMMESES,2,FALSE)</f>
        <v>Maio</v>
      </c>
      <c r="D800" s="2">
        <f>YEAR(Tabela1[[#This Row],[Periodo]])</f>
        <v>2025</v>
      </c>
      <c r="E800" s="33">
        <f>(INDEX(TBBP[],MATCH("2",planoContas,0)+1,MATCH(Tabela1[[#This Row],[Periodo]],listaPeriodos,0))/INDEX(TBBP[],MATCH("2.9",planoContas,0)+1,MATCH(Tabela1[[#This Row],[Periodo]],listaPeriodos,0)))-1</f>
        <v>0.4458244230421009</v>
      </c>
      <c r="F800" s="33"/>
      <c r="G800" s="228"/>
      <c r="H800" s="33"/>
    </row>
    <row r="801" spans="1:8" x14ac:dyDescent="0.3">
      <c r="A801" t="s">
        <v>681</v>
      </c>
      <c r="B801" s="3">
        <f t="shared" si="9"/>
        <v>45809</v>
      </c>
      <c r="C801" s="2" t="str">
        <f>VLOOKUP(MONTH(Tabela1[[#This Row],[Periodo]]),NUMMESES,2,FALSE)</f>
        <v>Junho</v>
      </c>
      <c r="D801" s="2">
        <f>YEAR(Tabela1[[#This Row],[Periodo]])</f>
        <v>2025</v>
      </c>
      <c r="E801" s="33">
        <f>(INDEX(TBBP[],MATCH("2",planoContas,0)+1,MATCH(Tabela1[[#This Row],[Periodo]],listaPeriodos,0))/INDEX(TBBP[],MATCH("2.9",planoContas,0)+1,MATCH(Tabela1[[#This Row],[Periodo]],listaPeriodos,0)))-1</f>
        <v>0.48559261098023909</v>
      </c>
      <c r="F801" s="33"/>
      <c r="G801" s="228"/>
      <c r="H801" s="33"/>
    </row>
    <row r="802" spans="1:8" x14ac:dyDescent="0.3">
      <c r="A802" t="s">
        <v>681</v>
      </c>
      <c r="B802" s="3">
        <f t="shared" si="9"/>
        <v>45839</v>
      </c>
      <c r="C802" s="2" t="str">
        <f>VLOOKUP(MONTH(Tabela1[[#This Row],[Periodo]]),NUMMESES,2,FALSE)</f>
        <v>Julho</v>
      </c>
      <c r="D802" s="2">
        <f>YEAR(Tabela1[[#This Row],[Periodo]])</f>
        <v>2025</v>
      </c>
      <c r="E802" s="33">
        <f>(INDEX(TBBP[],MATCH("2",planoContas,0)+1,MATCH(Tabela1[[#This Row],[Periodo]],listaPeriodos,0))/INDEX(TBBP[],MATCH("2.9",planoContas,0)+1,MATCH(Tabela1[[#This Row],[Periodo]],listaPeriodos,0)))-1</f>
        <v>0.54385651486848596</v>
      </c>
      <c r="F802" s="33"/>
      <c r="G802" s="228"/>
      <c r="H802" s="33"/>
    </row>
    <row r="803" spans="1:8" x14ac:dyDescent="0.3">
      <c r="A803" t="s">
        <v>681</v>
      </c>
      <c r="B803" s="3">
        <f t="shared" si="9"/>
        <v>45870</v>
      </c>
      <c r="C803" s="2" t="str">
        <f>VLOOKUP(MONTH(Tabela1[[#This Row],[Periodo]]),NUMMESES,2,FALSE)</f>
        <v>Agosto</v>
      </c>
      <c r="D803" s="2">
        <f>YEAR(Tabela1[[#This Row],[Periodo]])</f>
        <v>2025</v>
      </c>
      <c r="E803" s="33">
        <f>(INDEX(TBBP[],MATCH("2",planoContas,0)+1,MATCH(Tabela1[[#This Row],[Periodo]],listaPeriodos,0))/INDEX(TBBP[],MATCH("2.9",planoContas,0)+1,MATCH(Tabela1[[#This Row],[Periodo]],listaPeriodos,0)))-1</f>
        <v>0.51367393647675286</v>
      </c>
      <c r="F803" s="33"/>
      <c r="G803" s="228"/>
      <c r="H803" s="33"/>
    </row>
    <row r="804" spans="1:8" x14ac:dyDescent="0.3">
      <c r="A804" t="s">
        <v>681</v>
      </c>
      <c r="B804" s="3">
        <f t="shared" si="9"/>
        <v>45901</v>
      </c>
      <c r="C804" s="2" t="str">
        <f>VLOOKUP(MONTH(Tabela1[[#This Row],[Periodo]]),NUMMESES,2,FALSE)</f>
        <v>Setembro</v>
      </c>
      <c r="D804" s="2">
        <f>YEAR(Tabela1[[#This Row],[Periodo]])</f>
        <v>2025</v>
      </c>
      <c r="E804" s="33">
        <f>(INDEX(TBBP[],MATCH("2",planoContas,0)+1,MATCH(Tabela1[[#This Row],[Periodo]],listaPeriodos,0))/INDEX(TBBP[],MATCH("2.9",planoContas,0)+1,MATCH(Tabela1[[#This Row],[Periodo]],listaPeriodos,0)))-1</f>
        <v>0.51050720970875485</v>
      </c>
      <c r="F804" s="33"/>
      <c r="G804" s="228"/>
      <c r="H804" s="33"/>
    </row>
    <row r="805" spans="1:8" x14ac:dyDescent="0.3">
      <c r="A805" t="s">
        <v>681</v>
      </c>
      <c r="B805" s="3">
        <f t="shared" si="9"/>
        <v>45931</v>
      </c>
      <c r="C805" s="2" t="str">
        <f>VLOOKUP(MONTH(Tabela1[[#This Row],[Periodo]]),NUMMESES,2,FALSE)</f>
        <v>Outubro</v>
      </c>
      <c r="D805" s="2">
        <f>YEAR(Tabela1[[#This Row],[Periodo]])</f>
        <v>2025</v>
      </c>
      <c r="E805" s="33">
        <f>(INDEX(TBBP[],MATCH("2",planoContas,0)+1,MATCH(Tabela1[[#This Row],[Periodo]],listaPeriodos,0))/INDEX(TBBP[],MATCH("2.9",planoContas,0)+1,MATCH(Tabela1[[#This Row],[Periodo]],listaPeriodos,0)))-1</f>
        <v>0.53181713101145611</v>
      </c>
      <c r="F805" s="33"/>
      <c r="G805" s="228"/>
      <c r="H805" s="33"/>
    </row>
    <row r="806" spans="1:8" x14ac:dyDescent="0.3">
      <c r="A806" t="s">
        <v>681</v>
      </c>
      <c r="B806" s="3">
        <f t="shared" si="9"/>
        <v>45962</v>
      </c>
      <c r="C806" s="2" t="str">
        <f>VLOOKUP(MONTH(Tabela1[[#This Row],[Periodo]]),NUMMESES,2,FALSE)</f>
        <v>Novembro</v>
      </c>
      <c r="D806" s="2">
        <f>YEAR(Tabela1[[#This Row],[Periodo]])</f>
        <v>2025</v>
      </c>
      <c r="E806" s="33">
        <f>(INDEX(TBBP[],MATCH("2",planoContas,0)+1,MATCH(Tabela1[[#This Row],[Periodo]],listaPeriodos,0))/INDEX(TBBP[],MATCH("2.9",planoContas,0)+1,MATCH(Tabela1[[#This Row],[Periodo]],listaPeriodos,0)))-1</f>
        <v>0.53276798248876833</v>
      </c>
      <c r="F806" s="33"/>
      <c r="G806" s="228"/>
      <c r="H806" s="33"/>
    </row>
    <row r="807" spans="1:8" x14ac:dyDescent="0.3">
      <c r="A807" t="s">
        <v>681</v>
      </c>
      <c r="B807" s="3">
        <f t="shared" si="9"/>
        <v>45992</v>
      </c>
      <c r="C807" s="2" t="str">
        <f>VLOOKUP(MONTH(Tabela1[[#This Row],[Periodo]]),NUMMESES,2,FALSE)</f>
        <v>Dezembro</v>
      </c>
      <c r="D807" s="2">
        <f>YEAR(Tabela1[[#This Row],[Periodo]])</f>
        <v>2025</v>
      </c>
      <c r="E807" s="33">
        <f>(INDEX(TBBP[],MATCH("2",planoContas,0)+1,MATCH(Tabela1[[#This Row],[Periodo]],listaPeriodos,0))/INDEX(TBBP[],MATCH("2.9",planoContas,0)+1,MATCH(Tabela1[[#This Row],[Periodo]],listaPeriodos,0)))-1</f>
        <v>0.70427932636658519</v>
      </c>
      <c r="F807" s="33"/>
      <c r="G807" s="228"/>
      <c r="H807" s="33"/>
    </row>
    <row r="808" spans="1:8" x14ac:dyDescent="0.3">
      <c r="A808" t="s">
        <v>681</v>
      </c>
      <c r="B808" s="3">
        <f t="shared" si="9"/>
        <v>46023</v>
      </c>
      <c r="C808" s="2" t="str">
        <f>VLOOKUP(MONTH(Tabela1[[#This Row],[Periodo]]),NUMMESES,2,FALSE)</f>
        <v>Janeiro</v>
      </c>
      <c r="D808" s="2">
        <f>YEAR(Tabela1[[#This Row],[Periodo]])</f>
        <v>2026</v>
      </c>
      <c r="E808" s="33">
        <f>(INDEX(TBBP[],MATCH("2",planoContas,0)+1,MATCH(Tabela1[[#This Row],[Periodo]],listaPeriodos,0))/INDEX(TBBP[],MATCH("2.9",planoContas,0)+1,MATCH(Tabela1[[#This Row],[Periodo]],listaPeriodos,0)))-1</f>
        <v>0.72260320145822821</v>
      </c>
      <c r="F808" s="33"/>
      <c r="G808" s="228"/>
      <c r="H808" s="33"/>
    </row>
    <row r="809" spans="1:8" x14ac:dyDescent="0.3">
      <c r="B809" s="3"/>
      <c r="C809" s="2"/>
      <c r="D809" s="2"/>
      <c r="E809" s="33"/>
      <c r="F809" s="33"/>
      <c r="G809" s="228"/>
      <c r="H809" s="33"/>
    </row>
    <row r="810" spans="1:8" x14ac:dyDescent="0.3">
      <c r="A810" t="s">
        <v>1132</v>
      </c>
      <c r="B810" s="3">
        <v>41609</v>
      </c>
      <c r="C810" s="2" t="str">
        <f>VLOOKUP(MONTH(Tabela1[[#This Row],[Periodo]]),NUMMESES,2,FALSE)</f>
        <v>Dezembro</v>
      </c>
      <c r="D810" s="2">
        <f>YEAR(Tabela1[[#This Row],[Periodo]])</f>
        <v>2013</v>
      </c>
      <c r="E810" s="33">
        <f>(INDEX(TBBP[],MATCH("2.9",planoContas,0)+1,MATCH(Tabela1[[#This Row],[Periodo]],listaPeriodos,0))-1)/INDEX(TBBP[],MATCH("2",planoContas,0)+1,MATCH(Tabela1[[#This Row],[Periodo]],listaPeriodos,0))</f>
        <v>0.80821180856928598</v>
      </c>
      <c r="F810" s="33"/>
      <c r="G810" s="228"/>
      <c r="H810" s="33"/>
    </row>
    <row r="811" spans="1:8" x14ac:dyDescent="0.3">
      <c r="A811" t="s">
        <v>1132</v>
      </c>
      <c r="B811" s="3">
        <v>41974</v>
      </c>
      <c r="C811" s="2" t="str">
        <f>VLOOKUP(MONTH(Tabela1[[#This Row],[Periodo]]),NUMMESES,2,FALSE)</f>
        <v>Dezembro</v>
      </c>
      <c r="D811" s="2">
        <f>YEAR(Tabela1[[#This Row],[Periodo]])</f>
        <v>2014</v>
      </c>
      <c r="E811" s="33">
        <f>(INDEX(TBBP[],MATCH("2.9",planoContas,0)+1,MATCH(Tabela1[[#This Row],[Periodo]],listaPeriodos,0))-1)/INDEX(TBBP[],MATCH("2",planoContas,0)+1,MATCH(Tabela1[[#This Row],[Periodo]],listaPeriodos,0))</f>
        <v>0.70809646822189043</v>
      </c>
      <c r="F811" s="33"/>
      <c r="G811" s="228"/>
      <c r="H811" s="33"/>
    </row>
    <row r="812" spans="1:8" x14ac:dyDescent="0.3">
      <c r="A812" t="s">
        <v>1132</v>
      </c>
      <c r="B812" s="3">
        <v>42339</v>
      </c>
      <c r="C812" s="2" t="str">
        <f>VLOOKUP(MONTH(Tabela1[[#This Row],[Periodo]]),NUMMESES,2,FALSE)</f>
        <v>Dezembro</v>
      </c>
      <c r="D812" s="2">
        <f>YEAR(Tabela1[[#This Row],[Periodo]])</f>
        <v>2015</v>
      </c>
      <c r="E812" s="33">
        <f>(INDEX(TBBP[],MATCH("2.9",planoContas,0)+1,MATCH(Tabela1[[#This Row],[Periodo]],listaPeriodos,0))-1)/INDEX(TBBP[],MATCH("2",planoContas,0)+1,MATCH(Tabela1[[#This Row],[Periodo]],listaPeriodos,0))</f>
        <v>0.81270225199063495</v>
      </c>
      <c r="F812" s="33"/>
      <c r="G812" s="228"/>
      <c r="H812" s="33"/>
    </row>
    <row r="813" spans="1:8" x14ac:dyDescent="0.3">
      <c r="A813" t="s">
        <v>1132</v>
      </c>
      <c r="B813" s="3">
        <v>42705</v>
      </c>
      <c r="C813" s="2" t="str">
        <f>VLOOKUP(MONTH(Tabela1[[#This Row],[Periodo]]),NUMMESES,2,FALSE)</f>
        <v>Dezembro</v>
      </c>
      <c r="D813" s="2">
        <f>YEAR(Tabela1[[#This Row],[Periodo]])</f>
        <v>2016</v>
      </c>
      <c r="E813" s="33">
        <f>(INDEX(TBBP[],MATCH("2.9",planoContas,0)+1,MATCH(Tabela1[[#This Row],[Periodo]],listaPeriodos,0))-1)/INDEX(TBBP[],MATCH("2",planoContas,0)+1,MATCH(Tabela1[[#This Row],[Periodo]],listaPeriodos,0))</f>
        <v>0.86682059683929091</v>
      </c>
      <c r="F813" s="33"/>
      <c r="G813" s="228"/>
      <c r="H813" s="33"/>
    </row>
    <row r="814" spans="1:8" x14ac:dyDescent="0.3">
      <c r="A814" t="s">
        <v>1132</v>
      </c>
      <c r="B814" s="3">
        <v>43070</v>
      </c>
      <c r="C814" s="2" t="str">
        <f>VLOOKUP(MONTH(Tabela1[[#This Row],[Periodo]]),NUMMESES,2,FALSE)</f>
        <v>Dezembro</v>
      </c>
      <c r="D814" s="2">
        <f>YEAR(Tabela1[[#This Row],[Periodo]])</f>
        <v>2017</v>
      </c>
      <c r="E814" s="33">
        <f>(INDEX(TBBP[],MATCH("2.9",planoContas,0)+1,MATCH(Tabela1[[#This Row],[Periodo]],listaPeriodos,0))-1)/INDEX(TBBP[],MATCH("2",planoContas,0)+1,MATCH(Tabela1[[#This Row],[Periodo]],listaPeriodos,0))</f>
        <v>0.86356108190604863</v>
      </c>
      <c r="F814" s="33"/>
      <c r="G814" s="228"/>
      <c r="H814" s="33"/>
    </row>
    <row r="815" spans="1:8" x14ac:dyDescent="0.3">
      <c r="A815" t="s">
        <v>1132</v>
      </c>
      <c r="B815" s="3">
        <v>43101</v>
      </c>
      <c r="C815" s="2" t="str">
        <f>VLOOKUP(MONTH(Tabela1[[#This Row],[Periodo]]),NUMMESES,2,FALSE)</f>
        <v>Janeiro</v>
      </c>
      <c r="D815" s="2">
        <f>YEAR(Tabela1[[#This Row],[Periodo]])</f>
        <v>2018</v>
      </c>
      <c r="E815" s="33">
        <f>(INDEX(TBBP[],MATCH("2.9",planoContas,0)+1,MATCH(Tabela1[[#This Row],[Periodo]],listaPeriodos,0))-1)/INDEX(TBBP[],MATCH("2",planoContas,0)+1,MATCH(Tabela1[[#This Row],[Periodo]],listaPeriodos,0))</f>
        <v>0.8832145137947276</v>
      </c>
      <c r="F815" s="33"/>
      <c r="G815" s="228"/>
      <c r="H815" s="33"/>
    </row>
    <row r="816" spans="1:8" x14ac:dyDescent="0.3">
      <c r="A816" t="s">
        <v>1132</v>
      </c>
      <c r="B816" s="3">
        <f t="shared" ref="B816:B879" si="10">DATE(YEAR(B815),MONTH(B815)+1,DAY(B815))</f>
        <v>43132</v>
      </c>
      <c r="C816" s="2" t="str">
        <f>VLOOKUP(MONTH(Tabela1[[#This Row],[Periodo]]),NUMMESES,2,FALSE)</f>
        <v>Fevereiro</v>
      </c>
      <c r="D816" s="2">
        <f>YEAR(Tabela1[[#This Row],[Periodo]])</f>
        <v>2018</v>
      </c>
      <c r="E816" s="33">
        <f>(INDEX(TBBP[],MATCH("2.9",planoContas,0)+1,MATCH(Tabela1[[#This Row],[Periodo]],listaPeriodos,0))-1)/INDEX(TBBP[],MATCH("2",planoContas,0)+1,MATCH(Tabela1[[#This Row],[Periodo]],listaPeriodos,0))</f>
        <v>0.87589895260455941</v>
      </c>
      <c r="F816" s="33"/>
      <c r="G816" s="228"/>
      <c r="H816" s="33"/>
    </row>
    <row r="817" spans="1:8" x14ac:dyDescent="0.3">
      <c r="A817" t="s">
        <v>1132</v>
      </c>
      <c r="B817" s="3">
        <f t="shared" si="10"/>
        <v>43160</v>
      </c>
      <c r="C817" s="2" t="str">
        <f>VLOOKUP(MONTH(Tabela1[[#This Row],[Periodo]]),NUMMESES,2,FALSE)</f>
        <v>Março</v>
      </c>
      <c r="D817" s="2">
        <f>YEAR(Tabela1[[#This Row],[Periodo]])</f>
        <v>2018</v>
      </c>
      <c r="E817" s="33">
        <f>(INDEX(TBBP[],MATCH("2.9",planoContas,0)+1,MATCH(Tabela1[[#This Row],[Periodo]],listaPeriodos,0))-1)/INDEX(TBBP[],MATCH("2",planoContas,0)+1,MATCH(Tabela1[[#This Row],[Periodo]],listaPeriodos,0))</f>
        <v>0.86249060604390859</v>
      </c>
      <c r="F817" s="33"/>
      <c r="G817" s="228"/>
      <c r="H817" s="33"/>
    </row>
    <row r="818" spans="1:8" x14ac:dyDescent="0.3">
      <c r="A818" t="s">
        <v>1132</v>
      </c>
      <c r="B818" s="3">
        <f t="shared" si="10"/>
        <v>43191</v>
      </c>
      <c r="C818" s="2" t="str">
        <f>VLOOKUP(MONTH(Tabela1[[#This Row],[Periodo]]),NUMMESES,2,FALSE)</f>
        <v>Abril</v>
      </c>
      <c r="D818" s="2">
        <f>YEAR(Tabela1[[#This Row],[Periodo]])</f>
        <v>2018</v>
      </c>
      <c r="E818" s="33">
        <f>(INDEX(TBBP[],MATCH("2.9",planoContas,0)+1,MATCH(Tabela1[[#This Row],[Periodo]],listaPeriodos,0))-1)/INDEX(TBBP[],MATCH("2",planoContas,0)+1,MATCH(Tabela1[[#This Row],[Periodo]],listaPeriodos,0))</f>
        <v>0.68015796305761211</v>
      </c>
      <c r="F818" s="33"/>
      <c r="G818" s="228"/>
      <c r="H818" s="33"/>
    </row>
    <row r="819" spans="1:8" x14ac:dyDescent="0.3">
      <c r="A819" t="s">
        <v>1132</v>
      </c>
      <c r="B819" s="3">
        <f t="shared" si="10"/>
        <v>43221</v>
      </c>
      <c r="C819" s="2" t="str">
        <f>VLOOKUP(MONTH(Tabela1[[#This Row],[Periodo]]),NUMMESES,2,FALSE)</f>
        <v>Maio</v>
      </c>
      <c r="D819" s="2">
        <f>YEAR(Tabela1[[#This Row],[Periodo]])</f>
        <v>2018</v>
      </c>
      <c r="E819" s="33">
        <f>(INDEX(TBBP[],MATCH("2.9",planoContas,0)+1,MATCH(Tabela1[[#This Row],[Periodo]],listaPeriodos,0))-1)/INDEX(TBBP[],MATCH("2",planoContas,0)+1,MATCH(Tabela1[[#This Row],[Periodo]],listaPeriodos,0))</f>
        <v>0.70599927470207979</v>
      </c>
      <c r="F819" s="33"/>
      <c r="G819" s="228"/>
      <c r="H819" s="33"/>
    </row>
    <row r="820" spans="1:8" x14ac:dyDescent="0.3">
      <c r="A820" t="s">
        <v>1132</v>
      </c>
      <c r="B820" s="3">
        <f t="shared" si="10"/>
        <v>43252</v>
      </c>
      <c r="C820" s="2" t="str">
        <f>VLOOKUP(MONTH(Tabela1[[#This Row],[Periodo]]),NUMMESES,2,FALSE)</f>
        <v>Junho</v>
      </c>
      <c r="D820" s="2">
        <f>YEAR(Tabela1[[#This Row],[Periodo]])</f>
        <v>2018</v>
      </c>
      <c r="E820" s="33">
        <f>(INDEX(TBBP[],MATCH("2.9",planoContas,0)+1,MATCH(Tabela1[[#This Row],[Periodo]],listaPeriodos,0))-1)/INDEX(TBBP[],MATCH("2",planoContas,0)+1,MATCH(Tabela1[[#This Row],[Periodo]],listaPeriodos,0))</f>
        <v>0.69141414480792496</v>
      </c>
      <c r="F820" s="33"/>
      <c r="G820" s="228"/>
      <c r="H820" s="33"/>
    </row>
    <row r="821" spans="1:8" x14ac:dyDescent="0.3">
      <c r="A821" t="s">
        <v>1132</v>
      </c>
      <c r="B821" s="3">
        <f t="shared" si="10"/>
        <v>43282</v>
      </c>
      <c r="C821" s="2" t="str">
        <f>VLOOKUP(MONTH(Tabela1[[#This Row],[Periodo]]),NUMMESES,2,FALSE)</f>
        <v>Julho</v>
      </c>
      <c r="D821" s="2">
        <f>YEAR(Tabela1[[#This Row],[Periodo]])</f>
        <v>2018</v>
      </c>
      <c r="E821" s="33">
        <f>(INDEX(TBBP[],MATCH("2.9",planoContas,0)+1,MATCH(Tabela1[[#This Row],[Periodo]],listaPeriodos,0))-1)/INDEX(TBBP[],MATCH("2",planoContas,0)+1,MATCH(Tabela1[[#This Row],[Periodo]],listaPeriodos,0))</f>
        <v>0.71251950442839629</v>
      </c>
      <c r="F821" s="33"/>
      <c r="G821" s="228"/>
      <c r="H821" s="33"/>
    </row>
    <row r="822" spans="1:8" x14ac:dyDescent="0.3">
      <c r="A822" t="s">
        <v>1132</v>
      </c>
      <c r="B822" s="3">
        <f t="shared" si="10"/>
        <v>43313</v>
      </c>
      <c r="C822" s="2" t="str">
        <f>VLOOKUP(MONTH(Tabela1[[#This Row],[Periodo]]),NUMMESES,2,FALSE)</f>
        <v>Agosto</v>
      </c>
      <c r="D822" s="2">
        <f>YEAR(Tabela1[[#This Row],[Periodo]])</f>
        <v>2018</v>
      </c>
      <c r="E822" s="33">
        <f>(INDEX(TBBP[],MATCH("2.9",planoContas,0)+1,MATCH(Tabela1[[#This Row],[Periodo]],listaPeriodos,0))-1)/INDEX(TBBP[],MATCH("2",planoContas,0)+1,MATCH(Tabela1[[#This Row],[Periodo]],listaPeriodos,0))</f>
        <v>0.70887489550789473</v>
      </c>
      <c r="F822" s="33"/>
      <c r="G822" s="228"/>
      <c r="H822" s="33"/>
    </row>
    <row r="823" spans="1:8" x14ac:dyDescent="0.3">
      <c r="A823" t="s">
        <v>1132</v>
      </c>
      <c r="B823" s="3">
        <f t="shared" si="10"/>
        <v>43344</v>
      </c>
      <c r="C823" s="2" t="str">
        <f>VLOOKUP(MONTH(Tabela1[[#This Row],[Periodo]]),NUMMESES,2,FALSE)</f>
        <v>Setembro</v>
      </c>
      <c r="D823" s="2">
        <f>YEAR(Tabela1[[#This Row],[Periodo]])</f>
        <v>2018</v>
      </c>
      <c r="E823" s="33">
        <f>(INDEX(TBBP[],MATCH("2.9",planoContas,0)+1,MATCH(Tabela1[[#This Row],[Periodo]],listaPeriodos,0))-1)/INDEX(TBBP[],MATCH("2",planoContas,0)+1,MATCH(Tabela1[[#This Row],[Periodo]],listaPeriodos,0))</f>
        <v>0.69299376224725406</v>
      </c>
      <c r="F823" s="33"/>
      <c r="G823" s="228"/>
      <c r="H823" s="33"/>
    </row>
    <row r="824" spans="1:8" x14ac:dyDescent="0.3">
      <c r="A824" t="s">
        <v>1132</v>
      </c>
      <c r="B824" s="3">
        <f t="shared" si="10"/>
        <v>43374</v>
      </c>
      <c r="C824" s="2" t="str">
        <f>VLOOKUP(MONTH(Tabela1[[#This Row],[Periodo]]),NUMMESES,2,FALSE)</f>
        <v>Outubro</v>
      </c>
      <c r="D824" s="2">
        <f>YEAR(Tabela1[[#This Row],[Periodo]])</f>
        <v>2018</v>
      </c>
      <c r="E824" s="33">
        <f>(INDEX(TBBP[],MATCH("2.9",planoContas,0)+1,MATCH(Tabela1[[#This Row],[Periodo]],listaPeriodos,0))-1)/INDEX(TBBP[],MATCH("2",planoContas,0)+1,MATCH(Tabela1[[#This Row],[Periodo]],listaPeriodos,0))</f>
        <v>0.70958054425372075</v>
      </c>
      <c r="F824" s="33"/>
      <c r="G824" s="228"/>
      <c r="H824" s="33"/>
    </row>
    <row r="825" spans="1:8" x14ac:dyDescent="0.3">
      <c r="A825" t="s">
        <v>1132</v>
      </c>
      <c r="B825" s="3">
        <f t="shared" si="10"/>
        <v>43405</v>
      </c>
      <c r="C825" s="2" t="str">
        <f>VLOOKUP(MONTH(Tabela1[[#This Row],[Periodo]]),NUMMESES,2,FALSE)</f>
        <v>Novembro</v>
      </c>
      <c r="D825" s="2">
        <f>YEAR(Tabela1[[#This Row],[Periodo]])</f>
        <v>2018</v>
      </c>
      <c r="E825" s="33">
        <f>(INDEX(TBBP[],MATCH("2.9",planoContas,0)+1,MATCH(Tabela1[[#This Row],[Periodo]],listaPeriodos,0))-1)/INDEX(TBBP[],MATCH("2",planoContas,0)+1,MATCH(Tabela1[[#This Row],[Periodo]],listaPeriodos,0))</f>
        <v>0.73548201844177408</v>
      </c>
      <c r="F825" s="33"/>
      <c r="G825" s="228"/>
      <c r="H825" s="33"/>
    </row>
    <row r="826" spans="1:8" x14ac:dyDescent="0.3">
      <c r="A826" t="s">
        <v>1132</v>
      </c>
      <c r="B826" s="3">
        <f t="shared" si="10"/>
        <v>43435</v>
      </c>
      <c r="C826" s="2" t="str">
        <f>VLOOKUP(MONTH(Tabela1[[#This Row],[Periodo]]),NUMMESES,2,FALSE)</f>
        <v>Dezembro</v>
      </c>
      <c r="D826" s="2">
        <f>YEAR(Tabela1[[#This Row],[Periodo]])</f>
        <v>2018</v>
      </c>
      <c r="E826" s="33">
        <f>(INDEX(TBBP[],MATCH("2.9",planoContas,0)+1,MATCH(Tabela1[[#This Row],[Periodo]],listaPeriodos,0))-1)/INDEX(TBBP[],MATCH("2",planoContas,0)+1,MATCH(Tabela1[[#This Row],[Periodo]],listaPeriodos,0))</f>
        <v>0.74680849807828797</v>
      </c>
      <c r="F826" s="33"/>
      <c r="G826" s="228"/>
      <c r="H826" s="33"/>
    </row>
    <row r="827" spans="1:8" x14ac:dyDescent="0.3">
      <c r="A827" t="s">
        <v>1132</v>
      </c>
      <c r="B827" s="3">
        <f t="shared" si="10"/>
        <v>43466</v>
      </c>
      <c r="C827" s="2" t="str">
        <f>VLOOKUP(MONTH(Tabela1[[#This Row],[Periodo]]),NUMMESES,2,FALSE)</f>
        <v>Janeiro</v>
      </c>
      <c r="D827" s="2">
        <f>YEAR(Tabela1[[#This Row],[Periodo]])</f>
        <v>2019</v>
      </c>
      <c r="E827" s="33">
        <f>(INDEX(TBBP[],MATCH("2.9",planoContas,0)+1,MATCH(Tabela1[[#This Row],[Periodo]],listaPeriodos,0))-1)/INDEX(TBBP[],MATCH("2",planoContas,0)+1,MATCH(Tabela1[[#This Row],[Periodo]],listaPeriodos,0))</f>
        <v>0.72903378549892672</v>
      </c>
      <c r="F827" s="33"/>
      <c r="G827" s="228"/>
      <c r="H827" s="33"/>
    </row>
    <row r="828" spans="1:8" x14ac:dyDescent="0.3">
      <c r="A828" t="s">
        <v>1132</v>
      </c>
      <c r="B828" s="3">
        <f t="shared" si="10"/>
        <v>43497</v>
      </c>
      <c r="C828" s="2" t="str">
        <f>VLOOKUP(MONTH(Tabela1[[#This Row],[Periodo]]),NUMMESES,2,FALSE)</f>
        <v>Fevereiro</v>
      </c>
      <c r="D828" s="2">
        <f>YEAR(Tabela1[[#This Row],[Periodo]])</f>
        <v>2019</v>
      </c>
      <c r="E828" s="33">
        <f>(INDEX(TBBP[],MATCH("2.9",planoContas,0)+1,MATCH(Tabela1[[#This Row],[Periodo]],listaPeriodos,0))-1)/INDEX(TBBP[],MATCH("2",planoContas,0)+1,MATCH(Tabela1[[#This Row],[Periodo]],listaPeriodos,0))</f>
        <v>0.73958829445547658</v>
      </c>
      <c r="F828" s="33"/>
      <c r="G828" s="228"/>
      <c r="H828" s="33"/>
    </row>
    <row r="829" spans="1:8" x14ac:dyDescent="0.3">
      <c r="A829" t="s">
        <v>1132</v>
      </c>
      <c r="B829" s="3">
        <f t="shared" si="10"/>
        <v>43525</v>
      </c>
      <c r="C829" s="2" t="str">
        <f>VLOOKUP(MONTH(Tabela1[[#This Row],[Periodo]]),NUMMESES,2,FALSE)</f>
        <v>Março</v>
      </c>
      <c r="D829" s="2">
        <f>YEAR(Tabela1[[#This Row],[Periodo]])</f>
        <v>2019</v>
      </c>
      <c r="E829" s="33">
        <f>(INDEX(TBBP[],MATCH("2.9",planoContas,0)+1,MATCH(Tabela1[[#This Row],[Periodo]],listaPeriodos,0))-1)/INDEX(TBBP[],MATCH("2",planoContas,0)+1,MATCH(Tabela1[[#This Row],[Periodo]],listaPeriodos,0))</f>
        <v>0.7240525060034948</v>
      </c>
      <c r="F829" s="33"/>
      <c r="G829" s="228"/>
      <c r="H829" s="33"/>
    </row>
    <row r="830" spans="1:8" x14ac:dyDescent="0.3">
      <c r="A830" t="s">
        <v>1132</v>
      </c>
      <c r="B830" s="3">
        <f t="shared" si="10"/>
        <v>43556</v>
      </c>
      <c r="C830" s="2" t="str">
        <f>VLOOKUP(MONTH(Tabela1[[#This Row],[Periodo]]),NUMMESES,2,FALSE)</f>
        <v>Abril</v>
      </c>
      <c r="D830" s="2">
        <f>YEAR(Tabela1[[#This Row],[Periodo]])</f>
        <v>2019</v>
      </c>
      <c r="E830" s="33">
        <f>(INDEX(TBBP[],MATCH("2.9",planoContas,0)+1,MATCH(Tabela1[[#This Row],[Periodo]],listaPeriodos,0))-1)/INDEX(TBBP[],MATCH("2",planoContas,0)+1,MATCH(Tabela1[[#This Row],[Periodo]],listaPeriodos,0))</f>
        <v>0.74582400567832918</v>
      </c>
      <c r="F830" s="33"/>
      <c r="G830" s="228"/>
      <c r="H830" s="33"/>
    </row>
    <row r="831" spans="1:8" x14ac:dyDescent="0.3">
      <c r="A831" t="s">
        <v>1132</v>
      </c>
      <c r="B831" s="3">
        <f t="shared" si="10"/>
        <v>43586</v>
      </c>
      <c r="C831" s="2" t="str">
        <f>VLOOKUP(MONTH(Tabela1[[#This Row],[Periodo]]),NUMMESES,2,FALSE)</f>
        <v>Maio</v>
      </c>
      <c r="D831" s="2">
        <f>YEAR(Tabela1[[#This Row],[Periodo]])</f>
        <v>2019</v>
      </c>
      <c r="E831" s="33">
        <f>(INDEX(TBBP[],MATCH("2.9",planoContas,0)+1,MATCH(Tabela1[[#This Row],[Periodo]],listaPeriodos,0))-1)/INDEX(TBBP[],MATCH("2",planoContas,0)+1,MATCH(Tabela1[[#This Row],[Periodo]],listaPeriodos,0))</f>
        <v>0.7374625057973585</v>
      </c>
      <c r="F831" s="33"/>
      <c r="G831" s="228"/>
      <c r="H831" s="33"/>
    </row>
    <row r="832" spans="1:8" x14ac:dyDescent="0.3">
      <c r="A832" t="s">
        <v>1132</v>
      </c>
      <c r="B832" s="3">
        <f t="shared" si="10"/>
        <v>43617</v>
      </c>
      <c r="C832" s="2" t="str">
        <f>VLOOKUP(MONTH(Tabela1[[#This Row],[Periodo]]),NUMMESES,2,FALSE)</f>
        <v>Junho</v>
      </c>
      <c r="D832" s="2">
        <f>YEAR(Tabela1[[#This Row],[Periodo]])</f>
        <v>2019</v>
      </c>
      <c r="E832" s="33">
        <f>(INDEX(TBBP[],MATCH("2.9",planoContas,0)+1,MATCH(Tabela1[[#This Row],[Periodo]],listaPeriodos,0))-1)/INDEX(TBBP[],MATCH("2",planoContas,0)+1,MATCH(Tabela1[[#This Row],[Periodo]],listaPeriodos,0))</f>
        <v>0.72418496384892439</v>
      </c>
      <c r="F832" s="33"/>
      <c r="G832" s="228"/>
      <c r="H832" s="33"/>
    </row>
    <row r="833" spans="1:8" x14ac:dyDescent="0.3">
      <c r="A833" t="s">
        <v>1132</v>
      </c>
      <c r="B833" s="3">
        <f t="shared" si="10"/>
        <v>43647</v>
      </c>
      <c r="C833" s="2" t="str">
        <f>VLOOKUP(MONTH(Tabela1[[#This Row],[Periodo]]),NUMMESES,2,FALSE)</f>
        <v>Julho</v>
      </c>
      <c r="D833" s="2">
        <f>YEAR(Tabela1[[#This Row],[Periodo]])</f>
        <v>2019</v>
      </c>
      <c r="E833" s="33">
        <f>(INDEX(TBBP[],MATCH("2.9",planoContas,0)+1,MATCH(Tabela1[[#This Row],[Periodo]],listaPeriodos,0))-1)/INDEX(TBBP[],MATCH("2",planoContas,0)+1,MATCH(Tabela1[[#This Row],[Periodo]],listaPeriodos,0))</f>
        <v>0.73132764237439396</v>
      </c>
      <c r="F833" s="33"/>
      <c r="G833" s="228"/>
      <c r="H833" s="33"/>
    </row>
    <row r="834" spans="1:8" x14ac:dyDescent="0.3">
      <c r="A834" t="s">
        <v>1132</v>
      </c>
      <c r="B834" s="3">
        <f t="shared" si="10"/>
        <v>43678</v>
      </c>
      <c r="C834" s="2" t="str">
        <f>VLOOKUP(MONTH(Tabela1[[#This Row],[Periodo]]),NUMMESES,2,FALSE)</f>
        <v>Agosto</v>
      </c>
      <c r="D834" s="2">
        <f>YEAR(Tabela1[[#This Row],[Periodo]])</f>
        <v>2019</v>
      </c>
      <c r="E834" s="33">
        <f>(INDEX(TBBP[],MATCH("2.9",planoContas,0)+1,MATCH(Tabela1[[#This Row],[Periodo]],listaPeriodos,0))-1)/INDEX(TBBP[],MATCH("2",planoContas,0)+1,MATCH(Tabela1[[#This Row],[Periodo]],listaPeriodos,0))</f>
        <v>0.75243138518087427</v>
      </c>
      <c r="F834" s="33"/>
      <c r="G834" s="228"/>
      <c r="H834" s="33"/>
    </row>
    <row r="835" spans="1:8" x14ac:dyDescent="0.3">
      <c r="A835" t="s">
        <v>1132</v>
      </c>
      <c r="B835" s="3">
        <f t="shared" si="10"/>
        <v>43709</v>
      </c>
      <c r="C835" s="2" t="str">
        <f>VLOOKUP(MONTH(Tabela1[[#This Row],[Periodo]]),NUMMESES,2,FALSE)</f>
        <v>Setembro</v>
      </c>
      <c r="D835" s="2">
        <f>YEAR(Tabela1[[#This Row],[Periodo]])</f>
        <v>2019</v>
      </c>
      <c r="E835" s="33">
        <f>(INDEX(TBBP[],MATCH("2.9",planoContas,0)+1,MATCH(Tabela1[[#This Row],[Periodo]],listaPeriodos,0))-1)/INDEX(TBBP[],MATCH("2",planoContas,0)+1,MATCH(Tabela1[[#This Row],[Periodo]],listaPeriodos,0))</f>
        <v>0.74267167144903135</v>
      </c>
      <c r="F835" s="33"/>
      <c r="G835" s="228"/>
      <c r="H835" s="33"/>
    </row>
    <row r="836" spans="1:8" x14ac:dyDescent="0.3">
      <c r="A836" t="s">
        <v>1132</v>
      </c>
      <c r="B836" s="3">
        <f t="shared" si="10"/>
        <v>43739</v>
      </c>
      <c r="C836" s="2" t="str">
        <f>VLOOKUP(MONTH(Tabela1[[#This Row],[Periodo]]),NUMMESES,2,FALSE)</f>
        <v>Outubro</v>
      </c>
      <c r="D836" s="2">
        <f>YEAR(Tabela1[[#This Row],[Periodo]])</f>
        <v>2019</v>
      </c>
      <c r="E836" s="33">
        <f>(INDEX(TBBP[],MATCH("2.9",planoContas,0)+1,MATCH(Tabela1[[#This Row],[Periodo]],listaPeriodos,0))-1)/INDEX(TBBP[],MATCH("2",planoContas,0)+1,MATCH(Tabela1[[#This Row],[Periodo]],listaPeriodos,0))</f>
        <v>0.79966362061265195</v>
      </c>
      <c r="F836" s="33"/>
      <c r="G836" s="228"/>
      <c r="H836" s="33"/>
    </row>
    <row r="837" spans="1:8" x14ac:dyDescent="0.3">
      <c r="A837" t="s">
        <v>1132</v>
      </c>
      <c r="B837" s="3">
        <f t="shared" si="10"/>
        <v>43770</v>
      </c>
      <c r="C837" s="2" t="str">
        <f>VLOOKUP(MONTH(Tabela1[[#This Row],[Periodo]]),NUMMESES,2,FALSE)</f>
        <v>Novembro</v>
      </c>
      <c r="D837" s="2">
        <f>YEAR(Tabela1[[#This Row],[Periodo]])</f>
        <v>2019</v>
      </c>
      <c r="E837" s="33">
        <f>(INDEX(TBBP[],MATCH("2.9",planoContas,0)+1,MATCH(Tabela1[[#This Row],[Periodo]],listaPeriodos,0))-1)/INDEX(TBBP[],MATCH("2",planoContas,0)+1,MATCH(Tabela1[[#This Row],[Periodo]],listaPeriodos,0))</f>
        <v>0.78795859762029208</v>
      </c>
      <c r="F837" s="33"/>
      <c r="G837" s="228"/>
      <c r="H837" s="33"/>
    </row>
    <row r="838" spans="1:8" x14ac:dyDescent="0.3">
      <c r="A838" t="s">
        <v>1132</v>
      </c>
      <c r="B838" s="3">
        <f t="shared" si="10"/>
        <v>43800</v>
      </c>
      <c r="C838" s="2" t="str">
        <f>VLOOKUP(MONTH(Tabela1[[#This Row],[Periodo]]),NUMMESES,2,FALSE)</f>
        <v>Dezembro</v>
      </c>
      <c r="D838" s="2">
        <f>YEAR(Tabela1[[#This Row],[Periodo]])</f>
        <v>2019</v>
      </c>
      <c r="E838" s="33">
        <f>(INDEX(TBBP[],MATCH("2.9",planoContas,0)+1,MATCH(Tabela1[[#This Row],[Periodo]],listaPeriodos,0))-1)/INDEX(TBBP[],MATCH("2",planoContas,0)+1,MATCH(Tabela1[[#This Row],[Periodo]],listaPeriodos,0))</f>
        <v>0.81277864756558249</v>
      </c>
      <c r="F838" s="33"/>
      <c r="G838" s="228"/>
      <c r="H838" s="33"/>
    </row>
    <row r="839" spans="1:8" x14ac:dyDescent="0.3">
      <c r="A839" t="s">
        <v>1132</v>
      </c>
      <c r="B839" s="3">
        <f t="shared" si="10"/>
        <v>43831</v>
      </c>
      <c r="C839" s="2" t="str">
        <f>VLOOKUP(MONTH(Tabela1[[#This Row],[Periodo]]),NUMMESES,2,FALSE)</f>
        <v>Janeiro</v>
      </c>
      <c r="D839" s="2">
        <f>YEAR(Tabela1[[#This Row],[Periodo]])</f>
        <v>2020</v>
      </c>
      <c r="E839" s="33">
        <f>(INDEX(TBBP[],MATCH("2.9",planoContas,0)+1,MATCH(Tabela1[[#This Row],[Periodo]],listaPeriodos,0))-1)/INDEX(TBBP[],MATCH("2",planoContas,0)+1,MATCH(Tabela1[[#This Row],[Periodo]],listaPeriodos,0))</f>
        <v>0.8122291390441595</v>
      </c>
      <c r="F839" s="33"/>
      <c r="G839" s="228"/>
      <c r="H839" s="33"/>
    </row>
    <row r="840" spans="1:8" x14ac:dyDescent="0.3">
      <c r="A840" t="s">
        <v>1132</v>
      </c>
      <c r="B840" s="3">
        <f t="shared" si="10"/>
        <v>43862</v>
      </c>
      <c r="C840" s="2" t="str">
        <f>VLOOKUP(MONTH(Tabela1[[#This Row],[Periodo]]),NUMMESES,2,FALSE)</f>
        <v>Fevereiro</v>
      </c>
      <c r="D840" s="2">
        <f>YEAR(Tabela1[[#This Row],[Periodo]])</f>
        <v>2020</v>
      </c>
      <c r="E840" s="33">
        <f>(INDEX(TBBP[],MATCH("2.9",planoContas,0)+1,MATCH(Tabela1[[#This Row],[Periodo]],listaPeriodos,0))-1)/INDEX(TBBP[],MATCH("2",planoContas,0)+1,MATCH(Tabela1[[#This Row],[Periodo]],listaPeriodos,0))</f>
        <v>0.76613250185601345</v>
      </c>
      <c r="F840" s="33"/>
      <c r="G840" s="228"/>
      <c r="H840" s="33"/>
    </row>
    <row r="841" spans="1:8" x14ac:dyDescent="0.3">
      <c r="A841" t="s">
        <v>1132</v>
      </c>
      <c r="B841" s="3">
        <f t="shared" si="10"/>
        <v>43891</v>
      </c>
      <c r="C841" s="2" t="str">
        <f>VLOOKUP(MONTH(Tabela1[[#This Row],[Periodo]]),NUMMESES,2,FALSE)</f>
        <v>Março</v>
      </c>
      <c r="D841" s="2">
        <f>YEAR(Tabela1[[#This Row],[Periodo]])</f>
        <v>2020</v>
      </c>
      <c r="E841" s="33">
        <f>(INDEX(TBBP[],MATCH("2.9",planoContas,0)+1,MATCH(Tabela1[[#This Row],[Periodo]],listaPeriodos,0))-1)/INDEX(TBBP[],MATCH("2",planoContas,0)+1,MATCH(Tabela1[[#This Row],[Periodo]],listaPeriodos,0))</f>
        <v>0.78507375442203797</v>
      </c>
      <c r="F841" s="33"/>
      <c r="G841" s="228"/>
      <c r="H841" s="33"/>
    </row>
    <row r="842" spans="1:8" x14ac:dyDescent="0.3">
      <c r="A842" t="s">
        <v>1132</v>
      </c>
      <c r="B842" s="3">
        <f t="shared" si="10"/>
        <v>43922</v>
      </c>
      <c r="C842" s="2" t="str">
        <f>VLOOKUP(MONTH(Tabela1[[#This Row],[Periodo]]),NUMMESES,2,FALSE)</f>
        <v>Abril</v>
      </c>
      <c r="D842" s="2">
        <f>YEAR(Tabela1[[#This Row],[Periodo]])</f>
        <v>2020</v>
      </c>
      <c r="E842" s="33">
        <f>(INDEX(TBBP[],MATCH("2.9",planoContas,0)+1,MATCH(Tabela1[[#This Row],[Periodo]],listaPeriodos,0))-1)/INDEX(TBBP[],MATCH("2",planoContas,0)+1,MATCH(Tabela1[[#This Row],[Periodo]],listaPeriodos,0))</f>
        <v>0.80954984750084646</v>
      </c>
      <c r="F842" s="33"/>
      <c r="G842" s="228"/>
      <c r="H842" s="33"/>
    </row>
    <row r="843" spans="1:8" x14ac:dyDescent="0.3">
      <c r="A843" t="s">
        <v>1132</v>
      </c>
      <c r="B843" s="3">
        <f t="shared" si="10"/>
        <v>43952</v>
      </c>
      <c r="C843" s="2" t="str">
        <f>VLOOKUP(MONTH(Tabela1[[#This Row],[Periodo]]),NUMMESES,2,FALSE)</f>
        <v>Maio</v>
      </c>
      <c r="D843" s="2">
        <f>YEAR(Tabela1[[#This Row],[Periodo]])</f>
        <v>2020</v>
      </c>
      <c r="E843" s="33">
        <f>(INDEX(TBBP[],MATCH("2.9",planoContas,0)+1,MATCH(Tabela1[[#This Row],[Periodo]],listaPeriodos,0))-1)/INDEX(TBBP[],MATCH("2",planoContas,0)+1,MATCH(Tabela1[[#This Row],[Periodo]],listaPeriodos,0))</f>
        <v>0.79197568374594973</v>
      </c>
      <c r="F843" s="33"/>
      <c r="G843" s="228"/>
      <c r="H843" s="33"/>
    </row>
    <row r="844" spans="1:8" x14ac:dyDescent="0.3">
      <c r="A844" t="s">
        <v>1132</v>
      </c>
      <c r="B844" s="3">
        <f t="shared" si="10"/>
        <v>43983</v>
      </c>
      <c r="C844" s="2" t="str">
        <f>VLOOKUP(MONTH(Tabela1[[#This Row],[Periodo]]),NUMMESES,2,FALSE)</f>
        <v>Junho</v>
      </c>
      <c r="D844" s="2">
        <f>YEAR(Tabela1[[#This Row],[Periodo]])</f>
        <v>2020</v>
      </c>
      <c r="E844" s="33">
        <f>(INDEX(TBBP[],MATCH("2.9",planoContas,0)+1,MATCH(Tabela1[[#This Row],[Periodo]],listaPeriodos,0))-1)/INDEX(TBBP[],MATCH("2",planoContas,0)+1,MATCH(Tabela1[[#This Row],[Periodo]],listaPeriodos,0))</f>
        <v>0.79727964868980716</v>
      </c>
      <c r="F844" s="33"/>
      <c r="G844" s="228"/>
      <c r="H844" s="33"/>
    </row>
    <row r="845" spans="1:8" x14ac:dyDescent="0.3">
      <c r="A845" t="s">
        <v>1132</v>
      </c>
      <c r="B845" s="3">
        <f t="shared" si="10"/>
        <v>44013</v>
      </c>
      <c r="C845" s="2" t="str">
        <f>VLOOKUP(MONTH(Tabela1[[#This Row],[Periodo]]),NUMMESES,2,FALSE)</f>
        <v>Julho</v>
      </c>
      <c r="D845" s="2">
        <f>YEAR(Tabela1[[#This Row],[Periodo]])</f>
        <v>2020</v>
      </c>
      <c r="E845" s="33">
        <f>(INDEX(TBBP[],MATCH("2.9",planoContas,0)+1,MATCH(Tabela1[[#This Row],[Periodo]],listaPeriodos,0))-1)/INDEX(TBBP[],MATCH("2",planoContas,0)+1,MATCH(Tabela1[[#This Row],[Periodo]],listaPeriodos,0))</f>
        <v>0.8057981444730834</v>
      </c>
      <c r="F845" s="33"/>
      <c r="G845" s="228"/>
      <c r="H845" s="33"/>
    </row>
    <row r="846" spans="1:8" x14ac:dyDescent="0.3">
      <c r="A846" t="s">
        <v>1132</v>
      </c>
      <c r="B846" s="3">
        <f>DATE(YEAR(B845),MONTH(B845)+1,DAY(B845))</f>
        <v>44044</v>
      </c>
      <c r="C846" s="2" t="str">
        <f>VLOOKUP(MONTH(Tabela1[[#This Row],[Periodo]]),NUMMESES,2,FALSE)</f>
        <v>Agosto</v>
      </c>
      <c r="D846" s="2">
        <f>YEAR(Tabela1[[#This Row],[Periodo]])</f>
        <v>2020</v>
      </c>
      <c r="E846" s="33">
        <f>(INDEX(TBBP[],MATCH("2.9",planoContas,0)+1,MATCH(Tabela1[[#This Row],[Periodo]],listaPeriodos,0))-1)/INDEX(TBBP[],MATCH("2",planoContas,0)+1,MATCH(Tabela1[[#This Row],[Periodo]],listaPeriodos,0))</f>
        <v>0.76998530051570302</v>
      </c>
      <c r="F846" s="33"/>
      <c r="G846" s="228"/>
      <c r="H846" s="33"/>
    </row>
    <row r="847" spans="1:8" x14ac:dyDescent="0.3">
      <c r="A847" t="s">
        <v>1132</v>
      </c>
      <c r="B847" s="3">
        <f t="shared" si="10"/>
        <v>44075</v>
      </c>
      <c r="C847" s="2" t="str">
        <f>VLOOKUP(MONTH(Tabela1[[#This Row],[Periodo]]),NUMMESES,2,FALSE)</f>
        <v>Setembro</v>
      </c>
      <c r="D847" s="2">
        <f>YEAR(Tabela1[[#This Row],[Periodo]])</f>
        <v>2020</v>
      </c>
      <c r="E847" s="33">
        <f>(INDEX(TBBP[],MATCH("2.9",planoContas,0)+1,MATCH(Tabela1[[#This Row],[Periodo]],listaPeriodos,0))-1)/INDEX(TBBP[],MATCH("2",planoContas,0)+1,MATCH(Tabela1[[#This Row],[Periodo]],listaPeriodos,0))</f>
        <v>0.77322453697123728</v>
      </c>
      <c r="F847" s="33"/>
      <c r="G847" s="228"/>
      <c r="H847" s="33"/>
    </row>
    <row r="848" spans="1:8" x14ac:dyDescent="0.3">
      <c r="A848" t="s">
        <v>1132</v>
      </c>
      <c r="B848" s="3">
        <f t="shared" si="10"/>
        <v>44105</v>
      </c>
      <c r="C848" s="2" t="str">
        <f>VLOOKUP(MONTH(Tabela1[[#This Row],[Periodo]]),NUMMESES,2,FALSE)</f>
        <v>Outubro</v>
      </c>
      <c r="D848" s="2">
        <f>YEAR(Tabela1[[#This Row],[Periodo]])</f>
        <v>2020</v>
      </c>
      <c r="E848" s="33">
        <f>(INDEX(TBBP[],MATCH("2.9",planoContas,0)+1,MATCH(Tabela1[[#This Row],[Periodo]],listaPeriodos,0))-1)/INDEX(TBBP[],MATCH("2",planoContas,0)+1,MATCH(Tabela1[[#This Row],[Periodo]],listaPeriodos,0))</f>
        <v>0.80408845588751299</v>
      </c>
      <c r="F848" s="33"/>
      <c r="G848" s="228"/>
      <c r="H848" s="33"/>
    </row>
    <row r="849" spans="1:8" x14ac:dyDescent="0.3">
      <c r="A849" t="s">
        <v>1132</v>
      </c>
      <c r="B849" s="3">
        <f t="shared" si="10"/>
        <v>44136</v>
      </c>
      <c r="C849" s="2" t="str">
        <f>VLOOKUP(MONTH(Tabela1[[#This Row],[Periodo]]),NUMMESES,2,FALSE)</f>
        <v>Novembro</v>
      </c>
      <c r="D849" s="2">
        <f>YEAR(Tabela1[[#This Row],[Periodo]])</f>
        <v>2020</v>
      </c>
      <c r="E849" s="33">
        <f>(INDEX(TBBP[],MATCH("2.9",planoContas,0)+1,MATCH(Tabela1[[#This Row],[Periodo]],listaPeriodos,0))-1)/INDEX(TBBP[],MATCH("2",planoContas,0)+1,MATCH(Tabela1[[#This Row],[Periodo]],listaPeriodos,0))</f>
        <v>0.78584990056512682</v>
      </c>
      <c r="F849" s="33"/>
      <c r="G849" s="228"/>
      <c r="H849" s="33"/>
    </row>
    <row r="850" spans="1:8" x14ac:dyDescent="0.3">
      <c r="A850" t="s">
        <v>1132</v>
      </c>
      <c r="B850" s="3">
        <f t="shared" si="10"/>
        <v>44166</v>
      </c>
      <c r="C850" s="2" t="str">
        <f>VLOOKUP(MONTH(Tabela1[[#This Row],[Periodo]]),NUMMESES,2,FALSE)</f>
        <v>Dezembro</v>
      </c>
      <c r="D850" s="2">
        <f>YEAR(Tabela1[[#This Row],[Periodo]])</f>
        <v>2020</v>
      </c>
      <c r="E850" s="33">
        <f>(INDEX(TBBP[],MATCH("2.9",planoContas,0)+1,MATCH(Tabela1[[#This Row],[Periodo]],listaPeriodos,0))-1)/INDEX(TBBP[],MATCH("2",planoContas,0)+1,MATCH(Tabela1[[#This Row],[Periodo]],listaPeriodos,0))</f>
        <v>0.75844108293155077</v>
      </c>
      <c r="F850" s="33"/>
      <c r="G850" s="228"/>
      <c r="H850" s="33"/>
    </row>
    <row r="851" spans="1:8" x14ac:dyDescent="0.3">
      <c r="A851" t="s">
        <v>1132</v>
      </c>
      <c r="B851" s="3">
        <f t="shared" si="10"/>
        <v>44197</v>
      </c>
      <c r="C851" s="2" t="str">
        <f>VLOOKUP(MONTH(Tabela1[[#This Row],[Periodo]]),NUMMESES,2,FALSE)</f>
        <v>Janeiro</v>
      </c>
      <c r="D851" s="2">
        <f>YEAR(Tabela1[[#This Row],[Periodo]])</f>
        <v>2021</v>
      </c>
      <c r="E851" s="33">
        <f>(INDEX(TBBP[],MATCH("2.9",planoContas,0)+1,MATCH(Tabela1[[#This Row],[Periodo]],listaPeriodos,0))-1)/INDEX(TBBP[],MATCH("2",planoContas,0)+1,MATCH(Tabela1[[#This Row],[Periodo]],listaPeriodos,0))</f>
        <v>0.77308265944273313</v>
      </c>
      <c r="F851" s="33"/>
      <c r="G851" s="228"/>
      <c r="H851" s="33"/>
    </row>
    <row r="852" spans="1:8" x14ac:dyDescent="0.3">
      <c r="A852" t="s">
        <v>1132</v>
      </c>
      <c r="B852" s="3">
        <f t="shared" si="10"/>
        <v>44228</v>
      </c>
      <c r="C852" s="2" t="str">
        <f>VLOOKUP(MONTH(Tabela1[[#This Row],[Periodo]]),NUMMESES,2,FALSE)</f>
        <v>Fevereiro</v>
      </c>
      <c r="D852" s="2">
        <f>YEAR(Tabela1[[#This Row],[Periodo]])</f>
        <v>2021</v>
      </c>
      <c r="E852" s="33">
        <f>(INDEX(TBBP[],MATCH("2.9",planoContas,0)+1,MATCH(Tabela1[[#This Row],[Periodo]],listaPeriodos,0))-1)/INDEX(TBBP[],MATCH("2",planoContas,0)+1,MATCH(Tabela1[[#This Row],[Periodo]],listaPeriodos,0))</f>
        <v>0.73056107180972107</v>
      </c>
      <c r="F852" s="33"/>
      <c r="G852" s="228"/>
      <c r="H852" s="33"/>
    </row>
    <row r="853" spans="1:8" x14ac:dyDescent="0.3">
      <c r="A853" t="s">
        <v>1132</v>
      </c>
      <c r="B853" s="3">
        <f t="shared" si="10"/>
        <v>44256</v>
      </c>
      <c r="C853" s="2" t="str">
        <f>VLOOKUP(MONTH(Tabela1[[#This Row],[Periodo]]),NUMMESES,2,FALSE)</f>
        <v>Março</v>
      </c>
      <c r="D853" s="2">
        <f>YEAR(Tabela1[[#This Row],[Periodo]])</f>
        <v>2021</v>
      </c>
      <c r="E853" s="33">
        <f>(INDEX(TBBP[],MATCH("2.9",planoContas,0)+1,MATCH(Tabela1[[#This Row],[Periodo]],listaPeriodos,0))-1)/INDEX(TBBP[],MATCH("2",planoContas,0)+1,MATCH(Tabela1[[#This Row],[Periodo]],listaPeriodos,0))</f>
        <v>0.72245121143485347</v>
      </c>
      <c r="F853" s="33"/>
      <c r="G853" s="228"/>
      <c r="H853" s="33"/>
    </row>
    <row r="854" spans="1:8" x14ac:dyDescent="0.3">
      <c r="A854" t="s">
        <v>1132</v>
      </c>
      <c r="B854" s="3">
        <f t="shared" si="10"/>
        <v>44287</v>
      </c>
      <c r="C854" s="2" t="str">
        <f>VLOOKUP(MONTH(Tabela1[[#This Row],[Periodo]]),NUMMESES,2,FALSE)</f>
        <v>Abril</v>
      </c>
      <c r="D854" s="2">
        <f>YEAR(Tabela1[[#This Row],[Periodo]])</f>
        <v>2021</v>
      </c>
      <c r="E854" s="33">
        <f>(INDEX(TBBP[],MATCH("2.9",planoContas,0)+1,MATCH(Tabela1[[#This Row],[Periodo]],listaPeriodos,0))-1)/INDEX(TBBP[],MATCH("2",planoContas,0)+1,MATCH(Tabela1[[#This Row],[Periodo]],listaPeriodos,0))</f>
        <v>0.73332447858588723</v>
      </c>
      <c r="F854" s="33"/>
      <c r="G854" s="228"/>
      <c r="H854" s="33"/>
    </row>
    <row r="855" spans="1:8" x14ac:dyDescent="0.3">
      <c r="A855" t="s">
        <v>1132</v>
      </c>
      <c r="B855" s="3">
        <f t="shared" si="10"/>
        <v>44317</v>
      </c>
      <c r="C855" s="2" t="str">
        <f>VLOOKUP(MONTH(Tabela1[[#This Row],[Periodo]]),NUMMESES,2,FALSE)</f>
        <v>Maio</v>
      </c>
      <c r="D855" s="2">
        <f>YEAR(Tabela1[[#This Row],[Periodo]])</f>
        <v>2021</v>
      </c>
      <c r="E855" s="33">
        <f>(INDEX(TBBP[],MATCH("2.9",planoContas,0)+1,MATCH(Tabela1[[#This Row],[Periodo]],listaPeriodos,0))-1)/INDEX(TBBP[],MATCH("2",planoContas,0)+1,MATCH(Tabela1[[#This Row],[Periodo]],listaPeriodos,0))</f>
        <v>0.73706341899185523</v>
      </c>
      <c r="F855" s="33"/>
      <c r="G855" s="228"/>
      <c r="H855" s="33"/>
    </row>
    <row r="856" spans="1:8" x14ac:dyDescent="0.3">
      <c r="A856" t="s">
        <v>1132</v>
      </c>
      <c r="B856" s="3">
        <f t="shared" si="10"/>
        <v>44348</v>
      </c>
      <c r="C856" s="2" t="str">
        <f>VLOOKUP(MONTH(Tabela1[[#This Row],[Periodo]]),NUMMESES,2,FALSE)</f>
        <v>Junho</v>
      </c>
      <c r="D856" s="2">
        <f>YEAR(Tabela1[[#This Row],[Periodo]])</f>
        <v>2021</v>
      </c>
      <c r="E856" s="33">
        <f>(INDEX(TBBP[],MATCH("2.9",planoContas,0)+1,MATCH(Tabela1[[#This Row],[Periodo]],listaPeriodos,0))-1)/INDEX(TBBP[],MATCH("2",planoContas,0)+1,MATCH(Tabela1[[#This Row],[Periodo]],listaPeriodos,0))</f>
        <v>0.72223411539397153</v>
      </c>
      <c r="F856" s="33"/>
      <c r="G856" s="228"/>
      <c r="H856" s="33"/>
    </row>
    <row r="857" spans="1:8" x14ac:dyDescent="0.3">
      <c r="A857" t="s">
        <v>1132</v>
      </c>
      <c r="B857" s="3">
        <f t="shared" si="10"/>
        <v>44378</v>
      </c>
      <c r="C857" s="2" t="str">
        <f>VLOOKUP(MONTH(Tabela1[[#This Row],[Periodo]]),NUMMESES,2,FALSE)</f>
        <v>Julho</v>
      </c>
      <c r="D857" s="2">
        <f>YEAR(Tabela1[[#This Row],[Periodo]])</f>
        <v>2021</v>
      </c>
      <c r="E857" s="33">
        <f>(INDEX(TBBP[],MATCH("2.9",planoContas,0)+1,MATCH(Tabela1[[#This Row],[Periodo]],listaPeriodos,0))-1)/INDEX(TBBP[],MATCH("2",planoContas,0)+1,MATCH(Tabela1[[#This Row],[Periodo]],listaPeriodos,0))</f>
        <v>0.74387212843409301</v>
      </c>
      <c r="F857" s="33"/>
      <c r="G857" s="228"/>
      <c r="H857" s="33"/>
    </row>
    <row r="858" spans="1:8" x14ac:dyDescent="0.3">
      <c r="A858" t="s">
        <v>1132</v>
      </c>
      <c r="B858" s="3">
        <f t="shared" si="10"/>
        <v>44409</v>
      </c>
      <c r="C858" s="2" t="str">
        <f>VLOOKUP(MONTH(Tabela1[[#This Row],[Periodo]]),NUMMESES,2,FALSE)</f>
        <v>Agosto</v>
      </c>
      <c r="D858" s="2">
        <f>YEAR(Tabela1[[#This Row],[Periodo]])</f>
        <v>2021</v>
      </c>
      <c r="E858" s="33">
        <f>(INDEX(TBBP[],MATCH("2.9",planoContas,0)+1,MATCH(Tabela1[[#This Row],[Periodo]],listaPeriodos,0))-1)/INDEX(TBBP[],MATCH("2",planoContas,0)+1,MATCH(Tabela1[[#This Row],[Periodo]],listaPeriodos,0))</f>
        <v>0.76833845221814046</v>
      </c>
      <c r="F858" s="33"/>
      <c r="G858" s="228"/>
      <c r="H858" s="33"/>
    </row>
    <row r="859" spans="1:8" x14ac:dyDescent="0.3">
      <c r="A859" t="s">
        <v>1132</v>
      </c>
      <c r="B859" s="3">
        <f t="shared" si="10"/>
        <v>44440</v>
      </c>
      <c r="C859" s="2" t="str">
        <f>VLOOKUP(MONTH(Tabela1[[#This Row],[Periodo]]),NUMMESES,2,FALSE)</f>
        <v>Setembro</v>
      </c>
      <c r="D859" s="2">
        <f>YEAR(Tabela1[[#This Row],[Periodo]])</f>
        <v>2021</v>
      </c>
      <c r="E859" s="33">
        <f>(INDEX(TBBP[],MATCH("2.9",planoContas,0)+1,MATCH(Tabela1[[#This Row],[Periodo]],listaPeriodos,0))-1)/INDEX(TBBP[],MATCH("2",planoContas,0)+1,MATCH(Tabela1[[#This Row],[Periodo]],listaPeriodos,0))</f>
        <v>0.77924080976601173</v>
      </c>
      <c r="F859" s="33"/>
      <c r="G859" s="228"/>
      <c r="H859" s="33"/>
    </row>
    <row r="860" spans="1:8" x14ac:dyDescent="0.3">
      <c r="A860" t="s">
        <v>1132</v>
      </c>
      <c r="B860" s="3">
        <f t="shared" si="10"/>
        <v>44470</v>
      </c>
      <c r="C860" s="2" t="str">
        <f>VLOOKUP(MONTH(Tabela1[[#This Row],[Periodo]]),NUMMESES,2,FALSE)</f>
        <v>Outubro</v>
      </c>
      <c r="D860" s="2">
        <f>YEAR(Tabela1[[#This Row],[Periodo]])</f>
        <v>2021</v>
      </c>
      <c r="E860" s="33">
        <f>(INDEX(TBBP[],MATCH("2.9",planoContas,0)+1,MATCH(Tabela1[[#This Row],[Periodo]],listaPeriodos,0))-1)/INDEX(TBBP[],MATCH("2",planoContas,0)+1,MATCH(Tabela1[[#This Row],[Periodo]],listaPeriodos,0))</f>
        <v>0.78525052155235997</v>
      </c>
      <c r="F860" s="33"/>
      <c r="G860" s="228"/>
      <c r="H860" s="33"/>
    </row>
    <row r="861" spans="1:8" x14ac:dyDescent="0.3">
      <c r="A861" t="s">
        <v>1132</v>
      </c>
      <c r="B861" s="3">
        <f t="shared" si="10"/>
        <v>44501</v>
      </c>
      <c r="C861" s="2" t="str">
        <f>VLOOKUP(MONTH(Tabela1[[#This Row],[Periodo]]),NUMMESES,2,FALSE)</f>
        <v>Novembro</v>
      </c>
      <c r="D861" s="2">
        <f>YEAR(Tabela1[[#This Row],[Periodo]])</f>
        <v>2021</v>
      </c>
      <c r="E861" s="33">
        <f>(INDEX(TBBP[],MATCH("2.9",planoContas,0)+1,MATCH(Tabela1[[#This Row],[Periodo]],listaPeriodos,0))-1)/INDEX(TBBP[],MATCH("2",planoContas,0)+1,MATCH(Tabela1[[#This Row],[Periodo]],listaPeriodos,0))</f>
        <v>0.79727847273693886</v>
      </c>
      <c r="F861" s="33"/>
      <c r="G861" s="228"/>
      <c r="H861" s="33"/>
    </row>
    <row r="862" spans="1:8" x14ac:dyDescent="0.3">
      <c r="A862" t="s">
        <v>1132</v>
      </c>
      <c r="B862" s="3">
        <f t="shared" si="10"/>
        <v>44531</v>
      </c>
      <c r="C862" s="2" t="str">
        <f>VLOOKUP(MONTH(Tabela1[[#This Row],[Periodo]]),NUMMESES,2,FALSE)</f>
        <v>Dezembro</v>
      </c>
      <c r="D862" s="2">
        <f>YEAR(Tabela1[[#This Row],[Periodo]])</f>
        <v>2021</v>
      </c>
      <c r="E862" s="33">
        <f>(INDEX(TBBP[],MATCH("2.9",planoContas,0)+1,MATCH(Tabela1[[#This Row],[Periodo]],listaPeriodos,0))-1)/INDEX(TBBP[],MATCH("2",planoContas,0)+1,MATCH(Tabela1[[#This Row],[Periodo]],listaPeriodos,0))</f>
        <v>0.80200372084529803</v>
      </c>
      <c r="F862" s="33"/>
      <c r="G862" s="228"/>
      <c r="H862" s="33"/>
    </row>
    <row r="863" spans="1:8" x14ac:dyDescent="0.3">
      <c r="A863" t="s">
        <v>1132</v>
      </c>
      <c r="B863" s="3">
        <f t="shared" si="10"/>
        <v>44562</v>
      </c>
      <c r="C863" s="2" t="str">
        <f>VLOOKUP(MONTH(Tabela1[[#This Row],[Periodo]]),NUMMESES,2,FALSE)</f>
        <v>Janeiro</v>
      </c>
      <c r="D863" s="2">
        <f>YEAR(Tabela1[[#This Row],[Periodo]])</f>
        <v>2022</v>
      </c>
      <c r="E863" s="33">
        <f>(INDEX(TBBP[],MATCH("2.9",planoContas,0)+1,MATCH(Tabela1[[#This Row],[Periodo]],listaPeriodos,0))-1)/INDEX(TBBP[],MATCH("2",planoContas,0)+1,MATCH(Tabela1[[#This Row],[Periodo]],listaPeriodos,0))</f>
        <v>0.81376948036968333</v>
      </c>
      <c r="F863" s="33"/>
      <c r="G863" s="228"/>
      <c r="H863" s="33"/>
    </row>
    <row r="864" spans="1:8" x14ac:dyDescent="0.3">
      <c r="A864" t="s">
        <v>1132</v>
      </c>
      <c r="B864" s="3">
        <f t="shared" si="10"/>
        <v>44593</v>
      </c>
      <c r="C864" s="2" t="str">
        <f>VLOOKUP(MONTH(Tabela1[[#This Row],[Periodo]]),NUMMESES,2,FALSE)</f>
        <v>Fevereiro</v>
      </c>
      <c r="D864" s="2">
        <f>YEAR(Tabela1[[#This Row],[Periodo]])</f>
        <v>2022</v>
      </c>
      <c r="E864" s="33">
        <f>(INDEX(TBBP[],MATCH("2.9",planoContas,0)+1,MATCH(Tabela1[[#This Row],[Periodo]],listaPeriodos,0))-1)/INDEX(TBBP[],MATCH("2",planoContas,0)+1,MATCH(Tabela1[[#This Row],[Periodo]],listaPeriodos,0))</f>
        <v>0.79946926256327167</v>
      </c>
      <c r="F864" s="33"/>
      <c r="G864" s="228"/>
      <c r="H864" s="33"/>
    </row>
    <row r="865" spans="1:8" x14ac:dyDescent="0.3">
      <c r="A865" t="s">
        <v>1132</v>
      </c>
      <c r="B865" s="3">
        <f t="shared" si="10"/>
        <v>44621</v>
      </c>
      <c r="C865" s="2" t="str">
        <f>VLOOKUP(MONTH(Tabela1[[#This Row],[Periodo]]),NUMMESES,2,FALSE)</f>
        <v>Março</v>
      </c>
      <c r="D865" s="2">
        <f>YEAR(Tabela1[[#This Row],[Periodo]])</f>
        <v>2022</v>
      </c>
      <c r="E865" s="33">
        <f>(INDEX(TBBP[],MATCH("2.9",planoContas,0)+1,MATCH(Tabela1[[#This Row],[Periodo]],listaPeriodos,0))-1)/INDEX(TBBP[],MATCH("2",planoContas,0)+1,MATCH(Tabela1[[#This Row],[Periodo]],listaPeriodos,0))</f>
        <v>0.78920792299527587</v>
      </c>
      <c r="F865" s="33"/>
      <c r="G865" s="228"/>
      <c r="H865" s="33"/>
    </row>
    <row r="866" spans="1:8" x14ac:dyDescent="0.3">
      <c r="A866" t="s">
        <v>1132</v>
      </c>
      <c r="B866" s="3">
        <f t="shared" si="10"/>
        <v>44652</v>
      </c>
      <c r="C866" s="2" t="str">
        <f>VLOOKUP(MONTH(Tabela1[[#This Row],[Periodo]]),NUMMESES,2,FALSE)</f>
        <v>Abril</v>
      </c>
      <c r="D866" s="2">
        <f>YEAR(Tabela1[[#This Row],[Periodo]])</f>
        <v>2022</v>
      </c>
      <c r="E866" s="33">
        <f>(INDEX(TBBP[],MATCH("2.9",planoContas,0)+1,MATCH(Tabela1[[#This Row],[Periodo]],listaPeriodos,0))-1)/INDEX(TBBP[],MATCH("2",planoContas,0)+1,MATCH(Tabela1[[#This Row],[Periodo]],listaPeriodos,0))</f>
        <v>0.80813618112299901</v>
      </c>
      <c r="F866" s="33"/>
      <c r="G866" s="228"/>
      <c r="H866" s="33"/>
    </row>
    <row r="867" spans="1:8" x14ac:dyDescent="0.3">
      <c r="A867" t="s">
        <v>1132</v>
      </c>
      <c r="B867" s="3">
        <f t="shared" si="10"/>
        <v>44682</v>
      </c>
      <c r="C867" s="2" t="str">
        <f>VLOOKUP(MONTH(Tabela1[[#This Row],[Periodo]]),NUMMESES,2,FALSE)</f>
        <v>Maio</v>
      </c>
      <c r="D867" s="2">
        <f>YEAR(Tabela1[[#This Row],[Periodo]])</f>
        <v>2022</v>
      </c>
      <c r="E867" s="33">
        <f>(INDEX(TBBP[],MATCH("2.9",planoContas,0)+1,MATCH(Tabela1[[#This Row],[Periodo]],listaPeriodos,0))-1)/INDEX(TBBP[],MATCH("2",planoContas,0)+1,MATCH(Tabela1[[#This Row],[Periodo]],listaPeriodos,0))</f>
        <v>0.81945516106672778</v>
      </c>
      <c r="F867" s="33"/>
      <c r="G867" s="228"/>
      <c r="H867" s="33"/>
    </row>
    <row r="868" spans="1:8" x14ac:dyDescent="0.3">
      <c r="A868" t="s">
        <v>1132</v>
      </c>
      <c r="B868" s="3">
        <f t="shared" si="10"/>
        <v>44713</v>
      </c>
      <c r="C868" s="2" t="str">
        <f>VLOOKUP(MONTH(Tabela1[[#This Row],[Periodo]]),NUMMESES,2,FALSE)</f>
        <v>Junho</v>
      </c>
      <c r="D868" s="2">
        <f>YEAR(Tabela1[[#This Row],[Periodo]])</f>
        <v>2022</v>
      </c>
      <c r="E868" s="33">
        <f>(INDEX(TBBP[],MATCH("2.9",planoContas,0)+1,MATCH(Tabela1[[#This Row],[Periodo]],listaPeriodos,0))-1)/INDEX(TBBP[],MATCH("2",planoContas,0)+1,MATCH(Tabela1[[#This Row],[Periodo]],listaPeriodos,0))</f>
        <v>0.81666615806620646</v>
      </c>
      <c r="F868" s="33"/>
      <c r="G868" s="228"/>
      <c r="H868" s="33"/>
    </row>
    <row r="869" spans="1:8" x14ac:dyDescent="0.3">
      <c r="A869" t="s">
        <v>1132</v>
      </c>
      <c r="B869" s="3">
        <f t="shared" si="10"/>
        <v>44743</v>
      </c>
      <c r="C869" s="2" t="str">
        <f>VLOOKUP(MONTH(Tabela1[[#This Row],[Periodo]]),NUMMESES,2,FALSE)</f>
        <v>Julho</v>
      </c>
      <c r="D869" s="2">
        <f>YEAR(Tabela1[[#This Row],[Periodo]])</f>
        <v>2022</v>
      </c>
      <c r="E869" s="33">
        <f>(INDEX(TBBP[],MATCH("2.9",planoContas,0)+1,MATCH(Tabela1[[#This Row],[Periodo]],listaPeriodos,0))-1)/INDEX(TBBP[],MATCH("2",planoContas,0)+1,MATCH(Tabela1[[#This Row],[Periodo]],listaPeriodos,0))</f>
        <v>0.8226944461283936</v>
      </c>
      <c r="F869" s="33"/>
      <c r="G869" s="228"/>
      <c r="H869" s="33"/>
    </row>
    <row r="870" spans="1:8" x14ac:dyDescent="0.3">
      <c r="A870" t="s">
        <v>1132</v>
      </c>
      <c r="B870" s="3">
        <f t="shared" si="10"/>
        <v>44774</v>
      </c>
      <c r="C870" s="2" t="str">
        <f>VLOOKUP(MONTH(Tabela1[[#This Row],[Periodo]]),NUMMESES,2,FALSE)</f>
        <v>Agosto</v>
      </c>
      <c r="D870" s="2">
        <f>YEAR(Tabela1[[#This Row],[Periodo]])</f>
        <v>2022</v>
      </c>
      <c r="E870" s="33">
        <f>(INDEX(TBBP[],MATCH("2.9",planoContas,0)+1,MATCH(Tabela1[[#This Row],[Periodo]],listaPeriodos,0))-1)/INDEX(TBBP[],MATCH("2",planoContas,0)+1,MATCH(Tabela1[[#This Row],[Periodo]],listaPeriodos,0))</f>
        <v>0.80816585807280839</v>
      </c>
      <c r="F870" s="33"/>
      <c r="G870" s="228"/>
      <c r="H870" s="33"/>
    </row>
    <row r="871" spans="1:8" x14ac:dyDescent="0.3">
      <c r="A871" t="s">
        <v>1132</v>
      </c>
      <c r="B871" s="3">
        <f t="shared" si="10"/>
        <v>44805</v>
      </c>
      <c r="C871" s="2" t="str">
        <f>VLOOKUP(MONTH(Tabela1[[#This Row],[Periodo]]),NUMMESES,2,FALSE)</f>
        <v>Setembro</v>
      </c>
      <c r="D871" s="2">
        <f>YEAR(Tabela1[[#This Row],[Periodo]])</f>
        <v>2022</v>
      </c>
      <c r="E871" s="33">
        <f>(INDEX(TBBP[],MATCH("2.9",planoContas,0)+1,MATCH(Tabela1[[#This Row],[Periodo]],listaPeriodos,0))-1)/INDEX(TBBP[],MATCH("2",planoContas,0)+1,MATCH(Tabela1[[#This Row],[Periodo]],listaPeriodos,0))</f>
        <v>0.79937641310823127</v>
      </c>
      <c r="F871" s="33"/>
      <c r="G871" s="228"/>
      <c r="H871" s="33"/>
    </row>
    <row r="872" spans="1:8" x14ac:dyDescent="0.3">
      <c r="A872" t="s">
        <v>1132</v>
      </c>
      <c r="B872" s="3">
        <f t="shared" si="10"/>
        <v>44835</v>
      </c>
      <c r="C872" s="2" t="str">
        <f>VLOOKUP(MONTH(Tabela1[[#This Row],[Periodo]]),NUMMESES,2,FALSE)</f>
        <v>Outubro</v>
      </c>
      <c r="D872" s="2">
        <f>YEAR(Tabela1[[#This Row],[Periodo]])</f>
        <v>2022</v>
      </c>
      <c r="E872" s="33">
        <f>(INDEX(TBBP[],MATCH("2.9",planoContas,0)+1,MATCH(Tabela1[[#This Row],[Periodo]],listaPeriodos,0))-1)/INDEX(TBBP[],MATCH("2",planoContas,0)+1,MATCH(Tabela1[[#This Row],[Periodo]],listaPeriodos,0))</f>
        <v>0.82337875766037183</v>
      </c>
      <c r="F872" s="33"/>
      <c r="G872" s="228"/>
      <c r="H872" s="33"/>
    </row>
    <row r="873" spans="1:8" x14ac:dyDescent="0.3">
      <c r="A873" t="s">
        <v>1132</v>
      </c>
      <c r="B873" s="3">
        <f t="shared" si="10"/>
        <v>44866</v>
      </c>
      <c r="C873" s="2" t="str">
        <f>VLOOKUP(MONTH(Tabela1[[#This Row],[Periodo]]),NUMMESES,2,FALSE)</f>
        <v>Novembro</v>
      </c>
      <c r="D873" s="2">
        <f>YEAR(Tabela1[[#This Row],[Periodo]])</f>
        <v>2022</v>
      </c>
      <c r="E873" s="33">
        <f>(INDEX(TBBP[],MATCH("2.9",planoContas,0)+1,MATCH(Tabela1[[#This Row],[Periodo]],listaPeriodos,0))-1)/INDEX(TBBP[],MATCH("2",planoContas,0)+1,MATCH(Tabela1[[#This Row],[Periodo]],listaPeriodos,0))</f>
        <v>0.83502854405752303</v>
      </c>
      <c r="F873" s="33"/>
      <c r="G873" s="228"/>
      <c r="H873" s="33"/>
    </row>
    <row r="874" spans="1:8" x14ac:dyDescent="0.3">
      <c r="A874" t="s">
        <v>1132</v>
      </c>
      <c r="B874" s="3">
        <f t="shared" si="10"/>
        <v>44896</v>
      </c>
      <c r="C874" s="2" t="str">
        <f>VLOOKUP(MONTH(Tabela1[[#This Row],[Periodo]]),NUMMESES,2,FALSE)</f>
        <v>Dezembro</v>
      </c>
      <c r="D874" s="2">
        <f>YEAR(Tabela1[[#This Row],[Periodo]])</f>
        <v>2022</v>
      </c>
      <c r="E874" s="33">
        <f>(INDEX(TBBP[],MATCH("2.9",planoContas,0)+1,MATCH(Tabela1[[#This Row],[Periodo]],listaPeriodos,0))-1)/INDEX(TBBP[],MATCH("2",planoContas,0)+1,MATCH(Tabela1[[#This Row],[Periodo]],listaPeriodos,0))</f>
        <v>0.84577033762212173</v>
      </c>
      <c r="F874" s="33"/>
      <c r="G874" s="228"/>
      <c r="H874" s="33"/>
    </row>
    <row r="875" spans="1:8" x14ac:dyDescent="0.3">
      <c r="A875" t="s">
        <v>1132</v>
      </c>
      <c r="B875" s="3">
        <f t="shared" si="10"/>
        <v>44927</v>
      </c>
      <c r="C875" s="2" t="str">
        <f>VLOOKUP(MONTH(Tabela1[[#This Row],[Periodo]]),NUMMESES,2,FALSE)</f>
        <v>Janeiro</v>
      </c>
      <c r="D875" s="2">
        <f>YEAR(Tabela1[[#This Row],[Periodo]])</f>
        <v>2023</v>
      </c>
      <c r="E875" s="33">
        <f>(INDEX(TBBP[],MATCH("2.9",planoContas,0)+1,MATCH(Tabela1[[#This Row],[Periodo]],listaPeriodos,0))-1)/INDEX(TBBP[],MATCH("2",planoContas,0)+1,MATCH(Tabela1[[#This Row],[Periodo]],listaPeriodos,0))</f>
        <v>0.87290166358672439</v>
      </c>
      <c r="F875" s="33"/>
      <c r="G875" s="228"/>
      <c r="H875" s="33"/>
    </row>
    <row r="876" spans="1:8" x14ac:dyDescent="0.3">
      <c r="A876" t="s">
        <v>1132</v>
      </c>
      <c r="B876" s="3">
        <f t="shared" si="10"/>
        <v>44958</v>
      </c>
      <c r="C876" s="2" t="str">
        <f>VLOOKUP(MONTH(Tabela1[[#This Row],[Periodo]]),NUMMESES,2,FALSE)</f>
        <v>Fevereiro</v>
      </c>
      <c r="D876" s="2">
        <f>YEAR(Tabela1[[#This Row],[Periodo]])</f>
        <v>2023</v>
      </c>
      <c r="E876" s="33">
        <f>(INDEX(TBBP[],MATCH("2.9",planoContas,0)+1,MATCH(Tabela1[[#This Row],[Periodo]],listaPeriodos,0))-1)/INDEX(TBBP[],MATCH("2",planoContas,0)+1,MATCH(Tabela1[[#This Row],[Periodo]],listaPeriodos,0))</f>
        <v>0.86147512515945179</v>
      </c>
      <c r="F876" s="33"/>
      <c r="G876" s="228"/>
      <c r="H876" s="33"/>
    </row>
    <row r="877" spans="1:8" x14ac:dyDescent="0.3">
      <c r="A877" t="s">
        <v>1132</v>
      </c>
      <c r="B877" s="3">
        <f t="shared" si="10"/>
        <v>44986</v>
      </c>
      <c r="C877" s="2" t="str">
        <f>VLOOKUP(MONTH(Tabela1[[#This Row],[Periodo]]),NUMMESES,2,FALSE)</f>
        <v>Março</v>
      </c>
      <c r="D877" s="2">
        <f>YEAR(Tabela1[[#This Row],[Periodo]])</f>
        <v>2023</v>
      </c>
      <c r="E877" s="33">
        <f>(INDEX(TBBP[],MATCH("2.9",planoContas,0)+1,MATCH(Tabela1[[#This Row],[Periodo]],listaPeriodos,0))-1)/INDEX(TBBP[],MATCH("2",planoContas,0)+1,MATCH(Tabela1[[#This Row],[Periodo]],listaPeriodos,0))</f>
        <v>0.84173807983773874</v>
      </c>
      <c r="F877" s="33"/>
      <c r="G877" s="228"/>
      <c r="H877" s="33"/>
    </row>
    <row r="878" spans="1:8" x14ac:dyDescent="0.3">
      <c r="A878" t="s">
        <v>1132</v>
      </c>
      <c r="B878" s="3">
        <f t="shared" si="10"/>
        <v>45017</v>
      </c>
      <c r="C878" s="2" t="str">
        <f>VLOOKUP(MONTH(Tabela1[[#This Row],[Periodo]]),NUMMESES,2,FALSE)</f>
        <v>Abril</v>
      </c>
      <c r="D878" s="2">
        <f>YEAR(Tabela1[[#This Row],[Periodo]])</f>
        <v>2023</v>
      </c>
      <c r="E878" s="33">
        <f>(INDEX(TBBP[],MATCH("2.9",planoContas,0)+1,MATCH(Tabela1[[#This Row],[Periodo]],listaPeriodos,0))-1)/INDEX(TBBP[],MATCH("2",planoContas,0)+1,MATCH(Tabela1[[#This Row],[Periodo]],listaPeriodos,0))</f>
        <v>0.84514200736816436</v>
      </c>
      <c r="F878" s="33"/>
      <c r="G878" s="228"/>
      <c r="H878" s="33"/>
    </row>
    <row r="879" spans="1:8" x14ac:dyDescent="0.3">
      <c r="A879" t="s">
        <v>1132</v>
      </c>
      <c r="B879" s="3">
        <f t="shared" si="10"/>
        <v>45047</v>
      </c>
      <c r="C879" s="2" t="str">
        <f>VLOOKUP(MONTH(Tabela1[[#This Row],[Periodo]]),NUMMESES,2,FALSE)</f>
        <v>Maio</v>
      </c>
      <c r="D879" s="2">
        <f>YEAR(Tabela1[[#This Row],[Periodo]])</f>
        <v>2023</v>
      </c>
      <c r="E879" s="33">
        <f>(INDEX(TBBP[],MATCH("2.9",planoContas,0)+1,MATCH(Tabela1[[#This Row],[Periodo]],listaPeriodos,0))-1)/INDEX(TBBP[],MATCH("2",planoContas,0)+1,MATCH(Tabela1[[#This Row],[Periodo]],listaPeriodos,0))</f>
        <v>0.81510871422773101</v>
      </c>
      <c r="F879" s="33"/>
      <c r="G879" s="228"/>
      <c r="H879" s="33"/>
    </row>
    <row r="880" spans="1:8" x14ac:dyDescent="0.3">
      <c r="A880" t="s">
        <v>1132</v>
      </c>
      <c r="B880" s="3">
        <f t="shared" ref="B880:B911" si="11">DATE(YEAR(B879),MONTH(B879)+1,DAY(B879))</f>
        <v>45078</v>
      </c>
      <c r="C880" s="2" t="str">
        <f>VLOOKUP(MONTH(Tabela1[[#This Row],[Periodo]]),NUMMESES,2,FALSE)</f>
        <v>Junho</v>
      </c>
      <c r="D880" s="2">
        <f>YEAR(Tabela1[[#This Row],[Periodo]])</f>
        <v>2023</v>
      </c>
      <c r="E880" s="33">
        <f>(INDEX(TBBP[],MATCH("2.9",planoContas,0)+1,MATCH(Tabela1[[#This Row],[Periodo]],listaPeriodos,0))-1)/INDEX(TBBP[],MATCH("2",planoContas,0)+1,MATCH(Tabela1[[#This Row],[Periodo]],listaPeriodos,0))</f>
        <v>0.81348318656328733</v>
      </c>
      <c r="F880" s="33"/>
      <c r="G880" s="228"/>
      <c r="H880" s="33"/>
    </row>
    <row r="881" spans="1:8" x14ac:dyDescent="0.3">
      <c r="A881" t="s">
        <v>1132</v>
      </c>
      <c r="B881" s="3">
        <f t="shared" si="11"/>
        <v>45108</v>
      </c>
      <c r="C881" s="2" t="str">
        <f>VLOOKUP(MONTH(Tabela1[[#This Row],[Periodo]]),NUMMESES,2,FALSE)</f>
        <v>Julho</v>
      </c>
      <c r="D881" s="2">
        <f>YEAR(Tabela1[[#This Row],[Periodo]])</f>
        <v>2023</v>
      </c>
      <c r="E881" s="33">
        <f>(INDEX(TBBP[],MATCH("2.9",planoContas,0)+1,MATCH(Tabela1[[#This Row],[Periodo]],listaPeriodos,0))-1)/INDEX(TBBP[],MATCH("2",planoContas,0)+1,MATCH(Tabela1[[#This Row],[Periodo]],listaPeriodos,0))</f>
        <v>0.81006876128591332</v>
      </c>
      <c r="F881" s="33"/>
      <c r="G881" s="228"/>
      <c r="H881" s="33"/>
    </row>
    <row r="882" spans="1:8" x14ac:dyDescent="0.3">
      <c r="A882" t="s">
        <v>1132</v>
      </c>
      <c r="B882" s="3">
        <f t="shared" si="11"/>
        <v>45139</v>
      </c>
      <c r="C882" s="2" t="str">
        <f>VLOOKUP(MONTH(Tabela1[[#This Row],[Periodo]]),NUMMESES,2,FALSE)</f>
        <v>Agosto</v>
      </c>
      <c r="D882" s="2">
        <f>YEAR(Tabela1[[#This Row],[Periodo]])</f>
        <v>2023</v>
      </c>
      <c r="E882" s="33">
        <f>(INDEX(TBBP[],MATCH("2.9",planoContas,0)+1,MATCH(Tabela1[[#This Row],[Periodo]],listaPeriodos,0))-1)/INDEX(TBBP[],MATCH("2",planoContas,0)+1,MATCH(Tabela1[[#This Row],[Periodo]],listaPeriodos,0))</f>
        <v>0.80774306582187416</v>
      </c>
      <c r="F882" s="33"/>
      <c r="G882" s="228"/>
      <c r="H882" s="33"/>
    </row>
    <row r="883" spans="1:8" x14ac:dyDescent="0.3">
      <c r="A883" t="s">
        <v>1132</v>
      </c>
      <c r="B883" s="3">
        <f t="shared" si="11"/>
        <v>45170</v>
      </c>
      <c r="C883" s="2" t="str">
        <f>VLOOKUP(MONTH(Tabela1[[#This Row],[Periodo]]),NUMMESES,2,FALSE)</f>
        <v>Setembro</v>
      </c>
      <c r="D883" s="2">
        <f>YEAR(Tabela1[[#This Row],[Periodo]])</f>
        <v>2023</v>
      </c>
      <c r="E883" s="33">
        <f>(INDEX(TBBP[],MATCH("2.9",planoContas,0)+1,MATCH(Tabela1[[#This Row],[Periodo]],listaPeriodos,0))-1)/INDEX(TBBP[],MATCH("2",planoContas,0)+1,MATCH(Tabela1[[#This Row],[Periodo]],listaPeriodos,0))</f>
        <v>0.77466821930897656</v>
      </c>
      <c r="F883" s="33"/>
      <c r="G883" s="228"/>
      <c r="H883" s="33"/>
    </row>
    <row r="884" spans="1:8" x14ac:dyDescent="0.3">
      <c r="A884" t="s">
        <v>1132</v>
      </c>
      <c r="B884" s="3">
        <f t="shared" si="11"/>
        <v>45200</v>
      </c>
      <c r="C884" s="2" t="str">
        <f>VLOOKUP(MONTH(Tabela1[[#This Row],[Periodo]]),NUMMESES,2,FALSE)</f>
        <v>Outubro</v>
      </c>
      <c r="D884" s="2">
        <f>YEAR(Tabela1[[#This Row],[Periodo]])</f>
        <v>2023</v>
      </c>
      <c r="E884" s="33">
        <f>(INDEX(TBBP[],MATCH("2.9",planoContas,0)+1,MATCH(Tabela1[[#This Row],[Periodo]],listaPeriodos,0))-1)/INDEX(TBBP[],MATCH("2",planoContas,0)+1,MATCH(Tabela1[[#This Row],[Periodo]],listaPeriodos,0))</f>
        <v>0.77519304184610083</v>
      </c>
      <c r="F884" s="33"/>
      <c r="G884" s="228"/>
      <c r="H884" s="33"/>
    </row>
    <row r="885" spans="1:8" x14ac:dyDescent="0.3">
      <c r="A885" t="s">
        <v>1132</v>
      </c>
      <c r="B885" s="3">
        <f t="shared" si="11"/>
        <v>45231</v>
      </c>
      <c r="C885" s="2" t="str">
        <f>VLOOKUP(MONTH(Tabela1[[#This Row],[Periodo]]),NUMMESES,2,FALSE)</f>
        <v>Novembro</v>
      </c>
      <c r="D885" s="2">
        <f>YEAR(Tabela1[[#This Row],[Periodo]])</f>
        <v>2023</v>
      </c>
      <c r="E885" s="33">
        <f>(INDEX(TBBP[],MATCH("2.9",planoContas,0)+1,MATCH(Tabela1[[#This Row],[Periodo]],listaPeriodos,0))-1)/INDEX(TBBP[],MATCH("2",planoContas,0)+1,MATCH(Tabela1[[#This Row],[Periodo]],listaPeriodos,0))</f>
        <v>0.78186270843545103</v>
      </c>
      <c r="F885" s="33"/>
      <c r="G885" s="228"/>
      <c r="H885" s="33"/>
    </row>
    <row r="886" spans="1:8" x14ac:dyDescent="0.3">
      <c r="A886" t="s">
        <v>1132</v>
      </c>
      <c r="B886" s="3">
        <f t="shared" si="11"/>
        <v>45261</v>
      </c>
      <c r="C886" s="2" t="str">
        <f>VLOOKUP(MONTH(Tabela1[[#This Row],[Periodo]]),NUMMESES,2,FALSE)</f>
        <v>Dezembro</v>
      </c>
      <c r="D886" s="2">
        <f>YEAR(Tabela1[[#This Row],[Periodo]])</f>
        <v>2023</v>
      </c>
      <c r="E886" s="33">
        <f>(INDEX(TBBP[],MATCH("2.9",planoContas,0)+1,MATCH(Tabela1[[#This Row],[Periodo]],listaPeriodos,0))-1)/INDEX(TBBP[],MATCH("2",planoContas,0)+1,MATCH(Tabela1[[#This Row],[Periodo]],listaPeriodos,0))</f>
        <v>0.78836703412734843</v>
      </c>
      <c r="F886" s="33"/>
      <c r="G886" s="228"/>
      <c r="H886" s="33"/>
    </row>
    <row r="887" spans="1:8" x14ac:dyDescent="0.3">
      <c r="A887" t="s">
        <v>1132</v>
      </c>
      <c r="B887" s="3">
        <f t="shared" si="11"/>
        <v>45292</v>
      </c>
      <c r="C887" s="2" t="str">
        <f>VLOOKUP(MONTH(Tabela1[[#This Row],[Periodo]]),NUMMESES,2,FALSE)</f>
        <v>Janeiro</v>
      </c>
      <c r="D887" s="2">
        <f>YEAR(Tabela1[[#This Row],[Periodo]])</f>
        <v>2024</v>
      </c>
      <c r="E887" s="33">
        <f>(INDEX(TBBP[],MATCH("2.9",planoContas,0)+1,MATCH(Tabela1[[#This Row],[Periodo]],listaPeriodos,0))-1)/INDEX(TBBP[],MATCH("2",planoContas,0)+1,MATCH(Tabela1[[#This Row],[Periodo]],listaPeriodos,0))</f>
        <v>0.82998739234931151</v>
      </c>
      <c r="F887" s="33"/>
      <c r="G887" s="228"/>
      <c r="H887" s="33"/>
    </row>
    <row r="888" spans="1:8" x14ac:dyDescent="0.3">
      <c r="A888" t="s">
        <v>1132</v>
      </c>
      <c r="B888" s="3">
        <f t="shared" si="11"/>
        <v>45323</v>
      </c>
      <c r="C888" s="2" t="str">
        <f>VLOOKUP(MONTH(Tabela1[[#This Row],[Periodo]]),NUMMESES,2,FALSE)</f>
        <v>Fevereiro</v>
      </c>
      <c r="D888" s="2">
        <f>YEAR(Tabela1[[#This Row],[Periodo]])</f>
        <v>2024</v>
      </c>
      <c r="E888" s="33">
        <f>(INDEX(TBBP[],MATCH("2.9",planoContas,0)+1,MATCH(Tabela1[[#This Row],[Periodo]],listaPeriodos,0))-1)/INDEX(TBBP[],MATCH("2",planoContas,0)+1,MATCH(Tabela1[[#This Row],[Periodo]],listaPeriodos,0))</f>
        <v>0.8054680661865713</v>
      </c>
      <c r="F888" s="33"/>
      <c r="G888" s="228"/>
      <c r="H888" s="33"/>
    </row>
    <row r="889" spans="1:8" x14ac:dyDescent="0.3">
      <c r="A889" t="s">
        <v>1132</v>
      </c>
      <c r="B889" s="3">
        <f t="shared" si="11"/>
        <v>45352</v>
      </c>
      <c r="C889" s="2" t="str">
        <f>VLOOKUP(MONTH(Tabela1[[#This Row],[Periodo]]),NUMMESES,2,FALSE)</f>
        <v>Março</v>
      </c>
      <c r="D889" s="2">
        <f>YEAR(Tabela1[[#This Row],[Periodo]])</f>
        <v>2024</v>
      </c>
      <c r="E889" s="33">
        <f>(INDEX(TBBP[],MATCH("2.9",planoContas,0)+1,MATCH(Tabela1[[#This Row],[Periodo]],listaPeriodos,0))-1)/INDEX(TBBP[],MATCH("2",planoContas,0)+1,MATCH(Tabela1[[#This Row],[Periodo]],listaPeriodos,0))</f>
        <v>0.76923564496417962</v>
      </c>
      <c r="F889" s="33"/>
      <c r="G889" s="228"/>
      <c r="H889" s="33"/>
    </row>
    <row r="890" spans="1:8" x14ac:dyDescent="0.3">
      <c r="A890" t="s">
        <v>1132</v>
      </c>
      <c r="B890" s="3">
        <f t="shared" si="11"/>
        <v>45383</v>
      </c>
      <c r="C890" s="2" t="str">
        <f>VLOOKUP(MONTH(Tabela1[[#This Row],[Periodo]]),NUMMESES,2,FALSE)</f>
        <v>Abril</v>
      </c>
      <c r="D890" s="2">
        <f>YEAR(Tabela1[[#This Row],[Periodo]])</f>
        <v>2024</v>
      </c>
      <c r="E890" s="33">
        <f>(INDEX(TBBP[],MATCH("2.9",planoContas,0)+1,MATCH(Tabela1[[#This Row],[Periodo]],listaPeriodos,0))-1)/INDEX(TBBP[],MATCH("2",planoContas,0)+1,MATCH(Tabela1[[#This Row],[Periodo]],listaPeriodos,0))</f>
        <v>0.74699456121516494</v>
      </c>
      <c r="F890" s="33"/>
      <c r="G890" s="228"/>
      <c r="H890" s="33"/>
    </row>
    <row r="891" spans="1:8" x14ac:dyDescent="0.3">
      <c r="A891" t="s">
        <v>1132</v>
      </c>
      <c r="B891" s="3">
        <f t="shared" si="11"/>
        <v>45413</v>
      </c>
      <c r="C891" s="2" t="str">
        <f>VLOOKUP(MONTH(Tabela1[[#This Row],[Periodo]]),NUMMESES,2,FALSE)</f>
        <v>Maio</v>
      </c>
      <c r="D891" s="2">
        <f>YEAR(Tabela1[[#This Row],[Periodo]])</f>
        <v>2024</v>
      </c>
      <c r="E891" s="33">
        <f>(INDEX(TBBP[],MATCH("2.9",planoContas,0)+1,MATCH(Tabela1[[#This Row],[Periodo]],listaPeriodos,0))-1)/INDEX(TBBP[],MATCH("2",planoContas,0)+1,MATCH(Tabela1[[#This Row],[Periodo]],listaPeriodos,0))</f>
        <v>0.70589876163242637</v>
      </c>
      <c r="F891" s="33"/>
      <c r="G891" s="228"/>
      <c r="H891" s="33"/>
    </row>
    <row r="892" spans="1:8" x14ac:dyDescent="0.3">
      <c r="A892" t="s">
        <v>1132</v>
      </c>
      <c r="B892" s="3">
        <f t="shared" si="11"/>
        <v>45444</v>
      </c>
      <c r="C892" s="2" t="str">
        <f>VLOOKUP(MONTH(Tabela1[[#This Row],[Periodo]]),NUMMESES,2,FALSE)</f>
        <v>Junho</v>
      </c>
      <c r="D892" s="2">
        <f>YEAR(Tabela1[[#This Row],[Periodo]])</f>
        <v>2024</v>
      </c>
      <c r="E892" s="33">
        <f>(INDEX(TBBP[],MATCH("2.9",planoContas,0)+1,MATCH(Tabela1[[#This Row],[Periodo]],listaPeriodos,0))-1)/INDEX(TBBP[],MATCH("2",planoContas,0)+1,MATCH(Tabela1[[#This Row],[Periodo]],listaPeriodos,0))</f>
        <v>0.70148223853657188</v>
      </c>
      <c r="F892" s="33"/>
      <c r="G892" s="228"/>
      <c r="H892" s="33"/>
    </row>
    <row r="893" spans="1:8" x14ac:dyDescent="0.3">
      <c r="A893" t="s">
        <v>1132</v>
      </c>
      <c r="B893" s="3">
        <f t="shared" si="11"/>
        <v>45474</v>
      </c>
      <c r="C893" s="2" t="str">
        <f>VLOOKUP(MONTH(Tabela1[[#This Row],[Periodo]]),NUMMESES,2,FALSE)</f>
        <v>Julho</v>
      </c>
      <c r="D893" s="2">
        <f>YEAR(Tabela1[[#This Row],[Periodo]])</f>
        <v>2024</v>
      </c>
      <c r="E893" s="33">
        <f>(INDEX(TBBP[],MATCH("2.9",planoContas,0)+1,MATCH(Tabela1[[#This Row],[Periodo]],listaPeriodos,0))-1)/INDEX(TBBP[],MATCH("2",planoContas,0)+1,MATCH(Tabela1[[#This Row],[Periodo]],listaPeriodos,0))</f>
        <v>0.63244320640999618</v>
      </c>
      <c r="F893" s="33"/>
      <c r="G893" s="228"/>
      <c r="H893" s="33"/>
    </row>
    <row r="894" spans="1:8" x14ac:dyDescent="0.3">
      <c r="A894" t="s">
        <v>1132</v>
      </c>
      <c r="B894" s="3">
        <f t="shared" si="11"/>
        <v>45505</v>
      </c>
      <c r="C894" s="2" t="str">
        <f>VLOOKUP(MONTH(Tabela1[[#This Row],[Periodo]]),NUMMESES,2,FALSE)</f>
        <v>Agosto</v>
      </c>
      <c r="D894" s="2">
        <f>YEAR(Tabela1[[#This Row],[Periodo]])</f>
        <v>2024</v>
      </c>
      <c r="E894" s="33">
        <f>(INDEX(TBBP[],MATCH("2.9",planoContas,0)+1,MATCH(Tabela1[[#This Row],[Periodo]],listaPeriodos,0))-1)/INDEX(TBBP[],MATCH("2",planoContas,0)+1,MATCH(Tabela1[[#This Row],[Periodo]],listaPeriodos,0))</f>
        <v>0.63383854030879572</v>
      </c>
      <c r="F894" s="33"/>
      <c r="G894" s="228"/>
      <c r="H894" s="33"/>
    </row>
    <row r="895" spans="1:8" x14ac:dyDescent="0.3">
      <c r="A895" t="s">
        <v>1132</v>
      </c>
      <c r="B895" s="3">
        <f t="shared" si="11"/>
        <v>45536</v>
      </c>
      <c r="C895" s="2" t="str">
        <f>VLOOKUP(MONTH(Tabela1[[#This Row],[Periodo]]),NUMMESES,2,FALSE)</f>
        <v>Setembro</v>
      </c>
      <c r="D895" s="2">
        <f>YEAR(Tabela1[[#This Row],[Periodo]])</f>
        <v>2024</v>
      </c>
      <c r="E895" s="33">
        <f>(INDEX(TBBP[],MATCH("2.9",planoContas,0)+1,MATCH(Tabela1[[#This Row],[Periodo]],listaPeriodos,0))-1)/INDEX(TBBP[],MATCH("2",planoContas,0)+1,MATCH(Tabela1[[#This Row],[Periodo]],listaPeriodos,0))</f>
        <v>0.63978499162203217</v>
      </c>
      <c r="F895" s="33"/>
      <c r="G895" s="228"/>
      <c r="H895" s="33"/>
    </row>
    <row r="896" spans="1:8" x14ac:dyDescent="0.3">
      <c r="A896" t="s">
        <v>1132</v>
      </c>
      <c r="B896" s="3">
        <f t="shared" si="11"/>
        <v>45566</v>
      </c>
      <c r="C896" s="2" t="str">
        <f>VLOOKUP(MONTH(Tabela1[[#This Row],[Periodo]]),NUMMESES,2,FALSE)</f>
        <v>Outubro</v>
      </c>
      <c r="D896" s="2">
        <f>YEAR(Tabela1[[#This Row],[Periodo]])</f>
        <v>2024</v>
      </c>
      <c r="E896" s="33">
        <f>(INDEX(TBBP[],MATCH("2.9",planoContas,0)+1,MATCH(Tabela1[[#This Row],[Periodo]],listaPeriodos,0))-1)/INDEX(TBBP[],MATCH("2",planoContas,0)+1,MATCH(Tabela1[[#This Row],[Periodo]],listaPeriodos,0))</f>
        <v>0.63255507134841105</v>
      </c>
      <c r="F896" s="33"/>
      <c r="G896" s="228"/>
      <c r="H896" s="33"/>
    </row>
    <row r="897" spans="1:8" x14ac:dyDescent="0.3">
      <c r="A897" t="s">
        <v>1132</v>
      </c>
      <c r="B897" s="3">
        <f t="shared" si="11"/>
        <v>45597</v>
      </c>
      <c r="C897" s="2" t="str">
        <f>VLOOKUP(MONTH(Tabela1[[#This Row],[Periodo]]),NUMMESES,2,FALSE)</f>
        <v>Novembro</v>
      </c>
      <c r="D897" s="2">
        <f>YEAR(Tabela1[[#This Row],[Periodo]])</f>
        <v>2024</v>
      </c>
      <c r="E897" s="33">
        <f>(INDEX(TBBP[],MATCH("2.9",planoContas,0)+1,MATCH(Tabela1[[#This Row],[Periodo]],listaPeriodos,0))-1)/INDEX(TBBP[],MATCH("2",planoContas,0)+1,MATCH(Tabela1[[#This Row],[Periodo]],listaPeriodos,0))</f>
        <v>0.61711017607178753</v>
      </c>
      <c r="F897" s="33"/>
      <c r="G897" s="228"/>
      <c r="H897" s="33"/>
    </row>
    <row r="898" spans="1:8" x14ac:dyDescent="0.3">
      <c r="A898" t="s">
        <v>1132</v>
      </c>
      <c r="B898" s="3">
        <f t="shared" si="11"/>
        <v>45627</v>
      </c>
      <c r="C898" s="2" t="str">
        <f>VLOOKUP(MONTH(Tabela1[[#This Row],[Periodo]]),NUMMESES,2,FALSE)</f>
        <v>Dezembro</v>
      </c>
      <c r="D898" s="2">
        <f>YEAR(Tabela1[[#This Row],[Periodo]])</f>
        <v>2024</v>
      </c>
      <c r="E898" s="33">
        <f>(INDEX(TBBP[],MATCH("2.9",planoContas,0)+1,MATCH(Tabela1[[#This Row],[Periodo]],listaPeriodos,0))-1)/INDEX(TBBP[],MATCH("2",planoContas,0)+1,MATCH(Tabela1[[#This Row],[Periodo]],listaPeriodos,0))</f>
        <v>0.62568776691913164</v>
      </c>
      <c r="F898" s="33"/>
      <c r="G898" s="228"/>
      <c r="H898" s="33"/>
    </row>
    <row r="899" spans="1:8" x14ac:dyDescent="0.3">
      <c r="A899" t="s">
        <v>1132</v>
      </c>
      <c r="B899" s="3">
        <f t="shared" si="11"/>
        <v>45658</v>
      </c>
      <c r="C899" s="2" t="str">
        <f>VLOOKUP(MONTH(Tabela1[[#This Row],[Periodo]]),NUMMESES,2,FALSE)</f>
        <v>Janeiro</v>
      </c>
      <c r="D899" s="2">
        <f>YEAR(Tabela1[[#This Row],[Periodo]])</f>
        <v>2025</v>
      </c>
      <c r="E899" s="33">
        <f>(INDEX(TBBP[],MATCH("2.9",planoContas,0)+1,MATCH(Tabela1[[#This Row],[Periodo]],listaPeriodos,0))-1)/INDEX(TBBP[],MATCH("2",planoContas,0)+1,MATCH(Tabela1[[#This Row],[Periodo]],listaPeriodos,0))</f>
        <v>0.65617463258362307</v>
      </c>
      <c r="F899" s="33"/>
      <c r="G899" s="228"/>
      <c r="H899" s="33"/>
    </row>
    <row r="900" spans="1:8" x14ac:dyDescent="0.3">
      <c r="A900" t="s">
        <v>1132</v>
      </c>
      <c r="B900" s="3">
        <f t="shared" si="11"/>
        <v>45689</v>
      </c>
      <c r="C900" s="2" t="str">
        <f>VLOOKUP(MONTH(Tabela1[[#This Row],[Periodo]]),NUMMESES,2,FALSE)</f>
        <v>Fevereiro</v>
      </c>
      <c r="D900" s="2">
        <f>YEAR(Tabela1[[#This Row],[Periodo]])</f>
        <v>2025</v>
      </c>
      <c r="E900" s="33">
        <f>(INDEX(TBBP[],MATCH("2.9",planoContas,0)+1,MATCH(Tabela1[[#This Row],[Periodo]],listaPeriodos,0))-1)/INDEX(TBBP[],MATCH("2",planoContas,0)+1,MATCH(Tabela1[[#This Row],[Periodo]],listaPeriodos,0))</f>
        <v>0.65975988787673812</v>
      </c>
      <c r="F900" s="33"/>
      <c r="G900" s="228"/>
      <c r="H900" s="33"/>
    </row>
    <row r="901" spans="1:8" x14ac:dyDescent="0.3">
      <c r="A901" t="s">
        <v>1132</v>
      </c>
      <c r="B901" s="3">
        <f t="shared" si="11"/>
        <v>45717</v>
      </c>
      <c r="C901" s="2" t="str">
        <f>VLOOKUP(MONTH(Tabela1[[#This Row],[Periodo]]),NUMMESES,2,FALSE)</f>
        <v>Março</v>
      </c>
      <c r="D901" s="2">
        <f>YEAR(Tabela1[[#This Row],[Periodo]])</f>
        <v>2025</v>
      </c>
      <c r="E901" s="33">
        <f>(INDEX(TBBP[],MATCH("2.9",planoContas,0)+1,MATCH(Tabela1[[#This Row],[Periodo]],listaPeriodos,0))-1)/INDEX(TBBP[],MATCH("2",planoContas,0)+1,MATCH(Tabela1[[#This Row],[Periodo]],listaPeriodos,0))</f>
        <v>0.67720489208980217</v>
      </c>
      <c r="F901" s="33"/>
      <c r="G901" s="228"/>
      <c r="H901" s="33"/>
    </row>
    <row r="902" spans="1:8" x14ac:dyDescent="0.3">
      <c r="A902" t="s">
        <v>1132</v>
      </c>
      <c r="B902" s="3">
        <f t="shared" si="11"/>
        <v>45748</v>
      </c>
      <c r="C902" s="2" t="str">
        <f>VLOOKUP(MONTH(Tabela1[[#This Row],[Periodo]]),NUMMESES,2,FALSE)</f>
        <v>Abril</v>
      </c>
      <c r="D902" s="2">
        <f>YEAR(Tabela1[[#This Row],[Periodo]])</f>
        <v>2025</v>
      </c>
      <c r="E902" s="33">
        <f>(INDEX(TBBP[],MATCH("2.9",planoContas,0)+1,MATCH(Tabela1[[#This Row],[Periodo]],listaPeriodos,0))-1)/INDEX(TBBP[],MATCH("2",planoContas,0)+1,MATCH(Tabela1[[#This Row],[Periodo]],listaPeriodos,0))</f>
        <v>0.68457467423318286</v>
      </c>
      <c r="F902" s="33"/>
      <c r="G902" s="228"/>
      <c r="H902" s="33"/>
    </row>
    <row r="903" spans="1:8" x14ac:dyDescent="0.3">
      <c r="A903" t="s">
        <v>1132</v>
      </c>
      <c r="B903" s="3">
        <f t="shared" si="11"/>
        <v>45778</v>
      </c>
      <c r="C903" s="2" t="str">
        <f>VLOOKUP(MONTH(Tabela1[[#This Row],[Periodo]]),NUMMESES,2,FALSE)</f>
        <v>Maio</v>
      </c>
      <c r="D903" s="2">
        <f>YEAR(Tabela1[[#This Row],[Periodo]])</f>
        <v>2025</v>
      </c>
      <c r="E903" s="33">
        <f>(INDEX(TBBP[],MATCH("2.9",planoContas,0)+1,MATCH(Tabela1[[#This Row],[Periodo]],listaPeriodos,0))-1)/INDEX(TBBP[],MATCH("2",planoContas,0)+1,MATCH(Tabela1[[#This Row],[Periodo]],listaPeriodos,0))</f>
        <v>0.6916469062133408</v>
      </c>
      <c r="F903" s="33"/>
      <c r="G903" s="228"/>
      <c r="H903" s="33"/>
    </row>
    <row r="904" spans="1:8" x14ac:dyDescent="0.3">
      <c r="A904" t="s">
        <v>1132</v>
      </c>
      <c r="B904" s="3">
        <f t="shared" si="11"/>
        <v>45809</v>
      </c>
      <c r="C904" s="2" t="str">
        <f>VLOOKUP(MONTH(Tabela1[[#This Row],[Periodo]]),NUMMESES,2,FALSE)</f>
        <v>Junho</v>
      </c>
      <c r="D904" s="2">
        <f>YEAR(Tabela1[[#This Row],[Periodo]])</f>
        <v>2025</v>
      </c>
      <c r="E904" s="33">
        <f>(INDEX(TBBP[],MATCH("2.9",planoContas,0)+1,MATCH(Tabela1[[#This Row],[Periodo]],listaPeriodos,0))-1)/INDEX(TBBP[],MATCH("2",planoContas,0)+1,MATCH(Tabela1[[#This Row],[Periodo]],listaPeriodos,0))</f>
        <v>0.67313204283864703</v>
      </c>
      <c r="F904" s="33"/>
      <c r="G904" s="228"/>
      <c r="H904" s="33"/>
    </row>
    <row r="905" spans="1:8" x14ac:dyDescent="0.3">
      <c r="A905" t="s">
        <v>1132</v>
      </c>
      <c r="B905" s="3">
        <f t="shared" si="11"/>
        <v>45839</v>
      </c>
      <c r="C905" s="2" t="str">
        <f>VLOOKUP(MONTH(Tabela1[[#This Row],[Periodo]]),NUMMESES,2,FALSE)</f>
        <v>Julho</v>
      </c>
      <c r="D905" s="2">
        <f>YEAR(Tabela1[[#This Row],[Periodo]])</f>
        <v>2025</v>
      </c>
      <c r="E905" s="33">
        <f>(INDEX(TBBP[],MATCH("2.9",planoContas,0)+1,MATCH(Tabela1[[#This Row],[Periodo]],listaPeriodos,0))-1)/INDEX(TBBP[],MATCH("2",planoContas,0)+1,MATCH(Tabela1[[#This Row],[Periodo]],listaPeriodos,0))</f>
        <v>0.64772858061695904</v>
      </c>
      <c r="F905" s="33"/>
      <c r="G905" s="228"/>
      <c r="H905" s="33"/>
    </row>
    <row r="906" spans="1:8" x14ac:dyDescent="0.3">
      <c r="A906" t="s">
        <v>1132</v>
      </c>
      <c r="B906" s="3">
        <f t="shared" si="11"/>
        <v>45870</v>
      </c>
      <c r="C906" s="2" t="str">
        <f>VLOOKUP(MONTH(Tabela1[[#This Row],[Periodo]]),NUMMESES,2,FALSE)</f>
        <v>Agosto</v>
      </c>
      <c r="D906" s="2">
        <f>YEAR(Tabela1[[#This Row],[Periodo]])</f>
        <v>2025</v>
      </c>
      <c r="E906" s="33">
        <f>(INDEX(TBBP[],MATCH("2.9",planoContas,0)+1,MATCH(Tabela1[[#This Row],[Periodo]],listaPeriodos,0))-1)/INDEX(TBBP[],MATCH("2",planoContas,0)+1,MATCH(Tabela1[[#This Row],[Periodo]],listaPeriodos,0))</f>
        <v>0.66064425440447838</v>
      </c>
      <c r="F906" s="33"/>
      <c r="G906" s="228"/>
      <c r="H906" s="33"/>
    </row>
    <row r="907" spans="1:8" x14ac:dyDescent="0.3">
      <c r="A907" t="s">
        <v>1132</v>
      </c>
      <c r="B907" s="3">
        <f t="shared" si="11"/>
        <v>45901</v>
      </c>
      <c r="C907" s="2" t="str">
        <f>VLOOKUP(MONTH(Tabela1[[#This Row],[Periodo]]),NUMMESES,2,FALSE)</f>
        <v>Setembro</v>
      </c>
      <c r="D907" s="2">
        <f>YEAR(Tabela1[[#This Row],[Periodo]])</f>
        <v>2025</v>
      </c>
      <c r="E907" s="33">
        <f>(INDEX(TBBP[],MATCH("2.9",planoContas,0)+1,MATCH(Tabela1[[#This Row],[Periodo]],listaPeriodos,0))-1)/INDEX(TBBP[],MATCH("2",planoContas,0)+1,MATCH(Tabela1[[#This Row],[Periodo]],listaPeriodos,0))</f>
        <v>0.66202927253968924</v>
      </c>
      <c r="F907" s="33"/>
      <c r="G907" s="228"/>
      <c r="H907" s="33"/>
    </row>
    <row r="908" spans="1:8" x14ac:dyDescent="0.3">
      <c r="A908" t="s">
        <v>1132</v>
      </c>
      <c r="B908" s="3">
        <f t="shared" si="11"/>
        <v>45931</v>
      </c>
      <c r="C908" s="2" t="str">
        <f>VLOOKUP(MONTH(Tabela1[[#This Row],[Periodo]]),NUMMESES,2,FALSE)</f>
        <v>Outubro</v>
      </c>
      <c r="D908" s="2">
        <f>YEAR(Tabela1[[#This Row],[Periodo]])</f>
        <v>2025</v>
      </c>
      <c r="E908" s="33">
        <f>(INDEX(TBBP[],MATCH("2.9",planoContas,0)+1,MATCH(Tabela1[[#This Row],[Periodo]],listaPeriodos,0))-1)/INDEX(TBBP[],MATCH("2",planoContas,0)+1,MATCH(Tabela1[[#This Row],[Periodo]],listaPeriodos,0))</f>
        <v>0.65281943183026192</v>
      </c>
      <c r="F908" s="33"/>
      <c r="G908" s="228"/>
      <c r="H908" s="33"/>
    </row>
    <row r="909" spans="1:8" x14ac:dyDescent="0.3">
      <c r="A909" t="s">
        <v>1132</v>
      </c>
      <c r="B909" s="3">
        <f t="shared" si="11"/>
        <v>45962</v>
      </c>
      <c r="C909" s="2" t="str">
        <f>VLOOKUP(MONTH(Tabela1[[#This Row],[Periodo]]),NUMMESES,2,FALSE)</f>
        <v>Novembro</v>
      </c>
      <c r="D909" s="2">
        <f>YEAR(Tabela1[[#This Row],[Periodo]])</f>
        <v>2025</v>
      </c>
      <c r="E909" s="33">
        <f>(INDEX(TBBP[],MATCH("2.9",planoContas,0)+1,MATCH(Tabela1[[#This Row],[Periodo]],listaPeriodos,0))-1)/INDEX(TBBP[],MATCH("2",planoContas,0)+1,MATCH(Tabela1[[#This Row],[Periodo]],listaPeriodos,0))</f>
        <v>0.65241445582176827</v>
      </c>
      <c r="F909" s="33"/>
      <c r="G909" s="228"/>
      <c r="H909" s="33"/>
    </row>
    <row r="910" spans="1:8" x14ac:dyDescent="0.3">
      <c r="A910" t="s">
        <v>1132</v>
      </c>
      <c r="B910" s="3">
        <f t="shared" si="11"/>
        <v>45992</v>
      </c>
      <c r="C910" s="2" t="str">
        <f>VLOOKUP(MONTH(Tabela1[[#This Row],[Periodo]]),NUMMESES,2,FALSE)</f>
        <v>Dezembro</v>
      </c>
      <c r="D910" s="2">
        <f>YEAR(Tabela1[[#This Row],[Periodo]])</f>
        <v>2025</v>
      </c>
      <c r="E910" s="33">
        <f>(INDEX(TBBP[],MATCH("2.9",planoContas,0)+1,MATCH(Tabela1[[#This Row],[Periodo]],listaPeriodos,0))-1)/INDEX(TBBP[],MATCH("2",planoContas,0)+1,MATCH(Tabela1[[#This Row],[Periodo]],listaPeriodos,0))</f>
        <v>0.58675826888025828</v>
      </c>
      <c r="F910" s="33"/>
      <c r="G910" s="228"/>
      <c r="H910" s="33"/>
    </row>
    <row r="911" spans="1:8" x14ac:dyDescent="0.3">
      <c r="A911" t="s">
        <v>1132</v>
      </c>
      <c r="B911" s="3">
        <f t="shared" si="11"/>
        <v>46023</v>
      </c>
      <c r="C911" s="2" t="str">
        <f>VLOOKUP(MONTH(Tabela1[[#This Row],[Periodo]]),NUMMESES,2,FALSE)</f>
        <v>Janeiro</v>
      </c>
      <c r="D911" s="2">
        <f>YEAR(Tabela1[[#This Row],[Periodo]])</f>
        <v>2026</v>
      </c>
      <c r="E911" s="33">
        <f>(INDEX(TBBP[],MATCH("2.9",planoContas,0)+1,MATCH(Tabela1[[#This Row],[Periodo]],listaPeriodos,0))-1)/INDEX(TBBP[],MATCH("2",planoContas,0)+1,MATCH(Tabela1[[#This Row],[Periodo]],listaPeriodos,0))</f>
        <v>0.58051673566599438</v>
      </c>
      <c r="F911" s="33"/>
      <c r="G911" s="228"/>
      <c r="H911" s="33"/>
    </row>
    <row r="912" spans="1:8" x14ac:dyDescent="0.3">
      <c r="B912" s="3"/>
      <c r="C912" s="2"/>
      <c r="D912" s="2"/>
      <c r="E912" s="16"/>
      <c r="F912" s="33"/>
      <c r="G912" s="228"/>
      <c r="H912" s="33"/>
    </row>
    <row r="913" spans="1:8" x14ac:dyDescent="0.3">
      <c r="A913" t="s">
        <v>682</v>
      </c>
      <c r="B913" s="3">
        <v>41609</v>
      </c>
      <c r="C913" s="2" t="str">
        <f>VLOOKUP(MONTH(Tabela1[[#This Row],[Periodo]]),NUMMESES,2,FALSE)</f>
        <v>Dezembro</v>
      </c>
      <c r="D913" s="2">
        <f>YEAR(Tabela1[[#This Row],[Periodo]])</f>
        <v>2013</v>
      </c>
      <c r="E913" s="34">
        <f>(INDEX(TBBP[],MATCH("1.1",planoContas,0)+1,MATCH(Tabela1[[#This Row],[Periodo]],listaPeriodos,0))/INDEX(TBBP[],MATCH("2.1",planoContas,0)+1,MATCH(Tabela1[[#This Row],[Periodo]],listaPeriodos,0)))</f>
        <v>6.8557958238307206</v>
      </c>
      <c r="F913" s="34">
        <v>7</v>
      </c>
      <c r="G913" s="34"/>
      <c r="H913" s="33"/>
    </row>
    <row r="914" spans="1:8" x14ac:dyDescent="0.3">
      <c r="A914" t="s">
        <v>682</v>
      </c>
      <c r="B914" s="3">
        <v>41974</v>
      </c>
      <c r="C914" s="2" t="str">
        <f>VLOOKUP(MONTH(Tabela1[[#This Row],[Periodo]]),NUMMESES,2,FALSE)</f>
        <v>Dezembro</v>
      </c>
      <c r="D914" s="2">
        <f>YEAR(Tabela1[[#This Row],[Periodo]])</f>
        <v>2014</v>
      </c>
      <c r="E914" s="34">
        <f>(INDEX(TBBP[],MATCH("1.1",planoContas,0)+1,MATCH(Tabela1[[#This Row],[Periodo]],listaPeriodos,0))/INDEX(TBBP[],MATCH("2.1",planoContas,0)+1,MATCH(Tabela1[[#This Row],[Periodo]],listaPeriodos,0)))</f>
        <v>4.0964600079531621</v>
      </c>
      <c r="F914" s="34">
        <v>7</v>
      </c>
      <c r="G914" s="34"/>
      <c r="H914" s="33"/>
    </row>
    <row r="915" spans="1:8" x14ac:dyDescent="0.3">
      <c r="A915" t="s">
        <v>682</v>
      </c>
      <c r="B915" s="3">
        <v>42339</v>
      </c>
      <c r="C915" s="2" t="str">
        <f>VLOOKUP(MONTH(Tabela1[[#This Row],[Periodo]]),NUMMESES,2,FALSE)</f>
        <v>Dezembro</v>
      </c>
      <c r="D915" s="2">
        <f>YEAR(Tabela1[[#This Row],[Periodo]])</f>
        <v>2015</v>
      </c>
      <c r="E915" s="34">
        <f>(INDEX(TBBP[],MATCH("1.1",planoContas,0)+1,MATCH(Tabela1[[#This Row],[Periodo]],listaPeriodos,0))/INDEX(TBBP[],MATCH("2.1",planoContas,0)+1,MATCH(Tabela1[[#This Row],[Periodo]],listaPeriodos,0)))</f>
        <v>6.4535179283247901</v>
      </c>
      <c r="F915" s="34">
        <v>7</v>
      </c>
      <c r="G915" s="34"/>
      <c r="H915" s="33"/>
    </row>
    <row r="916" spans="1:8" x14ac:dyDescent="0.3">
      <c r="A916" t="s">
        <v>682</v>
      </c>
      <c r="B916" s="3">
        <v>42705</v>
      </c>
      <c r="C916" s="2" t="str">
        <f>VLOOKUP(MONTH(Tabela1[[#This Row],[Periodo]]),NUMMESES,2,FALSE)</f>
        <v>Dezembro</v>
      </c>
      <c r="D916" s="2">
        <f>YEAR(Tabela1[[#This Row],[Periodo]])</f>
        <v>2016</v>
      </c>
      <c r="E916" s="34">
        <f>(INDEX(TBBP[],MATCH("1.1",planoContas,0)+1,MATCH(Tabela1[[#This Row],[Periodo]],listaPeriodos,0))/INDEX(TBBP[],MATCH("2.1",planoContas,0)+1,MATCH(Tabela1[[#This Row],[Periodo]],listaPeriodos,0)))</f>
        <v>8.1256591129324445</v>
      </c>
      <c r="F916" s="34">
        <v>7</v>
      </c>
      <c r="G916" s="34"/>
      <c r="H916" s="33"/>
    </row>
    <row r="917" spans="1:8" x14ac:dyDescent="0.3">
      <c r="A917" t="s">
        <v>682</v>
      </c>
      <c r="B917" s="3">
        <v>43070</v>
      </c>
      <c r="C917" s="2" t="str">
        <f>VLOOKUP(MONTH(Tabela1[[#This Row],[Periodo]]),NUMMESES,2,FALSE)</f>
        <v>Dezembro</v>
      </c>
      <c r="D917" s="2">
        <f>YEAR(Tabela1[[#This Row],[Periodo]])</f>
        <v>2017</v>
      </c>
      <c r="E917" s="34">
        <f>(INDEX(TBBP[],MATCH("1.1",planoContas,0)+1,MATCH(Tabela1[[#This Row],[Periodo]],listaPeriodos,0))/INDEX(TBBP[],MATCH("2.1",planoContas,0)+1,MATCH(Tabela1[[#This Row],[Periodo]],listaPeriodos,0)))</f>
        <v>7.2996024320969637</v>
      </c>
      <c r="F917" s="34">
        <v>7</v>
      </c>
      <c r="G917" s="34"/>
      <c r="H917" s="33"/>
    </row>
    <row r="918" spans="1:8" x14ac:dyDescent="0.3">
      <c r="A918" t="s">
        <v>682</v>
      </c>
      <c r="B918" s="3">
        <v>43101</v>
      </c>
      <c r="C918" s="2" t="str">
        <f>VLOOKUP(MONTH(Tabela1[[#This Row],[Periodo]]),NUMMESES,2,FALSE)</f>
        <v>Janeiro</v>
      </c>
      <c r="D918" s="2">
        <f>YEAR(Tabela1[[#This Row],[Periodo]])</f>
        <v>2018</v>
      </c>
      <c r="E918" s="34">
        <f>(INDEX(TBBP[],MATCH("1.1",planoContas,0)+1,MATCH(Tabela1[[#This Row],[Periodo]],listaPeriodos,0))/INDEX(TBBP[],MATCH("2.1",planoContas,0)+1,MATCH(Tabela1[[#This Row],[Periodo]],listaPeriodos,0)))</f>
        <v>8.696023104300016</v>
      </c>
      <c r="F918" s="34">
        <v>7</v>
      </c>
      <c r="G918" s="34"/>
      <c r="H918" s="33"/>
    </row>
    <row r="919" spans="1:8" x14ac:dyDescent="0.3">
      <c r="A919" t="s">
        <v>682</v>
      </c>
      <c r="B919" s="3">
        <f t="shared" ref="B919:B1014" si="12">DATE(YEAR(B918),MONTH(B918)+1,DAY(B918))</f>
        <v>43132</v>
      </c>
      <c r="C919" s="2" t="str">
        <f>VLOOKUP(MONTH(Tabela1[[#This Row],[Periodo]]),NUMMESES,2,FALSE)</f>
        <v>Fevereiro</v>
      </c>
      <c r="D919" s="2">
        <f>YEAR(Tabela1[[#This Row],[Periodo]])</f>
        <v>2018</v>
      </c>
      <c r="E919" s="34">
        <f>(INDEX(TBBP[],MATCH("1.1",planoContas,0)+1,MATCH(Tabela1[[#This Row],[Periodo]],listaPeriodos,0))/INDEX(TBBP[],MATCH("2.1",planoContas,0)+1,MATCH(Tabela1[[#This Row],[Periodo]],listaPeriodos,0)))</f>
        <v>7.9096823478822138</v>
      </c>
      <c r="F919" s="34">
        <v>7</v>
      </c>
      <c r="G919" s="34"/>
      <c r="H919" s="34"/>
    </row>
    <row r="920" spans="1:8" x14ac:dyDescent="0.3">
      <c r="A920" t="s">
        <v>682</v>
      </c>
      <c r="B920" s="3">
        <f t="shared" si="12"/>
        <v>43160</v>
      </c>
      <c r="C920" s="2" t="str">
        <f>VLOOKUP(MONTH(Tabela1[[#This Row],[Periodo]]),NUMMESES,2,FALSE)</f>
        <v>Março</v>
      </c>
      <c r="D920" s="2">
        <f>YEAR(Tabela1[[#This Row],[Periodo]])</f>
        <v>2018</v>
      </c>
      <c r="E920" s="34">
        <f>(INDEX(TBBP[],MATCH("1.1",planoContas,0)+1,MATCH(Tabela1[[#This Row],[Periodo]],listaPeriodos,0))/INDEX(TBBP[],MATCH("2.1",planoContas,0)+1,MATCH(Tabela1[[#This Row],[Periodo]],listaPeriodos,0)))</f>
        <v>6.9746661208660896</v>
      </c>
      <c r="F920" s="34">
        <v>7</v>
      </c>
      <c r="G920" s="34"/>
      <c r="H920" s="34"/>
    </row>
    <row r="921" spans="1:8" x14ac:dyDescent="0.3">
      <c r="A921" t="s">
        <v>682</v>
      </c>
      <c r="B921" s="3">
        <f t="shared" si="12"/>
        <v>43191</v>
      </c>
      <c r="C921" s="2" t="str">
        <f>VLOOKUP(MONTH(Tabela1[[#This Row],[Periodo]]),NUMMESES,2,FALSE)</f>
        <v>Abril</v>
      </c>
      <c r="D921" s="2">
        <f>YEAR(Tabela1[[#This Row],[Periodo]])</f>
        <v>2018</v>
      </c>
      <c r="E921" s="34">
        <f>(INDEX(TBBP[],MATCH("1.1",planoContas,0)+1,MATCH(Tabela1[[#This Row],[Periodo]],listaPeriodos,0))/INDEX(TBBP[],MATCH("2.1",planoContas,0)+1,MATCH(Tabela1[[#This Row],[Periodo]],listaPeriodos,0)))</f>
        <v>3.9881809379166735</v>
      </c>
      <c r="F921" s="34">
        <v>7</v>
      </c>
      <c r="G921" s="34"/>
      <c r="H921" s="34"/>
    </row>
    <row r="922" spans="1:8" x14ac:dyDescent="0.3">
      <c r="A922" t="s">
        <v>682</v>
      </c>
      <c r="B922" s="3">
        <f t="shared" si="12"/>
        <v>43221</v>
      </c>
      <c r="C922" s="2" t="str">
        <f>VLOOKUP(MONTH(Tabela1[[#This Row],[Periodo]]),NUMMESES,2,FALSE)</f>
        <v>Maio</v>
      </c>
      <c r="D922" s="2">
        <f>YEAR(Tabela1[[#This Row],[Periodo]])</f>
        <v>2018</v>
      </c>
      <c r="E922" s="34">
        <f>(INDEX(TBBP[],MATCH("1.1",planoContas,0)+1,MATCH(Tabela1[[#This Row],[Periodo]],listaPeriodos,0))/INDEX(TBBP[],MATCH("2.1",planoContas,0)+1,MATCH(Tabela1[[#This Row],[Periodo]],listaPeriodos,0)))</f>
        <v>4.5811608613808454</v>
      </c>
      <c r="F922" s="34">
        <v>7</v>
      </c>
      <c r="G922" s="34"/>
      <c r="H922" s="34"/>
    </row>
    <row r="923" spans="1:8" x14ac:dyDescent="0.3">
      <c r="A923" t="s">
        <v>682</v>
      </c>
      <c r="B923" s="3">
        <f t="shared" si="12"/>
        <v>43252</v>
      </c>
      <c r="C923" s="2" t="str">
        <f>VLOOKUP(MONTH(Tabela1[[#This Row],[Periodo]]),NUMMESES,2,FALSE)</f>
        <v>Junho</v>
      </c>
      <c r="D923" s="2">
        <f>YEAR(Tabela1[[#This Row],[Periodo]])</f>
        <v>2018</v>
      </c>
      <c r="E923" s="34">
        <f>(INDEX(TBBP[],MATCH("1.1",planoContas,0)+1,MATCH(Tabela1[[#This Row],[Periodo]],listaPeriodos,0))/INDEX(TBBP[],MATCH("2.1",planoContas,0)+1,MATCH(Tabela1[[#This Row],[Periodo]],listaPeriodos,0)))</f>
        <v>4.1327477689017256</v>
      </c>
      <c r="F923" s="34">
        <v>7</v>
      </c>
      <c r="G923" s="34"/>
      <c r="H923" s="34"/>
    </row>
    <row r="924" spans="1:8" x14ac:dyDescent="0.3">
      <c r="A924" t="s">
        <v>682</v>
      </c>
      <c r="B924" s="3">
        <f t="shared" si="12"/>
        <v>43282</v>
      </c>
      <c r="C924" s="2" t="str">
        <f>VLOOKUP(MONTH(Tabela1[[#This Row],[Periodo]]),NUMMESES,2,FALSE)</f>
        <v>Julho</v>
      </c>
      <c r="D924" s="2">
        <f>YEAR(Tabela1[[#This Row],[Periodo]])</f>
        <v>2018</v>
      </c>
      <c r="E924" s="34">
        <f>(INDEX(TBBP[],MATCH("1.1",planoContas,0)+1,MATCH(Tabela1[[#This Row],[Periodo]],listaPeriodos,0))/INDEX(TBBP[],MATCH("2.1",planoContas,0)+1,MATCH(Tabela1[[#This Row],[Periodo]],listaPeriodos,0)))</f>
        <v>4.5807323188224389</v>
      </c>
      <c r="F924" s="34">
        <v>7</v>
      </c>
      <c r="G924" s="34"/>
      <c r="H924" s="34"/>
    </row>
    <row r="925" spans="1:8" x14ac:dyDescent="0.3">
      <c r="A925" t="s">
        <v>682</v>
      </c>
      <c r="B925" s="3">
        <f t="shared" si="12"/>
        <v>43313</v>
      </c>
      <c r="C925" s="2" t="str">
        <f>VLOOKUP(MONTH(Tabela1[[#This Row],[Periodo]]),NUMMESES,2,FALSE)</f>
        <v>Agosto</v>
      </c>
      <c r="D925" s="2">
        <f>YEAR(Tabela1[[#This Row],[Periodo]])</f>
        <v>2018</v>
      </c>
      <c r="E925" s="34">
        <f>(INDEX(TBBP[],MATCH("1.1",planoContas,0)+1,MATCH(Tabela1[[#This Row],[Periodo]],listaPeriodos,0))/INDEX(TBBP[],MATCH("2.1",planoContas,0)+1,MATCH(Tabela1[[#This Row],[Periodo]],listaPeriodos,0)))</f>
        <v>4.3537795101140766</v>
      </c>
      <c r="F925" s="34">
        <v>7</v>
      </c>
      <c r="G925" s="34"/>
      <c r="H925" s="34"/>
    </row>
    <row r="926" spans="1:8" x14ac:dyDescent="0.3">
      <c r="A926" t="s">
        <v>682</v>
      </c>
      <c r="B926" s="3">
        <f t="shared" si="12"/>
        <v>43344</v>
      </c>
      <c r="C926" s="2" t="str">
        <f>VLOOKUP(MONTH(Tabela1[[#This Row],[Periodo]]),NUMMESES,2,FALSE)</f>
        <v>Setembro</v>
      </c>
      <c r="D926" s="2">
        <f>YEAR(Tabela1[[#This Row],[Periodo]])</f>
        <v>2018</v>
      </c>
      <c r="E926" s="34">
        <f>(INDEX(TBBP[],MATCH("1.1",planoContas,0)+1,MATCH(Tabela1[[#This Row],[Periodo]],listaPeriodos,0))/INDEX(TBBP[],MATCH("2.1",planoContas,0)+1,MATCH(Tabela1[[#This Row],[Periodo]],listaPeriodos,0)))</f>
        <v>3.933934771358202</v>
      </c>
      <c r="F926" s="34">
        <v>7</v>
      </c>
      <c r="G926" s="34"/>
      <c r="H926" s="34"/>
    </row>
    <row r="927" spans="1:8" x14ac:dyDescent="0.3">
      <c r="A927" t="s">
        <v>682</v>
      </c>
      <c r="B927" s="3">
        <f t="shared" si="12"/>
        <v>43374</v>
      </c>
      <c r="C927" s="2" t="str">
        <f>VLOOKUP(MONTH(Tabela1[[#This Row],[Periodo]]),NUMMESES,2,FALSE)</f>
        <v>Outubro</v>
      </c>
      <c r="D927" s="2">
        <f>YEAR(Tabela1[[#This Row],[Periodo]])</f>
        <v>2018</v>
      </c>
      <c r="E927" s="34">
        <f>(INDEX(TBBP[],MATCH("1.1",planoContas,0)+1,MATCH(Tabela1[[#This Row],[Periodo]],listaPeriodos,0))/INDEX(TBBP[],MATCH("2.1",planoContas,0)+1,MATCH(Tabela1[[#This Row],[Periodo]],listaPeriodos,0)))</f>
        <v>4.2782373170007739</v>
      </c>
      <c r="F927" s="34">
        <v>7</v>
      </c>
      <c r="G927" s="34"/>
      <c r="H927" s="34"/>
    </row>
    <row r="928" spans="1:8" x14ac:dyDescent="0.3">
      <c r="A928" t="s">
        <v>682</v>
      </c>
      <c r="B928" s="3">
        <f t="shared" si="12"/>
        <v>43405</v>
      </c>
      <c r="C928" s="2" t="str">
        <f>VLOOKUP(MONTH(Tabela1[[#This Row],[Periodo]]),NUMMESES,2,FALSE)</f>
        <v>Novembro</v>
      </c>
      <c r="D928" s="2">
        <f>YEAR(Tabela1[[#This Row],[Periodo]])</f>
        <v>2018</v>
      </c>
      <c r="E928" s="34">
        <f>(INDEX(TBBP[],MATCH("1.1",planoContas,0)+1,MATCH(Tabela1[[#This Row],[Periodo]],listaPeriodos,0))/INDEX(TBBP[],MATCH("2.1",planoContas,0)+1,MATCH(Tabela1[[#This Row],[Periodo]],listaPeriodos,0)))</f>
        <v>4.9387500946060641</v>
      </c>
      <c r="F928" s="34">
        <v>7</v>
      </c>
      <c r="G928" s="34"/>
      <c r="H928" s="34"/>
    </row>
    <row r="929" spans="1:8" x14ac:dyDescent="0.3">
      <c r="A929" t="s">
        <v>682</v>
      </c>
      <c r="B929" s="3">
        <f t="shared" si="12"/>
        <v>43435</v>
      </c>
      <c r="C929" s="2" t="str">
        <f>VLOOKUP(MONTH(Tabela1[[#This Row],[Periodo]]),NUMMESES,2,FALSE)</f>
        <v>Dezembro</v>
      </c>
      <c r="D929" s="2">
        <f>YEAR(Tabela1[[#This Row],[Periodo]])</f>
        <v>2018</v>
      </c>
      <c r="E929" s="34">
        <f>(INDEX(TBBP[],MATCH("1.1",planoContas,0)+1,MATCH(Tabela1[[#This Row],[Periodo]],listaPeriodos,0))/INDEX(TBBP[],MATCH("2.1",planoContas,0)+1,MATCH(Tabela1[[#This Row],[Periodo]],listaPeriodos,0)))</f>
        <v>5.2675289244933214</v>
      </c>
      <c r="F929" s="34">
        <v>7</v>
      </c>
      <c r="G929" s="34"/>
      <c r="H929" s="34"/>
    </row>
    <row r="930" spans="1:8" x14ac:dyDescent="0.3">
      <c r="A930" t="s">
        <v>682</v>
      </c>
      <c r="B930" s="3">
        <f t="shared" si="12"/>
        <v>43466</v>
      </c>
      <c r="C930" s="2" t="str">
        <f>VLOOKUP(MONTH(Tabela1[[#This Row],[Periodo]]),NUMMESES,2,FALSE)</f>
        <v>Janeiro</v>
      </c>
      <c r="D930" s="2">
        <f>YEAR(Tabela1[[#This Row],[Periodo]])</f>
        <v>2019</v>
      </c>
      <c r="E930" s="34">
        <f>(INDEX(TBBP[],MATCH("1.1",planoContas,0)+1,MATCH(Tabela1[[#This Row],[Periodo]],listaPeriodos,0))/INDEX(TBBP[],MATCH("2.1",planoContas,0)+1,MATCH(Tabela1[[#This Row],[Periodo]],listaPeriodos,0)))</f>
        <v>4.6364465499728587</v>
      </c>
      <c r="F930" s="34">
        <v>7</v>
      </c>
      <c r="G930" s="34"/>
      <c r="H930" s="34"/>
    </row>
    <row r="931" spans="1:8" x14ac:dyDescent="0.3">
      <c r="A931" t="s">
        <v>682</v>
      </c>
      <c r="B931" s="3">
        <f t="shared" si="12"/>
        <v>43497</v>
      </c>
      <c r="C931" s="2" t="str">
        <f>VLOOKUP(MONTH(Tabela1[[#This Row],[Periodo]]),NUMMESES,2,FALSE)</f>
        <v>Fevereiro</v>
      </c>
      <c r="D931" s="2">
        <f>YEAR(Tabela1[[#This Row],[Periodo]])</f>
        <v>2019</v>
      </c>
      <c r="E931" s="34">
        <f>(INDEX(TBBP[],MATCH("1.1",planoContas,0)+1,MATCH(Tabela1[[#This Row],[Periodo]],listaPeriodos,0))/INDEX(TBBP[],MATCH("2.1",planoContas,0)+1,MATCH(Tabela1[[#This Row],[Periodo]],listaPeriodos,0)))</f>
        <v>4.9008061868950143</v>
      </c>
      <c r="F931" s="34">
        <v>7</v>
      </c>
      <c r="G931" s="34"/>
      <c r="H931" s="34"/>
    </row>
    <row r="932" spans="1:8" x14ac:dyDescent="0.3">
      <c r="A932" t="s">
        <v>682</v>
      </c>
      <c r="B932" s="3">
        <f t="shared" si="12"/>
        <v>43525</v>
      </c>
      <c r="C932" s="2" t="str">
        <f>VLOOKUP(MONTH(Tabela1[[#This Row],[Periodo]]),NUMMESES,2,FALSE)</f>
        <v>Março</v>
      </c>
      <c r="D932" s="2">
        <f>YEAR(Tabela1[[#This Row],[Periodo]])</f>
        <v>2019</v>
      </c>
      <c r="E932" s="34">
        <f>(INDEX(TBBP[],MATCH("1.1",planoContas,0)+1,MATCH(Tabela1[[#This Row],[Periodo]],listaPeriodos,0))/INDEX(TBBP[],MATCH("2.1",planoContas,0)+1,MATCH(Tabela1[[#This Row],[Periodo]],listaPeriodos,0)))</f>
        <v>4.3931987803641306</v>
      </c>
      <c r="F932" s="34">
        <v>7</v>
      </c>
      <c r="G932" s="34"/>
      <c r="H932" s="34"/>
    </row>
    <row r="933" spans="1:8" x14ac:dyDescent="0.3">
      <c r="A933" t="s">
        <v>682</v>
      </c>
      <c r="B933" s="3">
        <f t="shared" si="12"/>
        <v>43556</v>
      </c>
      <c r="C933" s="2" t="str">
        <f>VLOOKUP(MONTH(Tabela1[[#This Row],[Periodo]]),NUMMESES,2,FALSE)</f>
        <v>Abril</v>
      </c>
      <c r="D933" s="2">
        <f>YEAR(Tabela1[[#This Row],[Periodo]])</f>
        <v>2019</v>
      </c>
      <c r="E933" s="34">
        <f>(INDEX(TBBP[],MATCH("1.1",planoContas,0)+1,MATCH(Tabela1[[#This Row],[Periodo]],listaPeriodos,0))/INDEX(TBBP[],MATCH("2.1",planoContas,0)+1,MATCH(Tabela1[[#This Row],[Periodo]],listaPeriodos,0)))</f>
        <v>4.137163859827246</v>
      </c>
      <c r="F933" s="34">
        <v>7</v>
      </c>
      <c r="G933" s="34"/>
      <c r="H933" s="34"/>
    </row>
    <row r="934" spans="1:8" x14ac:dyDescent="0.3">
      <c r="A934" t="s">
        <v>682</v>
      </c>
      <c r="B934" s="3">
        <f t="shared" si="12"/>
        <v>43586</v>
      </c>
      <c r="C934" s="2" t="str">
        <f>VLOOKUP(MONTH(Tabela1[[#This Row],[Periodo]]),NUMMESES,2,FALSE)</f>
        <v>Maio</v>
      </c>
      <c r="D934" s="2">
        <f>YEAR(Tabela1[[#This Row],[Periodo]])</f>
        <v>2019</v>
      </c>
      <c r="E934" s="34">
        <f>(INDEX(TBBP[],MATCH("1.1",planoContas,0)+1,MATCH(Tabela1[[#This Row],[Periodo]],listaPeriodos,0))/INDEX(TBBP[],MATCH("2.1",planoContas,0)+1,MATCH(Tabela1[[#This Row],[Periodo]],listaPeriodos,0)))</f>
        <v>3.929893595350916</v>
      </c>
      <c r="F934" s="34">
        <v>7</v>
      </c>
      <c r="G934" s="34"/>
      <c r="H934" s="34"/>
    </row>
    <row r="935" spans="1:8" x14ac:dyDescent="0.3">
      <c r="A935" t="s">
        <v>682</v>
      </c>
      <c r="B935" s="3">
        <f t="shared" si="12"/>
        <v>43617</v>
      </c>
      <c r="C935" s="2" t="str">
        <f>VLOOKUP(MONTH(Tabela1[[#This Row],[Periodo]]),NUMMESES,2,FALSE)</f>
        <v>Junho</v>
      </c>
      <c r="D935" s="2">
        <f>YEAR(Tabela1[[#This Row],[Periodo]])</f>
        <v>2019</v>
      </c>
      <c r="E935" s="34">
        <f>(INDEX(TBBP[],MATCH("1.1",planoContas,0)+1,MATCH(Tabela1[[#This Row],[Periodo]],listaPeriodos,0))/INDEX(TBBP[],MATCH("2.1",planoContas,0)+1,MATCH(Tabela1[[#This Row],[Periodo]],listaPeriodos,0)))</f>
        <v>3.6973012596023547</v>
      </c>
      <c r="F935" s="34">
        <v>7</v>
      </c>
      <c r="G935" s="34"/>
      <c r="H935" s="34"/>
    </row>
    <row r="936" spans="1:8" x14ac:dyDescent="0.3">
      <c r="A936" t="s">
        <v>682</v>
      </c>
      <c r="B936" s="3">
        <f t="shared" si="12"/>
        <v>43647</v>
      </c>
      <c r="C936" s="2" t="str">
        <f>VLOOKUP(MONTH(Tabela1[[#This Row],[Periodo]]),NUMMESES,2,FALSE)</f>
        <v>Julho</v>
      </c>
      <c r="D936" s="2">
        <f>YEAR(Tabela1[[#This Row],[Periodo]])</f>
        <v>2019</v>
      </c>
      <c r="E936" s="34">
        <f>(INDEX(TBBP[],MATCH("1.1",planoContas,0)+1,MATCH(Tabela1[[#This Row],[Periodo]],listaPeriodos,0))/INDEX(TBBP[],MATCH("2.1",planoContas,0)+1,MATCH(Tabela1[[#This Row],[Periodo]],listaPeriodos,0)))</f>
        <v>4.2246222654623056</v>
      </c>
      <c r="F936" s="34">
        <v>7</v>
      </c>
      <c r="G936" s="34"/>
      <c r="H936" s="34"/>
    </row>
    <row r="937" spans="1:8" x14ac:dyDescent="0.3">
      <c r="A937" t="s">
        <v>682</v>
      </c>
      <c r="B937" s="3">
        <f t="shared" si="12"/>
        <v>43678</v>
      </c>
      <c r="C937" s="2" t="str">
        <f>VLOOKUP(MONTH(Tabela1[[#This Row],[Periodo]]),NUMMESES,2,FALSE)</f>
        <v>Agosto</v>
      </c>
      <c r="D937" s="2">
        <f>YEAR(Tabela1[[#This Row],[Periodo]])</f>
        <v>2019</v>
      </c>
      <c r="E937" s="34">
        <f>(INDEX(TBBP[],MATCH("1.1",planoContas,0)+1,MATCH(Tabela1[[#This Row],[Periodo]],listaPeriodos,0))/INDEX(TBBP[],MATCH("2.1",planoContas,0)+1,MATCH(Tabela1[[#This Row],[Periodo]],listaPeriodos,0)))</f>
        <v>4.6748194163121752</v>
      </c>
      <c r="F937" s="34">
        <v>7</v>
      </c>
      <c r="G937" s="34"/>
      <c r="H937" s="34"/>
    </row>
    <row r="938" spans="1:8" x14ac:dyDescent="0.3">
      <c r="A938" t="s">
        <v>682</v>
      </c>
      <c r="B938" s="3">
        <f t="shared" si="12"/>
        <v>43709</v>
      </c>
      <c r="C938" s="2" t="str">
        <f>VLOOKUP(MONTH(Tabela1[[#This Row],[Periodo]]),NUMMESES,2,FALSE)</f>
        <v>Setembro</v>
      </c>
      <c r="D938" s="2">
        <f>YEAR(Tabela1[[#This Row],[Periodo]])</f>
        <v>2019</v>
      </c>
      <c r="E938" s="34">
        <f>(INDEX(TBBP[],MATCH("1.1",planoContas,0)+1,MATCH(Tabela1[[#This Row],[Periodo]],listaPeriodos,0))/INDEX(TBBP[],MATCH("2.1",planoContas,0)+1,MATCH(Tabela1[[#This Row],[Periodo]],listaPeriodos,0)))</f>
        <v>4.3605353665242994</v>
      </c>
      <c r="F938" s="34">
        <v>7</v>
      </c>
      <c r="G938" s="34"/>
      <c r="H938" s="34"/>
    </row>
    <row r="939" spans="1:8" x14ac:dyDescent="0.3">
      <c r="A939" t="s">
        <v>682</v>
      </c>
      <c r="B939" s="3">
        <f t="shared" si="12"/>
        <v>43739</v>
      </c>
      <c r="C939" s="2" t="str">
        <f>VLOOKUP(MONTH(Tabela1[[#This Row],[Periodo]]),NUMMESES,2,FALSE)</f>
        <v>Outubro</v>
      </c>
      <c r="D939" s="2">
        <f>YEAR(Tabela1[[#This Row],[Periodo]])</f>
        <v>2019</v>
      </c>
      <c r="E939" s="34">
        <f>(INDEX(TBBP[],MATCH("1.1",planoContas,0)+1,MATCH(Tabela1[[#This Row],[Periodo]],listaPeriodos,0))/INDEX(TBBP[],MATCH("2.1",planoContas,0)+1,MATCH(Tabela1[[#This Row],[Periodo]],listaPeriodos,0)))</f>
        <v>4.8821793601685908</v>
      </c>
      <c r="F939" s="34">
        <v>7</v>
      </c>
      <c r="G939" s="34"/>
      <c r="H939" s="34"/>
    </row>
    <row r="940" spans="1:8" x14ac:dyDescent="0.3">
      <c r="A940" t="s">
        <v>682</v>
      </c>
      <c r="B940" s="3">
        <f t="shared" si="12"/>
        <v>43770</v>
      </c>
      <c r="C940" s="2" t="str">
        <f>VLOOKUP(MONTH(Tabela1[[#This Row],[Periodo]]),NUMMESES,2,FALSE)</f>
        <v>Novembro</v>
      </c>
      <c r="D940" s="2">
        <f>YEAR(Tabela1[[#This Row],[Periodo]])</f>
        <v>2019</v>
      </c>
      <c r="E940" s="34">
        <f>(INDEX(TBBP[],MATCH("1.1",planoContas,0)+1,MATCH(Tabela1[[#This Row],[Periodo]],listaPeriodos,0))/INDEX(TBBP[],MATCH("2.1",planoContas,0)+1,MATCH(Tabela1[[#This Row],[Periodo]],listaPeriodos,0)))</f>
        <v>4.5494146421767843</v>
      </c>
      <c r="F940" s="34">
        <v>7</v>
      </c>
      <c r="G940" s="34"/>
      <c r="H940" s="34"/>
    </row>
    <row r="941" spans="1:8" x14ac:dyDescent="0.3">
      <c r="A941" t="s">
        <v>682</v>
      </c>
      <c r="B941" s="3">
        <f t="shared" si="12"/>
        <v>43800</v>
      </c>
      <c r="C941" s="2" t="str">
        <f>VLOOKUP(MONTH(Tabela1[[#This Row],[Periodo]]),NUMMESES,2,FALSE)</f>
        <v>Dezembro</v>
      </c>
      <c r="D941" s="2">
        <f>YEAR(Tabela1[[#This Row],[Periodo]])</f>
        <v>2019</v>
      </c>
      <c r="E941" s="34">
        <f>(INDEX(TBBP[],MATCH("1.1",planoContas,0)+1,MATCH(Tabela1[[#This Row],[Periodo]],listaPeriodos,0))/INDEX(TBBP[],MATCH("2.1",planoContas,0)+1,MATCH(Tabela1[[#This Row],[Periodo]],listaPeriodos,0)))</f>
        <v>5.154815573150664</v>
      </c>
      <c r="F941" s="34">
        <v>7</v>
      </c>
      <c r="G941" s="34"/>
      <c r="H941" s="34"/>
    </row>
    <row r="942" spans="1:8" x14ac:dyDescent="0.3">
      <c r="A942" t="s">
        <v>682</v>
      </c>
      <c r="B942" s="3">
        <f t="shared" si="12"/>
        <v>43831</v>
      </c>
      <c r="C942" s="2" t="str">
        <f>VLOOKUP(MONTH(Tabela1[[#This Row],[Periodo]]),NUMMESES,2,FALSE)</f>
        <v>Janeiro</v>
      </c>
      <c r="D942" s="2">
        <f>YEAR(Tabela1[[#This Row],[Periodo]])</f>
        <v>2020</v>
      </c>
      <c r="E942" s="34">
        <f>(INDEX(TBBP[],MATCH("1.1",planoContas,0)+1,MATCH(Tabela1[[#This Row],[Periodo]],listaPeriodos,0))/INDEX(TBBP[],MATCH("2.1",planoContas,0)+1,MATCH(Tabela1[[#This Row],[Periodo]],listaPeriodos,0)))</f>
        <v>5.0970174692175716</v>
      </c>
      <c r="F942" s="34">
        <v>7</v>
      </c>
      <c r="G942" s="34"/>
      <c r="H942" s="34"/>
    </row>
    <row r="943" spans="1:8" x14ac:dyDescent="0.3">
      <c r="A943" t="s">
        <v>682</v>
      </c>
      <c r="B943" s="3">
        <f t="shared" si="12"/>
        <v>43862</v>
      </c>
      <c r="C943" s="2" t="str">
        <f>VLOOKUP(MONTH(Tabela1[[#This Row],[Periodo]]),NUMMESES,2,FALSE)</f>
        <v>Fevereiro</v>
      </c>
      <c r="D943" s="2">
        <f>YEAR(Tabela1[[#This Row],[Periodo]])</f>
        <v>2020</v>
      </c>
      <c r="E943" s="34">
        <f>(INDEX(TBBP[],MATCH("1.1",planoContas,0)+1,MATCH(Tabela1[[#This Row],[Periodo]],listaPeriodos,0))/INDEX(TBBP[],MATCH("2.1",planoContas,0)+1,MATCH(Tabela1[[#This Row],[Periodo]],listaPeriodos,0)))</f>
        <v>4.3940595068755588</v>
      </c>
      <c r="F943" s="34">
        <v>7</v>
      </c>
      <c r="G943" s="34"/>
      <c r="H943" s="34"/>
    </row>
    <row r="944" spans="1:8" x14ac:dyDescent="0.3">
      <c r="A944" t="s">
        <v>682</v>
      </c>
      <c r="B944" s="3">
        <f t="shared" si="12"/>
        <v>43891</v>
      </c>
      <c r="C944" s="2" t="str">
        <f>VLOOKUP(MONTH(Tabela1[[#This Row],[Periodo]]),NUMMESES,2,FALSE)</f>
        <v>Março</v>
      </c>
      <c r="D944" s="2">
        <f>YEAR(Tabela1[[#This Row],[Periodo]])</f>
        <v>2020</v>
      </c>
      <c r="E944" s="34">
        <f>(INDEX(TBBP[],MATCH("1.1",planoContas,0)+1,MATCH(Tabela1[[#This Row],[Periodo]],listaPeriodos,0))/INDEX(TBBP[],MATCH("2.1",planoContas,0)+1,MATCH(Tabela1[[#This Row],[Periodo]],listaPeriodos,0)))</f>
        <v>4.8043753137968661</v>
      </c>
      <c r="F944" s="34">
        <v>7</v>
      </c>
      <c r="G944" s="34"/>
      <c r="H944" s="34"/>
    </row>
    <row r="945" spans="1:8" x14ac:dyDescent="0.3">
      <c r="A945" t="s">
        <v>682</v>
      </c>
      <c r="B945" s="3">
        <f t="shared" si="12"/>
        <v>43922</v>
      </c>
      <c r="C945" s="2" t="str">
        <f>VLOOKUP(MONTH(Tabela1[[#This Row],[Periodo]]),NUMMESES,2,FALSE)</f>
        <v>Abril</v>
      </c>
      <c r="D945" s="2">
        <f>YEAR(Tabela1[[#This Row],[Periodo]])</f>
        <v>2020</v>
      </c>
      <c r="E945" s="34">
        <f>(INDEX(TBBP[],MATCH("1.1",planoContas,0)+1,MATCH(Tabela1[[#This Row],[Periodo]],listaPeriodos,0))/INDEX(TBBP[],MATCH("2.1",planoContas,0)+1,MATCH(Tabela1[[#This Row],[Periodo]],listaPeriodos,0)))</f>
        <v>5.5419503550718394</v>
      </c>
      <c r="F945" s="34">
        <v>7</v>
      </c>
      <c r="G945" s="34"/>
      <c r="H945" s="34"/>
    </row>
    <row r="946" spans="1:8" x14ac:dyDescent="0.3">
      <c r="A946" t="s">
        <v>682</v>
      </c>
      <c r="B946" s="3">
        <f t="shared" si="12"/>
        <v>43952</v>
      </c>
      <c r="C946" s="2" t="str">
        <f>VLOOKUP(MONTH(Tabela1[[#This Row],[Periodo]]),NUMMESES,2,FALSE)</f>
        <v>Maio</v>
      </c>
      <c r="D946" s="2">
        <f>YEAR(Tabela1[[#This Row],[Periodo]])</f>
        <v>2020</v>
      </c>
      <c r="E946" s="34">
        <f>(INDEX(TBBP[],MATCH("1.1",planoContas,0)+1,MATCH(Tabela1[[#This Row],[Periodo]],listaPeriodos,0))/INDEX(TBBP[],MATCH("2.1",planoContas,0)+1,MATCH(Tabela1[[#This Row],[Periodo]],listaPeriodos,0)))</f>
        <v>4.8295196490543582</v>
      </c>
      <c r="F946" s="34">
        <v>7</v>
      </c>
      <c r="G946" s="34"/>
      <c r="H946" s="34"/>
    </row>
    <row r="947" spans="1:8" x14ac:dyDescent="0.3">
      <c r="A947" t="s">
        <v>682</v>
      </c>
      <c r="B947" s="3">
        <f t="shared" si="12"/>
        <v>43983</v>
      </c>
      <c r="C947" s="2" t="str">
        <f>VLOOKUP(MONTH(Tabela1[[#This Row],[Periodo]]),NUMMESES,2,FALSE)</f>
        <v>Junho</v>
      </c>
      <c r="D947" s="2">
        <f>YEAR(Tabela1[[#This Row],[Periodo]])</f>
        <v>2020</v>
      </c>
      <c r="E947" s="34">
        <f>(INDEX(TBBP[],MATCH("1.1",planoContas,0)+1,MATCH(Tabela1[[#This Row],[Periodo]],listaPeriodos,0))/INDEX(TBBP[],MATCH("2.1",planoContas,0)+1,MATCH(Tabela1[[#This Row],[Periodo]],listaPeriodos,0)))</f>
        <v>4.8813703534223389</v>
      </c>
      <c r="F947" s="34">
        <v>7</v>
      </c>
      <c r="G947" s="34"/>
      <c r="H947" s="34"/>
    </row>
    <row r="948" spans="1:8" x14ac:dyDescent="0.3">
      <c r="A948" t="s">
        <v>682</v>
      </c>
      <c r="B948" s="3">
        <f t="shared" si="12"/>
        <v>44013</v>
      </c>
      <c r="C948" s="2" t="str">
        <f>VLOOKUP(MONTH(Tabela1[[#This Row],[Periodo]]),NUMMESES,2,FALSE)</f>
        <v>Julho</v>
      </c>
      <c r="D948" s="2">
        <f>YEAR(Tabela1[[#This Row],[Periodo]])</f>
        <v>2020</v>
      </c>
      <c r="E948" s="34">
        <f>(INDEX(TBBP[],MATCH("1.1",planoContas,0)+1,MATCH(Tabela1[[#This Row],[Periodo]],listaPeriodos,0))/INDEX(TBBP[],MATCH("2.1",planoContas,0)+1,MATCH(Tabela1[[#This Row],[Periodo]],listaPeriodos,0)))</f>
        <v>5.0709454549122919</v>
      </c>
      <c r="F948" s="34">
        <v>7</v>
      </c>
      <c r="G948" s="34"/>
      <c r="H948" s="34"/>
    </row>
    <row r="949" spans="1:8" x14ac:dyDescent="0.3">
      <c r="A949" t="s">
        <v>682</v>
      </c>
      <c r="B949" s="3">
        <f>DATE(YEAR(B948),MONTH(B948)+1,DAY(B948))</f>
        <v>44044</v>
      </c>
      <c r="C949" s="2" t="str">
        <f>VLOOKUP(MONTH(Tabela1[[#This Row],[Periodo]]),NUMMESES,2,FALSE)</f>
        <v>Agosto</v>
      </c>
      <c r="D949" s="2">
        <f>YEAR(Tabela1[[#This Row],[Periodo]])</f>
        <v>2020</v>
      </c>
      <c r="E949" s="34">
        <f>(INDEX(TBBP[],MATCH("1.1",planoContas,0)+1,MATCH(Tabela1[[#This Row],[Periodo]],listaPeriodos,0))/INDEX(TBBP[],MATCH("2.1",planoContas,0)+1,MATCH(Tabela1[[#This Row],[Periodo]],listaPeriodos,0)))</f>
        <v>4.7797483689043947</v>
      </c>
      <c r="F949" s="34">
        <v>7</v>
      </c>
      <c r="G949" s="34"/>
      <c r="H949" s="34"/>
    </row>
    <row r="950" spans="1:8" x14ac:dyDescent="0.3">
      <c r="A950" t="s">
        <v>682</v>
      </c>
      <c r="B950" s="3">
        <f t="shared" si="12"/>
        <v>44075</v>
      </c>
      <c r="C950" s="2" t="str">
        <f>VLOOKUP(MONTH(Tabela1[[#This Row],[Periodo]]),NUMMESES,2,FALSE)</f>
        <v>Setembro</v>
      </c>
      <c r="D950" s="2">
        <f>YEAR(Tabela1[[#This Row],[Periodo]])</f>
        <v>2020</v>
      </c>
      <c r="E950" s="34">
        <f>(INDEX(TBBP[],MATCH("1.1",planoContas,0)+1,MATCH(Tabela1[[#This Row],[Periodo]],listaPeriodos,0))/INDEX(TBBP[],MATCH("2.1",planoContas,0)+1,MATCH(Tabela1[[#This Row],[Periodo]],listaPeriodos,0)))</f>
        <v>4.7738485696074804</v>
      </c>
      <c r="F950" s="34">
        <v>7</v>
      </c>
      <c r="G950" s="34"/>
      <c r="H950" s="34"/>
    </row>
    <row r="951" spans="1:8" x14ac:dyDescent="0.3">
      <c r="A951" t="s">
        <v>682</v>
      </c>
      <c r="B951" s="3">
        <f t="shared" si="12"/>
        <v>44105</v>
      </c>
      <c r="C951" s="2" t="str">
        <f>VLOOKUP(MONTH(Tabela1[[#This Row],[Periodo]]),NUMMESES,2,FALSE)</f>
        <v>Outubro</v>
      </c>
      <c r="D951" s="2">
        <f>YEAR(Tabela1[[#This Row],[Periodo]])</f>
        <v>2020</v>
      </c>
      <c r="E951" s="34">
        <f>(INDEX(TBBP[],MATCH("1.1",planoContas,0)+1,MATCH(Tabela1[[#This Row],[Periodo]],listaPeriodos,0))/INDEX(TBBP[],MATCH("2.1",planoContas,0)+1,MATCH(Tabela1[[#This Row],[Periodo]],listaPeriodos,0)))</f>
        <v>5.6712185289408037</v>
      </c>
      <c r="F951" s="34">
        <v>7</v>
      </c>
      <c r="G951" s="34"/>
      <c r="H951" s="34"/>
    </row>
    <row r="952" spans="1:8" x14ac:dyDescent="0.3">
      <c r="A952" t="s">
        <v>682</v>
      </c>
      <c r="B952" s="3">
        <f t="shared" si="12"/>
        <v>44136</v>
      </c>
      <c r="C952" s="2" t="str">
        <f>VLOOKUP(MONTH(Tabela1[[#This Row],[Periodo]]),NUMMESES,2,FALSE)</f>
        <v>Novembro</v>
      </c>
      <c r="D952" s="2">
        <f>YEAR(Tabela1[[#This Row],[Periodo]])</f>
        <v>2020</v>
      </c>
      <c r="E952" s="34">
        <f>(INDEX(TBBP[],MATCH("1.1",planoContas,0)+1,MATCH(Tabela1[[#This Row],[Periodo]],listaPeriodos,0))/INDEX(TBBP[],MATCH("2.1",planoContas,0)+1,MATCH(Tabela1[[#This Row],[Periodo]],listaPeriodos,0)))</f>
        <v>4.9757923758450673</v>
      </c>
      <c r="F952" s="34">
        <v>7</v>
      </c>
      <c r="G952" s="34"/>
      <c r="H952" s="34"/>
    </row>
    <row r="953" spans="1:8" x14ac:dyDescent="0.3">
      <c r="A953" t="s">
        <v>682</v>
      </c>
      <c r="B953" s="3">
        <f t="shared" si="12"/>
        <v>44166</v>
      </c>
      <c r="C953" s="2" t="str">
        <f>VLOOKUP(MONTH(Tabela1[[#This Row],[Periodo]]),NUMMESES,2,FALSE)</f>
        <v>Dezembro</v>
      </c>
      <c r="D953" s="2">
        <f>YEAR(Tabela1[[#This Row],[Periodo]])</f>
        <v>2020</v>
      </c>
      <c r="E953" s="34">
        <f>(INDEX(TBBP[],MATCH("1.1",planoContas,0)+1,MATCH(Tabela1[[#This Row],[Periodo]],listaPeriodos,0))/INDEX(TBBP[],MATCH("2.1",planoContas,0)+1,MATCH(Tabela1[[#This Row],[Periodo]],listaPeriodos,0)))</f>
        <v>4.9630032973267308</v>
      </c>
      <c r="F953" s="34">
        <v>7</v>
      </c>
      <c r="G953" s="34"/>
      <c r="H953" s="34"/>
    </row>
    <row r="954" spans="1:8" x14ac:dyDescent="0.3">
      <c r="A954" t="s">
        <v>682</v>
      </c>
      <c r="B954" s="3">
        <f t="shared" si="12"/>
        <v>44197</v>
      </c>
      <c r="C954" s="2" t="str">
        <f>VLOOKUP(MONTH(Tabela1[[#This Row],[Periodo]]),NUMMESES,2,FALSE)</f>
        <v>Janeiro</v>
      </c>
      <c r="D954" s="2">
        <f>YEAR(Tabela1[[#This Row],[Periodo]])</f>
        <v>2021</v>
      </c>
      <c r="E954" s="34">
        <f>(INDEX(TBBP[],MATCH("1.1",planoContas,0)+1,MATCH(Tabela1[[#This Row],[Periodo]],listaPeriodos,0))/INDEX(TBBP[],MATCH("2.1",planoContas,0)+1,MATCH(Tabela1[[#This Row],[Periodo]],listaPeriodos,0)))</f>
        <v>5.3047148225801806</v>
      </c>
      <c r="F954" s="34">
        <v>7</v>
      </c>
      <c r="G954" s="34"/>
      <c r="H954" s="34"/>
    </row>
    <row r="955" spans="1:8" x14ac:dyDescent="0.3">
      <c r="A955" t="s">
        <v>682</v>
      </c>
      <c r="B955" s="3">
        <f t="shared" si="12"/>
        <v>44228</v>
      </c>
      <c r="C955" s="2" t="str">
        <f>VLOOKUP(MONTH(Tabela1[[#This Row],[Periodo]]),NUMMESES,2,FALSE)</f>
        <v>Fevereiro</v>
      </c>
      <c r="D955" s="2">
        <f>YEAR(Tabela1[[#This Row],[Periodo]])</f>
        <v>2021</v>
      </c>
      <c r="E955" s="34">
        <f>(INDEX(TBBP[],MATCH("1.1",planoContas,0)+1,MATCH(Tabela1[[#This Row],[Periodo]],listaPeriodos,0))/INDEX(TBBP[],MATCH("2.1",planoContas,0)+1,MATCH(Tabela1[[#This Row],[Periodo]],listaPeriodos,0)))</f>
        <v>4.1156453902151666</v>
      </c>
      <c r="F955" s="34">
        <v>7</v>
      </c>
      <c r="G955" s="34"/>
      <c r="H955" s="34"/>
    </row>
    <row r="956" spans="1:8" x14ac:dyDescent="0.3">
      <c r="A956" t="s">
        <v>682</v>
      </c>
      <c r="B956" s="3">
        <f t="shared" si="12"/>
        <v>44256</v>
      </c>
      <c r="C956" s="2" t="str">
        <f>VLOOKUP(MONTH(Tabela1[[#This Row],[Periodo]]),NUMMESES,2,FALSE)</f>
        <v>Março</v>
      </c>
      <c r="D956" s="2">
        <f>YEAR(Tabela1[[#This Row],[Periodo]])</f>
        <v>2021</v>
      </c>
      <c r="E956" s="34">
        <f>(INDEX(TBBP[],MATCH("1.1",planoContas,0)+1,MATCH(Tabela1[[#This Row],[Periodo]],listaPeriodos,0))/INDEX(TBBP[],MATCH("2.1",planoContas,0)+1,MATCH(Tabela1[[#This Row],[Periodo]],listaPeriodos,0)))</f>
        <v>3.9067843399459581</v>
      </c>
      <c r="F956" s="34">
        <v>7</v>
      </c>
      <c r="G956" s="34"/>
      <c r="H956" s="34"/>
    </row>
    <row r="957" spans="1:8" x14ac:dyDescent="0.3">
      <c r="A957" t="s">
        <v>682</v>
      </c>
      <c r="B957" s="3">
        <f t="shared" si="12"/>
        <v>44287</v>
      </c>
      <c r="C957" s="2" t="str">
        <f>VLOOKUP(MONTH(Tabela1[[#This Row],[Periodo]]),NUMMESES,2,FALSE)</f>
        <v>Abril</v>
      </c>
      <c r="D957" s="2">
        <f>YEAR(Tabela1[[#This Row],[Periodo]])</f>
        <v>2021</v>
      </c>
      <c r="E957" s="34">
        <f>(INDEX(TBBP[],MATCH("1.1",planoContas,0)+1,MATCH(Tabela1[[#This Row],[Periodo]],listaPeriodos,0))/INDEX(TBBP[],MATCH("2.1",planoContas,0)+1,MATCH(Tabela1[[#This Row],[Periodo]],listaPeriodos,0)))</f>
        <v>4.0569772650944032</v>
      </c>
      <c r="F957" s="34">
        <v>7</v>
      </c>
      <c r="G957" s="34"/>
      <c r="H957" s="34"/>
    </row>
    <row r="958" spans="1:8" x14ac:dyDescent="0.3">
      <c r="A958" t="s">
        <v>682</v>
      </c>
      <c r="B958" s="3">
        <f t="shared" si="12"/>
        <v>44317</v>
      </c>
      <c r="C958" s="2" t="str">
        <f>VLOOKUP(MONTH(Tabela1[[#This Row],[Periodo]]),NUMMESES,2,FALSE)</f>
        <v>Maio</v>
      </c>
      <c r="D958" s="2">
        <f>YEAR(Tabela1[[#This Row],[Periodo]])</f>
        <v>2021</v>
      </c>
      <c r="E958" s="34">
        <f>(INDEX(TBBP[],MATCH("1.1",planoContas,0)+1,MATCH(Tabela1[[#This Row],[Periodo]],listaPeriodos,0))/INDEX(TBBP[],MATCH("2.1",planoContas,0)+1,MATCH(Tabela1[[#This Row],[Periodo]],listaPeriodos,0)))</f>
        <v>4.0757814346044769</v>
      </c>
      <c r="F958" s="34">
        <v>7</v>
      </c>
      <c r="G958" s="34"/>
      <c r="H958" s="34"/>
    </row>
    <row r="959" spans="1:8" x14ac:dyDescent="0.3">
      <c r="A959" t="s">
        <v>682</v>
      </c>
      <c r="B959" s="3">
        <f t="shared" si="12"/>
        <v>44348</v>
      </c>
      <c r="C959" s="2" t="str">
        <f>VLOOKUP(MONTH(Tabela1[[#This Row],[Periodo]]),NUMMESES,2,FALSE)</f>
        <v>Junho</v>
      </c>
      <c r="D959" s="2">
        <f>YEAR(Tabela1[[#This Row],[Periodo]])</f>
        <v>2021</v>
      </c>
      <c r="E959" s="34">
        <f>(INDEX(TBBP[],MATCH("1.1",planoContas,0)+1,MATCH(Tabela1[[#This Row],[Periodo]],listaPeriodos,0))/INDEX(TBBP[],MATCH("2.1",planoContas,0)+1,MATCH(Tabela1[[#This Row],[Periodo]],listaPeriodos,0)))</f>
        <v>3.7599588901442318</v>
      </c>
      <c r="F959" s="34">
        <v>7</v>
      </c>
      <c r="G959" s="34"/>
      <c r="H959" s="34"/>
    </row>
    <row r="960" spans="1:8" x14ac:dyDescent="0.3">
      <c r="A960" t="s">
        <v>682</v>
      </c>
      <c r="B960" s="3">
        <f t="shared" si="12"/>
        <v>44378</v>
      </c>
      <c r="C960" s="2" t="str">
        <f>VLOOKUP(MONTH(Tabela1[[#This Row],[Periodo]]),NUMMESES,2,FALSE)</f>
        <v>Julho</v>
      </c>
      <c r="D960" s="2">
        <f>YEAR(Tabela1[[#This Row],[Periodo]])</f>
        <v>2021</v>
      </c>
      <c r="E960" s="34">
        <f>(INDEX(TBBP[],MATCH("1.1",planoContas,0)+1,MATCH(Tabela1[[#This Row],[Periodo]],listaPeriodos,0))/INDEX(TBBP[],MATCH("2.1",planoContas,0)+1,MATCH(Tabela1[[#This Row],[Periodo]],listaPeriodos,0)))</f>
        <v>4.064052627992643</v>
      </c>
      <c r="F960" s="34">
        <v>7</v>
      </c>
      <c r="G960" s="34"/>
      <c r="H960" s="34"/>
    </row>
    <row r="961" spans="1:8" x14ac:dyDescent="0.3">
      <c r="A961" t="s">
        <v>682</v>
      </c>
      <c r="B961" s="3">
        <f t="shared" si="12"/>
        <v>44409</v>
      </c>
      <c r="C961" s="2" t="str">
        <f>VLOOKUP(MONTH(Tabela1[[#This Row],[Periodo]]),NUMMESES,2,FALSE)</f>
        <v>Agosto</v>
      </c>
      <c r="D961" s="2">
        <f>YEAR(Tabela1[[#This Row],[Periodo]])</f>
        <v>2021</v>
      </c>
      <c r="E961" s="34">
        <f>(INDEX(TBBP[],MATCH("1.1",planoContas,0)+1,MATCH(Tabela1[[#This Row],[Periodo]],listaPeriodos,0))/INDEX(TBBP[],MATCH("2.1",planoContas,0)+1,MATCH(Tabela1[[#This Row],[Periodo]],listaPeriodos,0)))</f>
        <v>4.5189001764390611</v>
      </c>
      <c r="F961" s="34">
        <v>7</v>
      </c>
      <c r="G961" s="34"/>
      <c r="H961" s="34"/>
    </row>
    <row r="962" spans="1:8" x14ac:dyDescent="0.3">
      <c r="A962" t="s">
        <v>682</v>
      </c>
      <c r="B962" s="3">
        <f t="shared" si="12"/>
        <v>44440</v>
      </c>
      <c r="C962" s="2" t="str">
        <f>VLOOKUP(MONTH(Tabela1[[#This Row],[Periodo]]),NUMMESES,2,FALSE)</f>
        <v>Setembro</v>
      </c>
      <c r="D962" s="2">
        <f>YEAR(Tabela1[[#This Row],[Periodo]])</f>
        <v>2021</v>
      </c>
      <c r="E962" s="34">
        <f>(INDEX(TBBP[],MATCH("1.1",planoContas,0)+1,MATCH(Tabela1[[#This Row],[Periodo]],listaPeriodos,0))/INDEX(TBBP[],MATCH("2.1",planoContas,0)+1,MATCH(Tabela1[[#This Row],[Periodo]],listaPeriodos,0)))</f>
        <v>4.6955674606466138</v>
      </c>
      <c r="F962" s="34">
        <v>7</v>
      </c>
      <c r="G962" s="34"/>
      <c r="H962" s="34"/>
    </row>
    <row r="963" spans="1:8" x14ac:dyDescent="0.3">
      <c r="A963" t="s">
        <v>682</v>
      </c>
      <c r="B963" s="3">
        <f t="shared" si="12"/>
        <v>44470</v>
      </c>
      <c r="C963" s="2" t="str">
        <f>VLOOKUP(MONTH(Tabela1[[#This Row],[Periodo]]),NUMMESES,2,FALSE)</f>
        <v>Outubro</v>
      </c>
      <c r="D963" s="2">
        <f>YEAR(Tabela1[[#This Row],[Periodo]])</f>
        <v>2021</v>
      </c>
      <c r="E963" s="34">
        <f>(INDEX(TBBP[],MATCH("1.1",planoContas,0)+1,MATCH(Tabela1[[#This Row],[Periodo]],listaPeriodos,0))/INDEX(TBBP[],MATCH("2.1",planoContas,0)+1,MATCH(Tabela1[[#This Row],[Periodo]],listaPeriodos,0)))</f>
        <v>4.7671978698655453</v>
      </c>
      <c r="F963" s="34">
        <v>7</v>
      </c>
      <c r="G963" s="34"/>
      <c r="H963" s="34"/>
    </row>
    <row r="964" spans="1:8" x14ac:dyDescent="0.3">
      <c r="A964" t="s">
        <v>682</v>
      </c>
      <c r="B964" s="3">
        <f t="shared" si="12"/>
        <v>44501</v>
      </c>
      <c r="C964" s="2" t="str">
        <f>VLOOKUP(MONTH(Tabela1[[#This Row],[Periodo]]),NUMMESES,2,FALSE)</f>
        <v>Novembro</v>
      </c>
      <c r="D964" s="2">
        <f>YEAR(Tabela1[[#This Row],[Periodo]])</f>
        <v>2021</v>
      </c>
      <c r="E964" s="34">
        <f>(INDEX(TBBP[],MATCH("1.1",planoContas,0)+1,MATCH(Tabela1[[#This Row],[Periodo]],listaPeriodos,0))/INDEX(TBBP[],MATCH("2.1",planoContas,0)+1,MATCH(Tabela1[[#This Row],[Periodo]],listaPeriodos,0)))</f>
        <v>5.0678517277539399</v>
      </c>
      <c r="F964" s="34">
        <v>7</v>
      </c>
      <c r="G964" s="34"/>
      <c r="H964" s="34"/>
    </row>
    <row r="965" spans="1:8" x14ac:dyDescent="0.3">
      <c r="A965" t="s">
        <v>682</v>
      </c>
      <c r="B965" s="3">
        <f t="shared" si="12"/>
        <v>44531</v>
      </c>
      <c r="C965" s="2" t="str">
        <f>VLOOKUP(MONTH(Tabela1[[#This Row],[Periodo]]),NUMMESES,2,FALSE)</f>
        <v>Dezembro</v>
      </c>
      <c r="D965" s="2">
        <f>YEAR(Tabela1[[#This Row],[Periodo]])</f>
        <v>2021</v>
      </c>
      <c r="E965" s="34">
        <f>(INDEX(TBBP[],MATCH("1.1",planoContas,0)+1,MATCH(Tabela1[[#This Row],[Periodo]],listaPeriodos,0))/INDEX(TBBP[],MATCH("2.1",planoContas,0)+1,MATCH(Tabela1[[#This Row],[Periodo]],listaPeriodos,0)))</f>
        <v>5.1296961073298508</v>
      </c>
      <c r="F965" s="34">
        <v>7</v>
      </c>
      <c r="G965" s="34"/>
      <c r="H965" s="34"/>
    </row>
    <row r="966" spans="1:8" x14ac:dyDescent="0.3">
      <c r="A966" t="s">
        <v>682</v>
      </c>
      <c r="B966" s="3">
        <f t="shared" si="12"/>
        <v>44562</v>
      </c>
      <c r="C966" s="2" t="str">
        <f>VLOOKUP(MONTH(Tabela1[[#This Row],[Periodo]]),NUMMESES,2,FALSE)</f>
        <v>Janeiro</v>
      </c>
      <c r="D966" s="2">
        <f>YEAR(Tabela1[[#This Row],[Periodo]])</f>
        <v>2022</v>
      </c>
      <c r="E966" s="34">
        <f>(INDEX(TBBP[],MATCH("1.1",planoContas,0)+1,MATCH(Tabela1[[#This Row],[Periodo]],listaPeriodos,0))/INDEX(TBBP[],MATCH("2.1",planoContas,0)+1,MATCH(Tabela1[[#This Row],[Periodo]],listaPeriodos,0)))</f>
        <v>5.4333411124070583</v>
      </c>
      <c r="F966" s="34">
        <v>7</v>
      </c>
      <c r="G966" s="34"/>
      <c r="H966" s="34"/>
    </row>
    <row r="967" spans="1:8" x14ac:dyDescent="0.3">
      <c r="A967" t="s">
        <v>682</v>
      </c>
      <c r="B967" s="3">
        <f t="shared" si="12"/>
        <v>44593</v>
      </c>
      <c r="C967" s="2" t="str">
        <f>VLOOKUP(MONTH(Tabela1[[#This Row],[Periodo]]),NUMMESES,2,FALSE)</f>
        <v>Fevereiro</v>
      </c>
      <c r="D967" s="2">
        <f>YEAR(Tabela1[[#This Row],[Periodo]])</f>
        <v>2022</v>
      </c>
      <c r="E967" s="34">
        <f>(INDEX(TBBP[],MATCH("1.1",planoContas,0)+1,MATCH(Tabela1[[#This Row],[Periodo]],listaPeriodos,0))/INDEX(TBBP[],MATCH("2.1",planoContas,0)+1,MATCH(Tabela1[[#This Row],[Periodo]],listaPeriodos,0)))</f>
        <v>4.9718834401897531</v>
      </c>
      <c r="F967" s="34">
        <v>7</v>
      </c>
      <c r="G967" s="34"/>
      <c r="H967" s="34"/>
    </row>
    <row r="968" spans="1:8" x14ac:dyDescent="0.3">
      <c r="A968" t="s">
        <v>682</v>
      </c>
      <c r="B968" s="3">
        <f t="shared" si="12"/>
        <v>44621</v>
      </c>
      <c r="C968" s="2" t="str">
        <f>VLOOKUP(MONTH(Tabela1[[#This Row],[Periodo]]),NUMMESES,2,FALSE)</f>
        <v>Março</v>
      </c>
      <c r="D968" s="2">
        <f>YEAR(Tabela1[[#This Row],[Periodo]])</f>
        <v>2022</v>
      </c>
      <c r="E968" s="34">
        <f>(INDEX(TBBP[],MATCH("1.1",planoContas,0)+1,MATCH(Tabela1[[#This Row],[Periodo]],listaPeriodos,0))/INDEX(TBBP[],MATCH("2.1",planoContas,0)+1,MATCH(Tabela1[[#This Row],[Periodo]],listaPeriodos,0)))</f>
        <v>4.6148793757961073</v>
      </c>
      <c r="F968" s="34">
        <v>7</v>
      </c>
      <c r="G968" s="34"/>
      <c r="H968" s="34"/>
    </row>
    <row r="969" spans="1:8" x14ac:dyDescent="0.3">
      <c r="A969" t="s">
        <v>682</v>
      </c>
      <c r="B969" s="3">
        <f t="shared" si="12"/>
        <v>44652</v>
      </c>
      <c r="C969" s="2" t="str">
        <f>VLOOKUP(MONTH(Tabela1[[#This Row],[Periodo]]),NUMMESES,2,FALSE)</f>
        <v>Abril</v>
      </c>
      <c r="D969" s="2">
        <f>YEAR(Tabela1[[#This Row],[Periodo]])</f>
        <v>2022</v>
      </c>
      <c r="E969" s="34">
        <f>(INDEX(TBBP[],MATCH("1.1",planoContas,0)+1,MATCH(Tabela1[[#This Row],[Periodo]],listaPeriodos,0))/INDEX(TBBP[],MATCH("2.1",planoContas,0)+1,MATCH(Tabela1[[#This Row],[Periodo]],listaPeriodos,0)))</f>
        <v>5.0362459677489193</v>
      </c>
      <c r="F969" s="34">
        <v>7</v>
      </c>
      <c r="G969" s="34"/>
      <c r="H969" s="34"/>
    </row>
    <row r="970" spans="1:8" x14ac:dyDescent="0.3">
      <c r="A970" t="s">
        <v>682</v>
      </c>
      <c r="B970" s="3">
        <f t="shared" si="12"/>
        <v>44682</v>
      </c>
      <c r="C970" s="2" t="str">
        <f>VLOOKUP(MONTH(Tabela1[[#This Row],[Periodo]]),NUMMESES,2,FALSE)</f>
        <v>Maio</v>
      </c>
      <c r="D970" s="2">
        <f>YEAR(Tabela1[[#This Row],[Periodo]])</f>
        <v>2022</v>
      </c>
      <c r="E970" s="34">
        <f>(INDEX(TBBP[],MATCH("1.1",planoContas,0)+1,MATCH(Tabela1[[#This Row],[Periodo]],listaPeriodos,0))/INDEX(TBBP[],MATCH("2.1",planoContas,0)+1,MATCH(Tabela1[[#This Row],[Periodo]],listaPeriodos,0)))</f>
        <v>5.2747724263311477</v>
      </c>
      <c r="F970" s="34">
        <v>7</v>
      </c>
      <c r="G970" s="34"/>
      <c r="H970" s="34"/>
    </row>
    <row r="971" spans="1:8" x14ac:dyDescent="0.3">
      <c r="A971" t="s">
        <v>682</v>
      </c>
      <c r="B971" s="3">
        <f t="shared" si="12"/>
        <v>44713</v>
      </c>
      <c r="C971" s="2" t="str">
        <f>VLOOKUP(MONTH(Tabela1[[#This Row],[Periodo]]),NUMMESES,2,FALSE)</f>
        <v>Junho</v>
      </c>
      <c r="D971" s="2">
        <f>YEAR(Tabela1[[#This Row],[Periodo]])</f>
        <v>2022</v>
      </c>
      <c r="E971" s="34">
        <f>(INDEX(TBBP[],MATCH("1.1",planoContas,0)+1,MATCH(Tabela1[[#This Row],[Periodo]],listaPeriodos,0))/INDEX(TBBP[],MATCH("2.1",planoContas,0)+1,MATCH(Tabela1[[#This Row],[Periodo]],listaPeriodos,0)))</f>
        <v>5.1381789846560384</v>
      </c>
      <c r="F971" s="34">
        <v>7</v>
      </c>
      <c r="G971" s="34"/>
      <c r="H971" s="34"/>
    </row>
    <row r="972" spans="1:8" x14ac:dyDescent="0.3">
      <c r="A972" t="s">
        <v>682</v>
      </c>
      <c r="B972" s="3">
        <f t="shared" si="12"/>
        <v>44743</v>
      </c>
      <c r="C972" s="2" t="str">
        <f>VLOOKUP(MONTH(Tabela1[[#This Row],[Periodo]]),NUMMESES,2,FALSE)</f>
        <v>Julho</v>
      </c>
      <c r="D972" s="2">
        <f>YEAR(Tabela1[[#This Row],[Periodo]])</f>
        <v>2022</v>
      </c>
      <c r="E972" s="34">
        <f>(INDEX(TBBP[],MATCH("1.1",planoContas,0)+1,MATCH(Tabela1[[#This Row],[Periodo]],listaPeriodos,0))/INDEX(TBBP[],MATCH("2.1",planoContas,0)+1,MATCH(Tabela1[[#This Row],[Periodo]],listaPeriodos,0)))</f>
        <v>5.7659030822399728</v>
      </c>
      <c r="F972" s="34">
        <v>7</v>
      </c>
      <c r="G972" s="34"/>
      <c r="H972" s="34"/>
    </row>
    <row r="973" spans="1:8" x14ac:dyDescent="0.3">
      <c r="A973" t="s">
        <v>682</v>
      </c>
      <c r="B973" s="3">
        <f t="shared" si="12"/>
        <v>44774</v>
      </c>
      <c r="C973" s="2" t="str">
        <f>VLOOKUP(MONTH(Tabela1[[#This Row],[Periodo]]),NUMMESES,2,FALSE)</f>
        <v>Agosto</v>
      </c>
      <c r="D973" s="2">
        <f>YEAR(Tabela1[[#This Row],[Periodo]])</f>
        <v>2022</v>
      </c>
      <c r="E973" s="34">
        <f>(INDEX(TBBP[],MATCH("1.1",planoContas,0)+1,MATCH(Tabela1[[#This Row],[Periodo]],listaPeriodos,0))/INDEX(TBBP[],MATCH("2.1",planoContas,0)+1,MATCH(Tabela1[[#This Row],[Periodo]],listaPeriodos,0)))</f>
        <v>5.2085916495269569</v>
      </c>
      <c r="F973" s="34">
        <v>7</v>
      </c>
      <c r="G973" s="34"/>
      <c r="H973" s="34"/>
    </row>
    <row r="974" spans="1:8" x14ac:dyDescent="0.3">
      <c r="A974" t="s">
        <v>682</v>
      </c>
      <c r="B974" s="3">
        <f t="shared" si="12"/>
        <v>44805</v>
      </c>
      <c r="C974" s="2" t="str">
        <f>VLOOKUP(MONTH(Tabela1[[#This Row],[Periodo]]),NUMMESES,2,FALSE)</f>
        <v>Setembro</v>
      </c>
      <c r="D974" s="2">
        <f>YEAR(Tabela1[[#This Row],[Periodo]])</f>
        <v>2022</v>
      </c>
      <c r="E974" s="34">
        <f>(INDEX(TBBP[],MATCH("1.1",planoContas,0)+1,MATCH(Tabela1[[#This Row],[Periodo]],listaPeriodos,0))/INDEX(TBBP[],MATCH("2.1",planoContas,0)+1,MATCH(Tabela1[[#This Row],[Periodo]],listaPeriodos,0)))</f>
        <v>4.8806446940528776</v>
      </c>
      <c r="F974" s="34">
        <v>7</v>
      </c>
      <c r="G974" s="34"/>
      <c r="H974" s="34"/>
    </row>
    <row r="975" spans="1:8" x14ac:dyDescent="0.3">
      <c r="A975" t="s">
        <v>682</v>
      </c>
      <c r="B975" s="3">
        <f t="shared" si="12"/>
        <v>44835</v>
      </c>
      <c r="C975" s="2" t="str">
        <f>VLOOKUP(MONTH(Tabela1[[#This Row],[Periodo]]),NUMMESES,2,FALSE)</f>
        <v>Outubro</v>
      </c>
      <c r="D975" s="2">
        <f>YEAR(Tabela1[[#This Row],[Periodo]])</f>
        <v>2022</v>
      </c>
      <c r="E975" s="34">
        <f>(INDEX(TBBP[],MATCH("1.1",planoContas,0)+1,MATCH(Tabela1[[#This Row],[Periodo]],listaPeriodos,0))/INDEX(TBBP[],MATCH("2.1",planoContas,0)+1,MATCH(Tabela1[[#This Row],[Periodo]],listaPeriodos,0)))</f>
        <v>5.3965777834211037</v>
      </c>
      <c r="F975" s="34">
        <v>7</v>
      </c>
      <c r="G975" s="34"/>
      <c r="H975" s="34"/>
    </row>
    <row r="976" spans="1:8" x14ac:dyDescent="0.3">
      <c r="A976" t="s">
        <v>682</v>
      </c>
      <c r="B976" s="3">
        <f t="shared" si="12"/>
        <v>44866</v>
      </c>
      <c r="C976" s="2" t="str">
        <f>VLOOKUP(MONTH(Tabela1[[#This Row],[Periodo]]),NUMMESES,2,FALSE)</f>
        <v>Novembro</v>
      </c>
      <c r="D976" s="2">
        <f>YEAR(Tabela1[[#This Row],[Periodo]])</f>
        <v>2022</v>
      </c>
      <c r="E976" s="34">
        <f>(INDEX(TBBP[],MATCH("1.1",planoContas,0)+1,MATCH(Tabela1[[#This Row],[Periodo]],listaPeriodos,0))/INDEX(TBBP[],MATCH("2.1",planoContas,0)+1,MATCH(Tabela1[[#This Row],[Periodo]],listaPeriodos,0)))</f>
        <v>6.0275420587674962</v>
      </c>
      <c r="F976" s="34">
        <v>7</v>
      </c>
      <c r="G976" s="34"/>
      <c r="H976" s="34"/>
    </row>
    <row r="977" spans="1:8" x14ac:dyDescent="0.3">
      <c r="A977" t="s">
        <v>682</v>
      </c>
      <c r="B977" s="3">
        <f t="shared" si="12"/>
        <v>44896</v>
      </c>
      <c r="C977" s="2" t="str">
        <f>VLOOKUP(MONTH(Tabela1[[#This Row],[Periodo]]),NUMMESES,2,FALSE)</f>
        <v>Dezembro</v>
      </c>
      <c r="D977" s="2">
        <f>YEAR(Tabela1[[#This Row],[Periodo]])</f>
        <v>2022</v>
      </c>
      <c r="E977" s="34">
        <f>(INDEX(TBBP[],MATCH("1.1",planoContas,0)+1,MATCH(Tabela1[[#This Row],[Periodo]],listaPeriodos,0))/INDEX(TBBP[],MATCH("2.1",planoContas,0)+1,MATCH(Tabela1[[#This Row],[Periodo]],listaPeriodos,0)))</f>
        <v>6.4529852962159273</v>
      </c>
      <c r="F977" s="34">
        <v>7</v>
      </c>
      <c r="G977" s="34"/>
      <c r="H977" s="34"/>
    </row>
    <row r="978" spans="1:8" x14ac:dyDescent="0.3">
      <c r="A978" t="s">
        <v>682</v>
      </c>
      <c r="B978" s="3">
        <f t="shared" si="12"/>
        <v>44927</v>
      </c>
      <c r="C978" s="2" t="str">
        <f>VLOOKUP(MONTH(Tabela1[[#This Row],[Periodo]]),NUMMESES,2,FALSE)</f>
        <v>Janeiro</v>
      </c>
      <c r="D978" s="2">
        <f>YEAR(Tabela1[[#This Row],[Periodo]])</f>
        <v>2023</v>
      </c>
      <c r="E978" s="34">
        <f>(INDEX(TBBP[],MATCH("1.1",planoContas,0)+1,MATCH(Tabela1[[#This Row],[Periodo]],listaPeriodos,0))/INDEX(TBBP[],MATCH("2.1",planoContas,0)+1,MATCH(Tabela1[[#This Row],[Periodo]],listaPeriodos,0)))</f>
        <v>7.7441766532872984</v>
      </c>
      <c r="F978" s="34">
        <v>7</v>
      </c>
      <c r="G978" s="34"/>
      <c r="H978" s="34"/>
    </row>
    <row r="979" spans="1:8" x14ac:dyDescent="0.3">
      <c r="A979" t="s">
        <v>682</v>
      </c>
      <c r="B979" s="3">
        <f t="shared" si="12"/>
        <v>44958</v>
      </c>
      <c r="C979" s="2" t="str">
        <f>VLOOKUP(MONTH(Tabela1[[#This Row],[Periodo]]),NUMMESES,2,FALSE)</f>
        <v>Fevereiro</v>
      </c>
      <c r="D979" s="2">
        <f>YEAR(Tabela1[[#This Row],[Periodo]])</f>
        <v>2023</v>
      </c>
      <c r="E979" s="34">
        <f>(INDEX(TBBP[],MATCH("1.1",planoContas,0)+1,MATCH(Tabela1[[#This Row],[Periodo]],listaPeriodos,0))/INDEX(TBBP[],MATCH("2.1",planoContas,0)+1,MATCH(Tabela1[[#This Row],[Periodo]],listaPeriodos,0)))</f>
        <v>6.9350873511773496</v>
      </c>
      <c r="F979" s="34">
        <v>7</v>
      </c>
      <c r="G979" s="34"/>
      <c r="H979" s="34"/>
    </row>
    <row r="980" spans="1:8" x14ac:dyDescent="0.3">
      <c r="A980" t="s">
        <v>682</v>
      </c>
      <c r="B980" s="3">
        <f t="shared" si="12"/>
        <v>44986</v>
      </c>
      <c r="C980" s="2" t="str">
        <f>VLOOKUP(MONTH(Tabela1[[#This Row],[Periodo]]),NUMMESES,2,FALSE)</f>
        <v>Março</v>
      </c>
      <c r="D980" s="2">
        <f>YEAR(Tabela1[[#This Row],[Periodo]])</f>
        <v>2023</v>
      </c>
      <c r="E980" s="34">
        <f>(INDEX(TBBP[],MATCH("1.1",planoContas,0)+1,MATCH(Tabela1[[#This Row],[Periodo]],listaPeriodos,0))/INDEX(TBBP[],MATCH("2.1",planoContas,0)+1,MATCH(Tabela1[[#This Row],[Periodo]],listaPeriodos,0)))</f>
        <v>6.2194202082732053</v>
      </c>
      <c r="F980" s="34">
        <v>7</v>
      </c>
      <c r="G980" s="34"/>
      <c r="H980" s="34"/>
    </row>
    <row r="981" spans="1:8" x14ac:dyDescent="0.3">
      <c r="A981" t="s">
        <v>682</v>
      </c>
      <c r="B981" s="3">
        <f t="shared" si="12"/>
        <v>45017</v>
      </c>
      <c r="C981" s="2" t="str">
        <f>VLOOKUP(MONTH(Tabela1[[#This Row],[Periodo]]),NUMMESES,2,FALSE)</f>
        <v>Abril</v>
      </c>
      <c r="D981" s="2">
        <f>YEAR(Tabela1[[#This Row],[Periodo]])</f>
        <v>2023</v>
      </c>
      <c r="E981" s="34">
        <f>(INDEX(TBBP[],MATCH("1.1",planoContas,0)+1,MATCH(Tabela1[[#This Row],[Periodo]],listaPeriodos,0))/INDEX(TBBP[],MATCH("2.1",planoContas,0)+1,MATCH(Tabela1[[#This Row],[Periodo]],listaPeriodos,0)))</f>
        <v>6.2285313000245495</v>
      </c>
      <c r="F981" s="34">
        <v>7</v>
      </c>
      <c r="G981" s="34"/>
      <c r="H981" s="34"/>
    </row>
    <row r="982" spans="1:8" x14ac:dyDescent="0.3">
      <c r="A982" t="s">
        <v>682</v>
      </c>
      <c r="B982" s="3">
        <f t="shared" si="12"/>
        <v>45047</v>
      </c>
      <c r="C982" s="2" t="str">
        <f>VLOOKUP(MONTH(Tabela1[[#This Row],[Periodo]]),NUMMESES,2,FALSE)</f>
        <v>Maio</v>
      </c>
      <c r="D982" s="2">
        <f>YEAR(Tabela1[[#This Row],[Periodo]])</f>
        <v>2023</v>
      </c>
      <c r="E982" s="34">
        <f>(INDEX(TBBP[],MATCH("1.1",planoContas,0)+1,MATCH(Tabela1[[#This Row],[Periodo]],listaPeriodos,0))/INDEX(TBBP[],MATCH("2.1",planoContas,0)+1,MATCH(Tabela1[[#This Row],[Periodo]],listaPeriodos,0)))</f>
        <v>5.105280373073489</v>
      </c>
      <c r="F982" s="34">
        <v>7</v>
      </c>
      <c r="G982" s="34"/>
      <c r="H982" s="34"/>
    </row>
    <row r="983" spans="1:8" x14ac:dyDescent="0.3">
      <c r="A983" t="s">
        <v>682</v>
      </c>
      <c r="B983" s="3">
        <f t="shared" si="12"/>
        <v>45078</v>
      </c>
      <c r="C983" s="2" t="str">
        <f>VLOOKUP(MONTH(Tabela1[[#This Row],[Periodo]]),NUMMESES,2,FALSE)</f>
        <v>Junho</v>
      </c>
      <c r="D983" s="2">
        <f>YEAR(Tabela1[[#This Row],[Periodo]])</f>
        <v>2023</v>
      </c>
      <c r="E983" s="34">
        <f>(INDEX(TBBP[],MATCH("1.1",planoContas,0)+1,MATCH(Tabela1[[#This Row],[Periodo]],listaPeriodos,0))/INDEX(TBBP[],MATCH("2.1",planoContas,0)+1,MATCH(Tabela1[[#This Row],[Periodo]],listaPeriodos,0)))</f>
        <v>5.0247298769314783</v>
      </c>
      <c r="F983" s="34">
        <v>7</v>
      </c>
      <c r="G983" s="34"/>
      <c r="H983" s="34"/>
    </row>
    <row r="984" spans="1:8" x14ac:dyDescent="0.3">
      <c r="A984" t="s">
        <v>682</v>
      </c>
      <c r="B984" s="3">
        <f t="shared" si="12"/>
        <v>45108</v>
      </c>
      <c r="C984" s="2" t="str">
        <f>VLOOKUP(MONTH(Tabela1[[#This Row],[Periodo]]),NUMMESES,2,FALSE)</f>
        <v>Julho</v>
      </c>
      <c r="D984" s="2">
        <f>YEAR(Tabela1[[#This Row],[Periodo]])</f>
        <v>2023</v>
      </c>
      <c r="E984" s="34">
        <f>(INDEX(TBBP[],MATCH("1.1",planoContas,0)+1,MATCH(Tabela1[[#This Row],[Periodo]],listaPeriodos,0))/INDEX(TBBP[],MATCH("2.1",planoContas,0)+1,MATCH(Tabela1[[#This Row],[Periodo]],listaPeriodos,0)))</f>
        <v>5.0713760137758603</v>
      </c>
      <c r="F984" s="34">
        <v>7</v>
      </c>
      <c r="G984" s="34"/>
      <c r="H984" s="34"/>
    </row>
    <row r="985" spans="1:8" x14ac:dyDescent="0.3">
      <c r="A985" t="s">
        <v>682</v>
      </c>
      <c r="B985" s="3">
        <f t="shared" si="12"/>
        <v>45139</v>
      </c>
      <c r="C985" s="2" t="str">
        <f>VLOOKUP(MONTH(Tabela1[[#This Row],[Periodo]]),NUMMESES,2,FALSE)</f>
        <v>Agosto</v>
      </c>
      <c r="D985" s="2">
        <f>YEAR(Tabela1[[#This Row],[Periodo]])</f>
        <v>2023</v>
      </c>
      <c r="E985" s="34">
        <f>(INDEX(TBBP[],MATCH("1.1",planoContas,0)+1,MATCH(Tabela1[[#This Row],[Periodo]],listaPeriodos,0))/INDEX(TBBP[],MATCH("2.1",planoContas,0)+1,MATCH(Tabela1[[#This Row],[Periodo]],listaPeriodos,0)))</f>
        <v>5.0087716190791323</v>
      </c>
      <c r="F985" s="34">
        <v>7</v>
      </c>
      <c r="G985" s="34"/>
      <c r="H985" s="34"/>
    </row>
    <row r="986" spans="1:8" x14ac:dyDescent="0.3">
      <c r="A986" t="s">
        <v>682</v>
      </c>
      <c r="B986" s="3">
        <f t="shared" si="12"/>
        <v>45170</v>
      </c>
      <c r="C986" s="2" t="str">
        <f>VLOOKUP(MONTH(Tabela1[[#This Row],[Periodo]]),NUMMESES,2,FALSE)</f>
        <v>Setembro</v>
      </c>
      <c r="D986" s="2">
        <f>YEAR(Tabela1[[#This Row],[Periodo]])</f>
        <v>2023</v>
      </c>
      <c r="E986" s="34">
        <f>(INDEX(TBBP[],MATCH("1.1",planoContas,0)+1,MATCH(Tabela1[[#This Row],[Periodo]],listaPeriodos,0))/INDEX(TBBP[],MATCH("2.1",planoContas,0)+1,MATCH(Tabela1[[#This Row],[Periodo]],listaPeriodos,0)))</f>
        <v>4.3132484385581904</v>
      </c>
      <c r="F986" s="34">
        <v>7</v>
      </c>
      <c r="G986" s="34"/>
      <c r="H986" s="34"/>
    </row>
    <row r="987" spans="1:8" x14ac:dyDescent="0.3">
      <c r="A987" t="s">
        <v>682</v>
      </c>
      <c r="B987" s="3">
        <f t="shared" si="12"/>
        <v>45200</v>
      </c>
      <c r="C987" s="2" t="str">
        <f>VLOOKUP(MONTH(Tabela1[[#This Row],[Periodo]]),NUMMESES,2,FALSE)</f>
        <v>Outubro</v>
      </c>
      <c r="D987" s="2">
        <f>YEAR(Tabela1[[#This Row],[Periodo]])</f>
        <v>2023</v>
      </c>
      <c r="E987" s="34">
        <f>(INDEX(TBBP[],MATCH("1.1",planoContas,0)+1,MATCH(Tabela1[[#This Row],[Periodo]],listaPeriodos,0))/INDEX(TBBP[],MATCH("2.1",planoContas,0)+1,MATCH(Tabela1[[#This Row],[Periodo]],listaPeriodos,0)))</f>
        <v>4.3105259560099078</v>
      </c>
      <c r="F987" s="34">
        <v>7</v>
      </c>
      <c r="G987" s="34"/>
      <c r="H987" s="34"/>
    </row>
    <row r="988" spans="1:8" x14ac:dyDescent="0.3">
      <c r="A988" t="s">
        <v>682</v>
      </c>
      <c r="B988" s="3">
        <f t="shared" si="12"/>
        <v>45231</v>
      </c>
      <c r="C988" s="2" t="str">
        <f>VLOOKUP(MONTH(Tabela1[[#This Row],[Periodo]]),NUMMESES,2,FALSE)</f>
        <v>Novembro</v>
      </c>
      <c r="D988" s="2">
        <f>YEAR(Tabela1[[#This Row],[Periodo]])</f>
        <v>2023</v>
      </c>
      <c r="E988" s="34">
        <f>(INDEX(TBBP[],MATCH("1.1",planoContas,0)+1,MATCH(Tabela1[[#This Row],[Periodo]],listaPeriodos,0))/INDEX(TBBP[],MATCH("2.1",planoContas,0)+1,MATCH(Tabela1[[#This Row],[Periodo]],listaPeriodos,0)))</f>
        <v>4.6740927872810953</v>
      </c>
      <c r="F988" s="34">
        <v>7</v>
      </c>
      <c r="G988" s="34"/>
      <c r="H988" s="34"/>
    </row>
    <row r="989" spans="1:8" x14ac:dyDescent="0.3">
      <c r="A989" t="s">
        <v>682</v>
      </c>
      <c r="B989" s="3">
        <f t="shared" si="12"/>
        <v>45261</v>
      </c>
      <c r="C989" s="2" t="str">
        <f>VLOOKUP(MONTH(Tabela1[[#This Row],[Periodo]]),NUMMESES,2,FALSE)</f>
        <v>Dezembro</v>
      </c>
      <c r="D989" s="2">
        <f>YEAR(Tabela1[[#This Row],[Periodo]])</f>
        <v>2023</v>
      </c>
      <c r="E989" s="34">
        <f>(INDEX(TBBP[],MATCH("1.1",planoContas,0)+1,MATCH(Tabela1[[#This Row],[Periodo]],listaPeriodos,0))/INDEX(TBBP[],MATCH("2.1",planoContas,0)+1,MATCH(Tabela1[[#This Row],[Periodo]],listaPeriodos,0)))</f>
        <v>4.5158317796406306</v>
      </c>
      <c r="F989" s="34">
        <v>7</v>
      </c>
      <c r="G989" s="34"/>
      <c r="H989" s="34"/>
    </row>
    <row r="990" spans="1:8" x14ac:dyDescent="0.3">
      <c r="A990" t="s">
        <v>682</v>
      </c>
      <c r="B990" s="3">
        <f t="shared" si="12"/>
        <v>45292</v>
      </c>
      <c r="C990" s="2" t="str">
        <f>VLOOKUP(MONTH(Tabela1[[#This Row],[Periodo]]),NUMMESES,2,FALSE)</f>
        <v>Janeiro</v>
      </c>
      <c r="D990" s="2">
        <f>YEAR(Tabela1[[#This Row],[Periodo]])</f>
        <v>2024</v>
      </c>
      <c r="E990" s="34">
        <f>(INDEX(TBBP[],MATCH("1.1",planoContas,0)+1,MATCH(Tabela1[[#This Row],[Periodo]],listaPeriodos,0))/INDEX(TBBP[],MATCH("2.1",planoContas,0)+1,MATCH(Tabela1[[#This Row],[Periodo]],listaPeriodos,0)))</f>
        <v>5.6587615603759405</v>
      </c>
      <c r="F990" s="34">
        <v>7</v>
      </c>
      <c r="G990" s="34"/>
      <c r="H990" s="34"/>
    </row>
    <row r="991" spans="1:8" x14ac:dyDescent="0.3">
      <c r="A991" t="s">
        <v>682</v>
      </c>
      <c r="B991" s="3">
        <f t="shared" si="12"/>
        <v>45323</v>
      </c>
      <c r="C991" s="2" t="str">
        <f>VLOOKUP(MONTH(Tabela1[[#This Row],[Periodo]]),NUMMESES,2,FALSE)</f>
        <v>Fevereiro</v>
      </c>
      <c r="D991" s="2">
        <f>YEAR(Tabela1[[#This Row],[Periodo]])</f>
        <v>2024</v>
      </c>
      <c r="E991" s="34">
        <f>(INDEX(TBBP[],MATCH("1.1",planoContas,0)+1,MATCH(Tabela1[[#This Row],[Periodo]],listaPeriodos,0))/INDEX(TBBP[],MATCH("2.1",planoContas,0)+1,MATCH(Tabela1[[#This Row],[Periodo]],listaPeriodos,0)))</f>
        <v>5.065982644306585</v>
      </c>
      <c r="F991" s="34">
        <v>7</v>
      </c>
      <c r="G991" s="34"/>
      <c r="H991" s="34"/>
    </row>
    <row r="992" spans="1:8" x14ac:dyDescent="0.3">
      <c r="A992" t="s">
        <v>682</v>
      </c>
      <c r="B992" s="3">
        <f t="shared" si="12"/>
        <v>45352</v>
      </c>
      <c r="C992" s="2" t="str">
        <f>VLOOKUP(MONTH(Tabela1[[#This Row],[Periodo]]),NUMMESES,2,FALSE)</f>
        <v>Março</v>
      </c>
      <c r="D992" s="2">
        <f>YEAR(Tabela1[[#This Row],[Periodo]])</f>
        <v>2024</v>
      </c>
      <c r="E992" s="34">
        <f>(INDEX(TBBP[],MATCH("1.1",planoContas,0)+1,MATCH(Tabela1[[#This Row],[Periodo]],listaPeriodos,0))/INDEX(TBBP[],MATCH("2.1",planoContas,0)+1,MATCH(Tabela1[[#This Row],[Periodo]],listaPeriodos,0)))</f>
        <v>4.3914954415298268</v>
      </c>
      <c r="F992" s="34">
        <v>7</v>
      </c>
      <c r="G992" s="34"/>
      <c r="H992" s="34"/>
    </row>
    <row r="993" spans="1:8" x14ac:dyDescent="0.3">
      <c r="A993" t="s">
        <v>682</v>
      </c>
      <c r="B993" s="3">
        <f t="shared" si="12"/>
        <v>45383</v>
      </c>
      <c r="C993" s="2" t="str">
        <f>VLOOKUP(MONTH(Tabela1[[#This Row],[Periodo]]),NUMMESES,2,FALSE)</f>
        <v>Abril</v>
      </c>
      <c r="D993" s="2">
        <f>YEAR(Tabela1[[#This Row],[Periodo]])</f>
        <v>2024</v>
      </c>
      <c r="E993" s="34">
        <f>(INDEX(TBBP[],MATCH("1.1",planoContas,0)+1,MATCH(Tabela1[[#This Row],[Periodo]],listaPeriodos,0))/INDEX(TBBP[],MATCH("2.1",planoContas,0)+1,MATCH(Tabela1[[#This Row],[Periodo]],listaPeriodos,0)))</f>
        <v>3.9870476396508749</v>
      </c>
      <c r="F993" s="34">
        <v>7</v>
      </c>
      <c r="G993" s="34"/>
      <c r="H993" s="34"/>
    </row>
    <row r="994" spans="1:8" x14ac:dyDescent="0.3">
      <c r="A994" t="s">
        <v>682</v>
      </c>
      <c r="B994" s="3">
        <f t="shared" si="12"/>
        <v>45413</v>
      </c>
      <c r="C994" s="2" t="str">
        <f>VLOOKUP(MONTH(Tabela1[[#This Row],[Periodo]]),NUMMESES,2,FALSE)</f>
        <v>Maio</v>
      </c>
      <c r="D994" s="2">
        <f>YEAR(Tabela1[[#This Row],[Periodo]])</f>
        <v>2024</v>
      </c>
      <c r="E994" s="34">
        <f>(INDEX(TBBP[],MATCH("1.1",planoContas,0)+1,MATCH(Tabela1[[#This Row],[Periodo]],listaPeriodos,0))/INDEX(TBBP[],MATCH("2.1",planoContas,0)+1,MATCH(Tabela1[[#This Row],[Periodo]],listaPeriodos,0)))</f>
        <v>3.1867461954460037</v>
      </c>
      <c r="F994" s="34">
        <v>7</v>
      </c>
      <c r="G994" s="34"/>
      <c r="H994" s="34"/>
    </row>
    <row r="995" spans="1:8" x14ac:dyDescent="0.3">
      <c r="A995" t="s">
        <v>682</v>
      </c>
      <c r="B995" s="3">
        <f t="shared" si="12"/>
        <v>45444</v>
      </c>
      <c r="C995" s="2" t="str">
        <f>VLOOKUP(MONTH(Tabela1[[#This Row],[Periodo]]),NUMMESES,2,FALSE)</f>
        <v>Junho</v>
      </c>
      <c r="D995" s="2">
        <f>YEAR(Tabela1[[#This Row],[Periodo]])</f>
        <v>2024</v>
      </c>
      <c r="E995" s="34">
        <f>(INDEX(TBBP[],MATCH("1.1",planoContas,0)+1,MATCH(Tabela1[[#This Row],[Periodo]],listaPeriodos,0))/INDEX(TBBP[],MATCH("2.1",planoContas,0)+1,MATCH(Tabela1[[#This Row],[Periodo]],listaPeriodos,0)))</f>
        <v>3.462921203355446</v>
      </c>
      <c r="F995" s="34">
        <v>7</v>
      </c>
      <c r="G995" s="34"/>
      <c r="H995" s="34"/>
    </row>
    <row r="996" spans="1:8" x14ac:dyDescent="0.3">
      <c r="A996" t="s">
        <v>682</v>
      </c>
      <c r="B996" s="3">
        <f t="shared" si="12"/>
        <v>45474</v>
      </c>
      <c r="C996" s="2" t="str">
        <f>VLOOKUP(MONTH(Tabela1[[#This Row],[Periodo]]),NUMMESES,2,FALSE)</f>
        <v>Julho</v>
      </c>
      <c r="D996" s="2">
        <f>YEAR(Tabela1[[#This Row],[Periodo]])</f>
        <v>2024</v>
      </c>
      <c r="E996" s="34">
        <f>(INDEX(TBBP[],MATCH("1.1",planoContas,0)+1,MATCH(Tabela1[[#This Row],[Periodo]],listaPeriodos,0))/INDEX(TBBP[],MATCH("2.1",planoContas,0)+1,MATCH(Tabela1[[#This Row],[Periodo]],listaPeriodos,0)))</f>
        <v>3.397561617284667</v>
      </c>
      <c r="F996" s="34">
        <v>7</v>
      </c>
      <c r="G996" s="34"/>
      <c r="H996" s="34"/>
    </row>
    <row r="997" spans="1:8" x14ac:dyDescent="0.3">
      <c r="A997" t="s">
        <v>682</v>
      </c>
      <c r="B997" s="3">
        <f t="shared" si="12"/>
        <v>45505</v>
      </c>
      <c r="C997" s="2" t="str">
        <f>VLOOKUP(MONTH(Tabela1[[#This Row],[Periodo]]),NUMMESES,2,FALSE)</f>
        <v>Agosto</v>
      </c>
      <c r="D997" s="2">
        <f>YEAR(Tabela1[[#This Row],[Periodo]])</f>
        <v>2024</v>
      </c>
      <c r="E997" s="34">
        <f>(INDEX(TBBP[],MATCH("1.1",planoContas,0)+1,MATCH(Tabela1[[#This Row],[Periodo]],listaPeriodos,0))/INDEX(TBBP[],MATCH("2.1",planoContas,0)+1,MATCH(Tabela1[[#This Row],[Periodo]],listaPeriodos,0)))</f>
        <v>3.421666416117314</v>
      </c>
      <c r="F997" s="34">
        <v>7</v>
      </c>
      <c r="G997" s="34"/>
      <c r="H997" s="34"/>
    </row>
    <row r="998" spans="1:8" x14ac:dyDescent="0.3">
      <c r="A998" t="s">
        <v>682</v>
      </c>
      <c r="B998" s="3">
        <f t="shared" si="12"/>
        <v>45536</v>
      </c>
      <c r="C998" s="2" t="str">
        <f>VLOOKUP(MONTH(Tabela1[[#This Row],[Periodo]]),NUMMESES,2,FALSE)</f>
        <v>Setembro</v>
      </c>
      <c r="D998" s="2">
        <f>YEAR(Tabela1[[#This Row],[Periodo]])</f>
        <v>2024</v>
      </c>
      <c r="E998" s="34">
        <f>(INDEX(TBBP[],MATCH("1.1",planoContas,0)+1,MATCH(Tabela1[[#This Row],[Periodo]],listaPeriodos,0))/INDEX(TBBP[],MATCH("2.1",planoContas,0)+1,MATCH(Tabela1[[#This Row],[Periodo]],listaPeriodos,0)))</f>
        <v>3.5215159086425514</v>
      </c>
      <c r="F998" s="34">
        <v>7</v>
      </c>
      <c r="G998" s="34"/>
      <c r="H998" s="34"/>
    </row>
    <row r="999" spans="1:8" x14ac:dyDescent="0.3">
      <c r="A999" t="s">
        <v>682</v>
      </c>
      <c r="B999" s="3">
        <f t="shared" si="12"/>
        <v>45566</v>
      </c>
      <c r="C999" s="2" t="str">
        <f>VLOOKUP(MONTH(Tabela1[[#This Row],[Periodo]]),NUMMESES,2,FALSE)</f>
        <v>Outubro</v>
      </c>
      <c r="D999" s="2">
        <f>YEAR(Tabela1[[#This Row],[Periodo]])</f>
        <v>2024</v>
      </c>
      <c r="E999" s="34">
        <f>(INDEX(TBBP[],MATCH("1.1",planoContas,0)+1,MATCH(Tabela1[[#This Row],[Periodo]],listaPeriodos,0))/INDEX(TBBP[],MATCH("2.1",planoContas,0)+1,MATCH(Tabela1[[#This Row],[Periodo]],listaPeriodos,0)))</f>
        <v>3.4764344591518648</v>
      </c>
      <c r="F999" s="34">
        <v>7</v>
      </c>
      <c r="G999" s="34"/>
      <c r="H999" s="34"/>
    </row>
    <row r="1000" spans="1:8" x14ac:dyDescent="0.3">
      <c r="A1000" t="s">
        <v>682</v>
      </c>
      <c r="B1000" s="3">
        <f t="shared" si="12"/>
        <v>45597</v>
      </c>
      <c r="C1000" s="2" t="str">
        <f>VLOOKUP(MONTH(Tabela1[[#This Row],[Periodo]]),NUMMESES,2,FALSE)</f>
        <v>Novembro</v>
      </c>
      <c r="D1000" s="2">
        <f>YEAR(Tabela1[[#This Row],[Periodo]])</f>
        <v>2024</v>
      </c>
      <c r="E1000" s="34">
        <f>(INDEX(TBBP[],MATCH("1.1",planoContas,0)+1,MATCH(Tabela1[[#This Row],[Periodo]],listaPeriodos,0))/INDEX(TBBP[],MATCH("2.1",planoContas,0)+1,MATCH(Tabela1[[#This Row],[Periodo]],listaPeriodos,0)))</f>
        <v>3.312963726789838</v>
      </c>
      <c r="F1000" s="34">
        <v>7</v>
      </c>
      <c r="G1000" s="34"/>
      <c r="H1000" s="34"/>
    </row>
    <row r="1001" spans="1:8" x14ac:dyDescent="0.3">
      <c r="A1001" t="s">
        <v>682</v>
      </c>
      <c r="B1001" s="3">
        <f t="shared" si="12"/>
        <v>45627</v>
      </c>
      <c r="C1001" s="2" t="str">
        <f>VLOOKUP(MONTH(Tabela1[[#This Row],[Periodo]]),NUMMESES,2,FALSE)</f>
        <v>Dezembro</v>
      </c>
      <c r="D1001" s="2">
        <f>YEAR(Tabela1[[#This Row],[Periodo]])</f>
        <v>2024</v>
      </c>
      <c r="E1001" s="34">
        <f>(INDEX(TBBP[],MATCH("1.1",planoContas,0)+1,MATCH(Tabela1[[#This Row],[Periodo]],listaPeriodos,0))/INDEX(TBBP[],MATCH("2.1",planoContas,0)+1,MATCH(Tabela1[[#This Row],[Periodo]],listaPeriodos,0)))</f>
        <v>3.392500523914475</v>
      </c>
      <c r="F1001" s="34">
        <v>7</v>
      </c>
      <c r="G1001" s="34"/>
      <c r="H1001" s="34"/>
    </row>
    <row r="1002" spans="1:8" x14ac:dyDescent="0.3">
      <c r="A1002" t="s">
        <v>682</v>
      </c>
      <c r="B1002" s="3">
        <f t="shared" si="12"/>
        <v>45658</v>
      </c>
      <c r="C1002" s="2" t="str">
        <f>VLOOKUP(MONTH(Tabela1[[#This Row],[Periodo]]),NUMMESES,2,FALSE)</f>
        <v>Janeiro</v>
      </c>
      <c r="D1002" s="2">
        <f>YEAR(Tabela1[[#This Row],[Periodo]])</f>
        <v>2025</v>
      </c>
      <c r="E1002" s="34">
        <f>(INDEX(TBBP[],MATCH("1.1",planoContas,0)+1,MATCH(Tabela1[[#This Row],[Periodo]],listaPeriodos,0))/INDEX(TBBP[],MATCH("2.1",planoContas,0)+1,MATCH(Tabela1[[#This Row],[Periodo]],listaPeriodos,0)))</f>
        <v>3.9009647304995272</v>
      </c>
      <c r="F1002" s="34">
        <v>7</v>
      </c>
      <c r="G1002" s="34"/>
      <c r="H1002" s="34"/>
    </row>
    <row r="1003" spans="1:8" x14ac:dyDescent="0.3">
      <c r="A1003" t="s">
        <v>682</v>
      </c>
      <c r="B1003" s="3">
        <f t="shared" si="12"/>
        <v>45689</v>
      </c>
      <c r="C1003" s="2" t="str">
        <f>VLOOKUP(MONTH(Tabela1[[#This Row],[Periodo]]),NUMMESES,2,FALSE)</f>
        <v>Fevereiro</v>
      </c>
      <c r="D1003" s="2">
        <f>YEAR(Tabela1[[#This Row],[Periodo]])</f>
        <v>2025</v>
      </c>
      <c r="E1003" s="34">
        <f>(INDEX(TBBP[],MATCH("1.1",planoContas,0)+1,MATCH(Tabela1[[#This Row],[Periodo]],listaPeriodos,0))/INDEX(TBBP[],MATCH("2.1",planoContas,0)+1,MATCH(Tabela1[[#This Row],[Periodo]],listaPeriodos,0)))</f>
        <v>3.9705225379383275</v>
      </c>
      <c r="F1003" s="34">
        <v>7</v>
      </c>
      <c r="G1003" s="34"/>
      <c r="H1003" s="34"/>
    </row>
    <row r="1004" spans="1:8" x14ac:dyDescent="0.3">
      <c r="A1004" t="s">
        <v>682</v>
      </c>
      <c r="B1004" s="3">
        <f t="shared" si="12"/>
        <v>45717</v>
      </c>
      <c r="C1004" s="2" t="str">
        <f>VLOOKUP(MONTH(Tabela1[[#This Row],[Periodo]]),NUMMESES,2,FALSE)</f>
        <v>Março</v>
      </c>
      <c r="D1004" s="2">
        <f>YEAR(Tabela1[[#This Row],[Periodo]])</f>
        <v>2025</v>
      </c>
      <c r="E1004" s="34">
        <f>(INDEX(TBBP[],MATCH("1.1",planoContas,0)+1,MATCH(Tabela1[[#This Row],[Periodo]],listaPeriodos,0))/INDEX(TBBP[],MATCH("2.1",planoContas,0)+1,MATCH(Tabela1[[#This Row],[Periodo]],listaPeriodos,0)))</f>
        <v>3.7551516841046482</v>
      </c>
      <c r="F1004" s="34">
        <v>7</v>
      </c>
      <c r="G1004" s="34"/>
      <c r="H1004" s="34"/>
    </row>
    <row r="1005" spans="1:8" x14ac:dyDescent="0.3">
      <c r="A1005" t="s">
        <v>682</v>
      </c>
      <c r="B1005" s="3">
        <f t="shared" si="12"/>
        <v>45748</v>
      </c>
      <c r="C1005" s="2" t="str">
        <f>VLOOKUP(MONTH(Tabela1[[#This Row],[Periodo]]),NUMMESES,2,FALSE)</f>
        <v>Abril</v>
      </c>
      <c r="D1005" s="2">
        <f>YEAR(Tabela1[[#This Row],[Periodo]])</f>
        <v>2025</v>
      </c>
      <c r="E1005" s="34">
        <f>(INDEX(TBBP[],MATCH("1.1",planoContas,0)+1,MATCH(Tabela1[[#This Row],[Periodo]],listaPeriodos,0))/INDEX(TBBP[],MATCH("2.1",planoContas,0)+1,MATCH(Tabela1[[#This Row],[Periodo]],listaPeriodos,0)))</f>
        <v>3.9041224553305689</v>
      </c>
      <c r="F1005" s="34">
        <v>7</v>
      </c>
      <c r="G1005" s="34"/>
      <c r="H1005" s="34"/>
    </row>
    <row r="1006" spans="1:8" x14ac:dyDescent="0.3">
      <c r="A1006" t="s">
        <v>682</v>
      </c>
      <c r="B1006" s="3">
        <f t="shared" si="12"/>
        <v>45778</v>
      </c>
      <c r="C1006" s="2" t="str">
        <f>VLOOKUP(MONTH(Tabela1[[#This Row],[Periodo]]),NUMMESES,2,FALSE)</f>
        <v>Maio</v>
      </c>
      <c r="D1006" s="2">
        <f>YEAR(Tabela1[[#This Row],[Periodo]])</f>
        <v>2025</v>
      </c>
      <c r="E1006" s="34">
        <f>(INDEX(TBBP[],MATCH("1.1",planoContas,0)+1,MATCH(Tabela1[[#This Row],[Periodo]],listaPeriodos,0))/INDEX(TBBP[],MATCH("2.1",planoContas,0)+1,MATCH(Tabela1[[#This Row],[Periodo]],listaPeriodos,0)))</f>
        <v>3.907877425491626</v>
      </c>
      <c r="F1006" s="34">
        <v>7</v>
      </c>
      <c r="G1006" s="34"/>
      <c r="H1006" s="34"/>
    </row>
    <row r="1007" spans="1:8" x14ac:dyDescent="0.3">
      <c r="A1007" t="s">
        <v>682</v>
      </c>
      <c r="B1007" s="3">
        <f t="shared" si="12"/>
        <v>45809</v>
      </c>
      <c r="C1007" s="2" t="str">
        <f>VLOOKUP(MONTH(Tabela1[[#This Row],[Periodo]]),NUMMESES,2,FALSE)</f>
        <v>Junho</v>
      </c>
      <c r="D1007" s="2">
        <f>YEAR(Tabela1[[#This Row],[Periodo]])</f>
        <v>2025</v>
      </c>
      <c r="E1007" s="34">
        <f>(INDEX(TBBP[],MATCH("1.1",planoContas,0)+1,MATCH(Tabela1[[#This Row],[Periodo]],listaPeriodos,0))/INDEX(TBBP[],MATCH("2.1",planoContas,0)+1,MATCH(Tabela1[[#This Row],[Periodo]],listaPeriodos,0)))</f>
        <v>3.6468920476155744</v>
      </c>
      <c r="F1007" s="34">
        <v>7</v>
      </c>
      <c r="G1007" s="34"/>
      <c r="H1007" s="34"/>
    </row>
    <row r="1008" spans="1:8" x14ac:dyDescent="0.3">
      <c r="A1008" t="s">
        <v>682</v>
      </c>
      <c r="B1008" s="3">
        <f t="shared" si="12"/>
        <v>45839</v>
      </c>
      <c r="C1008" s="2" t="str">
        <f>VLOOKUP(MONTH(Tabela1[[#This Row],[Periodo]]),NUMMESES,2,FALSE)</f>
        <v>Julho</v>
      </c>
      <c r="D1008" s="2">
        <f>YEAR(Tabela1[[#This Row],[Periodo]])</f>
        <v>2025</v>
      </c>
      <c r="E1008" s="34">
        <f>(INDEX(TBBP[],MATCH("1.1",planoContas,0)+1,MATCH(Tabela1[[#This Row],[Periodo]],listaPeriodos,0))/INDEX(TBBP[],MATCH("2.1",planoContas,0)+1,MATCH(Tabela1[[#This Row],[Periodo]],listaPeriodos,0)))</f>
        <v>3.6614236109128933</v>
      </c>
      <c r="F1008" s="34">
        <v>7</v>
      </c>
      <c r="G1008" s="34"/>
      <c r="H1008" s="34"/>
    </row>
    <row r="1009" spans="1:8" x14ac:dyDescent="0.3">
      <c r="A1009" t="s">
        <v>682</v>
      </c>
      <c r="B1009" s="3">
        <f t="shared" si="12"/>
        <v>45870</v>
      </c>
      <c r="C1009" s="2" t="str">
        <f>VLOOKUP(MONTH(Tabela1[[#This Row],[Periodo]]),NUMMESES,2,FALSE)</f>
        <v>Agosto</v>
      </c>
      <c r="D1009" s="2">
        <f>YEAR(Tabela1[[#This Row],[Periodo]])</f>
        <v>2025</v>
      </c>
      <c r="E1009" s="34">
        <f>(INDEX(TBBP[],MATCH("1.1",planoContas,0)+1,MATCH(Tabela1[[#This Row],[Periodo]],listaPeriodos,0))/INDEX(TBBP[],MATCH("2.1",planoContas,0)+1,MATCH(Tabela1[[#This Row],[Periodo]],listaPeriodos,0)))</f>
        <v>3.7156995107430766</v>
      </c>
      <c r="F1009" s="34">
        <v>7</v>
      </c>
      <c r="G1009" s="34"/>
      <c r="H1009" s="34"/>
    </row>
    <row r="1010" spans="1:8" x14ac:dyDescent="0.3">
      <c r="A1010" t="s">
        <v>682</v>
      </c>
      <c r="B1010" s="3">
        <f t="shared" si="12"/>
        <v>45901</v>
      </c>
      <c r="C1010" s="2" t="str">
        <f>VLOOKUP(MONTH(Tabela1[[#This Row],[Periodo]]),NUMMESES,2,FALSE)</f>
        <v>Setembro</v>
      </c>
      <c r="D1010" s="2">
        <f>YEAR(Tabela1[[#This Row],[Periodo]])</f>
        <v>2025</v>
      </c>
      <c r="E1010" s="34">
        <f>(INDEX(TBBP[],MATCH("1.1",planoContas,0)+1,MATCH(Tabela1[[#This Row],[Periodo]],listaPeriodos,0))/INDEX(TBBP[],MATCH("2.1",planoContas,0)+1,MATCH(Tabela1[[#This Row],[Periodo]],listaPeriodos,0)))</f>
        <v>3.5542770831506698</v>
      </c>
      <c r="F1010" s="34">
        <v>7</v>
      </c>
      <c r="G1010" s="34"/>
      <c r="H1010" s="34"/>
    </row>
    <row r="1011" spans="1:8" x14ac:dyDescent="0.3">
      <c r="A1011" t="s">
        <v>682</v>
      </c>
      <c r="B1011" s="3">
        <f t="shared" si="12"/>
        <v>45931</v>
      </c>
      <c r="C1011" s="2" t="str">
        <f>VLOOKUP(MONTH(Tabela1[[#This Row],[Periodo]]),NUMMESES,2,FALSE)</f>
        <v>Outubro</v>
      </c>
      <c r="D1011" s="2">
        <f>YEAR(Tabela1[[#This Row],[Periodo]])</f>
        <v>2025</v>
      </c>
      <c r="E1011" s="34">
        <f>(INDEX(TBBP[],MATCH("1.1",planoContas,0)+1,MATCH(Tabela1[[#This Row],[Periodo]],listaPeriodos,0))/INDEX(TBBP[],MATCH("2.1",planoContas,0)+1,MATCH(Tabela1[[#This Row],[Periodo]],listaPeriodos,0)))</f>
        <v>3.4463382471729469</v>
      </c>
      <c r="F1011" s="34">
        <v>7</v>
      </c>
      <c r="G1011" s="34"/>
      <c r="H1011" s="34"/>
    </row>
    <row r="1012" spans="1:8" x14ac:dyDescent="0.3">
      <c r="A1012" t="s">
        <v>682</v>
      </c>
      <c r="B1012" s="3">
        <f t="shared" si="12"/>
        <v>45962</v>
      </c>
      <c r="C1012" s="2" t="str">
        <f>VLOOKUP(MONTH(Tabela1[[#This Row],[Periodo]]),NUMMESES,2,FALSE)</f>
        <v>Novembro</v>
      </c>
      <c r="D1012" s="2">
        <f>YEAR(Tabela1[[#This Row],[Periodo]])</f>
        <v>2025</v>
      </c>
      <c r="E1012" s="34">
        <f>(INDEX(TBBP[],MATCH("1.1",planoContas,0)+1,MATCH(Tabela1[[#This Row],[Periodo]],listaPeriodos,0))/INDEX(TBBP[],MATCH("2.1",planoContas,0)+1,MATCH(Tabela1[[#This Row],[Periodo]],listaPeriodos,0)))</f>
        <v>3.4697501647423938</v>
      </c>
      <c r="F1012" s="34">
        <v>7</v>
      </c>
      <c r="G1012" s="34"/>
      <c r="H1012" s="34"/>
    </row>
    <row r="1013" spans="1:8" x14ac:dyDescent="0.3">
      <c r="A1013" t="s">
        <v>682</v>
      </c>
      <c r="B1013" s="3">
        <f t="shared" si="12"/>
        <v>45992</v>
      </c>
      <c r="C1013" s="2" t="str">
        <f>VLOOKUP(MONTH(Tabela1[[#This Row],[Periodo]]),NUMMESES,2,FALSE)</f>
        <v>Dezembro</v>
      </c>
      <c r="D1013" s="2">
        <f>YEAR(Tabela1[[#This Row],[Periodo]])</f>
        <v>2025</v>
      </c>
      <c r="E1013" s="34">
        <f>(INDEX(TBBP[],MATCH("1.1",planoContas,0)+1,MATCH(Tabela1[[#This Row],[Periodo]],listaPeriodos,0))/INDEX(TBBP[],MATCH("2.1",planoContas,0)+1,MATCH(Tabela1[[#This Row],[Periodo]],listaPeriodos,0)))</f>
        <v>3.4653077889821104</v>
      </c>
      <c r="F1013" s="34">
        <v>7</v>
      </c>
      <c r="G1013" s="34"/>
      <c r="H1013" s="34"/>
    </row>
    <row r="1014" spans="1:8" x14ac:dyDescent="0.3">
      <c r="A1014" t="s">
        <v>682</v>
      </c>
      <c r="B1014" s="3">
        <f t="shared" si="12"/>
        <v>46023</v>
      </c>
      <c r="C1014" s="2" t="str">
        <f>VLOOKUP(MONTH(Tabela1[[#This Row],[Periodo]]),NUMMESES,2,FALSE)</f>
        <v>Janeiro</v>
      </c>
      <c r="D1014" s="2">
        <f>YEAR(Tabela1[[#This Row],[Periodo]])</f>
        <v>2026</v>
      </c>
      <c r="E1014" s="34">
        <f>(INDEX(TBBP[],MATCH("1.1",planoContas,0)+1,MATCH(Tabela1[[#This Row],[Periodo]],listaPeriodos,0))/INDEX(TBBP[],MATCH("2.1",planoContas,0)+1,MATCH(Tabela1[[#This Row],[Periodo]],listaPeriodos,0)))</f>
        <v>3.2719445346749869</v>
      </c>
      <c r="F1014" s="34">
        <v>7</v>
      </c>
      <c r="G1014" s="34"/>
      <c r="H1014" s="34"/>
    </row>
    <row r="1015" spans="1:8" x14ac:dyDescent="0.3">
      <c r="B1015" s="3"/>
      <c r="C1015" s="2"/>
      <c r="D1015" s="2"/>
      <c r="E1015" s="34"/>
      <c r="F1015" s="34"/>
      <c r="G1015" s="34"/>
      <c r="H1015" s="34"/>
    </row>
    <row r="1016" spans="1:8" x14ac:dyDescent="0.3">
      <c r="A1016" t="s">
        <v>683</v>
      </c>
      <c r="B1016" s="3">
        <v>41609</v>
      </c>
      <c r="C1016" s="2" t="str">
        <f>VLOOKUP(MONTH(Tabela1[[#This Row],[Periodo]]),NUMMESES,2,FALSE)</f>
        <v>Dezembro</v>
      </c>
      <c r="D1016" s="2">
        <f>YEAR(Tabela1[[#This Row],[Periodo]])</f>
        <v>2013</v>
      </c>
      <c r="E101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4.3295823722742943</v>
      </c>
      <c r="F1016" s="34">
        <v>4</v>
      </c>
      <c r="G1016" s="34"/>
      <c r="H1016" s="34"/>
    </row>
    <row r="1017" spans="1:8" x14ac:dyDescent="0.3">
      <c r="A1017" t="s">
        <v>683</v>
      </c>
      <c r="B1017" s="3">
        <v>41974</v>
      </c>
      <c r="C1017" s="2" t="str">
        <f>VLOOKUP(MONTH(Tabela1[[#This Row],[Periodo]]),NUMMESES,2,FALSE)</f>
        <v>Dezembro</v>
      </c>
      <c r="D1017" s="2">
        <f>YEAR(Tabela1[[#This Row],[Periodo]])</f>
        <v>2014</v>
      </c>
      <c r="E101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2.5814844606253478</v>
      </c>
      <c r="F1017" s="34">
        <v>4</v>
      </c>
      <c r="G1017" s="34"/>
      <c r="H1017" s="34"/>
    </row>
    <row r="1018" spans="1:8" x14ac:dyDescent="0.3">
      <c r="A1018" t="s">
        <v>683</v>
      </c>
      <c r="B1018" s="3">
        <v>42339</v>
      </c>
      <c r="C1018" s="2" t="str">
        <f>VLOOKUP(MONTH(Tabela1[[#This Row],[Periodo]]),NUMMESES,2,FALSE)</f>
        <v>Dezembro</v>
      </c>
      <c r="D1018" s="2">
        <f>YEAR(Tabela1[[#This Row],[Periodo]])</f>
        <v>2015</v>
      </c>
      <c r="E101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3.929857212280722</v>
      </c>
      <c r="F1018" s="34">
        <v>4</v>
      </c>
      <c r="G1018" s="34"/>
      <c r="H1018" s="34"/>
    </row>
    <row r="1019" spans="1:8" x14ac:dyDescent="0.3">
      <c r="A1019" t="s">
        <v>683</v>
      </c>
      <c r="B1019" s="3">
        <v>42705</v>
      </c>
      <c r="C1019" s="2" t="str">
        <f>VLOOKUP(MONTH(Tabela1[[#This Row],[Periodo]]),NUMMESES,2,FALSE)</f>
        <v>Dezembro</v>
      </c>
      <c r="D1019" s="2">
        <f>YEAR(Tabela1[[#This Row],[Periodo]])</f>
        <v>2016</v>
      </c>
      <c r="E101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4.5947779975313301</v>
      </c>
      <c r="F1019" s="34">
        <v>4</v>
      </c>
      <c r="G1019" s="34"/>
      <c r="H1019" s="34"/>
    </row>
    <row r="1020" spans="1:8" x14ac:dyDescent="0.3">
      <c r="A1020" t="s">
        <v>683</v>
      </c>
      <c r="B1020" s="3">
        <v>43070</v>
      </c>
      <c r="C1020" s="2" t="str">
        <f>VLOOKUP(MONTH(Tabela1[[#This Row],[Periodo]]),NUMMESES,2,FALSE)</f>
        <v>Dezembro</v>
      </c>
      <c r="D1020" s="2">
        <f>YEAR(Tabela1[[#This Row],[Periodo]])</f>
        <v>2017</v>
      </c>
      <c r="E102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3.650305320170641</v>
      </c>
      <c r="F1020" s="34">
        <v>4</v>
      </c>
      <c r="G1020" s="34"/>
      <c r="H1020" s="34"/>
    </row>
    <row r="1021" spans="1:8" x14ac:dyDescent="0.3">
      <c r="A1021" t="s">
        <v>683</v>
      </c>
      <c r="B1021" s="3">
        <v>43101</v>
      </c>
      <c r="C1021" s="2" t="str">
        <f>VLOOKUP(MONTH(Tabela1[[#This Row],[Periodo]]),NUMMESES,2,FALSE)</f>
        <v>Janeiro</v>
      </c>
      <c r="D1021" s="2">
        <f>YEAR(Tabela1[[#This Row],[Periodo]])</f>
        <v>2018</v>
      </c>
      <c r="E102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4.4279417975793702</v>
      </c>
      <c r="F1021" s="34">
        <v>4</v>
      </c>
      <c r="G1021" s="34"/>
      <c r="H1021" s="34"/>
    </row>
    <row r="1022" spans="1:8" x14ac:dyDescent="0.3">
      <c r="A1022" t="s">
        <v>683</v>
      </c>
      <c r="B1022" s="3">
        <f t="shared" ref="B1022:B1117" si="13">DATE(YEAR(B1021),MONTH(B1021)+1,DAY(B1021))</f>
        <v>43132</v>
      </c>
      <c r="C1022" s="2" t="str">
        <f>VLOOKUP(MONTH(Tabela1[[#This Row],[Periodo]]),NUMMESES,2,FALSE)</f>
        <v>Fevereiro</v>
      </c>
      <c r="D1022" s="2">
        <f>YEAR(Tabela1[[#This Row],[Periodo]])</f>
        <v>2018</v>
      </c>
      <c r="E102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3.9862556777126428</v>
      </c>
      <c r="F1022" s="34">
        <v>4</v>
      </c>
      <c r="G1022" s="34"/>
      <c r="H1022" s="34"/>
    </row>
    <row r="1023" spans="1:8" x14ac:dyDescent="0.3">
      <c r="A1023" t="s">
        <v>683</v>
      </c>
      <c r="B1023" s="3">
        <f t="shared" si="13"/>
        <v>43160</v>
      </c>
      <c r="C1023" s="2" t="str">
        <f>VLOOKUP(MONTH(Tabela1[[#This Row],[Periodo]]),NUMMESES,2,FALSE)</f>
        <v>Março</v>
      </c>
      <c r="D1023" s="2">
        <f>YEAR(Tabela1[[#This Row],[Periodo]])</f>
        <v>2018</v>
      </c>
      <c r="E102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3.9770076416319267</v>
      </c>
      <c r="F1023" s="34">
        <v>4</v>
      </c>
      <c r="G1023" s="34"/>
      <c r="H1023" s="34"/>
    </row>
    <row r="1024" spans="1:8" x14ac:dyDescent="0.3">
      <c r="A1024" t="s">
        <v>683</v>
      </c>
      <c r="B1024" s="3">
        <f t="shared" si="13"/>
        <v>43191</v>
      </c>
      <c r="C1024" s="2" t="str">
        <f>VLOOKUP(MONTH(Tabela1[[#This Row],[Periodo]]),NUMMESES,2,FALSE)</f>
        <v>Abril</v>
      </c>
      <c r="D1024" s="2">
        <f>YEAR(Tabela1[[#This Row],[Periodo]])</f>
        <v>2018</v>
      </c>
      <c r="E102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2.3860810214211687</v>
      </c>
      <c r="F1024" s="34">
        <v>4</v>
      </c>
      <c r="G1024" s="34"/>
      <c r="H1024" s="34"/>
    </row>
    <row r="1025" spans="1:8" x14ac:dyDescent="0.3">
      <c r="A1025" t="s">
        <v>683</v>
      </c>
      <c r="B1025" s="3">
        <f t="shared" si="13"/>
        <v>43221</v>
      </c>
      <c r="C1025" s="2" t="str">
        <f>VLOOKUP(MONTH(Tabela1[[#This Row],[Periodo]]),NUMMESES,2,FALSE)</f>
        <v>Maio</v>
      </c>
      <c r="D1025" s="2">
        <f>YEAR(Tabela1[[#This Row],[Periodo]])</f>
        <v>2018</v>
      </c>
      <c r="E102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2.5189492189943397</v>
      </c>
      <c r="F1025" s="34">
        <v>4</v>
      </c>
      <c r="G1025" s="34"/>
      <c r="H1025" s="34"/>
    </row>
    <row r="1026" spans="1:8" x14ac:dyDescent="0.3">
      <c r="A1026" t="s">
        <v>683</v>
      </c>
      <c r="B1026" s="3">
        <f t="shared" si="13"/>
        <v>43252</v>
      </c>
      <c r="C1026" s="2" t="str">
        <f>VLOOKUP(MONTH(Tabela1[[#This Row],[Periodo]]),NUMMESES,2,FALSE)</f>
        <v>Junho</v>
      </c>
      <c r="D1026" s="2">
        <f>YEAR(Tabela1[[#This Row],[Periodo]])</f>
        <v>2018</v>
      </c>
      <c r="E102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2.3116785328783749</v>
      </c>
      <c r="F1026" s="34">
        <v>4</v>
      </c>
      <c r="G1026" s="34"/>
      <c r="H1026" s="34"/>
    </row>
    <row r="1027" spans="1:8" x14ac:dyDescent="0.3">
      <c r="A1027" t="s">
        <v>683</v>
      </c>
      <c r="B1027" s="3">
        <f t="shared" si="13"/>
        <v>43282</v>
      </c>
      <c r="C1027" s="2" t="str">
        <f>VLOOKUP(MONTH(Tabela1[[#This Row],[Periodo]]),NUMMESES,2,FALSE)</f>
        <v>Julho</v>
      </c>
      <c r="D1027" s="2">
        <f>YEAR(Tabela1[[#This Row],[Periodo]])</f>
        <v>2018</v>
      </c>
      <c r="E102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2.7798048831019528</v>
      </c>
      <c r="F1027" s="34">
        <v>4</v>
      </c>
      <c r="G1027" s="34"/>
      <c r="H1027" s="34"/>
    </row>
    <row r="1028" spans="1:8" x14ac:dyDescent="0.3">
      <c r="A1028" t="s">
        <v>683</v>
      </c>
      <c r="B1028" s="3">
        <f t="shared" si="13"/>
        <v>43313</v>
      </c>
      <c r="C1028" s="2" t="str">
        <f>VLOOKUP(MONTH(Tabela1[[#This Row],[Periodo]]),NUMMESES,2,FALSE)</f>
        <v>Agosto</v>
      </c>
      <c r="D1028" s="2">
        <f>YEAR(Tabela1[[#This Row],[Periodo]])</f>
        <v>2018</v>
      </c>
      <c r="E102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2.7130938643582452</v>
      </c>
      <c r="F1028" s="34">
        <v>4</v>
      </c>
      <c r="G1028" s="34"/>
      <c r="H1028" s="34"/>
    </row>
    <row r="1029" spans="1:8" x14ac:dyDescent="0.3">
      <c r="A1029" t="s">
        <v>683</v>
      </c>
      <c r="B1029" s="3">
        <f t="shared" si="13"/>
        <v>43344</v>
      </c>
      <c r="C1029" s="2" t="str">
        <f>VLOOKUP(MONTH(Tabela1[[#This Row],[Periodo]]),NUMMESES,2,FALSE)</f>
        <v>Setembro</v>
      </c>
      <c r="D1029" s="2">
        <f>YEAR(Tabela1[[#This Row],[Periodo]])</f>
        <v>2018</v>
      </c>
      <c r="E102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2.5740311723502138</v>
      </c>
      <c r="F1029" s="34">
        <v>4</v>
      </c>
      <c r="G1029" s="34"/>
      <c r="H1029" s="34"/>
    </row>
    <row r="1030" spans="1:8" x14ac:dyDescent="0.3">
      <c r="A1030" t="s">
        <v>683</v>
      </c>
      <c r="B1030" s="3">
        <f t="shared" si="13"/>
        <v>43374</v>
      </c>
      <c r="C1030" s="2" t="str">
        <f>VLOOKUP(MONTH(Tabela1[[#This Row],[Periodo]]),NUMMESES,2,FALSE)</f>
        <v>Outubro</v>
      </c>
      <c r="D1030" s="2">
        <f>YEAR(Tabela1[[#This Row],[Periodo]])</f>
        <v>2018</v>
      </c>
      <c r="E103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2.7804375206461702</v>
      </c>
      <c r="F1030" s="34">
        <v>4</v>
      </c>
      <c r="G1030" s="34"/>
      <c r="H1030" s="34"/>
    </row>
    <row r="1031" spans="1:8" x14ac:dyDescent="0.3">
      <c r="A1031" t="s">
        <v>683</v>
      </c>
      <c r="B1031" s="3">
        <f t="shared" si="13"/>
        <v>43405</v>
      </c>
      <c r="C1031" s="2" t="str">
        <f>VLOOKUP(MONTH(Tabela1[[#This Row],[Periodo]]),NUMMESES,2,FALSE)</f>
        <v>Novembro</v>
      </c>
      <c r="D1031" s="2">
        <f>YEAR(Tabela1[[#This Row],[Periodo]])</f>
        <v>2018</v>
      </c>
      <c r="E103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3.0983192281051033</v>
      </c>
      <c r="F1031" s="34">
        <v>4</v>
      </c>
      <c r="G1031" s="34"/>
      <c r="H1031" s="34"/>
    </row>
    <row r="1032" spans="1:8" x14ac:dyDescent="0.3">
      <c r="A1032" t="s">
        <v>683</v>
      </c>
      <c r="B1032" s="3">
        <f t="shared" si="13"/>
        <v>43435</v>
      </c>
      <c r="C1032" s="2" t="str">
        <f>VLOOKUP(MONTH(Tabela1[[#This Row],[Periodo]]),NUMMESES,2,FALSE)</f>
        <v>Dezembro</v>
      </c>
      <c r="D1032" s="2">
        <f>YEAR(Tabela1[[#This Row],[Periodo]])</f>
        <v>2018</v>
      </c>
      <c r="E103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3.3106212098084171</v>
      </c>
      <c r="F1032" s="34">
        <v>4</v>
      </c>
      <c r="G1032" s="34"/>
      <c r="H1032" s="34"/>
    </row>
    <row r="1033" spans="1:8" x14ac:dyDescent="0.3">
      <c r="A1033" t="s">
        <v>683</v>
      </c>
      <c r="B1033" s="3">
        <f t="shared" si="13"/>
        <v>43466</v>
      </c>
      <c r="C1033" s="2" t="str">
        <f>VLOOKUP(MONTH(Tabela1[[#This Row],[Periodo]]),NUMMESES,2,FALSE)</f>
        <v>Janeiro</v>
      </c>
      <c r="D1033" s="2">
        <f>YEAR(Tabela1[[#This Row],[Periodo]])</f>
        <v>2019</v>
      </c>
      <c r="E103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2.8763765613940744</v>
      </c>
      <c r="F1033" s="34">
        <v>4</v>
      </c>
      <c r="G1033" s="34"/>
      <c r="H1033" s="34"/>
    </row>
    <row r="1034" spans="1:8" x14ac:dyDescent="0.3">
      <c r="A1034" t="s">
        <v>683</v>
      </c>
      <c r="B1034" s="3">
        <f t="shared" si="13"/>
        <v>43497</v>
      </c>
      <c r="C1034" s="2" t="str">
        <f>VLOOKUP(MONTH(Tabela1[[#This Row],[Periodo]]),NUMMESES,2,FALSE)</f>
        <v>Fevereiro</v>
      </c>
      <c r="D1034" s="2">
        <f>YEAR(Tabela1[[#This Row],[Periodo]])</f>
        <v>2019</v>
      </c>
      <c r="E103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3.1023781610490815</v>
      </c>
      <c r="F1034" s="34">
        <v>4</v>
      </c>
      <c r="G1034" s="34"/>
      <c r="H1034" s="34"/>
    </row>
    <row r="1035" spans="1:8" x14ac:dyDescent="0.3">
      <c r="A1035" t="s">
        <v>683</v>
      </c>
      <c r="B1035" s="3">
        <f t="shared" si="13"/>
        <v>43525</v>
      </c>
      <c r="C1035" s="2" t="str">
        <f>VLOOKUP(MONTH(Tabela1[[#This Row],[Periodo]]),NUMMESES,2,FALSE)</f>
        <v>Março</v>
      </c>
      <c r="D1035" s="2">
        <f>YEAR(Tabela1[[#This Row],[Periodo]])</f>
        <v>2019</v>
      </c>
      <c r="E103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2.8130103277265062</v>
      </c>
      <c r="F1035" s="34">
        <v>4</v>
      </c>
      <c r="G1035" s="34"/>
      <c r="H1035" s="34"/>
    </row>
    <row r="1036" spans="1:8" x14ac:dyDescent="0.3">
      <c r="A1036" t="s">
        <v>683</v>
      </c>
      <c r="B1036" s="3">
        <f t="shared" si="13"/>
        <v>43556</v>
      </c>
      <c r="C1036" s="2" t="str">
        <f>VLOOKUP(MONTH(Tabela1[[#This Row],[Periodo]]),NUMMESES,2,FALSE)</f>
        <v>Abril</v>
      </c>
      <c r="D1036" s="2">
        <f>YEAR(Tabela1[[#This Row],[Periodo]])</f>
        <v>2019</v>
      </c>
      <c r="E103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2.5516406104389655</v>
      </c>
      <c r="F1036" s="34">
        <v>4</v>
      </c>
      <c r="G1036" s="34"/>
      <c r="H1036" s="34"/>
    </row>
    <row r="1037" spans="1:8" x14ac:dyDescent="0.3">
      <c r="A1037" t="s">
        <v>683</v>
      </c>
      <c r="B1037" s="3">
        <f t="shared" si="13"/>
        <v>43586</v>
      </c>
      <c r="C1037" s="2" t="str">
        <f>VLOOKUP(MONTH(Tabela1[[#This Row],[Periodo]]),NUMMESES,2,FALSE)</f>
        <v>Maio</v>
      </c>
      <c r="D1037" s="2">
        <f>YEAR(Tabela1[[#This Row],[Periodo]])</f>
        <v>2019</v>
      </c>
      <c r="E103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2.4622303843080258</v>
      </c>
      <c r="F1037" s="34">
        <v>4</v>
      </c>
      <c r="G1037" s="34"/>
      <c r="H1037" s="34"/>
    </row>
    <row r="1038" spans="1:8" x14ac:dyDescent="0.3">
      <c r="A1038" t="s">
        <v>683</v>
      </c>
      <c r="B1038" s="3">
        <f t="shared" si="13"/>
        <v>43617</v>
      </c>
      <c r="C1038" s="2" t="str">
        <f>VLOOKUP(MONTH(Tabela1[[#This Row],[Periodo]]),NUMMESES,2,FALSE)</f>
        <v>Junho</v>
      </c>
      <c r="D1038" s="2">
        <f>YEAR(Tabela1[[#This Row],[Periodo]])</f>
        <v>2019</v>
      </c>
      <c r="E103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2.1948571733885469</v>
      </c>
      <c r="F1038" s="34">
        <v>4</v>
      </c>
      <c r="G1038" s="34"/>
      <c r="H1038" s="34"/>
    </row>
    <row r="1039" spans="1:8" x14ac:dyDescent="0.3">
      <c r="A1039" t="s">
        <v>683</v>
      </c>
      <c r="B1039" s="3">
        <f t="shared" si="13"/>
        <v>43647</v>
      </c>
      <c r="C1039" s="2" t="str">
        <f>VLOOKUP(MONTH(Tabela1[[#This Row],[Periodo]]),NUMMESES,2,FALSE)</f>
        <v>Julho</v>
      </c>
      <c r="D1039" s="2">
        <f>YEAR(Tabela1[[#This Row],[Periodo]])</f>
        <v>2019</v>
      </c>
      <c r="E103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2.5599260305790743</v>
      </c>
      <c r="F1039" s="34">
        <v>4</v>
      </c>
      <c r="G1039" s="34"/>
      <c r="H1039" s="34"/>
    </row>
    <row r="1040" spans="1:8" x14ac:dyDescent="0.3">
      <c r="A1040" t="s">
        <v>683</v>
      </c>
      <c r="B1040" s="3">
        <f t="shared" si="13"/>
        <v>43678</v>
      </c>
      <c r="C1040" s="2" t="str">
        <f>VLOOKUP(MONTH(Tabela1[[#This Row],[Periodo]]),NUMMESES,2,FALSE)</f>
        <v>Agosto</v>
      </c>
      <c r="D1040" s="2">
        <f>YEAR(Tabela1[[#This Row],[Periodo]])</f>
        <v>2019</v>
      </c>
      <c r="E104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2.9047418575778883</v>
      </c>
      <c r="F1040" s="34">
        <v>4</v>
      </c>
      <c r="G1040" s="34"/>
      <c r="H1040" s="34"/>
    </row>
    <row r="1041" spans="1:8" x14ac:dyDescent="0.3">
      <c r="A1041" t="s">
        <v>683</v>
      </c>
      <c r="B1041" s="3">
        <f t="shared" si="13"/>
        <v>43709</v>
      </c>
      <c r="C1041" s="2" t="str">
        <f>VLOOKUP(MONTH(Tabela1[[#This Row],[Periodo]]),NUMMESES,2,FALSE)</f>
        <v>Setembro</v>
      </c>
      <c r="D1041" s="2">
        <f>YEAR(Tabela1[[#This Row],[Periodo]])</f>
        <v>2019</v>
      </c>
      <c r="E104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2.819301708211631</v>
      </c>
      <c r="F1041" s="34">
        <v>4</v>
      </c>
      <c r="G1041" s="34"/>
      <c r="H1041" s="34"/>
    </row>
    <row r="1042" spans="1:8" x14ac:dyDescent="0.3">
      <c r="A1042" t="s">
        <v>683</v>
      </c>
      <c r="B1042" s="3">
        <f t="shared" si="13"/>
        <v>43739</v>
      </c>
      <c r="C1042" s="2" t="str">
        <f>VLOOKUP(MONTH(Tabela1[[#This Row],[Periodo]]),NUMMESES,2,FALSE)</f>
        <v>Outubro</v>
      </c>
      <c r="D1042" s="2">
        <f>YEAR(Tabela1[[#This Row],[Periodo]])</f>
        <v>2019</v>
      </c>
      <c r="E104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3.1256989738709673</v>
      </c>
      <c r="F1042" s="34">
        <v>4</v>
      </c>
      <c r="G1042" s="34"/>
      <c r="H1042" s="34"/>
    </row>
    <row r="1043" spans="1:8" x14ac:dyDescent="0.3">
      <c r="A1043" t="s">
        <v>683</v>
      </c>
      <c r="B1043" s="3">
        <f t="shared" si="13"/>
        <v>43770</v>
      </c>
      <c r="C1043" s="2" t="str">
        <f>VLOOKUP(MONTH(Tabela1[[#This Row],[Periodo]]),NUMMESES,2,FALSE)</f>
        <v>Novembro</v>
      </c>
      <c r="D1043" s="2">
        <f>YEAR(Tabela1[[#This Row],[Periodo]])</f>
        <v>2019</v>
      </c>
      <c r="E104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2.925987699162298</v>
      </c>
      <c r="F1043" s="34">
        <v>4</v>
      </c>
      <c r="G1043" s="34"/>
      <c r="H1043" s="34"/>
    </row>
    <row r="1044" spans="1:8" x14ac:dyDescent="0.3">
      <c r="A1044" t="s">
        <v>683</v>
      </c>
      <c r="B1044" s="3">
        <f t="shared" si="13"/>
        <v>43800</v>
      </c>
      <c r="C1044" s="2" t="str">
        <f>VLOOKUP(MONTH(Tabela1[[#This Row],[Periodo]]),NUMMESES,2,FALSE)</f>
        <v>Dezembro</v>
      </c>
      <c r="D1044" s="2">
        <f>YEAR(Tabela1[[#This Row],[Periodo]])</f>
        <v>2019</v>
      </c>
      <c r="E104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3.2375347728589055</v>
      </c>
      <c r="F1044" s="34">
        <v>4</v>
      </c>
      <c r="G1044" s="34"/>
      <c r="H1044" s="34"/>
    </row>
    <row r="1045" spans="1:8" x14ac:dyDescent="0.3">
      <c r="A1045" t="s">
        <v>683</v>
      </c>
      <c r="B1045" s="3">
        <f t="shared" si="13"/>
        <v>43831</v>
      </c>
      <c r="C1045" s="2" t="str">
        <f>VLOOKUP(MONTH(Tabela1[[#This Row],[Periodo]]),NUMMESES,2,FALSE)</f>
        <v>Janeiro</v>
      </c>
      <c r="D1045" s="2">
        <f>YEAR(Tabela1[[#This Row],[Periodo]])</f>
        <v>2020</v>
      </c>
      <c r="E104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3.224312662245759</v>
      </c>
      <c r="F1045" s="34">
        <v>4</v>
      </c>
      <c r="G1045" s="34"/>
      <c r="H1045" s="34"/>
    </row>
    <row r="1046" spans="1:8" x14ac:dyDescent="0.3">
      <c r="A1046" t="s">
        <v>683</v>
      </c>
      <c r="B1046" s="3">
        <f t="shared" si="13"/>
        <v>43862</v>
      </c>
      <c r="C1046" s="2" t="str">
        <f>VLOOKUP(MONTH(Tabela1[[#This Row],[Periodo]]),NUMMESES,2,FALSE)</f>
        <v>Fevereiro</v>
      </c>
      <c r="D1046" s="2">
        <f>YEAR(Tabela1[[#This Row],[Periodo]])</f>
        <v>2020</v>
      </c>
      <c r="E104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2.7134869130833112</v>
      </c>
      <c r="F1046" s="34">
        <v>4</v>
      </c>
      <c r="G1046" s="34"/>
      <c r="H1046" s="34"/>
    </row>
    <row r="1047" spans="1:8" x14ac:dyDescent="0.3">
      <c r="A1047" t="s">
        <v>683</v>
      </c>
      <c r="B1047" s="3">
        <f t="shared" si="13"/>
        <v>43891</v>
      </c>
      <c r="C1047" s="2" t="str">
        <f>VLOOKUP(MONTH(Tabela1[[#This Row],[Periodo]]),NUMMESES,2,FALSE)</f>
        <v>Março</v>
      </c>
      <c r="D1047" s="2">
        <f>YEAR(Tabela1[[#This Row],[Periodo]])</f>
        <v>2020</v>
      </c>
      <c r="E104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2.7489439979686785</v>
      </c>
      <c r="F1047" s="34">
        <v>4</v>
      </c>
      <c r="G1047" s="34"/>
      <c r="H1047" s="34"/>
    </row>
    <row r="1048" spans="1:8" x14ac:dyDescent="0.3">
      <c r="A1048" t="s">
        <v>683</v>
      </c>
      <c r="B1048" s="3">
        <f t="shared" si="13"/>
        <v>43922</v>
      </c>
      <c r="C1048" s="2" t="str">
        <f>VLOOKUP(MONTH(Tabela1[[#This Row],[Periodo]]),NUMMESES,2,FALSE)</f>
        <v>Abril</v>
      </c>
      <c r="D1048" s="2">
        <f>YEAR(Tabela1[[#This Row],[Periodo]])</f>
        <v>2020</v>
      </c>
      <c r="E104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3.057310066958709</v>
      </c>
      <c r="F1048" s="34">
        <v>4</v>
      </c>
      <c r="G1048" s="34"/>
      <c r="H1048" s="34"/>
    </row>
    <row r="1049" spans="1:8" x14ac:dyDescent="0.3">
      <c r="A1049" t="s">
        <v>683</v>
      </c>
      <c r="B1049" s="3">
        <f t="shared" si="13"/>
        <v>43952</v>
      </c>
      <c r="C1049" s="2" t="str">
        <f>VLOOKUP(MONTH(Tabela1[[#This Row],[Periodo]]),NUMMESES,2,FALSE)</f>
        <v>Maio</v>
      </c>
      <c r="D1049" s="2">
        <f>YEAR(Tabela1[[#This Row],[Periodo]])</f>
        <v>2020</v>
      </c>
      <c r="E104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2.6557955573473224</v>
      </c>
      <c r="F1049" s="34">
        <v>4</v>
      </c>
      <c r="G1049" s="34"/>
      <c r="H1049" s="34"/>
    </row>
    <row r="1050" spans="1:8" x14ac:dyDescent="0.3">
      <c r="A1050" t="s">
        <v>683</v>
      </c>
      <c r="B1050" s="3">
        <f t="shared" si="13"/>
        <v>43983</v>
      </c>
      <c r="C1050" s="2" t="str">
        <f>VLOOKUP(MONTH(Tabela1[[#This Row],[Periodo]]),NUMMESES,2,FALSE)</f>
        <v>Junho</v>
      </c>
      <c r="D1050" s="2">
        <f>YEAR(Tabela1[[#This Row],[Periodo]])</f>
        <v>2020</v>
      </c>
      <c r="E105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3.0343343484389882</v>
      </c>
      <c r="F1050" s="34">
        <v>4</v>
      </c>
      <c r="G1050" s="34"/>
      <c r="H1050" s="34"/>
    </row>
    <row r="1051" spans="1:8" x14ac:dyDescent="0.3">
      <c r="A1051" t="s">
        <v>683</v>
      </c>
      <c r="B1051" s="3">
        <f>DATE(YEAR(B1050),MONTH(B1050)+1,DAY(B1050))</f>
        <v>44013</v>
      </c>
      <c r="C1051" s="2" t="str">
        <f>VLOOKUP(MONTH(Tabela1[[#This Row],[Periodo]]),NUMMESES,2,FALSE)</f>
        <v>Julho</v>
      </c>
      <c r="D1051" s="2">
        <f>YEAR(Tabela1[[#This Row],[Periodo]])</f>
        <v>2020</v>
      </c>
      <c r="E105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3.2569062667349868</v>
      </c>
      <c r="F1051" s="34">
        <v>4</v>
      </c>
      <c r="G1051" s="34"/>
      <c r="H1051" s="34"/>
    </row>
    <row r="1052" spans="1:8" x14ac:dyDescent="0.3">
      <c r="A1052" t="s">
        <v>683</v>
      </c>
      <c r="B1052" s="3">
        <f t="shared" si="13"/>
        <v>44044</v>
      </c>
      <c r="C1052" s="2" t="str">
        <f>VLOOKUP(MONTH(Tabela1[[#This Row],[Periodo]]),NUMMESES,2,FALSE)</f>
        <v>Agosto</v>
      </c>
      <c r="D1052" s="2">
        <f>YEAR(Tabela1[[#This Row],[Periodo]])</f>
        <v>2020</v>
      </c>
      <c r="E105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3.3479018530357498</v>
      </c>
      <c r="F1052" s="34">
        <v>4</v>
      </c>
      <c r="G1052" s="34"/>
      <c r="H1052" s="34"/>
    </row>
    <row r="1053" spans="1:8" x14ac:dyDescent="0.3">
      <c r="A1053" t="s">
        <v>683</v>
      </c>
      <c r="B1053" s="3">
        <f t="shared" si="13"/>
        <v>44075</v>
      </c>
      <c r="C1053" s="2" t="str">
        <f>VLOOKUP(MONTH(Tabela1[[#This Row],[Periodo]]),NUMMESES,2,FALSE)</f>
        <v>Setembro</v>
      </c>
      <c r="D1053" s="2">
        <f>YEAR(Tabela1[[#This Row],[Periodo]])</f>
        <v>2020</v>
      </c>
      <c r="E105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3.3710473805661398</v>
      </c>
      <c r="F1053" s="34">
        <v>4</v>
      </c>
      <c r="G1053" s="34"/>
      <c r="H1053" s="34"/>
    </row>
    <row r="1054" spans="1:8" x14ac:dyDescent="0.3">
      <c r="A1054" t="s">
        <v>683</v>
      </c>
      <c r="B1054" s="3">
        <f t="shared" si="13"/>
        <v>44105</v>
      </c>
      <c r="C1054" s="2" t="str">
        <f>VLOOKUP(MONTH(Tabela1[[#This Row],[Periodo]]),NUMMESES,2,FALSE)</f>
        <v>Outubro</v>
      </c>
      <c r="D1054" s="2">
        <f>YEAR(Tabela1[[#This Row],[Periodo]])</f>
        <v>2020</v>
      </c>
      <c r="E105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3.9935285925468742</v>
      </c>
      <c r="F1054" s="34">
        <v>4</v>
      </c>
      <c r="G1054" s="34"/>
      <c r="H1054" s="34"/>
    </row>
    <row r="1055" spans="1:8" x14ac:dyDescent="0.3">
      <c r="A1055" t="s">
        <v>683</v>
      </c>
      <c r="B1055" s="3">
        <f t="shared" si="13"/>
        <v>44136</v>
      </c>
      <c r="C1055" s="2" t="str">
        <f>VLOOKUP(MONTH(Tabela1[[#This Row],[Periodo]]),NUMMESES,2,FALSE)</f>
        <v>Novembro</v>
      </c>
      <c r="D1055" s="2">
        <f>YEAR(Tabela1[[#This Row],[Periodo]])</f>
        <v>2020</v>
      </c>
      <c r="E105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3.46606746428168</v>
      </c>
      <c r="F1055" s="34">
        <v>4</v>
      </c>
      <c r="G1055" s="34"/>
      <c r="H1055" s="34"/>
    </row>
    <row r="1056" spans="1:8" x14ac:dyDescent="0.3">
      <c r="A1056" t="s">
        <v>683</v>
      </c>
      <c r="B1056" s="3">
        <f t="shared" si="13"/>
        <v>44166</v>
      </c>
      <c r="C1056" s="2" t="str">
        <f>VLOOKUP(MONTH(Tabela1[[#This Row],[Periodo]]),NUMMESES,2,FALSE)</f>
        <v>Dezembro</v>
      </c>
      <c r="D1056" s="2">
        <f>YEAR(Tabela1[[#This Row],[Periodo]])</f>
        <v>2020</v>
      </c>
      <c r="E105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3.6235826831181157</v>
      </c>
      <c r="F1056" s="34">
        <v>4</v>
      </c>
      <c r="G1056" s="34"/>
      <c r="H1056" s="34"/>
    </row>
    <row r="1057" spans="1:8" x14ac:dyDescent="0.3">
      <c r="A1057" t="s">
        <v>683</v>
      </c>
      <c r="B1057" s="3">
        <f t="shared" si="13"/>
        <v>44197</v>
      </c>
      <c r="C1057" s="2" t="str">
        <f>VLOOKUP(MONTH(Tabela1[[#This Row],[Periodo]]),NUMMESES,2,FALSE)</f>
        <v>Janeiro</v>
      </c>
      <c r="D1057" s="2">
        <f>YEAR(Tabela1[[#This Row],[Periodo]])</f>
        <v>2021</v>
      </c>
      <c r="E105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3.656956932021874</v>
      </c>
      <c r="F1057" s="34">
        <v>4</v>
      </c>
      <c r="G1057" s="34"/>
      <c r="H1057" s="34"/>
    </row>
    <row r="1058" spans="1:8" x14ac:dyDescent="0.3">
      <c r="A1058" t="s">
        <v>683</v>
      </c>
      <c r="B1058" s="3">
        <f t="shared" si="13"/>
        <v>44228</v>
      </c>
      <c r="C1058" s="2" t="str">
        <f>VLOOKUP(MONTH(Tabela1[[#This Row],[Periodo]]),NUMMESES,2,FALSE)</f>
        <v>Fevereiro</v>
      </c>
      <c r="D1058" s="2">
        <f>YEAR(Tabela1[[#This Row],[Periodo]])</f>
        <v>2021</v>
      </c>
      <c r="E105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2.7976204216543747</v>
      </c>
      <c r="F1058" s="34">
        <v>4</v>
      </c>
      <c r="G1058" s="34"/>
      <c r="H1058" s="34"/>
    </row>
    <row r="1059" spans="1:8" x14ac:dyDescent="0.3">
      <c r="A1059" t="s">
        <v>683</v>
      </c>
      <c r="B1059" s="3">
        <f t="shared" si="13"/>
        <v>44256</v>
      </c>
      <c r="C1059" s="2" t="str">
        <f>VLOOKUP(MONTH(Tabela1[[#This Row],[Periodo]]),NUMMESES,2,FALSE)</f>
        <v>Março</v>
      </c>
      <c r="D1059" s="2">
        <f>YEAR(Tabela1[[#This Row],[Periodo]])</f>
        <v>2021</v>
      </c>
      <c r="E105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2.677051394312532</v>
      </c>
      <c r="F1059" s="34">
        <v>4</v>
      </c>
      <c r="G1059" s="34"/>
      <c r="H1059" s="34"/>
    </row>
    <row r="1060" spans="1:8" x14ac:dyDescent="0.3">
      <c r="A1060" t="s">
        <v>683</v>
      </c>
      <c r="B1060" s="3">
        <f t="shared" si="13"/>
        <v>44287</v>
      </c>
      <c r="C1060" s="2" t="str">
        <f>VLOOKUP(MONTH(Tabela1[[#This Row],[Periodo]]),NUMMESES,2,FALSE)</f>
        <v>Abril</v>
      </c>
      <c r="D1060" s="2">
        <f>YEAR(Tabela1[[#This Row],[Periodo]])</f>
        <v>2021</v>
      </c>
      <c r="E106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2.6563413554482032</v>
      </c>
      <c r="F1060" s="34">
        <v>4</v>
      </c>
      <c r="G1060" s="34"/>
      <c r="H1060" s="34"/>
    </row>
    <row r="1061" spans="1:8" x14ac:dyDescent="0.3">
      <c r="A1061" t="s">
        <v>683</v>
      </c>
      <c r="B1061" s="3">
        <f t="shared" si="13"/>
        <v>44317</v>
      </c>
      <c r="C1061" s="2" t="str">
        <f>VLOOKUP(MONTH(Tabela1[[#This Row],[Periodo]]),NUMMESES,2,FALSE)</f>
        <v>Maio</v>
      </c>
      <c r="D1061" s="2">
        <f>YEAR(Tabela1[[#This Row],[Periodo]])</f>
        <v>2021</v>
      </c>
      <c r="E106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2.8308934026269763</v>
      </c>
      <c r="F1061" s="34">
        <v>4</v>
      </c>
      <c r="G1061" s="34"/>
      <c r="H1061" s="34"/>
    </row>
    <row r="1062" spans="1:8" x14ac:dyDescent="0.3">
      <c r="A1062" t="s">
        <v>683</v>
      </c>
      <c r="B1062" s="3">
        <f t="shared" si="13"/>
        <v>44348</v>
      </c>
      <c r="C1062" s="2" t="str">
        <f>VLOOKUP(MONTH(Tabela1[[#This Row],[Periodo]]),NUMMESES,2,FALSE)</f>
        <v>Junho</v>
      </c>
      <c r="D1062" s="2">
        <f>YEAR(Tabela1[[#This Row],[Periodo]])</f>
        <v>2021</v>
      </c>
      <c r="E106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2.6310932595228635</v>
      </c>
      <c r="F1062" s="34">
        <v>4</v>
      </c>
      <c r="G1062" s="34"/>
      <c r="H1062" s="34"/>
    </row>
    <row r="1063" spans="1:8" x14ac:dyDescent="0.3">
      <c r="A1063" t="s">
        <v>683</v>
      </c>
      <c r="B1063" s="3">
        <f t="shared" si="13"/>
        <v>44378</v>
      </c>
      <c r="C1063" s="2" t="str">
        <f>VLOOKUP(MONTH(Tabela1[[#This Row],[Periodo]]),NUMMESES,2,FALSE)</f>
        <v>Julho</v>
      </c>
      <c r="D1063" s="2">
        <f>YEAR(Tabela1[[#This Row],[Periodo]])</f>
        <v>2021</v>
      </c>
      <c r="E106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2.9007008740591451</v>
      </c>
      <c r="F1063" s="34">
        <v>4</v>
      </c>
      <c r="G1063" s="34"/>
      <c r="H1063" s="34"/>
    </row>
    <row r="1064" spans="1:8" x14ac:dyDescent="0.3">
      <c r="A1064" t="s">
        <v>683</v>
      </c>
      <c r="B1064" s="3">
        <f t="shared" si="13"/>
        <v>44409</v>
      </c>
      <c r="C1064" s="2" t="str">
        <f>VLOOKUP(MONTH(Tabela1[[#This Row],[Periodo]]),NUMMESES,2,FALSE)</f>
        <v>Agosto</v>
      </c>
      <c r="D1064" s="2">
        <f>YEAR(Tabela1[[#This Row],[Periodo]])</f>
        <v>2021</v>
      </c>
      <c r="E106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3.1611393408752706</v>
      </c>
      <c r="F1064" s="34">
        <v>4</v>
      </c>
      <c r="G1064" s="34"/>
      <c r="H1064" s="34"/>
    </row>
    <row r="1065" spans="1:8" x14ac:dyDescent="0.3">
      <c r="A1065" t="s">
        <v>683</v>
      </c>
      <c r="B1065" s="3">
        <f t="shared" si="13"/>
        <v>44440</v>
      </c>
      <c r="C1065" s="2" t="str">
        <f>VLOOKUP(MONTH(Tabela1[[#This Row],[Periodo]]),NUMMESES,2,FALSE)</f>
        <v>Setembro</v>
      </c>
      <c r="D1065" s="2">
        <f>YEAR(Tabela1[[#This Row],[Periodo]])</f>
        <v>2021</v>
      </c>
      <c r="E106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3.1930112862412283</v>
      </c>
      <c r="F1065" s="34">
        <v>4</v>
      </c>
      <c r="G1065" s="34"/>
      <c r="H1065" s="34"/>
    </row>
    <row r="1066" spans="1:8" x14ac:dyDescent="0.3">
      <c r="A1066" t="s">
        <v>683</v>
      </c>
      <c r="B1066" s="3">
        <f t="shared" si="13"/>
        <v>44470</v>
      </c>
      <c r="C1066" s="2" t="str">
        <f>VLOOKUP(MONTH(Tabela1[[#This Row],[Periodo]]),NUMMESES,2,FALSE)</f>
        <v>Outubro</v>
      </c>
      <c r="D1066" s="2">
        <f>YEAR(Tabela1[[#This Row],[Periodo]])</f>
        <v>2021</v>
      </c>
      <c r="E106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3.1977679380109247</v>
      </c>
      <c r="F1066" s="34">
        <v>4</v>
      </c>
      <c r="G1066" s="34"/>
      <c r="H1066" s="34"/>
    </row>
    <row r="1067" spans="1:8" x14ac:dyDescent="0.3">
      <c r="A1067" t="s">
        <v>683</v>
      </c>
      <c r="B1067" s="3">
        <f t="shared" si="13"/>
        <v>44501</v>
      </c>
      <c r="C1067" s="2" t="str">
        <f>VLOOKUP(MONTH(Tabela1[[#This Row],[Periodo]]),NUMMESES,2,FALSE)</f>
        <v>Novembro</v>
      </c>
      <c r="D1067" s="2">
        <f>YEAR(Tabela1[[#This Row],[Periodo]])</f>
        <v>2021</v>
      </c>
      <c r="E106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3.4116624962844004</v>
      </c>
      <c r="F1067" s="34">
        <v>4</v>
      </c>
      <c r="G1067" s="34"/>
      <c r="H1067" s="34"/>
    </row>
    <row r="1068" spans="1:8" x14ac:dyDescent="0.3">
      <c r="A1068" t="s">
        <v>683</v>
      </c>
      <c r="B1068" s="3">
        <f t="shared" si="13"/>
        <v>44531</v>
      </c>
      <c r="C1068" s="2" t="str">
        <f>VLOOKUP(MONTH(Tabela1[[#This Row],[Periodo]]),NUMMESES,2,FALSE)</f>
        <v>Dezembro</v>
      </c>
      <c r="D1068" s="2">
        <f>YEAR(Tabela1[[#This Row],[Periodo]])</f>
        <v>2021</v>
      </c>
      <c r="E106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3.4782917310675541</v>
      </c>
      <c r="F1068" s="34">
        <v>4</v>
      </c>
      <c r="G1068" s="34"/>
      <c r="H1068" s="34"/>
    </row>
    <row r="1069" spans="1:8" x14ac:dyDescent="0.3">
      <c r="A1069" t="s">
        <v>683</v>
      </c>
      <c r="B1069" s="3">
        <f t="shared" si="13"/>
        <v>44562</v>
      </c>
      <c r="C1069" s="2" t="str">
        <f>VLOOKUP(MONTH(Tabela1[[#This Row],[Periodo]]),NUMMESES,2,FALSE)</f>
        <v>Janeiro</v>
      </c>
      <c r="D1069" s="2">
        <f>YEAR(Tabela1[[#This Row],[Periodo]])</f>
        <v>2022</v>
      </c>
      <c r="E106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3.6692833078401716</v>
      </c>
      <c r="F1069" s="34">
        <v>4</v>
      </c>
      <c r="G1069" s="34"/>
      <c r="H1069" s="34"/>
    </row>
    <row r="1070" spans="1:8" x14ac:dyDescent="0.3">
      <c r="A1070" t="s">
        <v>683</v>
      </c>
      <c r="B1070" s="3">
        <f t="shared" si="13"/>
        <v>44593</v>
      </c>
      <c r="C1070" s="2" t="str">
        <f>VLOOKUP(MONTH(Tabela1[[#This Row],[Periodo]]),NUMMESES,2,FALSE)</f>
        <v>Fevereiro</v>
      </c>
      <c r="D1070" s="2">
        <f>YEAR(Tabela1[[#This Row],[Periodo]])</f>
        <v>2022</v>
      </c>
      <c r="E107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3.3840773434262688</v>
      </c>
      <c r="F1070" s="34">
        <v>4</v>
      </c>
      <c r="G1070" s="34"/>
      <c r="H1070" s="34"/>
    </row>
    <row r="1071" spans="1:8" x14ac:dyDescent="0.3">
      <c r="A1071" t="s">
        <v>683</v>
      </c>
      <c r="B1071" s="3">
        <f t="shared" si="13"/>
        <v>44621</v>
      </c>
      <c r="C1071" s="2" t="str">
        <f>VLOOKUP(MONTH(Tabela1[[#This Row],[Periodo]]),NUMMESES,2,FALSE)</f>
        <v>Março</v>
      </c>
      <c r="D1071" s="2">
        <f>YEAR(Tabela1[[#This Row],[Periodo]])</f>
        <v>2022</v>
      </c>
      <c r="E107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3.2423281990081003</v>
      </c>
      <c r="F1071" s="34">
        <v>4</v>
      </c>
      <c r="G1071" s="34"/>
      <c r="H1071" s="34"/>
    </row>
    <row r="1072" spans="1:8" x14ac:dyDescent="0.3">
      <c r="A1072" t="s">
        <v>683</v>
      </c>
      <c r="B1072" s="3">
        <f t="shared" si="13"/>
        <v>44652</v>
      </c>
      <c r="C1072" s="2" t="str">
        <f>VLOOKUP(MONTH(Tabela1[[#This Row],[Periodo]]),NUMMESES,2,FALSE)</f>
        <v>Abril</v>
      </c>
      <c r="D1072" s="2">
        <f>YEAR(Tabela1[[#This Row],[Periodo]])</f>
        <v>2022</v>
      </c>
      <c r="E107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3.578738452390458</v>
      </c>
      <c r="F1072" s="34">
        <v>4</v>
      </c>
      <c r="G1072" s="34"/>
      <c r="H1072" s="34"/>
    </row>
    <row r="1073" spans="1:8" x14ac:dyDescent="0.3">
      <c r="A1073" t="s">
        <v>683</v>
      </c>
      <c r="B1073" s="3">
        <f t="shared" si="13"/>
        <v>44682</v>
      </c>
      <c r="C1073" s="2" t="str">
        <f>VLOOKUP(MONTH(Tabela1[[#This Row],[Periodo]]),NUMMESES,2,FALSE)</f>
        <v>Maio</v>
      </c>
      <c r="D1073" s="2">
        <f>YEAR(Tabela1[[#This Row],[Periodo]])</f>
        <v>2022</v>
      </c>
      <c r="E107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3.8077287950416956</v>
      </c>
      <c r="F1073" s="34">
        <v>4</v>
      </c>
      <c r="G1073" s="34"/>
      <c r="H1073" s="34"/>
    </row>
    <row r="1074" spans="1:8" x14ac:dyDescent="0.3">
      <c r="A1074" t="s">
        <v>683</v>
      </c>
      <c r="B1074" s="3">
        <f t="shared" si="13"/>
        <v>44713</v>
      </c>
      <c r="C1074" s="2" t="str">
        <f>VLOOKUP(MONTH(Tabela1[[#This Row],[Periodo]]),NUMMESES,2,FALSE)</f>
        <v>Junho</v>
      </c>
      <c r="D1074" s="2">
        <f>YEAR(Tabela1[[#This Row],[Periodo]])</f>
        <v>2022</v>
      </c>
      <c r="E107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3.6719001593711935</v>
      </c>
      <c r="F1074" s="34">
        <v>4</v>
      </c>
      <c r="G1074" s="34"/>
      <c r="H1074" s="34"/>
    </row>
    <row r="1075" spans="1:8" x14ac:dyDescent="0.3">
      <c r="A1075" t="s">
        <v>683</v>
      </c>
      <c r="B1075" s="3">
        <f t="shared" si="13"/>
        <v>44743</v>
      </c>
      <c r="C1075" s="2" t="str">
        <f>VLOOKUP(MONTH(Tabela1[[#This Row],[Periodo]]),NUMMESES,2,FALSE)</f>
        <v>Julho</v>
      </c>
      <c r="D1075" s="2">
        <f>YEAR(Tabela1[[#This Row],[Periodo]])</f>
        <v>2022</v>
      </c>
      <c r="E107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4.0355187687134801</v>
      </c>
      <c r="F1075" s="34">
        <v>4</v>
      </c>
      <c r="G1075" s="34"/>
      <c r="H1075" s="34"/>
    </row>
    <row r="1076" spans="1:8" x14ac:dyDescent="0.3">
      <c r="A1076" t="s">
        <v>683</v>
      </c>
      <c r="B1076" s="3">
        <f t="shared" si="13"/>
        <v>44774</v>
      </c>
      <c r="C1076" s="2" t="str">
        <f>VLOOKUP(MONTH(Tabela1[[#This Row],[Periodo]]),NUMMESES,2,FALSE)</f>
        <v>Agosto</v>
      </c>
      <c r="D1076" s="2">
        <f>YEAR(Tabela1[[#This Row],[Periodo]])</f>
        <v>2022</v>
      </c>
      <c r="E107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3.6206326351067579</v>
      </c>
      <c r="F1076" s="34">
        <v>4</v>
      </c>
      <c r="G1076" s="34"/>
      <c r="H1076" s="34"/>
    </row>
    <row r="1077" spans="1:8" x14ac:dyDescent="0.3">
      <c r="A1077" t="s">
        <v>683</v>
      </c>
      <c r="B1077" s="3">
        <f t="shared" si="13"/>
        <v>44805</v>
      </c>
      <c r="C1077" s="2" t="str">
        <f>VLOOKUP(MONTH(Tabela1[[#This Row],[Periodo]]),NUMMESES,2,FALSE)</f>
        <v>Setembro</v>
      </c>
      <c r="D1077" s="2">
        <f>YEAR(Tabela1[[#This Row],[Periodo]])</f>
        <v>2022</v>
      </c>
      <c r="E107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3.3306182630671319</v>
      </c>
      <c r="F1077" s="34">
        <v>4</v>
      </c>
      <c r="G1077" s="34"/>
      <c r="H1077" s="34"/>
    </row>
    <row r="1078" spans="1:8" x14ac:dyDescent="0.3">
      <c r="A1078" t="s">
        <v>683</v>
      </c>
      <c r="B1078" s="3">
        <f t="shared" si="13"/>
        <v>44835</v>
      </c>
      <c r="C1078" s="2" t="str">
        <f>VLOOKUP(MONTH(Tabela1[[#This Row],[Periodo]]),NUMMESES,2,FALSE)</f>
        <v>Outubro</v>
      </c>
      <c r="D1078" s="2">
        <f>YEAR(Tabela1[[#This Row],[Periodo]])</f>
        <v>2022</v>
      </c>
      <c r="E107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3.5889515533899101</v>
      </c>
      <c r="F1078" s="34">
        <v>4</v>
      </c>
      <c r="G1078" s="34"/>
      <c r="H1078" s="34"/>
    </row>
    <row r="1079" spans="1:8" x14ac:dyDescent="0.3">
      <c r="A1079" t="s">
        <v>683</v>
      </c>
      <c r="B1079" s="3">
        <f t="shared" si="13"/>
        <v>44866</v>
      </c>
      <c r="C1079" s="2" t="str">
        <f>VLOOKUP(MONTH(Tabela1[[#This Row],[Periodo]]),NUMMESES,2,FALSE)</f>
        <v>Novembro</v>
      </c>
      <c r="D1079" s="2">
        <f>YEAR(Tabela1[[#This Row],[Periodo]])</f>
        <v>2022</v>
      </c>
      <c r="E107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4.0355785133288844</v>
      </c>
      <c r="F1079" s="34">
        <v>4</v>
      </c>
      <c r="G1079" s="34"/>
      <c r="H1079" s="34"/>
    </row>
    <row r="1080" spans="1:8" x14ac:dyDescent="0.3">
      <c r="A1080" t="s">
        <v>683</v>
      </c>
      <c r="B1080" s="3">
        <f t="shared" si="13"/>
        <v>44896</v>
      </c>
      <c r="C1080" s="2" t="str">
        <f>VLOOKUP(MONTH(Tabela1[[#This Row],[Periodo]]),NUMMESES,2,FALSE)</f>
        <v>Dezembro</v>
      </c>
      <c r="D1080" s="2">
        <f>YEAR(Tabela1[[#This Row],[Periodo]])</f>
        <v>2022</v>
      </c>
      <c r="E108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4.1950148068760287</v>
      </c>
      <c r="F1080" s="34">
        <v>4</v>
      </c>
      <c r="G1080" s="34"/>
      <c r="H1080" s="34"/>
    </row>
    <row r="1081" spans="1:8" x14ac:dyDescent="0.3">
      <c r="A1081" t="s">
        <v>683</v>
      </c>
      <c r="B1081" s="3">
        <f t="shared" si="13"/>
        <v>44927</v>
      </c>
      <c r="C1081" s="2" t="str">
        <f>VLOOKUP(MONTH(Tabela1[[#This Row],[Periodo]]),NUMMESES,2,FALSE)</f>
        <v>Janeiro</v>
      </c>
      <c r="D1081" s="2">
        <f>YEAR(Tabela1[[#This Row],[Periodo]])</f>
        <v>2023</v>
      </c>
      <c r="E108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4.9635597915872562</v>
      </c>
      <c r="F1081" s="34">
        <v>4</v>
      </c>
      <c r="G1081" s="34"/>
      <c r="H1081" s="34"/>
    </row>
    <row r="1082" spans="1:8" x14ac:dyDescent="0.3">
      <c r="A1082" t="s">
        <v>683</v>
      </c>
      <c r="B1082" s="3">
        <f t="shared" si="13"/>
        <v>44958</v>
      </c>
      <c r="C1082" s="2" t="str">
        <f>VLOOKUP(MONTH(Tabela1[[#This Row],[Periodo]]),NUMMESES,2,FALSE)</f>
        <v>Fevereiro</v>
      </c>
      <c r="D1082" s="2">
        <f>YEAR(Tabela1[[#This Row],[Periodo]])</f>
        <v>2023</v>
      </c>
      <c r="E108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4.4899056126473491</v>
      </c>
      <c r="F1082" s="34">
        <v>4</v>
      </c>
      <c r="G1082" s="34"/>
      <c r="H1082" s="34"/>
    </row>
    <row r="1083" spans="1:8" x14ac:dyDescent="0.3">
      <c r="A1083" t="s">
        <v>683</v>
      </c>
      <c r="B1083" s="3">
        <f t="shared" si="13"/>
        <v>44986</v>
      </c>
      <c r="C1083" s="2" t="str">
        <f>VLOOKUP(MONTH(Tabela1[[#This Row],[Periodo]]),NUMMESES,2,FALSE)</f>
        <v>Março</v>
      </c>
      <c r="D1083" s="2">
        <f>YEAR(Tabela1[[#This Row],[Periodo]])</f>
        <v>2023</v>
      </c>
      <c r="E108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3.9721512326463517</v>
      </c>
      <c r="F1083" s="34">
        <v>4</v>
      </c>
      <c r="G1083" s="34"/>
      <c r="H1083" s="34"/>
    </row>
    <row r="1084" spans="1:8" x14ac:dyDescent="0.3">
      <c r="A1084" t="s">
        <v>683</v>
      </c>
      <c r="B1084" s="3">
        <f t="shared" si="13"/>
        <v>45017</v>
      </c>
      <c r="C1084" s="2" t="str">
        <f>VLOOKUP(MONTH(Tabela1[[#This Row],[Periodo]]),NUMMESES,2,FALSE)</f>
        <v>Abril</v>
      </c>
      <c r="D1084" s="2">
        <f>YEAR(Tabela1[[#This Row],[Periodo]])</f>
        <v>2023</v>
      </c>
      <c r="E108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4.064878308075822</v>
      </c>
      <c r="F1084" s="34">
        <v>4</v>
      </c>
      <c r="G1084" s="34"/>
      <c r="H1084" s="34"/>
    </row>
    <row r="1085" spans="1:8" x14ac:dyDescent="0.3">
      <c r="A1085" t="s">
        <v>683</v>
      </c>
      <c r="B1085" s="3">
        <f t="shared" si="13"/>
        <v>45047</v>
      </c>
      <c r="C1085" s="2" t="str">
        <f>VLOOKUP(MONTH(Tabela1[[#This Row],[Periodo]]),NUMMESES,2,FALSE)</f>
        <v>Maio</v>
      </c>
      <c r="D1085" s="2">
        <f>YEAR(Tabela1[[#This Row],[Periodo]])</f>
        <v>2023</v>
      </c>
      <c r="E108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3.451555461694618</v>
      </c>
      <c r="F1085" s="34">
        <v>4</v>
      </c>
      <c r="G1085" s="34"/>
      <c r="H1085" s="34"/>
    </row>
    <row r="1086" spans="1:8" x14ac:dyDescent="0.3">
      <c r="A1086" t="s">
        <v>683</v>
      </c>
      <c r="B1086" s="3">
        <f t="shared" si="13"/>
        <v>45078</v>
      </c>
      <c r="C1086" s="2" t="str">
        <f>VLOOKUP(MONTH(Tabela1[[#This Row],[Periodo]]),NUMMESES,2,FALSE)</f>
        <v>Junho</v>
      </c>
      <c r="D1086" s="2">
        <f>YEAR(Tabela1[[#This Row],[Periodo]])</f>
        <v>2023</v>
      </c>
      <c r="E108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3.4775641363295269</v>
      </c>
      <c r="F1086" s="34">
        <v>4</v>
      </c>
      <c r="G1086" s="34"/>
      <c r="H1086" s="34"/>
    </row>
    <row r="1087" spans="1:8" x14ac:dyDescent="0.3">
      <c r="A1087" t="s">
        <v>683</v>
      </c>
      <c r="B1087" s="3">
        <f t="shared" si="13"/>
        <v>45108</v>
      </c>
      <c r="C1087" s="2" t="str">
        <f>VLOOKUP(MONTH(Tabela1[[#This Row],[Periodo]]),NUMMESES,2,FALSE)</f>
        <v>Julho</v>
      </c>
      <c r="D1087" s="2">
        <f>YEAR(Tabela1[[#This Row],[Periodo]])</f>
        <v>2023</v>
      </c>
      <c r="E108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3.3784246946904246</v>
      </c>
      <c r="F1087" s="34">
        <v>4</v>
      </c>
      <c r="G1087" s="34"/>
      <c r="H1087" s="34"/>
    </row>
    <row r="1088" spans="1:8" x14ac:dyDescent="0.3">
      <c r="A1088" t="s">
        <v>683</v>
      </c>
      <c r="B1088" s="3">
        <f t="shared" si="13"/>
        <v>45139</v>
      </c>
      <c r="C1088" s="2" t="str">
        <f>VLOOKUP(MONTH(Tabela1[[#This Row],[Periodo]]),NUMMESES,2,FALSE)</f>
        <v>Agosto</v>
      </c>
      <c r="D1088" s="2">
        <f>YEAR(Tabela1[[#This Row],[Periodo]])</f>
        <v>2023</v>
      </c>
      <c r="E108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3.4407395634292972</v>
      </c>
      <c r="F1088" s="34">
        <v>4</v>
      </c>
      <c r="G1088" s="34"/>
      <c r="H1088" s="34"/>
    </row>
    <row r="1089" spans="1:8" x14ac:dyDescent="0.3">
      <c r="A1089" t="s">
        <v>683</v>
      </c>
      <c r="B1089" s="3">
        <f t="shared" si="13"/>
        <v>45170</v>
      </c>
      <c r="C1089" s="2" t="str">
        <f>VLOOKUP(MONTH(Tabela1[[#This Row],[Periodo]]),NUMMESES,2,FALSE)</f>
        <v>Setembro</v>
      </c>
      <c r="D1089" s="2">
        <f>YEAR(Tabela1[[#This Row],[Periodo]])</f>
        <v>2023</v>
      </c>
      <c r="E108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2.9648319473818421</v>
      </c>
      <c r="F1089" s="34">
        <v>4</v>
      </c>
      <c r="G1089" s="34"/>
      <c r="H1089" s="34"/>
    </row>
    <row r="1090" spans="1:8" x14ac:dyDescent="0.3">
      <c r="A1090" t="s">
        <v>683</v>
      </c>
      <c r="B1090" s="3">
        <f t="shared" si="13"/>
        <v>45200</v>
      </c>
      <c r="C1090" s="2" t="str">
        <f>VLOOKUP(MONTH(Tabela1[[#This Row],[Periodo]]),NUMMESES,2,FALSE)</f>
        <v>Outubro</v>
      </c>
      <c r="D1090" s="2">
        <f>YEAR(Tabela1[[#This Row],[Periodo]])</f>
        <v>2023</v>
      </c>
      <c r="E109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2.9916462340147461</v>
      </c>
      <c r="F1090" s="34">
        <v>4</v>
      </c>
      <c r="G1090" s="34"/>
      <c r="H1090" s="34"/>
    </row>
    <row r="1091" spans="1:8" x14ac:dyDescent="0.3">
      <c r="A1091" t="s">
        <v>683</v>
      </c>
      <c r="B1091" s="3">
        <f t="shared" si="13"/>
        <v>45231</v>
      </c>
      <c r="C1091" s="2" t="str">
        <f>VLOOKUP(MONTH(Tabela1[[#This Row],[Periodo]]),NUMMESES,2,FALSE)</f>
        <v>Novembro</v>
      </c>
      <c r="D1091" s="2">
        <f>YEAR(Tabela1[[#This Row],[Periodo]])</f>
        <v>2023</v>
      </c>
      <c r="E109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3.176306678915592</v>
      </c>
      <c r="F1091" s="34">
        <v>4</v>
      </c>
      <c r="G1091" s="34"/>
      <c r="H1091" s="34"/>
    </row>
    <row r="1092" spans="1:8" x14ac:dyDescent="0.3">
      <c r="A1092" t="s">
        <v>683</v>
      </c>
      <c r="B1092" s="3">
        <f t="shared" si="13"/>
        <v>45261</v>
      </c>
      <c r="C1092" s="2" t="str">
        <f>VLOOKUP(MONTH(Tabela1[[#This Row],[Periodo]]),NUMMESES,2,FALSE)</f>
        <v>Dezembro</v>
      </c>
      <c r="D1092" s="2">
        <f>YEAR(Tabela1[[#This Row],[Periodo]])</f>
        <v>2023</v>
      </c>
      <c r="E109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3.0671423826565785</v>
      </c>
      <c r="F1092" s="34">
        <v>4</v>
      </c>
      <c r="G1092" s="34"/>
      <c r="H1092" s="34"/>
    </row>
    <row r="1093" spans="1:8" x14ac:dyDescent="0.3">
      <c r="A1093" t="s">
        <v>683</v>
      </c>
      <c r="B1093" s="3">
        <f t="shared" si="13"/>
        <v>45292</v>
      </c>
      <c r="C1093" s="2" t="str">
        <f>VLOOKUP(MONTH(Tabela1[[#This Row],[Periodo]]),NUMMESES,2,FALSE)</f>
        <v>Janeiro</v>
      </c>
      <c r="D1093" s="2">
        <f>YEAR(Tabela1[[#This Row],[Periodo]])</f>
        <v>2024</v>
      </c>
      <c r="E109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3.6793164945945063</v>
      </c>
      <c r="F1093" s="34">
        <v>4</v>
      </c>
      <c r="G1093" s="34"/>
      <c r="H1093" s="34"/>
    </row>
    <row r="1094" spans="1:8" x14ac:dyDescent="0.3">
      <c r="A1094" t="s">
        <v>683</v>
      </c>
      <c r="B1094" s="3">
        <f t="shared" si="13"/>
        <v>45323</v>
      </c>
      <c r="C1094" s="2" t="str">
        <f>VLOOKUP(MONTH(Tabela1[[#This Row],[Periodo]]),NUMMESES,2,FALSE)</f>
        <v>Fevereiro</v>
      </c>
      <c r="D1094" s="2">
        <f>YEAR(Tabela1[[#This Row],[Periodo]])</f>
        <v>2024</v>
      </c>
      <c r="E109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3.3638697643874149</v>
      </c>
      <c r="F1094" s="34">
        <v>4</v>
      </c>
      <c r="G1094" s="34"/>
      <c r="H1094" s="34"/>
    </row>
    <row r="1095" spans="1:8" x14ac:dyDescent="0.3">
      <c r="A1095" t="s">
        <v>683</v>
      </c>
      <c r="B1095" s="3">
        <f t="shared" si="13"/>
        <v>45352</v>
      </c>
      <c r="C1095" s="2" t="str">
        <f>VLOOKUP(MONTH(Tabela1[[#This Row],[Periodo]]),NUMMESES,2,FALSE)</f>
        <v>Março</v>
      </c>
      <c r="D1095" s="2">
        <f>YEAR(Tabela1[[#This Row],[Periodo]])</f>
        <v>2024</v>
      </c>
      <c r="E109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2.9691129296167866</v>
      </c>
      <c r="F1095" s="34">
        <v>4</v>
      </c>
      <c r="G1095" s="34"/>
      <c r="H1095" s="34"/>
    </row>
    <row r="1096" spans="1:8" x14ac:dyDescent="0.3">
      <c r="A1096" t="s">
        <v>683</v>
      </c>
      <c r="B1096" s="3">
        <f t="shared" si="13"/>
        <v>45383</v>
      </c>
      <c r="C1096" s="2" t="str">
        <f>VLOOKUP(MONTH(Tabela1[[#This Row],[Periodo]]),NUMMESES,2,FALSE)</f>
        <v>Abril</v>
      </c>
      <c r="D1096" s="2">
        <f>YEAR(Tabela1[[#This Row],[Periodo]])</f>
        <v>2024</v>
      </c>
      <c r="E109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2.76244788433028</v>
      </c>
      <c r="F1096" s="34">
        <v>4</v>
      </c>
      <c r="G1096" s="34"/>
      <c r="H1096" s="34"/>
    </row>
    <row r="1097" spans="1:8" x14ac:dyDescent="0.3">
      <c r="A1097" t="s">
        <v>683</v>
      </c>
      <c r="B1097" s="3">
        <f t="shared" si="13"/>
        <v>45413</v>
      </c>
      <c r="C1097" s="2" t="str">
        <f>VLOOKUP(MONTH(Tabela1[[#This Row],[Periodo]]),NUMMESES,2,FALSE)</f>
        <v>Maio</v>
      </c>
      <c r="D1097" s="2">
        <f>YEAR(Tabela1[[#This Row],[Periodo]])</f>
        <v>2024</v>
      </c>
      <c r="E109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2.2501332948544257</v>
      </c>
      <c r="F1097" s="34">
        <v>4</v>
      </c>
      <c r="G1097" s="34"/>
      <c r="H1097" s="34"/>
    </row>
    <row r="1098" spans="1:8" x14ac:dyDescent="0.3">
      <c r="A1098" t="s">
        <v>683</v>
      </c>
      <c r="B1098" s="3">
        <f t="shared" si="13"/>
        <v>45444</v>
      </c>
      <c r="C1098" s="2" t="str">
        <f>VLOOKUP(MONTH(Tabela1[[#This Row],[Periodo]]),NUMMESES,2,FALSE)</f>
        <v>Junho</v>
      </c>
      <c r="D1098" s="2">
        <f>YEAR(Tabela1[[#This Row],[Periodo]])</f>
        <v>2024</v>
      </c>
      <c r="E109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2.4010114451726721</v>
      </c>
      <c r="F1098" s="34">
        <v>4</v>
      </c>
      <c r="G1098" s="34"/>
      <c r="H1098" s="34"/>
    </row>
    <row r="1099" spans="1:8" x14ac:dyDescent="0.3">
      <c r="A1099" t="s">
        <v>683</v>
      </c>
      <c r="B1099" s="3">
        <f t="shared" si="13"/>
        <v>45474</v>
      </c>
      <c r="C1099" s="2" t="str">
        <f>VLOOKUP(MONTH(Tabela1[[#This Row],[Periodo]]),NUMMESES,2,FALSE)</f>
        <v>Julho</v>
      </c>
      <c r="D1099" s="2">
        <f>YEAR(Tabela1[[#This Row],[Periodo]])</f>
        <v>2024</v>
      </c>
      <c r="E109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2.4577591555969343</v>
      </c>
      <c r="F1099" s="34">
        <v>4</v>
      </c>
      <c r="G1099" s="34"/>
      <c r="H1099" s="34"/>
    </row>
    <row r="1100" spans="1:8" x14ac:dyDescent="0.3">
      <c r="A1100" t="s">
        <v>683</v>
      </c>
      <c r="B1100" s="3">
        <f t="shared" si="13"/>
        <v>45505</v>
      </c>
      <c r="C1100" s="2" t="str">
        <f>VLOOKUP(MONTH(Tabela1[[#This Row],[Periodo]]),NUMMESES,2,FALSE)</f>
        <v>Agosto</v>
      </c>
      <c r="D1100" s="2">
        <f>YEAR(Tabela1[[#This Row],[Periodo]])</f>
        <v>2024</v>
      </c>
      <c r="E110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2.4559866569596873</v>
      </c>
      <c r="F1100" s="34">
        <v>4</v>
      </c>
      <c r="G1100" s="34"/>
      <c r="H1100" s="34"/>
    </row>
    <row r="1101" spans="1:8" x14ac:dyDescent="0.3">
      <c r="A1101" t="s">
        <v>683</v>
      </c>
      <c r="B1101" s="3">
        <f t="shared" si="13"/>
        <v>45536</v>
      </c>
      <c r="C1101" s="2" t="str">
        <f>VLOOKUP(MONTH(Tabela1[[#This Row],[Periodo]]),NUMMESES,2,FALSE)</f>
        <v>Setembro</v>
      </c>
      <c r="D1101" s="2">
        <f>YEAR(Tabela1[[#This Row],[Periodo]])</f>
        <v>2024</v>
      </c>
      <c r="E110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2.5341745573814745</v>
      </c>
      <c r="F1101" s="34">
        <v>4</v>
      </c>
      <c r="G1101" s="34"/>
      <c r="H1101" s="34"/>
    </row>
    <row r="1102" spans="1:8" x14ac:dyDescent="0.3">
      <c r="A1102" t="s">
        <v>683</v>
      </c>
      <c r="B1102" s="3">
        <f t="shared" si="13"/>
        <v>45566</v>
      </c>
      <c r="C1102" s="2" t="str">
        <f>VLOOKUP(MONTH(Tabela1[[#This Row],[Periodo]]),NUMMESES,2,FALSE)</f>
        <v>Outubro</v>
      </c>
      <c r="D1102" s="2">
        <f>YEAR(Tabela1[[#This Row],[Periodo]])</f>
        <v>2024</v>
      </c>
      <c r="E110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2.4763733541498851</v>
      </c>
      <c r="F1102" s="34">
        <v>4</v>
      </c>
      <c r="G1102" s="34"/>
      <c r="H1102" s="34"/>
    </row>
    <row r="1103" spans="1:8" x14ac:dyDescent="0.3">
      <c r="A1103" t="s">
        <v>683</v>
      </c>
      <c r="B1103" s="3">
        <f t="shared" si="13"/>
        <v>45597</v>
      </c>
      <c r="C1103" s="2" t="str">
        <f>VLOOKUP(MONTH(Tabela1[[#This Row],[Periodo]]),NUMMESES,2,FALSE)</f>
        <v>Novembro</v>
      </c>
      <c r="D1103" s="2">
        <f>YEAR(Tabela1[[#This Row],[Periodo]])</f>
        <v>2024</v>
      </c>
      <c r="E110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2.3595799754545399</v>
      </c>
      <c r="F1103" s="34">
        <v>4</v>
      </c>
      <c r="G1103" s="34"/>
      <c r="H1103" s="34"/>
    </row>
    <row r="1104" spans="1:8" x14ac:dyDescent="0.3">
      <c r="A1104" t="s">
        <v>683</v>
      </c>
      <c r="B1104" s="3">
        <f t="shared" si="13"/>
        <v>45627</v>
      </c>
      <c r="C1104" s="2" t="str">
        <f>VLOOKUP(MONTH(Tabela1[[#This Row],[Periodo]]),NUMMESES,2,FALSE)</f>
        <v>Dezembro</v>
      </c>
      <c r="D1104" s="2">
        <f>YEAR(Tabela1[[#This Row],[Periodo]])</f>
        <v>2024</v>
      </c>
      <c r="E110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2.4864339328738057</v>
      </c>
      <c r="F1104" s="34">
        <v>4</v>
      </c>
      <c r="G1104" s="34"/>
      <c r="H1104" s="34"/>
    </row>
    <row r="1105" spans="1:8" x14ac:dyDescent="0.3">
      <c r="A1105" t="s">
        <v>683</v>
      </c>
      <c r="B1105" s="3">
        <f t="shared" si="13"/>
        <v>45658</v>
      </c>
      <c r="C1105" s="2" t="str">
        <f>VLOOKUP(MONTH(Tabela1[[#This Row],[Periodo]]),NUMMESES,2,FALSE)</f>
        <v>Janeiro</v>
      </c>
      <c r="D1105" s="2">
        <f>YEAR(Tabela1[[#This Row],[Periodo]])</f>
        <v>2025</v>
      </c>
      <c r="E110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2.7380331263800288</v>
      </c>
      <c r="F1105" s="34">
        <v>4</v>
      </c>
      <c r="G1105" s="34"/>
      <c r="H1105" s="34"/>
    </row>
    <row r="1106" spans="1:8" x14ac:dyDescent="0.3">
      <c r="A1106" t="s">
        <v>683</v>
      </c>
      <c r="B1106" s="3">
        <f t="shared" si="13"/>
        <v>45689</v>
      </c>
      <c r="C1106" s="2" t="str">
        <f>VLOOKUP(MONTH(Tabela1[[#This Row],[Periodo]]),NUMMESES,2,FALSE)</f>
        <v>Fevereiro</v>
      </c>
      <c r="D1106" s="2">
        <f>YEAR(Tabela1[[#This Row],[Periodo]])</f>
        <v>2025</v>
      </c>
      <c r="E110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2.8185432568875046</v>
      </c>
      <c r="F1106" s="34">
        <v>4</v>
      </c>
      <c r="G1106" s="34"/>
      <c r="H1106" s="34"/>
    </row>
    <row r="1107" spans="1:8" x14ac:dyDescent="0.3">
      <c r="A1107" t="s">
        <v>683</v>
      </c>
      <c r="B1107" s="3">
        <f t="shared" si="13"/>
        <v>45717</v>
      </c>
      <c r="C1107" s="2" t="str">
        <f>VLOOKUP(MONTH(Tabela1[[#This Row],[Periodo]]),NUMMESES,2,FALSE)</f>
        <v>Março</v>
      </c>
      <c r="D1107" s="2">
        <f>YEAR(Tabela1[[#This Row],[Periodo]])</f>
        <v>2025</v>
      </c>
      <c r="E110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2.6575953112663875</v>
      </c>
      <c r="F1107" s="34">
        <v>4</v>
      </c>
      <c r="G1107" s="34"/>
      <c r="H1107" s="34"/>
    </row>
    <row r="1108" spans="1:8" x14ac:dyDescent="0.3">
      <c r="A1108" t="s">
        <v>683</v>
      </c>
      <c r="B1108" s="3">
        <f t="shared" si="13"/>
        <v>45748</v>
      </c>
      <c r="C1108" s="2" t="str">
        <f>VLOOKUP(MONTH(Tabela1[[#This Row],[Periodo]]),NUMMESES,2,FALSE)</f>
        <v>Abril</v>
      </c>
      <c r="D1108" s="2">
        <f>YEAR(Tabela1[[#This Row],[Periodo]])</f>
        <v>2025</v>
      </c>
      <c r="E1108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2.8958848696094286</v>
      </c>
      <c r="F1108" s="34">
        <v>4</v>
      </c>
      <c r="G1108" s="34"/>
      <c r="H1108" s="34"/>
    </row>
    <row r="1109" spans="1:8" x14ac:dyDescent="0.3">
      <c r="A1109" t="s">
        <v>683</v>
      </c>
      <c r="B1109" s="3">
        <f t="shared" si="13"/>
        <v>45778</v>
      </c>
      <c r="C1109" s="2" t="str">
        <f>VLOOKUP(MONTH(Tabela1[[#This Row],[Periodo]]),NUMMESES,2,FALSE)</f>
        <v>Maio</v>
      </c>
      <c r="D1109" s="2">
        <f>YEAR(Tabela1[[#This Row],[Periodo]])</f>
        <v>2025</v>
      </c>
      <c r="E1109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2.9991006891259682</v>
      </c>
      <c r="F1109" s="34">
        <v>4</v>
      </c>
      <c r="G1109" s="34"/>
      <c r="H1109" s="34"/>
    </row>
    <row r="1110" spans="1:8" x14ac:dyDescent="0.3">
      <c r="A1110" t="s">
        <v>683</v>
      </c>
      <c r="B1110" s="3">
        <f t="shared" si="13"/>
        <v>45809</v>
      </c>
      <c r="C1110" s="2" t="str">
        <f>VLOOKUP(MONTH(Tabela1[[#This Row],[Periodo]]),NUMMESES,2,FALSE)</f>
        <v>Junho</v>
      </c>
      <c r="D1110" s="2">
        <f>YEAR(Tabela1[[#This Row],[Periodo]])</f>
        <v>2025</v>
      </c>
      <c r="E1110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2.7501088644109237</v>
      </c>
      <c r="F1110" s="34">
        <v>4</v>
      </c>
      <c r="G1110" s="34"/>
      <c r="H1110" s="34"/>
    </row>
    <row r="1111" spans="1:8" x14ac:dyDescent="0.3">
      <c r="A1111" t="s">
        <v>683</v>
      </c>
      <c r="B1111" s="3">
        <f t="shared" si="13"/>
        <v>45839</v>
      </c>
      <c r="C1111" s="2" t="str">
        <f>VLOOKUP(MONTH(Tabela1[[#This Row],[Periodo]]),NUMMESES,2,FALSE)</f>
        <v>Julho</v>
      </c>
      <c r="D1111" s="2">
        <f>YEAR(Tabela1[[#This Row],[Periodo]])</f>
        <v>2025</v>
      </c>
      <c r="E1111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2.7693835222525456</v>
      </c>
      <c r="F1111" s="34">
        <v>4</v>
      </c>
      <c r="G1111" s="34"/>
      <c r="H1111" s="34"/>
    </row>
    <row r="1112" spans="1:8" x14ac:dyDescent="0.3">
      <c r="A1112" t="s">
        <v>683</v>
      </c>
      <c r="B1112" s="3">
        <f t="shared" si="13"/>
        <v>45870</v>
      </c>
      <c r="C1112" s="2" t="str">
        <f>VLOOKUP(MONTH(Tabela1[[#This Row],[Periodo]]),NUMMESES,2,FALSE)</f>
        <v>Agosto</v>
      </c>
      <c r="D1112" s="2">
        <f>YEAR(Tabela1[[#This Row],[Periodo]])</f>
        <v>2025</v>
      </c>
      <c r="E1112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2.8422099353267329</v>
      </c>
      <c r="F1112" s="34">
        <v>4</v>
      </c>
      <c r="G1112" s="34"/>
      <c r="H1112" s="34"/>
    </row>
    <row r="1113" spans="1:8" x14ac:dyDescent="0.3">
      <c r="A1113" t="s">
        <v>683</v>
      </c>
      <c r="B1113" s="3">
        <f t="shared" si="13"/>
        <v>45901</v>
      </c>
      <c r="C1113" s="2" t="str">
        <f>VLOOKUP(MONTH(Tabela1[[#This Row],[Periodo]]),NUMMESES,2,FALSE)</f>
        <v>Setembro</v>
      </c>
      <c r="D1113" s="2">
        <f>YEAR(Tabela1[[#This Row],[Periodo]])</f>
        <v>2025</v>
      </c>
      <c r="E1113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2.7216153901400943</v>
      </c>
      <c r="F1113" s="34">
        <v>4</v>
      </c>
      <c r="G1113" s="34"/>
      <c r="H1113" s="34"/>
    </row>
    <row r="1114" spans="1:8" x14ac:dyDescent="0.3">
      <c r="A1114" t="s">
        <v>683</v>
      </c>
      <c r="B1114" s="3">
        <f t="shared" si="13"/>
        <v>45931</v>
      </c>
      <c r="C1114" s="2" t="str">
        <f>VLOOKUP(MONTH(Tabela1[[#This Row],[Periodo]]),NUMMESES,2,FALSE)</f>
        <v>Outubro</v>
      </c>
      <c r="D1114" s="2">
        <f>YEAR(Tabela1[[#This Row],[Periodo]])</f>
        <v>2025</v>
      </c>
      <c r="E1114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2.6317337293796497</v>
      </c>
      <c r="F1114" s="34">
        <v>4</v>
      </c>
      <c r="G1114" s="34"/>
      <c r="H1114" s="34"/>
    </row>
    <row r="1115" spans="1:8" x14ac:dyDescent="0.3">
      <c r="A1115" t="s">
        <v>683</v>
      </c>
      <c r="B1115" s="3">
        <f t="shared" si="13"/>
        <v>45962</v>
      </c>
      <c r="C1115" s="2" t="str">
        <f>VLOOKUP(MONTH(Tabela1[[#This Row],[Periodo]]),NUMMESES,2,FALSE)</f>
        <v>Novembro</v>
      </c>
      <c r="D1115" s="2">
        <f>YEAR(Tabela1[[#This Row],[Periodo]])</f>
        <v>2025</v>
      </c>
      <c r="E1115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2.6744188785228999</v>
      </c>
      <c r="F1115" s="34">
        <v>4</v>
      </c>
      <c r="G1115" s="34"/>
      <c r="H1115" s="34"/>
    </row>
    <row r="1116" spans="1:8" x14ac:dyDescent="0.3">
      <c r="A1116" t="s">
        <v>683</v>
      </c>
      <c r="B1116" s="3">
        <f t="shared" si="13"/>
        <v>45992</v>
      </c>
      <c r="C1116" s="2" t="str">
        <f>VLOOKUP(MONTH(Tabela1[[#This Row],[Periodo]]),NUMMESES,2,FALSE)</f>
        <v>Dezembro</v>
      </c>
      <c r="D1116" s="2">
        <f>YEAR(Tabela1[[#This Row],[Periodo]])</f>
        <v>2025</v>
      </c>
      <c r="E1116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2.5779006763277046</v>
      </c>
      <c r="F1116" s="34">
        <v>4</v>
      </c>
      <c r="G1116" s="34"/>
      <c r="H1116" s="34"/>
    </row>
    <row r="1117" spans="1:8" x14ac:dyDescent="0.3">
      <c r="A1117" t="s">
        <v>683</v>
      </c>
      <c r="B1117" s="3">
        <f t="shared" si="13"/>
        <v>46023</v>
      </c>
      <c r="C1117" s="2" t="str">
        <f>VLOOKUP(MONTH(Tabela1[[#This Row],[Periodo]]),NUMMESES,2,FALSE)</f>
        <v>Janeiro</v>
      </c>
      <c r="D1117" s="2">
        <f>YEAR(Tabela1[[#This Row],[Periodo]])</f>
        <v>2026</v>
      </c>
      <c r="E1117" s="34">
        <f>(INDEX(TBBP[],MATCH("1.1",planoContas,0)+1,MATCH(Tabela1[[#This Row],[Periodo]],listaPeriodos,0))-INDEX(TBBP[],MATCH("1.1.1.6",planoContas,0)+1,MATCH(Tabela1[[#This Row],[Periodo]],listaPeriodos,0))-INDEX(TBBP[],MATCH("1.1.1.9",planoContas,0)+1,MATCH(Tabela1[[#This Row],[Periodo]],listaPeriodos,0)))/INDEX(TBBP[],MATCH("2.1",planoContas,0)+1,MATCH(Tabela1[[#This Row],[Periodo]],listaPeriodos,0))</f>
        <v>2.471915461936371</v>
      </c>
      <c r="F1117" s="34">
        <v>4</v>
      </c>
      <c r="G1117" s="34"/>
      <c r="H1117" s="34"/>
    </row>
    <row r="1118" spans="1:8" x14ac:dyDescent="0.3">
      <c r="B1118" s="3"/>
      <c r="C1118" s="2"/>
      <c r="D1118" s="2"/>
      <c r="E1118" s="34"/>
      <c r="F1118" s="34"/>
      <c r="G1118" s="34"/>
      <c r="H1118" s="34"/>
    </row>
    <row r="1119" spans="1:8" x14ac:dyDescent="0.3">
      <c r="A1119" t="s">
        <v>684</v>
      </c>
      <c r="B1119" s="3">
        <v>41609</v>
      </c>
      <c r="C1119" s="2" t="str">
        <f>VLOOKUP(MONTH(Tabela1[[#This Row],[Periodo]]),NUMMESES,2,FALSE)</f>
        <v>Dezembro</v>
      </c>
      <c r="D1119" s="2">
        <f>YEAR(Tabela1[[#This Row],[Periodo]])</f>
        <v>2013</v>
      </c>
      <c r="E111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4.52831422134902</v>
      </c>
      <c r="F1119" s="34"/>
      <c r="G1119" s="34"/>
      <c r="H1119" s="34"/>
    </row>
    <row r="1120" spans="1:8" x14ac:dyDescent="0.3">
      <c r="A1120" t="s">
        <v>684</v>
      </c>
      <c r="B1120" s="3">
        <v>41974</v>
      </c>
      <c r="C1120" s="2" t="str">
        <f>VLOOKUP(MONTH(Tabela1[[#This Row],[Periodo]]),NUMMESES,2,FALSE)</f>
        <v>Dezembro</v>
      </c>
      <c r="D1120" s="2">
        <f>YEAR(Tabela1[[#This Row],[Periodo]])</f>
        <v>2014</v>
      </c>
      <c r="E112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2.7267755113199987</v>
      </c>
      <c r="F1120" s="34"/>
      <c r="G1120" s="34"/>
      <c r="H1120" s="34"/>
    </row>
    <row r="1121" spans="1:8" x14ac:dyDescent="0.3">
      <c r="A1121" t="s">
        <v>684</v>
      </c>
      <c r="B1121" s="3">
        <v>42339</v>
      </c>
      <c r="C1121" s="2" t="str">
        <f>VLOOKUP(MONTH(Tabela1[[#This Row],[Periodo]]),NUMMESES,2,FALSE)</f>
        <v>Dezembro</v>
      </c>
      <c r="D1121" s="2">
        <f>YEAR(Tabela1[[#This Row],[Periodo]])</f>
        <v>2015</v>
      </c>
      <c r="E112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4.4445172226614584</v>
      </c>
      <c r="F1121" s="34"/>
      <c r="G1121" s="34"/>
      <c r="H1121" s="34"/>
    </row>
    <row r="1122" spans="1:8" x14ac:dyDescent="0.3">
      <c r="A1122" t="s">
        <v>684</v>
      </c>
      <c r="B1122" s="3">
        <v>42705</v>
      </c>
      <c r="C1122" s="2" t="str">
        <f>VLOOKUP(MONTH(Tabela1[[#This Row],[Periodo]]),NUMMESES,2,FALSE)</f>
        <v>Dezembro</v>
      </c>
      <c r="D1122" s="2">
        <f>YEAR(Tabela1[[#This Row],[Periodo]])</f>
        <v>2016</v>
      </c>
      <c r="E112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6.3427710893771572</v>
      </c>
      <c r="F1122" s="34"/>
      <c r="G1122" s="34"/>
      <c r="H1122" s="34"/>
    </row>
    <row r="1123" spans="1:8" x14ac:dyDescent="0.3">
      <c r="A1123" t="s">
        <v>684</v>
      </c>
      <c r="B1123" s="3">
        <v>43070</v>
      </c>
      <c r="C1123" s="2" t="str">
        <f>VLOOKUP(MONTH(Tabela1[[#This Row],[Periodo]]),NUMMESES,2,FALSE)</f>
        <v>Dezembro</v>
      </c>
      <c r="D1123" s="2">
        <f>YEAR(Tabela1[[#This Row],[Periodo]])</f>
        <v>2017</v>
      </c>
      <c r="E112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5.9335742087565544</v>
      </c>
      <c r="F1123" s="34"/>
      <c r="G1123" s="34"/>
      <c r="H1123" s="34"/>
    </row>
    <row r="1124" spans="1:8" x14ac:dyDescent="0.3">
      <c r="A1124" t="s">
        <v>684</v>
      </c>
      <c r="B1124" s="3">
        <v>43101</v>
      </c>
      <c r="C1124" s="2" t="str">
        <f>VLOOKUP(MONTH(Tabela1[[#This Row],[Periodo]]),NUMMESES,2,FALSE)</f>
        <v>Janeiro</v>
      </c>
      <c r="D1124" s="2">
        <f>YEAR(Tabela1[[#This Row],[Periodo]])</f>
        <v>2018</v>
      </c>
      <c r="E112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6.9511277373477318</v>
      </c>
      <c r="F1124" s="34"/>
      <c r="G1124" s="34"/>
      <c r="H1124" s="34"/>
    </row>
    <row r="1125" spans="1:8" x14ac:dyDescent="0.3">
      <c r="A1125" t="s">
        <v>684</v>
      </c>
      <c r="B1125" s="3">
        <f t="shared" ref="B1125:B1220" si="14">DATE(YEAR(B1124),MONTH(B1124)+1,DAY(B1124))</f>
        <v>43132</v>
      </c>
      <c r="C1125" s="2" t="str">
        <f>VLOOKUP(MONTH(Tabela1[[#This Row],[Periodo]]),NUMMESES,2,FALSE)</f>
        <v>Fevereiro</v>
      </c>
      <c r="D1125" s="2">
        <f>YEAR(Tabela1[[#This Row],[Periodo]])</f>
        <v>2018</v>
      </c>
      <c r="E112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6.595863990456353</v>
      </c>
      <c r="F1125" s="34"/>
      <c r="G1125" s="34"/>
      <c r="H1125" s="34"/>
    </row>
    <row r="1126" spans="1:8" x14ac:dyDescent="0.3">
      <c r="A1126" t="s">
        <v>684</v>
      </c>
      <c r="B1126" s="3">
        <f t="shared" si="14"/>
        <v>43160</v>
      </c>
      <c r="C1126" s="2" t="str">
        <f>VLOOKUP(MONTH(Tabela1[[#This Row],[Periodo]]),NUMMESES,2,FALSE)</f>
        <v>Março</v>
      </c>
      <c r="D1126" s="2">
        <f>YEAR(Tabela1[[#This Row],[Periodo]])</f>
        <v>2018</v>
      </c>
      <c r="E112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6.0802944271736097</v>
      </c>
      <c r="F1126" s="34"/>
      <c r="G1126" s="34"/>
      <c r="H1126" s="34"/>
    </row>
    <row r="1127" spans="1:8" x14ac:dyDescent="0.3">
      <c r="A1127" t="s">
        <v>684</v>
      </c>
      <c r="B1127" s="3">
        <f t="shared" si="14"/>
        <v>43191</v>
      </c>
      <c r="C1127" s="2" t="str">
        <f>VLOOKUP(MONTH(Tabela1[[#This Row],[Periodo]]),NUMMESES,2,FALSE)</f>
        <v>Abril</v>
      </c>
      <c r="D1127" s="2">
        <f>YEAR(Tabela1[[#This Row],[Periodo]])</f>
        <v>2018</v>
      </c>
      <c r="E112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2.618553041500387</v>
      </c>
      <c r="F1127" s="34"/>
      <c r="G1127" s="34"/>
      <c r="H1127" s="34"/>
    </row>
    <row r="1128" spans="1:8" x14ac:dyDescent="0.3">
      <c r="A1128" t="s">
        <v>684</v>
      </c>
      <c r="B1128" s="3">
        <f t="shared" si="14"/>
        <v>43221</v>
      </c>
      <c r="C1128" s="2" t="str">
        <f>VLOOKUP(MONTH(Tabela1[[#This Row],[Periodo]]),NUMMESES,2,FALSE)</f>
        <v>Maio</v>
      </c>
      <c r="D1128" s="2">
        <f>YEAR(Tabela1[[#This Row],[Periodo]])</f>
        <v>2018</v>
      </c>
      <c r="E112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2.8260433139353882</v>
      </c>
      <c r="F1128" s="34"/>
      <c r="G1128" s="34"/>
      <c r="H1128" s="34"/>
    </row>
    <row r="1129" spans="1:8" x14ac:dyDescent="0.3">
      <c r="A1129" t="s">
        <v>684</v>
      </c>
      <c r="B1129" s="3">
        <f t="shared" si="14"/>
        <v>43252</v>
      </c>
      <c r="C1129" s="2" t="str">
        <f>VLOOKUP(MONTH(Tabela1[[#This Row],[Periodo]]),NUMMESES,2,FALSE)</f>
        <v>Junho</v>
      </c>
      <c r="D1129" s="2">
        <f>YEAR(Tabela1[[#This Row],[Periodo]])</f>
        <v>2018</v>
      </c>
      <c r="E112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2.7124662550547098</v>
      </c>
      <c r="F1129" s="34"/>
      <c r="G1129" s="34"/>
      <c r="H1129" s="34"/>
    </row>
    <row r="1130" spans="1:8" x14ac:dyDescent="0.3">
      <c r="A1130" t="s">
        <v>684</v>
      </c>
      <c r="B1130" s="3">
        <f t="shared" si="14"/>
        <v>43282</v>
      </c>
      <c r="C1130" s="2" t="str">
        <f>VLOOKUP(MONTH(Tabela1[[#This Row],[Periodo]]),NUMMESES,2,FALSE)</f>
        <v>Julho</v>
      </c>
      <c r="D1130" s="2">
        <f>YEAR(Tabela1[[#This Row],[Periodo]])</f>
        <v>2018</v>
      </c>
      <c r="E113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2.940478034164729</v>
      </c>
      <c r="F1130" s="34"/>
      <c r="G1130" s="34"/>
      <c r="H1130" s="34"/>
    </row>
    <row r="1131" spans="1:8" x14ac:dyDescent="0.3">
      <c r="A1131" t="s">
        <v>684</v>
      </c>
      <c r="B1131" s="3">
        <f t="shared" si="14"/>
        <v>43313</v>
      </c>
      <c r="C1131" s="2" t="str">
        <f>VLOOKUP(MONTH(Tabela1[[#This Row],[Periodo]]),NUMMESES,2,FALSE)</f>
        <v>Agosto</v>
      </c>
      <c r="D1131" s="2">
        <f>YEAR(Tabela1[[#This Row],[Periodo]])</f>
        <v>2018</v>
      </c>
      <c r="E113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2.9027150725705853</v>
      </c>
      <c r="F1131" s="34"/>
      <c r="G1131" s="34"/>
      <c r="H1131" s="34"/>
    </row>
    <row r="1132" spans="1:8" x14ac:dyDescent="0.3">
      <c r="A1132" t="s">
        <v>684</v>
      </c>
      <c r="B1132" s="3">
        <f t="shared" si="14"/>
        <v>43344</v>
      </c>
      <c r="C1132" s="2" t="str">
        <f>VLOOKUP(MONTH(Tabela1[[#This Row],[Periodo]]),NUMMESES,2,FALSE)</f>
        <v>Setembro</v>
      </c>
      <c r="D1132" s="2">
        <f>YEAR(Tabela1[[#This Row],[Periodo]])</f>
        <v>2018</v>
      </c>
      <c r="E113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2.8109773311295538</v>
      </c>
      <c r="F1132" s="34"/>
      <c r="G1132" s="34"/>
      <c r="H1132" s="34"/>
    </row>
    <row r="1133" spans="1:8" x14ac:dyDescent="0.3">
      <c r="A1133" t="s">
        <v>684</v>
      </c>
      <c r="B1133" s="3">
        <f t="shared" si="14"/>
        <v>43374</v>
      </c>
      <c r="C1133" s="2" t="str">
        <f>VLOOKUP(MONTH(Tabela1[[#This Row],[Periodo]]),NUMMESES,2,FALSE)</f>
        <v>Outubro</v>
      </c>
      <c r="D1133" s="2">
        <f>YEAR(Tabela1[[#This Row],[Periodo]])</f>
        <v>2018</v>
      </c>
      <c r="E113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2.8987627562950209</v>
      </c>
      <c r="F1133" s="34"/>
      <c r="G1133" s="34"/>
      <c r="H1133" s="34"/>
    </row>
    <row r="1134" spans="1:8" x14ac:dyDescent="0.3">
      <c r="A1134" t="s">
        <v>684</v>
      </c>
      <c r="B1134" s="3">
        <f t="shared" si="14"/>
        <v>43405</v>
      </c>
      <c r="C1134" s="2" t="str">
        <f>VLOOKUP(MONTH(Tabela1[[#This Row],[Periodo]]),NUMMESES,2,FALSE)</f>
        <v>Novembro</v>
      </c>
      <c r="D1134" s="2">
        <f>YEAR(Tabela1[[#This Row],[Periodo]])</f>
        <v>2018</v>
      </c>
      <c r="E113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3.1608232553656359</v>
      </c>
      <c r="F1134" s="34"/>
      <c r="G1134" s="34"/>
      <c r="H1134" s="34"/>
    </row>
    <row r="1135" spans="1:8" x14ac:dyDescent="0.3">
      <c r="A1135" t="s">
        <v>684</v>
      </c>
      <c r="B1135" s="3">
        <f t="shared" si="14"/>
        <v>43435</v>
      </c>
      <c r="C1135" s="2" t="str">
        <f>VLOOKUP(MONTH(Tabela1[[#This Row],[Periodo]]),NUMMESES,2,FALSE)</f>
        <v>Dezembro</v>
      </c>
      <c r="D1135" s="2">
        <f>YEAR(Tabela1[[#This Row],[Periodo]])</f>
        <v>2018</v>
      </c>
      <c r="E113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3.3073506863384727</v>
      </c>
      <c r="F1135" s="34"/>
      <c r="G1135" s="34"/>
      <c r="H1135" s="34"/>
    </row>
    <row r="1136" spans="1:8" x14ac:dyDescent="0.3">
      <c r="A1136" t="s">
        <v>684</v>
      </c>
      <c r="B1136" s="3">
        <f t="shared" si="14"/>
        <v>43466</v>
      </c>
      <c r="C1136" s="2" t="str">
        <f>VLOOKUP(MONTH(Tabela1[[#This Row],[Periodo]]),NUMMESES,2,FALSE)</f>
        <v>Janeiro</v>
      </c>
      <c r="D1136" s="2">
        <f>YEAR(Tabela1[[#This Row],[Periodo]])</f>
        <v>2019</v>
      </c>
      <c r="E113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3.1157959399132134</v>
      </c>
      <c r="F1136" s="34"/>
      <c r="G1136" s="34"/>
      <c r="H1136" s="34"/>
    </row>
    <row r="1137" spans="1:8" x14ac:dyDescent="0.3">
      <c r="A1137" t="s">
        <v>684</v>
      </c>
      <c r="B1137" s="3">
        <f t="shared" si="14"/>
        <v>43497</v>
      </c>
      <c r="C1137" s="2" t="str">
        <f>VLOOKUP(MONTH(Tabela1[[#This Row],[Periodo]]),NUMMESES,2,FALSE)</f>
        <v>Fevereiro</v>
      </c>
      <c r="D1137" s="2">
        <f>YEAR(Tabela1[[#This Row],[Periodo]])</f>
        <v>2019</v>
      </c>
      <c r="E113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3.2353707925338302</v>
      </c>
      <c r="F1137" s="34"/>
      <c r="G1137" s="34"/>
      <c r="H1137" s="34"/>
    </row>
    <row r="1138" spans="1:8" x14ac:dyDescent="0.3">
      <c r="A1138" t="s">
        <v>684</v>
      </c>
      <c r="B1138" s="3">
        <f t="shared" si="14"/>
        <v>43525</v>
      </c>
      <c r="C1138" s="2" t="str">
        <f>VLOOKUP(MONTH(Tabela1[[#This Row],[Periodo]]),NUMMESES,2,FALSE)</f>
        <v>Março</v>
      </c>
      <c r="D1138" s="2">
        <f>YEAR(Tabela1[[#This Row],[Periodo]])</f>
        <v>2019</v>
      </c>
      <c r="E113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3.0712325330544497</v>
      </c>
      <c r="F1138" s="34"/>
      <c r="G1138" s="34"/>
      <c r="H1138" s="34"/>
    </row>
    <row r="1139" spans="1:8" x14ac:dyDescent="0.3">
      <c r="A1139" t="s">
        <v>684</v>
      </c>
      <c r="B1139" s="3">
        <f t="shared" si="14"/>
        <v>43556</v>
      </c>
      <c r="C1139" s="2" t="str">
        <f>VLOOKUP(MONTH(Tabela1[[#This Row],[Periodo]]),NUMMESES,2,FALSE)</f>
        <v>Abril</v>
      </c>
      <c r="D1139" s="2">
        <f>YEAR(Tabela1[[#This Row],[Periodo]])</f>
        <v>2019</v>
      </c>
      <c r="E113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3.3308184220757289</v>
      </c>
      <c r="F1139" s="34"/>
      <c r="G1139" s="34"/>
      <c r="H1139" s="34"/>
    </row>
    <row r="1140" spans="1:8" x14ac:dyDescent="0.3">
      <c r="A1140" t="s">
        <v>684</v>
      </c>
      <c r="B1140" s="3">
        <f t="shared" si="14"/>
        <v>43586</v>
      </c>
      <c r="C1140" s="2" t="str">
        <f>VLOOKUP(MONTH(Tabela1[[#This Row],[Periodo]]),NUMMESES,2,FALSE)</f>
        <v>Maio</v>
      </c>
      <c r="D1140" s="2">
        <f>YEAR(Tabela1[[#This Row],[Periodo]])</f>
        <v>2019</v>
      </c>
      <c r="E114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3.2452429935900775</v>
      </c>
      <c r="F1140" s="34"/>
      <c r="G1140" s="34"/>
      <c r="H1140" s="34"/>
    </row>
    <row r="1141" spans="1:8" x14ac:dyDescent="0.3">
      <c r="A1141" t="s">
        <v>684</v>
      </c>
      <c r="B1141" s="3">
        <f t="shared" si="14"/>
        <v>43617</v>
      </c>
      <c r="C1141" s="2" t="str">
        <f>VLOOKUP(MONTH(Tabela1[[#This Row],[Periodo]]),NUMMESES,2,FALSE)</f>
        <v>Junho</v>
      </c>
      <c r="D1141" s="2">
        <f>YEAR(Tabela1[[#This Row],[Periodo]])</f>
        <v>2019</v>
      </c>
      <c r="E114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3.1124199359771381</v>
      </c>
      <c r="F1141" s="34"/>
      <c r="G1141" s="34"/>
      <c r="H1141" s="34"/>
    </row>
    <row r="1142" spans="1:8" x14ac:dyDescent="0.3">
      <c r="A1142" t="s">
        <v>684</v>
      </c>
      <c r="B1142" s="3">
        <f t="shared" si="14"/>
        <v>43647</v>
      </c>
      <c r="C1142" s="2" t="str">
        <f>VLOOKUP(MONTH(Tabela1[[#This Row],[Periodo]]),NUMMESES,2,FALSE)</f>
        <v>Julho</v>
      </c>
      <c r="D1142" s="2">
        <f>YEAR(Tabela1[[#This Row],[Periodo]])</f>
        <v>2019</v>
      </c>
      <c r="E114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3.2012767085711724</v>
      </c>
      <c r="F1142" s="34"/>
      <c r="G1142" s="34"/>
      <c r="H1142" s="34"/>
    </row>
    <row r="1143" spans="1:8" x14ac:dyDescent="0.3">
      <c r="A1143" t="s">
        <v>684</v>
      </c>
      <c r="B1143" s="3">
        <f t="shared" si="14"/>
        <v>43678</v>
      </c>
      <c r="C1143" s="2" t="str">
        <f>VLOOKUP(MONTH(Tabela1[[#This Row],[Periodo]]),NUMMESES,2,FALSE)</f>
        <v>Agosto</v>
      </c>
      <c r="D1143" s="2">
        <f>YEAR(Tabela1[[#This Row],[Periodo]])</f>
        <v>2019</v>
      </c>
      <c r="E114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3.4714445084236405</v>
      </c>
      <c r="F1143" s="34"/>
      <c r="G1143" s="34"/>
      <c r="H1143" s="34"/>
    </row>
    <row r="1144" spans="1:8" x14ac:dyDescent="0.3">
      <c r="A1144" t="s">
        <v>684</v>
      </c>
      <c r="B1144" s="3">
        <f t="shared" si="14"/>
        <v>43709</v>
      </c>
      <c r="C1144" s="2" t="str">
        <f>VLOOKUP(MONTH(Tabela1[[#This Row],[Periodo]]),NUMMESES,2,FALSE)</f>
        <v>Setembro</v>
      </c>
      <c r="D1144" s="2">
        <f>YEAR(Tabela1[[#This Row],[Periodo]])</f>
        <v>2019</v>
      </c>
      <c r="E114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3.3720564909722217</v>
      </c>
      <c r="F1144" s="34"/>
      <c r="G1144" s="34"/>
      <c r="H1144" s="34"/>
    </row>
    <row r="1145" spans="1:8" x14ac:dyDescent="0.3">
      <c r="A1145" t="s">
        <v>684</v>
      </c>
      <c r="B1145" s="3">
        <f t="shared" si="14"/>
        <v>43739</v>
      </c>
      <c r="C1145" s="2" t="str">
        <f>VLOOKUP(MONTH(Tabela1[[#This Row],[Periodo]]),NUMMESES,2,FALSE)</f>
        <v>Outubro</v>
      </c>
      <c r="D1145" s="2">
        <f>YEAR(Tabela1[[#This Row],[Periodo]])</f>
        <v>2019</v>
      </c>
      <c r="E114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4.2474129674968522</v>
      </c>
      <c r="F1145" s="34"/>
      <c r="G1145" s="34"/>
      <c r="H1145" s="34"/>
    </row>
    <row r="1146" spans="1:8" x14ac:dyDescent="0.3">
      <c r="A1146" t="s">
        <v>684</v>
      </c>
      <c r="B1146" s="3">
        <f t="shared" si="14"/>
        <v>43770</v>
      </c>
      <c r="C1146" s="2" t="str">
        <f>VLOOKUP(MONTH(Tabela1[[#This Row],[Periodo]]),NUMMESES,2,FALSE)</f>
        <v>Novembro</v>
      </c>
      <c r="D1146" s="2">
        <f>YEAR(Tabela1[[#This Row],[Periodo]])</f>
        <v>2019</v>
      </c>
      <c r="E114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4.0374096176801713</v>
      </c>
      <c r="F1146" s="34"/>
      <c r="G1146" s="34"/>
      <c r="H1146" s="34"/>
    </row>
    <row r="1147" spans="1:8" x14ac:dyDescent="0.3">
      <c r="A1147" t="s">
        <v>684</v>
      </c>
      <c r="B1147" s="3">
        <f t="shared" si="14"/>
        <v>43800</v>
      </c>
      <c r="C1147" s="2" t="str">
        <f>VLOOKUP(MONTH(Tabela1[[#This Row],[Periodo]]),NUMMESES,2,FALSE)</f>
        <v>Dezembro</v>
      </c>
      <c r="D1147" s="2">
        <f>YEAR(Tabela1[[#This Row],[Periodo]])</f>
        <v>2019</v>
      </c>
      <c r="E114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4.5202532654305578</v>
      </c>
      <c r="F1147" s="34"/>
      <c r="G1147" s="34"/>
      <c r="H1147" s="34"/>
    </row>
    <row r="1148" spans="1:8" x14ac:dyDescent="0.3">
      <c r="A1148" t="s">
        <v>684</v>
      </c>
      <c r="B1148" s="3">
        <f t="shared" si="14"/>
        <v>43831</v>
      </c>
      <c r="C1148" s="2" t="str">
        <f>VLOOKUP(MONTH(Tabela1[[#This Row],[Periodo]]),NUMMESES,2,FALSE)</f>
        <v>Janeiro</v>
      </c>
      <c r="D1148" s="2">
        <f>YEAR(Tabela1[[#This Row],[Periodo]])</f>
        <v>2020</v>
      </c>
      <c r="E114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4.5222877570050741</v>
      </c>
      <c r="F1148" s="34"/>
      <c r="G1148" s="34"/>
      <c r="H1148" s="34"/>
    </row>
    <row r="1149" spans="1:8" x14ac:dyDescent="0.3">
      <c r="A1149" t="s">
        <v>684</v>
      </c>
      <c r="B1149" s="3">
        <f t="shared" si="14"/>
        <v>43862</v>
      </c>
      <c r="C1149" s="2" t="str">
        <f>VLOOKUP(MONTH(Tabela1[[#This Row],[Periodo]]),NUMMESES,2,FALSE)</f>
        <v>Fevereiro</v>
      </c>
      <c r="D1149" s="2">
        <f>YEAR(Tabela1[[#This Row],[Periodo]])</f>
        <v>2020</v>
      </c>
      <c r="E114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3.6762619210610517</v>
      </c>
      <c r="F1149" s="34"/>
      <c r="G1149" s="34"/>
      <c r="H1149" s="34"/>
    </row>
    <row r="1150" spans="1:8" x14ac:dyDescent="0.3">
      <c r="A1150" t="s">
        <v>684</v>
      </c>
      <c r="B1150" s="3">
        <f t="shared" si="14"/>
        <v>43891</v>
      </c>
      <c r="C1150" s="2" t="str">
        <f>VLOOKUP(MONTH(Tabela1[[#This Row],[Periodo]]),NUMMESES,2,FALSE)</f>
        <v>Março</v>
      </c>
      <c r="D1150" s="2">
        <f>YEAR(Tabela1[[#This Row],[Periodo]])</f>
        <v>2020</v>
      </c>
      <c r="E115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3.9750759152195672</v>
      </c>
      <c r="F1150" s="34"/>
      <c r="G1150" s="34"/>
      <c r="H1150" s="34"/>
    </row>
    <row r="1151" spans="1:8" x14ac:dyDescent="0.3">
      <c r="A1151" t="s">
        <v>684</v>
      </c>
      <c r="B1151" s="3">
        <f t="shared" si="14"/>
        <v>43922</v>
      </c>
      <c r="C1151" s="2" t="str">
        <f>VLOOKUP(MONTH(Tabela1[[#This Row],[Periodo]]),NUMMESES,2,FALSE)</f>
        <v>Abril</v>
      </c>
      <c r="D1151" s="2">
        <f>YEAR(Tabela1[[#This Row],[Periodo]])</f>
        <v>2020</v>
      </c>
      <c r="E115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4.4930554975436419</v>
      </c>
      <c r="F1151" s="34"/>
      <c r="G1151" s="34"/>
      <c r="H1151" s="34"/>
    </row>
    <row r="1152" spans="1:8" x14ac:dyDescent="0.3">
      <c r="A1152" t="s">
        <v>684</v>
      </c>
      <c r="B1152" s="3">
        <f t="shared" si="14"/>
        <v>43952</v>
      </c>
      <c r="C1152" s="2" t="str">
        <f>VLOOKUP(MONTH(Tabela1[[#This Row],[Periodo]]),NUMMESES,2,FALSE)</f>
        <v>Maio</v>
      </c>
      <c r="D1152" s="2">
        <f>YEAR(Tabela1[[#This Row],[Periodo]])</f>
        <v>2020</v>
      </c>
      <c r="E115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4.0832909818898759</v>
      </c>
      <c r="F1152" s="34"/>
      <c r="G1152" s="34"/>
      <c r="H1152" s="34"/>
    </row>
    <row r="1153" spans="1:8" x14ac:dyDescent="0.3">
      <c r="A1153" t="s">
        <v>684</v>
      </c>
      <c r="B1153" s="3">
        <f>DATE(YEAR(B1152),MONTH(B1152)+1,DAY(B1152))</f>
        <v>43983</v>
      </c>
      <c r="C1153" s="2" t="str">
        <f>VLOOKUP(MONTH(Tabela1[[#This Row],[Periodo]]),NUMMESES,2,FALSE)</f>
        <v>Junho</v>
      </c>
      <c r="D1153" s="2">
        <f>YEAR(Tabela1[[#This Row],[Periodo]])</f>
        <v>2020</v>
      </c>
      <c r="E115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4.1982144952677478</v>
      </c>
      <c r="F1153" s="34"/>
      <c r="G1153" s="34"/>
      <c r="H1153" s="34"/>
    </row>
    <row r="1154" spans="1:8" x14ac:dyDescent="0.3">
      <c r="A1154" t="s">
        <v>684</v>
      </c>
      <c r="B1154" s="3">
        <f t="shared" si="14"/>
        <v>44013</v>
      </c>
      <c r="C1154" s="2" t="str">
        <f>VLOOKUP(MONTH(Tabela1[[#This Row],[Periodo]]),NUMMESES,2,FALSE)</f>
        <v>Julho</v>
      </c>
      <c r="D1154" s="2">
        <f>YEAR(Tabela1[[#This Row],[Periodo]])</f>
        <v>2020</v>
      </c>
      <c r="E115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4.4084708062216</v>
      </c>
      <c r="F1154" s="34"/>
      <c r="G1154" s="34"/>
      <c r="H1154" s="34"/>
    </row>
    <row r="1155" spans="1:8" x14ac:dyDescent="0.3">
      <c r="A1155" t="s">
        <v>684</v>
      </c>
      <c r="B1155" s="3">
        <f t="shared" si="14"/>
        <v>44044</v>
      </c>
      <c r="C1155" s="2" t="str">
        <f>VLOOKUP(MONTH(Tabela1[[#This Row],[Periodo]]),NUMMESES,2,FALSE)</f>
        <v>Agosto</v>
      </c>
      <c r="D1155" s="2">
        <f>YEAR(Tabela1[[#This Row],[Periodo]])</f>
        <v>2020</v>
      </c>
      <c r="E115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3.7613532080925962</v>
      </c>
      <c r="F1155" s="34"/>
      <c r="G1155" s="34"/>
      <c r="H1155" s="34"/>
    </row>
    <row r="1156" spans="1:8" x14ac:dyDescent="0.3">
      <c r="A1156" t="s">
        <v>684</v>
      </c>
      <c r="B1156" s="3">
        <f t="shared" si="14"/>
        <v>44075</v>
      </c>
      <c r="C1156" s="2" t="str">
        <f>VLOOKUP(MONTH(Tabela1[[#This Row],[Periodo]]),NUMMESES,2,FALSE)</f>
        <v>Setembro</v>
      </c>
      <c r="D1156" s="2">
        <f>YEAR(Tabela1[[#This Row],[Periodo]])</f>
        <v>2020</v>
      </c>
      <c r="E115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3.8314952385321939</v>
      </c>
      <c r="F1156" s="34"/>
      <c r="G1156" s="34"/>
      <c r="H1156" s="34"/>
    </row>
    <row r="1157" spans="1:8" x14ac:dyDescent="0.3">
      <c r="A1157" t="s">
        <v>684</v>
      </c>
      <c r="B1157" s="3">
        <f t="shared" si="14"/>
        <v>44105</v>
      </c>
      <c r="C1157" s="2" t="str">
        <f>VLOOKUP(MONTH(Tabela1[[#This Row],[Periodo]]),NUMMESES,2,FALSE)</f>
        <v>Outubro</v>
      </c>
      <c r="D1157" s="2">
        <f>YEAR(Tabela1[[#This Row],[Periodo]])</f>
        <v>2020</v>
      </c>
      <c r="E115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4.4532041466983161</v>
      </c>
      <c r="F1157" s="34"/>
      <c r="G1157" s="34"/>
      <c r="H1157" s="34"/>
    </row>
    <row r="1158" spans="1:8" x14ac:dyDescent="0.3">
      <c r="A1158" t="s">
        <v>684</v>
      </c>
      <c r="B1158" s="3">
        <f t="shared" si="14"/>
        <v>44136</v>
      </c>
      <c r="C1158" s="2" t="str">
        <f>VLOOKUP(MONTH(Tabela1[[#This Row],[Periodo]]),NUMMESES,2,FALSE)</f>
        <v>Novembro</v>
      </c>
      <c r="D1158" s="2">
        <f>YEAR(Tabela1[[#This Row],[Periodo]])</f>
        <v>2020</v>
      </c>
      <c r="E115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4.0949613806674829</v>
      </c>
      <c r="F1158" s="34"/>
      <c r="G1158" s="34"/>
      <c r="H1158" s="34"/>
    </row>
    <row r="1159" spans="1:8" x14ac:dyDescent="0.3">
      <c r="A1159" t="s">
        <v>684</v>
      </c>
      <c r="B1159" s="3">
        <f t="shared" si="14"/>
        <v>44166</v>
      </c>
      <c r="C1159" s="2" t="str">
        <f>VLOOKUP(MONTH(Tabela1[[#This Row],[Periodo]]),NUMMESES,2,FALSE)</f>
        <v>Dezembro</v>
      </c>
      <c r="D1159" s="2">
        <f>YEAR(Tabela1[[#This Row],[Periodo]])</f>
        <v>2020</v>
      </c>
      <c r="E115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3.6665916505664082</v>
      </c>
      <c r="F1159" s="34"/>
      <c r="G1159" s="34"/>
      <c r="H1159" s="34"/>
    </row>
    <row r="1160" spans="1:8" x14ac:dyDescent="0.3">
      <c r="A1160" t="s">
        <v>684</v>
      </c>
      <c r="B1160" s="3">
        <f t="shared" si="14"/>
        <v>44197</v>
      </c>
      <c r="C1160" s="2" t="str">
        <f>VLOOKUP(MONTH(Tabela1[[#This Row],[Periodo]]),NUMMESES,2,FALSE)</f>
        <v>Janeiro</v>
      </c>
      <c r="D1160" s="2">
        <f>YEAR(Tabela1[[#This Row],[Periodo]])</f>
        <v>2021</v>
      </c>
      <c r="E116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3.9003798630801922</v>
      </c>
      <c r="F1160" s="34"/>
      <c r="G1160" s="34"/>
      <c r="H1160" s="34"/>
    </row>
    <row r="1161" spans="1:8" x14ac:dyDescent="0.3">
      <c r="A1161" t="s">
        <v>684</v>
      </c>
      <c r="B1161" s="3">
        <f t="shared" si="14"/>
        <v>44228</v>
      </c>
      <c r="C1161" s="2" t="str">
        <f>VLOOKUP(MONTH(Tabela1[[#This Row],[Periodo]]),NUMMESES,2,FALSE)</f>
        <v>Fevereiro</v>
      </c>
      <c r="D1161" s="2">
        <f>YEAR(Tabela1[[#This Row],[Periodo]])</f>
        <v>2021</v>
      </c>
      <c r="E116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3.2926448353402007</v>
      </c>
      <c r="F1161" s="34"/>
      <c r="G1161" s="34"/>
      <c r="H1161" s="34"/>
    </row>
    <row r="1162" spans="1:8" x14ac:dyDescent="0.3">
      <c r="A1162" t="s">
        <v>684</v>
      </c>
      <c r="B1162" s="3">
        <f t="shared" si="14"/>
        <v>44256</v>
      </c>
      <c r="C1162" s="2" t="str">
        <f>VLOOKUP(MONTH(Tabela1[[#This Row],[Periodo]]),NUMMESES,2,FALSE)</f>
        <v>Março</v>
      </c>
      <c r="D1162" s="2">
        <f>YEAR(Tabela1[[#This Row],[Periodo]])</f>
        <v>2021</v>
      </c>
      <c r="E116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3.2129656496699019</v>
      </c>
      <c r="F1162" s="34"/>
      <c r="G1162" s="34"/>
      <c r="H1162" s="34"/>
    </row>
    <row r="1163" spans="1:8" x14ac:dyDescent="0.3">
      <c r="A1163" t="s">
        <v>684</v>
      </c>
      <c r="B1163" s="3">
        <f t="shared" si="14"/>
        <v>44287</v>
      </c>
      <c r="C1163" s="2" t="str">
        <f>VLOOKUP(MONTH(Tabela1[[#This Row],[Periodo]]),NUMMESES,2,FALSE)</f>
        <v>Abril</v>
      </c>
      <c r="D1163" s="2">
        <f>YEAR(Tabela1[[#This Row],[Periodo]])</f>
        <v>2021</v>
      </c>
      <c r="E116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3.3631735781959069</v>
      </c>
      <c r="F1163" s="34"/>
      <c r="G1163" s="34"/>
      <c r="H1163" s="34"/>
    </row>
    <row r="1164" spans="1:8" x14ac:dyDescent="0.3">
      <c r="A1164" t="s">
        <v>684</v>
      </c>
      <c r="B1164" s="3">
        <f t="shared" si="14"/>
        <v>44317</v>
      </c>
      <c r="C1164" s="2" t="str">
        <f>VLOOKUP(MONTH(Tabela1[[#This Row],[Periodo]]),NUMMESES,2,FALSE)</f>
        <v>Maio</v>
      </c>
      <c r="D1164" s="2">
        <f>YEAR(Tabela1[[#This Row],[Periodo]])</f>
        <v>2021</v>
      </c>
      <c r="E116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3.4226626005059182</v>
      </c>
      <c r="F1164" s="34"/>
      <c r="G1164" s="34"/>
      <c r="H1164" s="34"/>
    </row>
    <row r="1165" spans="1:8" x14ac:dyDescent="0.3">
      <c r="A1165" t="s">
        <v>684</v>
      </c>
      <c r="B1165" s="3">
        <f t="shared" si="14"/>
        <v>44348</v>
      </c>
      <c r="C1165" s="2" t="str">
        <f>VLOOKUP(MONTH(Tabela1[[#This Row],[Periodo]]),NUMMESES,2,FALSE)</f>
        <v>Junho</v>
      </c>
      <c r="D1165" s="2">
        <f>YEAR(Tabela1[[#This Row],[Periodo]])</f>
        <v>2021</v>
      </c>
      <c r="E116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3.2349453507953485</v>
      </c>
      <c r="F1165" s="34"/>
      <c r="G1165" s="34"/>
      <c r="H1165" s="34"/>
    </row>
    <row r="1166" spans="1:8" x14ac:dyDescent="0.3">
      <c r="A1166" t="s">
        <v>684</v>
      </c>
      <c r="B1166" s="3">
        <f t="shared" si="14"/>
        <v>44378</v>
      </c>
      <c r="C1166" s="2" t="str">
        <f>VLOOKUP(MONTH(Tabela1[[#This Row],[Periodo]]),NUMMESES,2,FALSE)</f>
        <v>Julho</v>
      </c>
      <c r="D1166" s="2">
        <f>YEAR(Tabela1[[#This Row],[Periodo]])</f>
        <v>2021</v>
      </c>
      <c r="E116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3.5089025470164206</v>
      </c>
      <c r="F1166" s="34"/>
      <c r="G1166" s="34"/>
      <c r="H1166" s="34"/>
    </row>
    <row r="1167" spans="1:8" x14ac:dyDescent="0.3">
      <c r="A1167" t="s">
        <v>684</v>
      </c>
      <c r="B1167" s="3">
        <f t="shared" si="14"/>
        <v>44409</v>
      </c>
      <c r="C1167" s="2" t="str">
        <f>VLOOKUP(MONTH(Tabela1[[#This Row],[Periodo]]),NUMMESES,2,FALSE)</f>
        <v>Agosto</v>
      </c>
      <c r="D1167" s="2">
        <f>YEAR(Tabela1[[#This Row],[Periodo]])</f>
        <v>2021</v>
      </c>
      <c r="E116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3.8992195237212801</v>
      </c>
      <c r="F1167" s="34"/>
      <c r="G1167" s="34"/>
      <c r="H1167" s="34"/>
    </row>
    <row r="1168" spans="1:8" x14ac:dyDescent="0.3">
      <c r="A1168" t="s">
        <v>684</v>
      </c>
      <c r="B1168" s="3">
        <f t="shared" si="14"/>
        <v>44440</v>
      </c>
      <c r="C1168" s="2" t="str">
        <f>VLOOKUP(MONTH(Tabela1[[#This Row],[Periodo]]),NUMMESES,2,FALSE)</f>
        <v>Setembro</v>
      </c>
      <c r="D1168" s="2">
        <f>YEAR(Tabela1[[#This Row],[Periodo]])</f>
        <v>2021</v>
      </c>
      <c r="E116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4.0997790121149702</v>
      </c>
      <c r="F1168" s="34"/>
      <c r="G1168" s="34"/>
      <c r="H1168" s="34"/>
    </row>
    <row r="1169" spans="1:8" x14ac:dyDescent="0.3">
      <c r="A1169" t="s">
        <v>684</v>
      </c>
      <c r="B1169" s="3">
        <f t="shared" si="14"/>
        <v>44470</v>
      </c>
      <c r="C1169" s="2" t="str">
        <f>VLOOKUP(MONTH(Tabela1[[#This Row],[Periodo]]),NUMMESES,2,FALSE)</f>
        <v>Outubro</v>
      </c>
      <c r="D1169" s="2">
        <f>YEAR(Tabela1[[#This Row],[Periodo]])</f>
        <v>2021</v>
      </c>
      <c r="E116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4.2044595239424254</v>
      </c>
      <c r="F1169" s="34"/>
      <c r="G1169" s="34"/>
      <c r="H1169" s="34"/>
    </row>
    <row r="1170" spans="1:8" x14ac:dyDescent="0.3">
      <c r="A1170" t="s">
        <v>684</v>
      </c>
      <c r="B1170" s="3">
        <f t="shared" si="14"/>
        <v>44501</v>
      </c>
      <c r="C1170" s="2" t="str">
        <f>VLOOKUP(MONTH(Tabela1[[#This Row],[Periodo]]),NUMMESES,2,FALSE)</f>
        <v>Novembro</v>
      </c>
      <c r="D1170" s="2">
        <f>YEAR(Tabela1[[#This Row],[Periodo]])</f>
        <v>2021</v>
      </c>
      <c r="E117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4.4344153696981703</v>
      </c>
      <c r="F1170" s="34"/>
      <c r="G1170" s="34"/>
      <c r="H1170" s="34"/>
    </row>
    <row r="1171" spans="1:8" x14ac:dyDescent="0.3">
      <c r="A1171" t="s">
        <v>684</v>
      </c>
      <c r="B1171" s="3">
        <f t="shared" si="14"/>
        <v>44531</v>
      </c>
      <c r="C1171" s="2" t="str">
        <f>VLOOKUP(MONTH(Tabela1[[#This Row],[Periodo]]),NUMMESES,2,FALSE)</f>
        <v>Dezembro</v>
      </c>
      <c r="D1171" s="2">
        <f>YEAR(Tabela1[[#This Row],[Periodo]])</f>
        <v>2021</v>
      </c>
      <c r="E117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4.5339808161101693</v>
      </c>
      <c r="F1171" s="34"/>
      <c r="G1171" s="34"/>
      <c r="H1171" s="34"/>
    </row>
    <row r="1172" spans="1:8" x14ac:dyDescent="0.3">
      <c r="A1172" t="s">
        <v>684</v>
      </c>
      <c r="B1172" s="3">
        <f t="shared" si="14"/>
        <v>44562</v>
      </c>
      <c r="C1172" s="2" t="str">
        <f>VLOOKUP(MONTH(Tabela1[[#This Row],[Periodo]]),NUMMESES,2,FALSE)</f>
        <v>Janeiro</v>
      </c>
      <c r="D1172" s="2">
        <f>YEAR(Tabela1[[#This Row],[Periodo]])</f>
        <v>2022</v>
      </c>
      <c r="E117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4.8253889999762469</v>
      </c>
      <c r="F1172" s="34"/>
      <c r="G1172" s="34"/>
      <c r="H1172" s="34"/>
    </row>
    <row r="1173" spans="1:8" x14ac:dyDescent="0.3">
      <c r="A1173" t="s">
        <v>684</v>
      </c>
      <c r="B1173" s="3">
        <f t="shared" si="14"/>
        <v>44593</v>
      </c>
      <c r="C1173" s="2" t="str">
        <f>VLOOKUP(MONTH(Tabela1[[#This Row],[Periodo]]),NUMMESES,2,FALSE)</f>
        <v>Fevereiro</v>
      </c>
      <c r="D1173" s="2">
        <f>YEAR(Tabela1[[#This Row],[Periodo]])</f>
        <v>2022</v>
      </c>
      <c r="E117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4.5274840494850972</v>
      </c>
      <c r="F1173" s="34"/>
      <c r="G1173" s="34"/>
      <c r="H1173" s="34"/>
    </row>
    <row r="1174" spans="1:8" x14ac:dyDescent="0.3">
      <c r="A1174" t="s">
        <v>684</v>
      </c>
      <c r="B1174" s="3">
        <f t="shared" si="14"/>
        <v>44621</v>
      </c>
      <c r="C1174" s="2" t="str">
        <f>VLOOKUP(MONTH(Tabela1[[#This Row],[Periodo]]),NUMMESES,2,FALSE)</f>
        <v>Março</v>
      </c>
      <c r="D1174" s="2">
        <f>YEAR(Tabela1[[#This Row],[Periodo]])</f>
        <v>2022</v>
      </c>
      <c r="E117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4.2834563054164123</v>
      </c>
      <c r="F1174" s="34"/>
      <c r="G1174" s="34"/>
      <c r="H1174" s="34"/>
    </row>
    <row r="1175" spans="1:8" x14ac:dyDescent="0.3">
      <c r="A1175" t="s">
        <v>684</v>
      </c>
      <c r="B1175" s="3">
        <f t="shared" si="14"/>
        <v>44652</v>
      </c>
      <c r="C1175" s="2" t="str">
        <f>VLOOKUP(MONTH(Tabela1[[#This Row],[Periodo]]),NUMMESES,2,FALSE)</f>
        <v>Abril</v>
      </c>
      <c r="D1175" s="2">
        <f>YEAR(Tabela1[[#This Row],[Periodo]])</f>
        <v>2022</v>
      </c>
      <c r="E117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4.6943977488197497</v>
      </c>
      <c r="F1175" s="34"/>
      <c r="G1175" s="34"/>
      <c r="H1175" s="34"/>
    </row>
    <row r="1176" spans="1:8" x14ac:dyDescent="0.3">
      <c r="A1176" t="s">
        <v>684</v>
      </c>
      <c r="B1176" s="3">
        <f t="shared" si="14"/>
        <v>44682</v>
      </c>
      <c r="C1176" s="2" t="str">
        <f>VLOOKUP(MONTH(Tabela1[[#This Row],[Periodo]]),NUMMESES,2,FALSE)</f>
        <v>Maio</v>
      </c>
      <c r="D1176" s="2">
        <f>YEAR(Tabela1[[#This Row],[Periodo]])</f>
        <v>2022</v>
      </c>
      <c r="E117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4.9569921134700268</v>
      </c>
      <c r="F1176" s="34"/>
      <c r="G1176" s="34"/>
      <c r="H1176" s="34"/>
    </row>
    <row r="1177" spans="1:8" x14ac:dyDescent="0.3">
      <c r="A1177" t="s">
        <v>684</v>
      </c>
      <c r="B1177" s="3">
        <f t="shared" si="14"/>
        <v>44713</v>
      </c>
      <c r="C1177" s="2" t="str">
        <f>VLOOKUP(MONTH(Tabela1[[#This Row],[Periodo]]),NUMMESES,2,FALSE)</f>
        <v>Junho</v>
      </c>
      <c r="D1177" s="2">
        <f>YEAR(Tabela1[[#This Row],[Periodo]])</f>
        <v>2022</v>
      </c>
      <c r="E117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4.8961181973072385</v>
      </c>
      <c r="F1177" s="34"/>
      <c r="G1177" s="34"/>
      <c r="H1177" s="34"/>
    </row>
    <row r="1178" spans="1:8" x14ac:dyDescent="0.3">
      <c r="A1178" t="s">
        <v>684</v>
      </c>
      <c r="B1178" s="3">
        <f t="shared" si="14"/>
        <v>44743</v>
      </c>
      <c r="C1178" s="2" t="str">
        <f>VLOOKUP(MONTH(Tabela1[[#This Row],[Periodo]]),NUMMESES,2,FALSE)</f>
        <v>Julho</v>
      </c>
      <c r="D1178" s="2">
        <f>YEAR(Tabela1[[#This Row],[Periodo]])</f>
        <v>2022</v>
      </c>
      <c r="E117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5.0614068942435519</v>
      </c>
      <c r="F1178" s="34"/>
      <c r="G1178" s="34"/>
      <c r="H1178" s="34"/>
    </row>
    <row r="1179" spans="1:8" x14ac:dyDescent="0.3">
      <c r="A1179" t="s">
        <v>684</v>
      </c>
      <c r="B1179" s="3">
        <f t="shared" si="14"/>
        <v>44774</v>
      </c>
      <c r="C1179" s="2" t="str">
        <f>VLOOKUP(MONTH(Tabela1[[#This Row],[Periodo]]),NUMMESES,2,FALSE)</f>
        <v>Agosto</v>
      </c>
      <c r="D1179" s="2">
        <f>YEAR(Tabela1[[#This Row],[Periodo]])</f>
        <v>2022</v>
      </c>
      <c r="E117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4.6900575370645567</v>
      </c>
      <c r="F1179" s="34"/>
      <c r="G1179" s="34"/>
      <c r="H1179" s="34"/>
    </row>
    <row r="1180" spans="1:8" x14ac:dyDescent="0.3">
      <c r="A1180" t="s">
        <v>684</v>
      </c>
      <c r="B1180" s="3">
        <f t="shared" si="14"/>
        <v>44805</v>
      </c>
      <c r="C1180" s="2" t="str">
        <f>VLOOKUP(MONTH(Tabela1[[#This Row],[Periodo]]),NUMMESES,2,FALSE)</f>
        <v>Setembro</v>
      </c>
      <c r="D1180" s="2">
        <f>YEAR(Tabela1[[#This Row],[Periodo]])</f>
        <v>2022</v>
      </c>
      <c r="E118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4.4380450831349672</v>
      </c>
      <c r="F1180" s="34"/>
      <c r="G1180" s="34"/>
      <c r="H1180" s="34"/>
    </row>
    <row r="1181" spans="1:8" x14ac:dyDescent="0.3">
      <c r="A1181" t="s">
        <v>684</v>
      </c>
      <c r="B1181" s="3">
        <f t="shared" si="14"/>
        <v>44835</v>
      </c>
      <c r="C1181" s="2" t="str">
        <f>VLOOKUP(MONTH(Tabela1[[#This Row],[Periodo]]),NUMMESES,2,FALSE)</f>
        <v>Outubro</v>
      </c>
      <c r="D1181" s="2">
        <f>YEAR(Tabela1[[#This Row],[Periodo]])</f>
        <v>2022</v>
      </c>
      <c r="E118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4.9788384323662784</v>
      </c>
      <c r="F1181" s="34"/>
      <c r="G1181" s="34"/>
      <c r="H1181" s="34"/>
    </row>
    <row r="1182" spans="1:8" x14ac:dyDescent="0.3">
      <c r="A1182" t="s">
        <v>684</v>
      </c>
      <c r="B1182" s="3">
        <f t="shared" si="14"/>
        <v>44866</v>
      </c>
      <c r="C1182" s="2" t="str">
        <f>VLOOKUP(MONTH(Tabela1[[#This Row],[Periodo]]),NUMMESES,2,FALSE)</f>
        <v>Novembro</v>
      </c>
      <c r="D1182" s="2">
        <f>YEAR(Tabela1[[#This Row],[Periodo]])</f>
        <v>2022</v>
      </c>
      <c r="E118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5.3194432425285143</v>
      </c>
      <c r="F1182" s="34"/>
      <c r="G1182" s="34"/>
      <c r="H1182" s="34"/>
    </row>
    <row r="1183" spans="1:8" x14ac:dyDescent="0.3">
      <c r="A1183" t="s">
        <v>684</v>
      </c>
      <c r="B1183" s="3">
        <f t="shared" si="14"/>
        <v>44896</v>
      </c>
      <c r="C1183" s="2" t="str">
        <f>VLOOKUP(MONTH(Tabela1[[#This Row],[Periodo]]),NUMMESES,2,FALSE)</f>
        <v>Dezembro</v>
      </c>
      <c r="D1183" s="2">
        <f>YEAR(Tabela1[[#This Row],[Periodo]])</f>
        <v>2022</v>
      </c>
      <c r="E118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5.6810070643916974</v>
      </c>
      <c r="F1183" s="34"/>
      <c r="G1183" s="34"/>
      <c r="H1183" s="34"/>
    </row>
    <row r="1184" spans="1:8" x14ac:dyDescent="0.3">
      <c r="A1184" t="s">
        <v>684</v>
      </c>
      <c r="B1184" s="3">
        <f t="shared" si="14"/>
        <v>44927</v>
      </c>
      <c r="C1184" s="2" t="str">
        <f>VLOOKUP(MONTH(Tabela1[[#This Row],[Periodo]]),NUMMESES,2,FALSE)</f>
        <v>Janeiro</v>
      </c>
      <c r="D1184" s="2">
        <f>YEAR(Tabela1[[#This Row],[Periodo]])</f>
        <v>2023</v>
      </c>
      <c r="E118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6.8497587816284593</v>
      </c>
      <c r="F1184" s="34"/>
      <c r="G1184" s="34"/>
      <c r="H1184" s="34"/>
    </row>
    <row r="1185" spans="1:8" x14ac:dyDescent="0.3">
      <c r="A1185" t="s">
        <v>684</v>
      </c>
      <c r="B1185" s="3">
        <f t="shared" si="14"/>
        <v>44958</v>
      </c>
      <c r="C1185" s="2" t="str">
        <f>VLOOKUP(MONTH(Tabela1[[#This Row],[Periodo]]),NUMMESES,2,FALSE)</f>
        <v>Fevereiro</v>
      </c>
      <c r="D1185" s="2">
        <f>YEAR(Tabela1[[#This Row],[Periodo]])</f>
        <v>2023</v>
      </c>
      <c r="E118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6.2876028377384321</v>
      </c>
      <c r="F1185" s="34"/>
      <c r="G1185" s="34"/>
      <c r="H1185" s="34"/>
    </row>
    <row r="1186" spans="1:8" x14ac:dyDescent="0.3">
      <c r="A1186" t="s">
        <v>684</v>
      </c>
      <c r="B1186" s="3">
        <f t="shared" si="14"/>
        <v>44986</v>
      </c>
      <c r="C1186" s="2" t="str">
        <f>VLOOKUP(MONTH(Tabela1[[#This Row],[Periodo]]),NUMMESES,2,FALSE)</f>
        <v>Março</v>
      </c>
      <c r="D1186" s="2">
        <f>YEAR(Tabela1[[#This Row],[Periodo]])</f>
        <v>2023</v>
      </c>
      <c r="E118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5.5345138682937671</v>
      </c>
      <c r="F1186" s="34"/>
      <c r="G1186" s="34"/>
      <c r="H1186" s="34"/>
    </row>
    <row r="1187" spans="1:8" x14ac:dyDescent="0.3">
      <c r="A1187" t="s">
        <v>684</v>
      </c>
      <c r="B1187" s="3">
        <f t="shared" si="14"/>
        <v>45017</v>
      </c>
      <c r="C1187" s="2" t="str">
        <f>VLOOKUP(MONTH(Tabela1[[#This Row],[Periodo]]),NUMMESES,2,FALSE)</f>
        <v>Abril</v>
      </c>
      <c r="D1187" s="2">
        <f>YEAR(Tabela1[[#This Row],[Periodo]])</f>
        <v>2023</v>
      </c>
      <c r="E118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5.6494327196103047</v>
      </c>
      <c r="F1187" s="34"/>
      <c r="G1187" s="34"/>
      <c r="H1187" s="34"/>
    </row>
    <row r="1188" spans="1:8" x14ac:dyDescent="0.3">
      <c r="A1188" t="s">
        <v>684</v>
      </c>
      <c r="B1188" s="3">
        <f t="shared" si="14"/>
        <v>45047</v>
      </c>
      <c r="C1188" s="2" t="str">
        <f>VLOOKUP(MONTH(Tabela1[[#This Row],[Periodo]]),NUMMESES,2,FALSE)</f>
        <v>Maio</v>
      </c>
      <c r="D1188" s="2">
        <f>YEAR(Tabela1[[#This Row],[Periodo]])</f>
        <v>2023</v>
      </c>
      <c r="E118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4.771315486830801</v>
      </c>
      <c r="F1188" s="34"/>
      <c r="G1188" s="34"/>
      <c r="H1188" s="34"/>
    </row>
    <row r="1189" spans="1:8" x14ac:dyDescent="0.3">
      <c r="A1189" t="s">
        <v>684</v>
      </c>
      <c r="B1189" s="3">
        <f t="shared" si="14"/>
        <v>45078</v>
      </c>
      <c r="C1189" s="2" t="str">
        <f>VLOOKUP(MONTH(Tabela1[[#This Row],[Periodo]]),NUMMESES,2,FALSE)</f>
        <v>Junho</v>
      </c>
      <c r="D1189" s="2">
        <f>YEAR(Tabela1[[#This Row],[Periodo]])</f>
        <v>2023</v>
      </c>
      <c r="E118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4.72488819255768</v>
      </c>
      <c r="F1189" s="34"/>
      <c r="G1189" s="34"/>
      <c r="H1189" s="34"/>
    </row>
    <row r="1190" spans="1:8" x14ac:dyDescent="0.3">
      <c r="A1190" t="s">
        <v>684</v>
      </c>
      <c r="B1190" s="3">
        <f t="shared" si="14"/>
        <v>45108</v>
      </c>
      <c r="C1190" s="2" t="str">
        <f>VLOOKUP(MONTH(Tabela1[[#This Row],[Periodo]]),NUMMESES,2,FALSE)</f>
        <v>Julho</v>
      </c>
      <c r="D1190" s="2">
        <f>YEAR(Tabela1[[#This Row],[Periodo]])</f>
        <v>2023</v>
      </c>
      <c r="E119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4.6142403194080215</v>
      </c>
      <c r="F1190" s="34"/>
      <c r="G1190" s="34"/>
      <c r="H1190" s="34"/>
    </row>
    <row r="1191" spans="1:8" x14ac:dyDescent="0.3">
      <c r="A1191" t="s">
        <v>684</v>
      </c>
      <c r="B1191" s="3">
        <f t="shared" si="14"/>
        <v>45139</v>
      </c>
      <c r="C1191" s="2" t="str">
        <f>VLOOKUP(MONTH(Tabela1[[#This Row],[Periodo]]),NUMMESES,2,FALSE)</f>
        <v>Agosto</v>
      </c>
      <c r="D1191" s="2">
        <f>YEAR(Tabela1[[#This Row],[Periodo]])</f>
        <v>2023</v>
      </c>
      <c r="E119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4.5569855688868293</v>
      </c>
      <c r="F1191" s="34"/>
      <c r="G1191" s="34"/>
      <c r="H1191" s="34"/>
    </row>
    <row r="1192" spans="1:8" x14ac:dyDescent="0.3">
      <c r="A1192" t="s">
        <v>684</v>
      </c>
      <c r="B1192" s="3">
        <f t="shared" si="14"/>
        <v>45170</v>
      </c>
      <c r="C1192" s="2" t="str">
        <f>VLOOKUP(MONTH(Tabela1[[#This Row],[Periodo]]),NUMMESES,2,FALSE)</f>
        <v>Setembro</v>
      </c>
      <c r="D1192" s="2">
        <f>YEAR(Tabela1[[#This Row],[Periodo]])</f>
        <v>2023</v>
      </c>
      <c r="E119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3.9105628964623937</v>
      </c>
      <c r="F1192" s="34"/>
      <c r="G1192" s="34"/>
      <c r="H1192" s="34"/>
    </row>
    <row r="1193" spans="1:8" x14ac:dyDescent="0.3">
      <c r="A1193" t="s">
        <v>684</v>
      </c>
      <c r="B1193" s="3">
        <f t="shared" si="14"/>
        <v>45200</v>
      </c>
      <c r="C1193" s="2" t="str">
        <f>VLOOKUP(MONTH(Tabela1[[#This Row],[Periodo]]),NUMMESES,2,FALSE)</f>
        <v>Outubro</v>
      </c>
      <c r="D1193" s="2">
        <f>YEAR(Tabela1[[#This Row],[Periodo]])</f>
        <v>2023</v>
      </c>
      <c r="E119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3.9120018027984984</v>
      </c>
      <c r="F1193" s="34"/>
      <c r="G1193" s="34"/>
      <c r="H1193" s="34"/>
    </row>
    <row r="1194" spans="1:8" x14ac:dyDescent="0.3">
      <c r="A1194" t="s">
        <v>684</v>
      </c>
      <c r="B1194" s="3">
        <f t="shared" si="14"/>
        <v>45231</v>
      </c>
      <c r="C1194" s="2" t="str">
        <f>VLOOKUP(MONTH(Tabela1[[#This Row],[Periodo]]),NUMMESES,2,FALSE)</f>
        <v>Novembro</v>
      </c>
      <c r="D1194" s="2">
        <f>YEAR(Tabela1[[#This Row],[Periodo]])</f>
        <v>2023</v>
      </c>
      <c r="E119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4.0140721573366234</v>
      </c>
      <c r="F1194" s="34"/>
      <c r="G1194" s="34"/>
      <c r="H1194" s="34"/>
    </row>
    <row r="1195" spans="1:8" x14ac:dyDescent="0.3">
      <c r="A1195" t="s">
        <v>684</v>
      </c>
      <c r="B1195" s="3">
        <f t="shared" si="14"/>
        <v>45261</v>
      </c>
      <c r="C1195" s="2" t="str">
        <f>VLOOKUP(MONTH(Tabela1[[#This Row],[Periodo]]),NUMMESES,2,FALSE)</f>
        <v>Dezembro</v>
      </c>
      <c r="D1195" s="2">
        <f>YEAR(Tabela1[[#This Row],[Periodo]])</f>
        <v>2023</v>
      </c>
      <c r="E119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4.1440340638500111</v>
      </c>
      <c r="F1195" s="34"/>
      <c r="G1195" s="34"/>
      <c r="H1195" s="34"/>
    </row>
    <row r="1196" spans="1:8" x14ac:dyDescent="0.3">
      <c r="A1196" t="s">
        <v>684</v>
      </c>
      <c r="B1196" s="3">
        <f t="shared" si="14"/>
        <v>45292</v>
      </c>
      <c r="C1196" s="2" t="str">
        <f>VLOOKUP(MONTH(Tabela1[[#This Row],[Periodo]]),NUMMESES,2,FALSE)</f>
        <v>Janeiro</v>
      </c>
      <c r="D1196" s="2">
        <f>YEAR(Tabela1[[#This Row],[Periodo]])</f>
        <v>2024</v>
      </c>
      <c r="E119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5.0478997707346895</v>
      </c>
      <c r="F1196" s="34"/>
      <c r="G1196" s="34"/>
      <c r="H1196" s="34"/>
    </row>
    <row r="1197" spans="1:8" x14ac:dyDescent="0.3">
      <c r="A1197" t="s">
        <v>684</v>
      </c>
      <c r="B1197" s="3">
        <f t="shared" si="14"/>
        <v>45323</v>
      </c>
      <c r="C1197" s="2" t="str">
        <f>VLOOKUP(MONTH(Tabela1[[#This Row],[Periodo]]),NUMMESES,2,FALSE)</f>
        <v>Fevereiro</v>
      </c>
      <c r="D1197" s="2">
        <f>YEAR(Tabela1[[#This Row],[Periodo]])</f>
        <v>2024</v>
      </c>
      <c r="E119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4.4363011284272895</v>
      </c>
      <c r="F1197" s="34"/>
      <c r="G1197" s="34"/>
      <c r="H1197" s="34"/>
    </row>
    <row r="1198" spans="1:8" x14ac:dyDescent="0.3">
      <c r="A1198" t="s">
        <v>684</v>
      </c>
      <c r="B1198" s="3">
        <f t="shared" si="14"/>
        <v>45352</v>
      </c>
      <c r="C1198" s="2" t="str">
        <f>VLOOKUP(MONTH(Tabela1[[#This Row],[Periodo]]),NUMMESES,2,FALSE)</f>
        <v>Março</v>
      </c>
      <c r="D1198" s="2">
        <f>YEAR(Tabela1[[#This Row],[Periodo]])</f>
        <v>2024</v>
      </c>
      <c r="E119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3.7368923105065779</v>
      </c>
      <c r="F1198" s="34"/>
      <c r="G1198" s="34"/>
      <c r="H1198" s="34"/>
    </row>
    <row r="1199" spans="1:8" x14ac:dyDescent="0.3">
      <c r="A1199" t="s">
        <v>684</v>
      </c>
      <c r="B1199" s="3">
        <f t="shared" si="14"/>
        <v>45383</v>
      </c>
      <c r="C1199" s="2" t="str">
        <f>VLOOKUP(MONTH(Tabela1[[#This Row],[Periodo]]),NUMMESES,2,FALSE)</f>
        <v>Abril</v>
      </c>
      <c r="D1199" s="2">
        <f>YEAR(Tabela1[[#This Row],[Periodo]])</f>
        <v>2024</v>
      </c>
      <c r="E119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3.4261620907977002</v>
      </c>
      <c r="F1199" s="34"/>
      <c r="G1199" s="34"/>
      <c r="H1199" s="34"/>
    </row>
    <row r="1200" spans="1:8" x14ac:dyDescent="0.3">
      <c r="A1200" t="s">
        <v>684</v>
      </c>
      <c r="B1200" s="3">
        <f t="shared" si="14"/>
        <v>45413</v>
      </c>
      <c r="C1200" s="2" t="str">
        <f>VLOOKUP(MONTH(Tabela1[[#This Row],[Periodo]]),NUMMESES,2,FALSE)</f>
        <v>Maio</v>
      </c>
      <c r="D1200" s="2">
        <f>YEAR(Tabela1[[#This Row],[Periodo]])</f>
        <v>2024</v>
      </c>
      <c r="E120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2.8700590678886813</v>
      </c>
      <c r="F1200" s="34"/>
      <c r="G1200" s="34"/>
      <c r="H1200" s="34"/>
    </row>
    <row r="1201" spans="1:8" x14ac:dyDescent="0.3">
      <c r="A1201" t="s">
        <v>684</v>
      </c>
      <c r="B1201" s="3">
        <f t="shared" si="14"/>
        <v>45444</v>
      </c>
      <c r="C1201" s="2" t="str">
        <f>VLOOKUP(MONTH(Tabela1[[#This Row],[Periodo]]),NUMMESES,2,FALSE)</f>
        <v>Junho</v>
      </c>
      <c r="D1201" s="2">
        <f>YEAR(Tabela1[[#This Row],[Periodo]])</f>
        <v>2024</v>
      </c>
      <c r="E120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2.830756420732353</v>
      </c>
      <c r="F1201" s="34"/>
      <c r="G1201" s="34"/>
      <c r="H1201" s="34"/>
    </row>
    <row r="1202" spans="1:8" x14ac:dyDescent="0.3">
      <c r="A1202" t="s">
        <v>684</v>
      </c>
      <c r="B1202" s="3">
        <f t="shared" si="14"/>
        <v>45474</v>
      </c>
      <c r="C1202" s="2" t="str">
        <f>VLOOKUP(MONTH(Tabela1[[#This Row],[Periodo]]),NUMMESES,2,FALSE)</f>
        <v>Julho</v>
      </c>
      <c r="D1202" s="2">
        <f>YEAR(Tabela1[[#This Row],[Periodo]])</f>
        <v>2024</v>
      </c>
      <c r="E120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2.3237268672908828</v>
      </c>
      <c r="F1202" s="34"/>
      <c r="G1202" s="34"/>
      <c r="H1202" s="34"/>
    </row>
    <row r="1203" spans="1:8" x14ac:dyDescent="0.3">
      <c r="A1203" t="s">
        <v>684</v>
      </c>
      <c r="B1203" s="3">
        <f t="shared" si="14"/>
        <v>45505</v>
      </c>
      <c r="C1203" s="2" t="str">
        <f>VLOOKUP(MONTH(Tabela1[[#This Row],[Periodo]]),NUMMESES,2,FALSE)</f>
        <v>Agosto</v>
      </c>
      <c r="D1203" s="2">
        <f>YEAR(Tabela1[[#This Row],[Periodo]])</f>
        <v>2024</v>
      </c>
      <c r="E120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2.3304864853790881</v>
      </c>
      <c r="F1203" s="34"/>
      <c r="G1203" s="34"/>
      <c r="H1203" s="34"/>
    </row>
    <row r="1204" spans="1:8" x14ac:dyDescent="0.3">
      <c r="A1204" t="s">
        <v>684</v>
      </c>
      <c r="B1204" s="3">
        <f t="shared" si="14"/>
        <v>45536</v>
      </c>
      <c r="C1204" s="2" t="str">
        <f>VLOOKUP(MONTH(Tabela1[[#This Row],[Periodo]]),NUMMESES,2,FALSE)</f>
        <v>Setembro</v>
      </c>
      <c r="D1204" s="2">
        <f>YEAR(Tabela1[[#This Row],[Periodo]])</f>
        <v>2024</v>
      </c>
      <c r="E120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2.3747090305803242</v>
      </c>
      <c r="F1204" s="34"/>
      <c r="G1204" s="34"/>
      <c r="H1204" s="34"/>
    </row>
    <row r="1205" spans="1:8" x14ac:dyDescent="0.3">
      <c r="A1205" t="s">
        <v>684</v>
      </c>
      <c r="B1205" s="3">
        <f t="shared" si="14"/>
        <v>45566</v>
      </c>
      <c r="C1205" s="2" t="str">
        <f>VLOOKUP(MONTH(Tabela1[[#This Row],[Periodo]]),NUMMESES,2,FALSE)</f>
        <v>Outubro</v>
      </c>
      <c r="D1205" s="2">
        <f>YEAR(Tabela1[[#This Row],[Periodo]])</f>
        <v>2024</v>
      </c>
      <c r="E120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2.365518236413549</v>
      </c>
      <c r="F1205" s="34"/>
      <c r="G1205" s="34"/>
      <c r="H1205" s="34"/>
    </row>
    <row r="1206" spans="1:8" x14ac:dyDescent="0.3">
      <c r="A1206" t="s">
        <v>684</v>
      </c>
      <c r="B1206" s="3">
        <f t="shared" si="14"/>
        <v>45597</v>
      </c>
      <c r="C1206" s="2" t="str">
        <f>VLOOKUP(MONTH(Tabela1[[#This Row],[Periodo]]),NUMMESES,2,FALSE)</f>
        <v>Novembro</v>
      </c>
      <c r="D1206" s="2">
        <f>YEAR(Tabela1[[#This Row],[Periodo]])</f>
        <v>2024</v>
      </c>
      <c r="E120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2.2806297948296268</v>
      </c>
      <c r="F1206" s="34"/>
      <c r="G1206" s="34"/>
      <c r="H1206" s="34"/>
    </row>
    <row r="1207" spans="1:8" x14ac:dyDescent="0.3">
      <c r="A1207" t="s">
        <v>684</v>
      </c>
      <c r="B1207" s="3">
        <f t="shared" si="14"/>
        <v>45627</v>
      </c>
      <c r="C1207" s="2" t="str">
        <f>VLOOKUP(MONTH(Tabela1[[#This Row],[Periodo]]),NUMMESES,2,FALSE)</f>
        <v>Dezembro</v>
      </c>
      <c r="D1207" s="2">
        <f>YEAR(Tabela1[[#This Row],[Periodo]])</f>
        <v>2024</v>
      </c>
      <c r="E120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2.3362578393041051</v>
      </c>
      <c r="F1207" s="34"/>
      <c r="G1207" s="34"/>
      <c r="H1207" s="34"/>
    </row>
    <row r="1208" spans="1:8" x14ac:dyDescent="0.3">
      <c r="A1208" t="s">
        <v>684</v>
      </c>
      <c r="B1208" s="3">
        <f t="shared" si="14"/>
        <v>45658</v>
      </c>
      <c r="C1208" s="2" t="str">
        <f>VLOOKUP(MONTH(Tabela1[[#This Row],[Periodo]]),NUMMESES,2,FALSE)</f>
        <v>Janeiro</v>
      </c>
      <c r="D1208" s="2">
        <f>YEAR(Tabela1[[#This Row],[Periodo]])</f>
        <v>2025</v>
      </c>
      <c r="E120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2.5265358345502178</v>
      </c>
      <c r="F1208" s="34"/>
      <c r="G1208" s="34"/>
      <c r="H1208" s="34"/>
    </row>
    <row r="1209" spans="1:8" x14ac:dyDescent="0.3">
      <c r="A1209" t="s">
        <v>684</v>
      </c>
      <c r="B1209" s="3">
        <f t="shared" si="14"/>
        <v>45689</v>
      </c>
      <c r="C1209" s="2" t="str">
        <f>VLOOKUP(MONTH(Tabela1[[#This Row],[Periodo]]),NUMMESES,2,FALSE)</f>
        <v>Fevereiro</v>
      </c>
      <c r="D1209" s="2">
        <f>YEAR(Tabela1[[#This Row],[Periodo]])</f>
        <v>2025</v>
      </c>
      <c r="E120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2.5560948362460967</v>
      </c>
      <c r="F1209" s="34"/>
      <c r="G1209" s="34"/>
      <c r="H1209" s="34"/>
    </row>
    <row r="1210" spans="1:8" x14ac:dyDescent="0.3">
      <c r="A1210" t="s">
        <v>684</v>
      </c>
      <c r="B1210" s="3">
        <f t="shared" si="14"/>
        <v>45717</v>
      </c>
      <c r="C1210" s="2" t="str">
        <f>VLOOKUP(MONTH(Tabela1[[#This Row],[Periodo]]),NUMMESES,2,FALSE)</f>
        <v>Março</v>
      </c>
      <c r="D1210" s="2">
        <f>YEAR(Tabela1[[#This Row],[Periodo]])</f>
        <v>2025</v>
      </c>
      <c r="E121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2.6948623304995545</v>
      </c>
      <c r="F1210" s="34"/>
      <c r="G1210" s="34"/>
      <c r="H1210" s="34"/>
    </row>
    <row r="1211" spans="1:8" x14ac:dyDescent="0.3">
      <c r="A1211" t="s">
        <v>684</v>
      </c>
      <c r="B1211" s="3">
        <f t="shared" si="14"/>
        <v>45748</v>
      </c>
      <c r="C1211" s="2" t="str">
        <f>VLOOKUP(MONTH(Tabela1[[#This Row],[Periodo]]),NUMMESES,2,FALSE)</f>
        <v>Abril</v>
      </c>
      <c r="D1211" s="2">
        <f>YEAR(Tabela1[[#This Row],[Periodo]])</f>
        <v>2025</v>
      </c>
      <c r="E1211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2.7686435120029169</v>
      </c>
      <c r="F1211" s="34"/>
      <c r="G1211" s="34"/>
      <c r="H1211" s="34"/>
    </row>
    <row r="1212" spans="1:8" x14ac:dyDescent="0.3">
      <c r="A1212" t="s">
        <v>684</v>
      </c>
      <c r="B1212" s="3">
        <f t="shared" si="14"/>
        <v>45778</v>
      </c>
      <c r="C1212" s="2" t="str">
        <f>VLOOKUP(MONTH(Tabela1[[#This Row],[Periodo]]),NUMMESES,2,FALSE)</f>
        <v>Maio</v>
      </c>
      <c r="D1212" s="2">
        <f>YEAR(Tabela1[[#This Row],[Periodo]])</f>
        <v>2025</v>
      </c>
      <c r="E1212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2.8268347415317066</v>
      </c>
      <c r="F1212" s="34"/>
      <c r="G1212" s="34"/>
      <c r="H1212" s="34"/>
    </row>
    <row r="1213" spans="1:8" x14ac:dyDescent="0.3">
      <c r="A1213" t="s">
        <v>684</v>
      </c>
      <c r="B1213" s="3">
        <f t="shared" si="14"/>
        <v>45809</v>
      </c>
      <c r="C1213" s="2" t="str">
        <f>VLOOKUP(MONTH(Tabela1[[#This Row],[Periodo]]),NUMMESES,2,FALSE)</f>
        <v>Junho</v>
      </c>
      <c r="D1213" s="2">
        <f>YEAR(Tabela1[[#This Row],[Periodo]])</f>
        <v>2025</v>
      </c>
      <c r="E1213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2.6769901345150058</v>
      </c>
      <c r="F1213" s="34"/>
      <c r="G1213" s="34"/>
      <c r="H1213" s="34"/>
    </row>
    <row r="1214" spans="1:8" x14ac:dyDescent="0.3">
      <c r="A1214" t="s">
        <v>684</v>
      </c>
      <c r="B1214" s="3">
        <f t="shared" si="14"/>
        <v>45839</v>
      </c>
      <c r="C1214" s="2" t="str">
        <f>VLOOKUP(MONTH(Tabela1[[#This Row],[Periodo]]),NUMMESES,2,FALSE)</f>
        <v>Julho</v>
      </c>
      <c r="D1214" s="2">
        <f>YEAR(Tabela1[[#This Row],[Periodo]])</f>
        <v>2025</v>
      </c>
      <c r="E1214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2.4976109747340187</v>
      </c>
      <c r="F1214" s="34"/>
      <c r="G1214" s="34"/>
      <c r="H1214" s="34"/>
    </row>
    <row r="1215" spans="1:8" x14ac:dyDescent="0.3">
      <c r="A1215" t="s">
        <v>684</v>
      </c>
      <c r="B1215" s="3">
        <f t="shared" si="14"/>
        <v>45870</v>
      </c>
      <c r="C1215" s="2" t="str">
        <f>VLOOKUP(MONTH(Tabela1[[#This Row],[Periodo]]),NUMMESES,2,FALSE)</f>
        <v>Agosto</v>
      </c>
      <c r="D1215" s="2">
        <f>YEAR(Tabela1[[#This Row],[Periodo]])</f>
        <v>2025</v>
      </c>
      <c r="E1215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2.6609684723807052</v>
      </c>
      <c r="F1215" s="34"/>
      <c r="G1215" s="34"/>
      <c r="H1215" s="34"/>
    </row>
    <row r="1216" spans="1:8" x14ac:dyDescent="0.3">
      <c r="A1216" t="s">
        <v>684</v>
      </c>
      <c r="B1216" s="3">
        <f t="shared" si="14"/>
        <v>45901</v>
      </c>
      <c r="C1216" s="2" t="str">
        <f>VLOOKUP(MONTH(Tabela1[[#This Row],[Periodo]]),NUMMESES,2,FALSE)</f>
        <v>Setembro</v>
      </c>
      <c r="D1216" s="2">
        <f>YEAR(Tabela1[[#This Row],[Periodo]])</f>
        <v>2025</v>
      </c>
      <c r="E1216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2.6705632202970317</v>
      </c>
      <c r="F1216" s="34"/>
      <c r="G1216" s="34"/>
      <c r="H1216" s="34"/>
    </row>
    <row r="1217" spans="1:8" x14ac:dyDescent="0.3">
      <c r="A1217" t="s">
        <v>684</v>
      </c>
      <c r="B1217" s="3">
        <f t="shared" si="14"/>
        <v>45931</v>
      </c>
      <c r="C1217" s="2" t="str">
        <f>VLOOKUP(MONTH(Tabela1[[#This Row],[Periodo]]),NUMMESES,2,FALSE)</f>
        <v>Outubro</v>
      </c>
      <c r="D1217" s="2">
        <f>YEAR(Tabela1[[#This Row],[Periodo]])</f>
        <v>2025</v>
      </c>
      <c r="E1217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2.6088456431126543</v>
      </c>
      <c r="F1217" s="34"/>
      <c r="G1217" s="34"/>
      <c r="H1217" s="34"/>
    </row>
    <row r="1218" spans="1:8" x14ac:dyDescent="0.3">
      <c r="A1218" t="s">
        <v>684</v>
      </c>
      <c r="B1218" s="3">
        <f t="shared" si="14"/>
        <v>45962</v>
      </c>
      <c r="C1218" s="2" t="str">
        <f>VLOOKUP(MONTH(Tabela1[[#This Row],[Periodo]]),NUMMESES,2,FALSE)</f>
        <v>Novembro</v>
      </c>
      <c r="D1218" s="2">
        <f>YEAR(Tabela1[[#This Row],[Periodo]])</f>
        <v>2025</v>
      </c>
      <c r="E1218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2.6107475291114892</v>
      </c>
      <c r="F1218" s="34"/>
      <c r="G1218" s="34"/>
      <c r="H1218" s="34"/>
    </row>
    <row r="1219" spans="1:8" x14ac:dyDescent="0.3">
      <c r="A1219" t="s">
        <v>684</v>
      </c>
      <c r="B1219" s="3">
        <f t="shared" si="14"/>
        <v>45992</v>
      </c>
      <c r="C1219" s="2" t="str">
        <f>VLOOKUP(MONTH(Tabela1[[#This Row],[Periodo]]),NUMMESES,2,FALSE)</f>
        <v>Dezembro</v>
      </c>
      <c r="D1219" s="2">
        <f>YEAR(Tabela1[[#This Row],[Periodo]])</f>
        <v>2025</v>
      </c>
      <c r="E1219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2.1829519666306498</v>
      </c>
      <c r="F1219" s="34"/>
      <c r="G1219" s="34"/>
      <c r="H1219" s="34"/>
    </row>
    <row r="1220" spans="1:8" x14ac:dyDescent="0.3">
      <c r="A1220" t="s">
        <v>684</v>
      </c>
      <c r="B1220" s="3">
        <f t="shared" si="14"/>
        <v>46023</v>
      </c>
      <c r="C1220" s="2" t="str">
        <f>VLOOKUP(MONTH(Tabela1[[#This Row],[Periodo]]),NUMMESES,2,FALSE)</f>
        <v>Janeiro</v>
      </c>
      <c r="D1220" s="2">
        <f>YEAR(Tabela1[[#This Row],[Periodo]])</f>
        <v>2026</v>
      </c>
      <c r="E1220" s="34">
        <f>(INDEX(TBBP[],MATCH("1.1",planoContas,0)+1,MATCH(Tabela1[[#This Row],[Periodo]],listaPeriodos,0))+INDEX(TBBP[],MATCH("1.3.1",planoContas,0)+1,MATCH(Tabela1[[#This Row],[Periodo]],listaPeriodos,0)))/(INDEX(TBBP[],MATCH("2.1",planoContas,0)+1,MATCH(Tabela1[[#This Row],[Periodo]],listaPeriodos,0))+INDEX(TBBP[],MATCH("2.3",planoContas,0)+1,MATCH(Tabela1[[#This Row],[Periodo]],listaPeriodos,0)))</f>
        <v>2.1579087898641762</v>
      </c>
      <c r="F1220" s="34"/>
      <c r="G1220" s="34"/>
      <c r="H1220" s="34"/>
    </row>
    <row r="1221" spans="1:8" x14ac:dyDescent="0.3">
      <c r="B1221" s="3"/>
      <c r="C1221" s="2"/>
      <c r="D1221" s="2"/>
      <c r="E1221" s="34"/>
      <c r="F1221" s="34"/>
      <c r="G1221" s="34"/>
      <c r="H1221" s="34"/>
    </row>
    <row r="1222" spans="1:8" x14ac:dyDescent="0.3">
      <c r="A1222" t="s">
        <v>685</v>
      </c>
      <c r="B1222" s="3">
        <v>41609</v>
      </c>
      <c r="C1222" s="2" t="str">
        <f>VLOOKUP(MONTH(Tabela1[[#This Row],[Periodo]]),NUMMESES,2,FALSE)</f>
        <v>Dezembro</v>
      </c>
      <c r="D1222" s="2">
        <f>YEAR(Tabela1[[#This Row],[Periodo]])</f>
        <v>2013</v>
      </c>
      <c r="E1222" s="34">
        <f>(INDEX(TBBP[],MATCH("3.1",planoContas,0)+1,MATCH(Tabela1[[#This Row],[Periodo]],listaPeriodos,0))/INDEX(TBBP[],MATCH("1",planoContas,0)+1,MATCH(Tabela1[[#This Row],[Periodo]],listaPeriodos,0)))</f>
        <v>1.4968390592855818</v>
      </c>
      <c r="F1222" s="34"/>
      <c r="G1222" s="34"/>
      <c r="H1222" s="34"/>
    </row>
    <row r="1223" spans="1:8" x14ac:dyDescent="0.3">
      <c r="A1223" t="s">
        <v>685</v>
      </c>
      <c r="B1223" s="3">
        <v>41974</v>
      </c>
      <c r="C1223" s="2" t="str">
        <f>VLOOKUP(MONTH(Tabela1[[#This Row],[Periodo]]),NUMMESES,2,FALSE)</f>
        <v>Dezembro</v>
      </c>
      <c r="D1223" s="2">
        <f>YEAR(Tabela1[[#This Row],[Periodo]])</f>
        <v>2014</v>
      </c>
      <c r="E1223" s="34">
        <f>(INDEX(TBBP[],MATCH("3.1",planoContas,0)+1,MATCH(Tabela1[[#This Row],[Periodo]],listaPeriodos,0))/INDEX(TBBP[],MATCH("1",planoContas,0)+1,MATCH(Tabela1[[#This Row],[Periodo]],listaPeriodos,0)))</f>
        <v>1.1388341956451447</v>
      </c>
      <c r="F1223" s="34"/>
      <c r="G1223" s="34"/>
      <c r="H1223" s="34"/>
    </row>
    <row r="1224" spans="1:8" x14ac:dyDescent="0.3">
      <c r="A1224" t="s">
        <v>685</v>
      </c>
      <c r="B1224" s="3">
        <v>42339</v>
      </c>
      <c r="C1224" s="2" t="str">
        <f>VLOOKUP(MONTH(Tabela1[[#This Row],[Periodo]]),NUMMESES,2,FALSE)</f>
        <v>Dezembro</v>
      </c>
      <c r="D1224" s="2">
        <f>YEAR(Tabela1[[#This Row],[Periodo]])</f>
        <v>2015</v>
      </c>
      <c r="E1224" s="34">
        <f>(INDEX(TBBP[],MATCH("3.1",planoContas,0)+1,MATCH(Tabela1[[#This Row],[Periodo]],listaPeriodos,0))/INDEX(TBBP[],MATCH("1",planoContas,0)+1,MATCH(Tabela1[[#This Row],[Periodo]],listaPeriodos,0)))</f>
        <v>1.3687924591698994</v>
      </c>
      <c r="F1224" s="34"/>
      <c r="G1224" s="34"/>
      <c r="H1224" s="34"/>
    </row>
    <row r="1225" spans="1:8" x14ac:dyDescent="0.3">
      <c r="A1225" t="s">
        <v>685</v>
      </c>
      <c r="B1225" s="3">
        <v>42705</v>
      </c>
      <c r="C1225" s="2" t="str">
        <f>VLOOKUP(MONTH(Tabela1[[#This Row],[Periodo]]),NUMMESES,2,FALSE)</f>
        <v>Dezembro</v>
      </c>
      <c r="D1225" s="2">
        <f>YEAR(Tabela1[[#This Row],[Periodo]])</f>
        <v>2016</v>
      </c>
      <c r="E1225" s="34">
        <f>(INDEX(TBBP[],MATCH("3.1",planoContas,0)+1,MATCH(Tabela1[[#This Row],[Periodo]],listaPeriodos,0))/INDEX(TBBP[],MATCH("1",planoContas,0)+1,MATCH(Tabela1[[#This Row],[Periodo]],listaPeriodos,0)))</f>
        <v>1.1287550413300997</v>
      </c>
      <c r="F1225" s="34"/>
      <c r="G1225" s="34"/>
      <c r="H1225" s="34"/>
    </row>
    <row r="1226" spans="1:8" x14ac:dyDescent="0.3">
      <c r="A1226" t="s">
        <v>685</v>
      </c>
      <c r="B1226" s="3">
        <v>43070</v>
      </c>
      <c r="C1226" s="2" t="str">
        <f>VLOOKUP(MONTH(Tabela1[[#This Row],[Periodo]]),NUMMESES,2,FALSE)</f>
        <v>Dezembro</v>
      </c>
      <c r="D1226" s="2">
        <f>YEAR(Tabela1[[#This Row],[Periodo]])</f>
        <v>2017</v>
      </c>
      <c r="E1226" s="34">
        <f>(INDEX(TBBP[],MATCH("3.1",planoContas,0)+1,MATCH(Tabela1[[#This Row],[Periodo]],listaPeriodos,0))/INDEX(TBBP[],MATCH("1",planoContas,0)+1,MATCH(Tabela1[[#This Row],[Periodo]],listaPeriodos,0)))</f>
        <v>1.0676385424794286</v>
      </c>
      <c r="F1226" s="34"/>
      <c r="G1226" s="34"/>
      <c r="H1226" s="34"/>
    </row>
    <row r="1227" spans="1:8" x14ac:dyDescent="0.3">
      <c r="A1227" t="s">
        <v>685</v>
      </c>
      <c r="B1227" s="3">
        <v>43101</v>
      </c>
      <c r="C1227" s="2" t="str">
        <f>VLOOKUP(MONTH(Tabela1[[#This Row],[Periodo]]),NUMMESES,2,FALSE)</f>
        <v>Janeiro</v>
      </c>
      <c r="D1227" s="2">
        <f>YEAR(Tabela1[[#This Row],[Periodo]])</f>
        <v>2018</v>
      </c>
      <c r="E1227" s="34">
        <f>(INDEX(TBBP[],MATCH("3.1",planoContas,0)+1,MATCH(Tabela1[[#This Row],[Periodo]],listaPeriodos,0))/INDEX(TBBP[],MATCH("1",planoContas,0)+1,MATCH(Tabela1[[#This Row],[Periodo]],listaPeriodos,0)))</f>
        <v>7.5817672782886897E-2</v>
      </c>
      <c r="F1227" s="34"/>
      <c r="G1227" s="34"/>
      <c r="H1227" s="34"/>
    </row>
    <row r="1228" spans="1:8" x14ac:dyDescent="0.3">
      <c r="A1228" t="s">
        <v>685</v>
      </c>
      <c r="B1228" s="3">
        <f t="shared" ref="B1228:B1323" si="15">DATE(YEAR(B1227),MONTH(B1227)+1,DAY(B1227))</f>
        <v>43132</v>
      </c>
      <c r="C1228" s="2" t="str">
        <f>VLOOKUP(MONTH(Tabela1[[#This Row],[Periodo]]),NUMMESES,2,FALSE)</f>
        <v>Fevereiro</v>
      </c>
      <c r="D1228" s="2">
        <f>YEAR(Tabela1[[#This Row],[Periodo]])</f>
        <v>2018</v>
      </c>
      <c r="E1228" s="34">
        <f>(INDEX(TBBP[],MATCH("3.1",planoContas,0)+1,MATCH(Tabela1[[#This Row],[Periodo]],listaPeriodos,0))/INDEX(TBBP[],MATCH("1",planoContas,0)+1,MATCH(Tabela1[[#This Row],[Periodo]],listaPeriodos,0)))</f>
        <v>8.275427416482993E-2</v>
      </c>
      <c r="F1228" s="34"/>
      <c r="G1228" s="34"/>
      <c r="H1228" s="34"/>
    </row>
    <row r="1229" spans="1:8" x14ac:dyDescent="0.3">
      <c r="A1229" t="s">
        <v>685</v>
      </c>
      <c r="B1229" s="3">
        <f t="shared" si="15"/>
        <v>43160</v>
      </c>
      <c r="C1229" s="2" t="str">
        <f>VLOOKUP(MONTH(Tabela1[[#This Row],[Periodo]]),NUMMESES,2,FALSE)</f>
        <v>Março</v>
      </c>
      <c r="D1229" s="2">
        <f>YEAR(Tabela1[[#This Row],[Periodo]])</f>
        <v>2018</v>
      </c>
      <c r="E1229" s="34">
        <f>(INDEX(TBBP[],MATCH("3.1",planoContas,0)+1,MATCH(Tabela1[[#This Row],[Periodo]],listaPeriodos,0))/INDEX(TBBP[],MATCH("1",planoContas,0)+1,MATCH(Tabela1[[#This Row],[Periodo]],listaPeriodos,0)))</f>
        <v>0.11346911581073747</v>
      </c>
      <c r="F1229" s="34"/>
      <c r="G1229" s="34"/>
      <c r="H1229" s="34"/>
    </row>
    <row r="1230" spans="1:8" x14ac:dyDescent="0.3">
      <c r="A1230" t="s">
        <v>685</v>
      </c>
      <c r="B1230" s="3">
        <f t="shared" si="15"/>
        <v>43191</v>
      </c>
      <c r="C1230" s="2" t="str">
        <f>VLOOKUP(MONTH(Tabela1[[#This Row],[Periodo]]),NUMMESES,2,FALSE)</f>
        <v>Abril</v>
      </c>
      <c r="D1230" s="2">
        <f>YEAR(Tabela1[[#This Row],[Periodo]])</f>
        <v>2018</v>
      </c>
      <c r="E1230" s="34">
        <f>(INDEX(TBBP[],MATCH("3.1",planoContas,0)+1,MATCH(Tabela1[[#This Row],[Periodo]],listaPeriodos,0))/INDEX(TBBP[],MATCH("1",planoContas,0)+1,MATCH(Tabela1[[#This Row],[Periodo]],listaPeriodos,0)))</f>
        <v>0.10076249701543591</v>
      </c>
      <c r="F1230" s="34"/>
      <c r="G1230" s="34"/>
      <c r="H1230" s="34"/>
    </row>
    <row r="1231" spans="1:8" x14ac:dyDescent="0.3">
      <c r="A1231" t="s">
        <v>685</v>
      </c>
      <c r="B1231" s="3">
        <f t="shared" si="15"/>
        <v>43221</v>
      </c>
      <c r="C1231" s="2" t="str">
        <f>VLOOKUP(MONTH(Tabela1[[#This Row],[Periodo]]),NUMMESES,2,FALSE)</f>
        <v>Maio</v>
      </c>
      <c r="D1231" s="2">
        <f>YEAR(Tabela1[[#This Row],[Periodo]])</f>
        <v>2018</v>
      </c>
      <c r="E1231" s="34">
        <f>(INDEX(TBBP[],MATCH("3.1",planoContas,0)+1,MATCH(Tabela1[[#This Row],[Periodo]],listaPeriodos,0))/INDEX(TBBP[],MATCH("1",planoContas,0)+1,MATCH(Tabela1[[#This Row],[Periodo]],listaPeriodos,0)))</f>
        <v>6.8913347278238099E-2</v>
      </c>
      <c r="F1231" s="34"/>
      <c r="G1231" s="34"/>
      <c r="H1231" s="34"/>
    </row>
    <row r="1232" spans="1:8" x14ac:dyDescent="0.3">
      <c r="A1232" t="s">
        <v>685</v>
      </c>
      <c r="B1232" s="3">
        <f t="shared" si="15"/>
        <v>43252</v>
      </c>
      <c r="C1232" s="2" t="str">
        <f>VLOOKUP(MONTH(Tabela1[[#This Row],[Periodo]]),NUMMESES,2,FALSE)</f>
        <v>Junho</v>
      </c>
      <c r="D1232" s="2">
        <f>YEAR(Tabela1[[#This Row],[Periodo]])</f>
        <v>2018</v>
      </c>
      <c r="E1232" s="34">
        <f>(INDEX(TBBP[],MATCH("3.1",planoContas,0)+1,MATCH(Tabela1[[#This Row],[Periodo]],listaPeriodos,0))/INDEX(TBBP[],MATCH("1",planoContas,0)+1,MATCH(Tabela1[[#This Row],[Periodo]],listaPeriodos,0)))</f>
        <v>9.6218026707871745E-2</v>
      </c>
      <c r="F1232" s="34"/>
      <c r="G1232" s="34"/>
      <c r="H1232" s="34"/>
    </row>
    <row r="1233" spans="1:8" x14ac:dyDescent="0.3">
      <c r="A1233" t="s">
        <v>685</v>
      </c>
      <c r="B1233" s="3">
        <f t="shared" si="15"/>
        <v>43282</v>
      </c>
      <c r="C1233" s="2" t="str">
        <f>VLOOKUP(MONTH(Tabela1[[#This Row],[Periodo]]),NUMMESES,2,FALSE)</f>
        <v>Julho</v>
      </c>
      <c r="D1233" s="2">
        <f>YEAR(Tabela1[[#This Row],[Periodo]])</f>
        <v>2018</v>
      </c>
      <c r="E1233" s="34">
        <f>(INDEX(TBBP[],MATCH("3.1",planoContas,0)+1,MATCH(Tabela1[[#This Row],[Periodo]],listaPeriodos,0))/INDEX(TBBP[],MATCH("1",planoContas,0)+1,MATCH(Tabela1[[#This Row],[Periodo]],listaPeriodos,0)))</f>
        <v>0.15728050052865963</v>
      </c>
      <c r="F1233" s="34"/>
      <c r="G1233" s="34"/>
      <c r="H1233" s="34"/>
    </row>
    <row r="1234" spans="1:8" x14ac:dyDescent="0.3">
      <c r="A1234" t="s">
        <v>685</v>
      </c>
      <c r="B1234" s="3">
        <f t="shared" si="15"/>
        <v>43313</v>
      </c>
      <c r="C1234" s="2" t="str">
        <f>VLOOKUP(MONTH(Tabela1[[#This Row],[Periodo]]),NUMMESES,2,FALSE)</f>
        <v>Agosto</v>
      </c>
      <c r="D1234" s="2">
        <f>YEAR(Tabela1[[#This Row],[Periodo]])</f>
        <v>2018</v>
      </c>
      <c r="E1234" s="34">
        <f>(INDEX(TBBP[],MATCH("3.1",planoContas,0)+1,MATCH(Tabela1[[#This Row],[Periodo]],listaPeriodos,0))/INDEX(TBBP[],MATCH("1",planoContas,0)+1,MATCH(Tabela1[[#This Row],[Periodo]],listaPeriodos,0)))</f>
        <v>0.11848350124479595</v>
      </c>
      <c r="F1234" s="34"/>
      <c r="G1234" s="34"/>
      <c r="H1234" s="34"/>
    </row>
    <row r="1235" spans="1:8" x14ac:dyDescent="0.3">
      <c r="A1235" t="s">
        <v>685</v>
      </c>
      <c r="B1235" s="3">
        <f t="shared" si="15"/>
        <v>43344</v>
      </c>
      <c r="C1235" s="2" t="str">
        <f>VLOOKUP(MONTH(Tabela1[[#This Row],[Periodo]]),NUMMESES,2,FALSE)</f>
        <v>Setembro</v>
      </c>
      <c r="D1235" s="2">
        <f>YEAR(Tabela1[[#This Row],[Periodo]])</f>
        <v>2018</v>
      </c>
      <c r="E1235" s="34">
        <f>(INDEX(TBBP[],MATCH("3.1",planoContas,0)+1,MATCH(Tabela1[[#This Row],[Periodo]],listaPeriodos,0))/INDEX(TBBP[],MATCH("1",planoContas,0)+1,MATCH(Tabela1[[#This Row],[Periodo]],listaPeriodos,0)))</f>
        <v>0.14813516256955445</v>
      </c>
      <c r="F1235" s="34"/>
      <c r="G1235" s="34"/>
      <c r="H1235" s="34"/>
    </row>
    <row r="1236" spans="1:8" x14ac:dyDescent="0.3">
      <c r="A1236" t="s">
        <v>685</v>
      </c>
      <c r="B1236" s="3">
        <f t="shared" si="15"/>
        <v>43374</v>
      </c>
      <c r="C1236" s="2" t="str">
        <f>VLOOKUP(MONTH(Tabela1[[#This Row],[Periodo]]),NUMMESES,2,FALSE)</f>
        <v>Outubro</v>
      </c>
      <c r="D1236" s="2">
        <f>YEAR(Tabela1[[#This Row],[Periodo]])</f>
        <v>2018</v>
      </c>
      <c r="E1236" s="34">
        <f>(INDEX(TBBP[],MATCH("3.1",planoContas,0)+1,MATCH(Tabela1[[#This Row],[Periodo]],listaPeriodos,0))/INDEX(TBBP[],MATCH("1",planoContas,0)+1,MATCH(Tabela1[[#This Row],[Periodo]],listaPeriodos,0)))</f>
        <v>0.11923499773495923</v>
      </c>
      <c r="F1236" s="34"/>
      <c r="G1236" s="34"/>
      <c r="H1236" s="34"/>
    </row>
    <row r="1237" spans="1:8" x14ac:dyDescent="0.3">
      <c r="A1237" t="s">
        <v>685</v>
      </c>
      <c r="B1237" s="3">
        <f t="shared" si="15"/>
        <v>43405</v>
      </c>
      <c r="C1237" s="2" t="str">
        <f>VLOOKUP(MONTH(Tabela1[[#This Row],[Periodo]]),NUMMESES,2,FALSE)</f>
        <v>Novembro</v>
      </c>
      <c r="D1237" s="2">
        <f>YEAR(Tabela1[[#This Row],[Periodo]])</f>
        <v>2018</v>
      </c>
      <c r="E1237" s="34">
        <f>(INDEX(TBBP[],MATCH("3.1",planoContas,0)+1,MATCH(Tabela1[[#This Row],[Periodo]],listaPeriodos,0))/INDEX(TBBP[],MATCH("1",planoContas,0)+1,MATCH(Tabela1[[#This Row],[Periodo]],listaPeriodos,0)))</f>
        <v>7.694256313944868E-2</v>
      </c>
      <c r="F1237" s="34"/>
      <c r="G1237" s="34"/>
      <c r="H1237" s="34"/>
    </row>
    <row r="1238" spans="1:8" x14ac:dyDescent="0.3">
      <c r="A1238" t="s">
        <v>685</v>
      </c>
      <c r="B1238" s="3">
        <f t="shared" si="15"/>
        <v>43435</v>
      </c>
      <c r="C1238" s="2" t="str">
        <f>VLOOKUP(MONTH(Tabela1[[#This Row],[Periodo]]),NUMMESES,2,FALSE)</f>
        <v>Dezembro</v>
      </c>
      <c r="D1238" s="2">
        <f>YEAR(Tabela1[[#This Row],[Periodo]])</f>
        <v>2018</v>
      </c>
      <c r="E1238" s="34">
        <f>(INDEX(TBBP[],MATCH("3.1",planoContas,0)+1,MATCH(Tabela1[[#This Row],[Periodo]],listaPeriodos,0))/INDEX(TBBP[],MATCH("1",planoContas,0)+1,MATCH(Tabela1[[#This Row],[Periodo]],listaPeriodos,0)))</f>
        <v>7.1499687419289346E-2</v>
      </c>
      <c r="F1238" s="34"/>
      <c r="G1238" s="34"/>
      <c r="H1238" s="34"/>
    </row>
    <row r="1239" spans="1:8" x14ac:dyDescent="0.3">
      <c r="A1239" t="s">
        <v>685</v>
      </c>
      <c r="B1239" s="3">
        <f t="shared" si="15"/>
        <v>43466</v>
      </c>
      <c r="C1239" s="2" t="str">
        <f>VLOOKUP(MONTH(Tabela1[[#This Row],[Periodo]]),NUMMESES,2,FALSE)</f>
        <v>Janeiro</v>
      </c>
      <c r="D1239" s="2">
        <f>YEAR(Tabela1[[#This Row],[Periodo]])</f>
        <v>2019</v>
      </c>
      <c r="E1239" s="34">
        <f>(INDEX(TBBP[],MATCH("3.1",planoContas,0)+1,MATCH(Tabela1[[#This Row],[Periodo]],listaPeriodos,0))/INDEX(TBBP[],MATCH("1",planoContas,0)+1,MATCH(Tabela1[[#This Row],[Periodo]],listaPeriodos,0)))</f>
        <v>0.10398046696146804</v>
      </c>
      <c r="F1239" s="34"/>
      <c r="G1239" s="34"/>
      <c r="H1239" s="34"/>
    </row>
    <row r="1240" spans="1:8" x14ac:dyDescent="0.3">
      <c r="A1240" t="s">
        <v>685</v>
      </c>
      <c r="B1240" s="3">
        <f t="shared" si="15"/>
        <v>43497</v>
      </c>
      <c r="C1240" s="2" t="str">
        <f>VLOOKUP(MONTH(Tabela1[[#This Row],[Periodo]]),NUMMESES,2,FALSE)</f>
        <v>Fevereiro</v>
      </c>
      <c r="D1240" s="2">
        <f>YEAR(Tabela1[[#This Row],[Periodo]])</f>
        <v>2019</v>
      </c>
      <c r="E1240" s="34">
        <f>(INDEX(TBBP[],MATCH("3.1",planoContas,0)+1,MATCH(Tabela1[[#This Row],[Periodo]],listaPeriodos,0))/INDEX(TBBP[],MATCH("1",planoContas,0)+1,MATCH(Tabela1[[#This Row],[Periodo]],listaPeriodos,0)))</f>
        <v>9.601579058582492E-2</v>
      </c>
      <c r="F1240" s="34"/>
      <c r="G1240" s="34"/>
      <c r="H1240" s="34"/>
    </row>
    <row r="1241" spans="1:8" x14ac:dyDescent="0.3">
      <c r="A1241" t="s">
        <v>685</v>
      </c>
      <c r="B1241" s="3">
        <f t="shared" si="15"/>
        <v>43525</v>
      </c>
      <c r="C1241" s="2" t="str">
        <f>VLOOKUP(MONTH(Tabela1[[#This Row],[Periodo]]),NUMMESES,2,FALSE)</f>
        <v>Março</v>
      </c>
      <c r="D1241" s="2">
        <f>YEAR(Tabela1[[#This Row],[Periodo]])</f>
        <v>2019</v>
      </c>
      <c r="E1241" s="34">
        <f>(INDEX(TBBP[],MATCH("3.1",planoContas,0)+1,MATCH(Tabela1[[#This Row],[Periodo]],listaPeriodos,0))/INDEX(TBBP[],MATCH("1",planoContas,0)+1,MATCH(Tabela1[[#This Row],[Periodo]],listaPeriodos,0)))</f>
        <v>0.10168551593801974</v>
      </c>
      <c r="F1241" s="34"/>
      <c r="G1241" s="34"/>
      <c r="H1241" s="34"/>
    </row>
    <row r="1242" spans="1:8" x14ac:dyDescent="0.3">
      <c r="A1242" t="s">
        <v>685</v>
      </c>
      <c r="B1242" s="3">
        <f t="shared" si="15"/>
        <v>43556</v>
      </c>
      <c r="C1242" s="2" t="str">
        <f>VLOOKUP(MONTH(Tabela1[[#This Row],[Periodo]]),NUMMESES,2,FALSE)</f>
        <v>Abril</v>
      </c>
      <c r="D1242" s="2">
        <f>YEAR(Tabela1[[#This Row],[Periodo]])</f>
        <v>2019</v>
      </c>
      <c r="E1242" s="34">
        <f>(INDEX(TBBP[],MATCH("3.1",planoContas,0)+1,MATCH(Tabela1[[#This Row],[Periodo]],listaPeriodos,0))/INDEX(TBBP[],MATCH("1",planoContas,0)+1,MATCH(Tabela1[[#This Row],[Periodo]],listaPeriodos,0)))</f>
        <v>0.11681445358912403</v>
      </c>
      <c r="F1242" s="34"/>
      <c r="G1242" s="34"/>
      <c r="H1242" s="34"/>
    </row>
    <row r="1243" spans="1:8" x14ac:dyDescent="0.3">
      <c r="A1243" t="s">
        <v>685</v>
      </c>
      <c r="B1243" s="3">
        <f t="shared" si="15"/>
        <v>43586</v>
      </c>
      <c r="C1243" s="2" t="str">
        <f>VLOOKUP(MONTH(Tabela1[[#This Row],[Periodo]]),NUMMESES,2,FALSE)</f>
        <v>Maio</v>
      </c>
      <c r="D1243" s="2">
        <f>YEAR(Tabela1[[#This Row],[Periodo]])</f>
        <v>2019</v>
      </c>
      <c r="E1243" s="34">
        <f>(INDEX(TBBP[],MATCH("3.1",planoContas,0)+1,MATCH(Tabela1[[#This Row],[Periodo]],listaPeriodos,0))/INDEX(TBBP[],MATCH("1",planoContas,0)+1,MATCH(Tabela1[[#This Row],[Periodo]],listaPeriodos,0)))</f>
        <v>0.11120317098753615</v>
      </c>
      <c r="F1243" s="34"/>
      <c r="G1243" s="34"/>
      <c r="H1243" s="34"/>
    </row>
    <row r="1244" spans="1:8" x14ac:dyDescent="0.3">
      <c r="A1244" t="s">
        <v>685</v>
      </c>
      <c r="B1244" s="3">
        <f t="shared" si="15"/>
        <v>43617</v>
      </c>
      <c r="C1244" s="2" t="str">
        <f>VLOOKUP(MONTH(Tabela1[[#This Row],[Periodo]]),NUMMESES,2,FALSE)</f>
        <v>Junho</v>
      </c>
      <c r="D1244" s="2">
        <f>YEAR(Tabela1[[#This Row],[Periodo]])</f>
        <v>2019</v>
      </c>
      <c r="E1244" s="34">
        <f>(INDEX(TBBP[],MATCH("3.1",planoContas,0)+1,MATCH(Tabela1[[#This Row],[Periodo]],listaPeriodos,0))/INDEX(TBBP[],MATCH("1",planoContas,0)+1,MATCH(Tabela1[[#This Row],[Periodo]],listaPeriodos,0)))</f>
        <v>7.8186630026269868E-2</v>
      </c>
      <c r="F1244" s="34"/>
      <c r="G1244" s="34"/>
      <c r="H1244" s="34"/>
    </row>
    <row r="1245" spans="1:8" x14ac:dyDescent="0.3">
      <c r="A1245" t="s">
        <v>685</v>
      </c>
      <c r="B1245" s="3">
        <f t="shared" si="15"/>
        <v>43647</v>
      </c>
      <c r="C1245" s="2" t="str">
        <f>VLOOKUP(MONTH(Tabela1[[#This Row],[Periodo]]),NUMMESES,2,FALSE)</f>
        <v>Julho</v>
      </c>
      <c r="D1245" s="2">
        <f>YEAR(Tabela1[[#This Row],[Periodo]])</f>
        <v>2019</v>
      </c>
      <c r="E1245" s="34">
        <f>(INDEX(TBBP[],MATCH("3.1",planoContas,0)+1,MATCH(Tabela1[[#This Row],[Periodo]],listaPeriodos,0))/INDEX(TBBP[],MATCH("1",planoContas,0)+1,MATCH(Tabela1[[#This Row],[Periodo]],listaPeriodos,0)))</f>
        <v>0.10601407436025656</v>
      </c>
      <c r="F1245" s="34"/>
      <c r="G1245" s="34"/>
      <c r="H1245" s="34"/>
    </row>
    <row r="1246" spans="1:8" x14ac:dyDescent="0.3">
      <c r="A1246" t="s">
        <v>685</v>
      </c>
      <c r="B1246" s="3">
        <f t="shared" si="15"/>
        <v>43678</v>
      </c>
      <c r="C1246" s="2" t="str">
        <f>VLOOKUP(MONTH(Tabela1[[#This Row],[Periodo]]),NUMMESES,2,FALSE)</f>
        <v>Agosto</v>
      </c>
      <c r="D1246" s="2">
        <f>YEAR(Tabela1[[#This Row],[Periodo]])</f>
        <v>2019</v>
      </c>
      <c r="E1246" s="34">
        <f>(INDEX(TBBP[],MATCH("3.1",planoContas,0)+1,MATCH(Tabela1[[#This Row],[Periodo]],listaPeriodos,0))/INDEX(TBBP[],MATCH("1",planoContas,0)+1,MATCH(Tabela1[[#This Row],[Periodo]],listaPeriodos,0)))</f>
        <v>9.4316389672034137E-2</v>
      </c>
      <c r="F1246" s="34"/>
      <c r="G1246" s="34"/>
      <c r="H1246" s="34"/>
    </row>
    <row r="1247" spans="1:8" x14ac:dyDescent="0.3">
      <c r="A1247" t="s">
        <v>685</v>
      </c>
      <c r="B1247" s="3">
        <f t="shared" si="15"/>
        <v>43709</v>
      </c>
      <c r="C1247" s="2" t="str">
        <f>VLOOKUP(MONTH(Tabela1[[#This Row],[Periodo]]),NUMMESES,2,FALSE)</f>
        <v>Setembro</v>
      </c>
      <c r="D1247" s="2">
        <f>YEAR(Tabela1[[#This Row],[Periodo]])</f>
        <v>2019</v>
      </c>
      <c r="E1247" s="34">
        <f>(INDEX(TBBP[],MATCH("3.1",planoContas,0)+1,MATCH(Tabela1[[#This Row],[Periodo]],listaPeriodos,0))/INDEX(TBBP[],MATCH("1",planoContas,0)+1,MATCH(Tabela1[[#This Row],[Periodo]],listaPeriodos,0)))</f>
        <v>0.13168074078781775</v>
      </c>
      <c r="F1247" s="34"/>
      <c r="G1247" s="34"/>
      <c r="H1247" s="34"/>
    </row>
    <row r="1248" spans="1:8" x14ac:dyDescent="0.3">
      <c r="A1248" t="s">
        <v>685</v>
      </c>
      <c r="B1248" s="3">
        <f t="shared" si="15"/>
        <v>43739</v>
      </c>
      <c r="C1248" s="2" t="str">
        <f>VLOOKUP(MONTH(Tabela1[[#This Row],[Periodo]]),NUMMESES,2,FALSE)</f>
        <v>Outubro</v>
      </c>
      <c r="D1248" s="2">
        <f>YEAR(Tabela1[[#This Row],[Periodo]])</f>
        <v>2019</v>
      </c>
      <c r="E1248" s="34">
        <f>(INDEX(TBBP[],MATCH("3.1",planoContas,0)+1,MATCH(Tabela1[[#This Row],[Periodo]],listaPeriodos,0))/INDEX(TBBP[],MATCH("1",planoContas,0)+1,MATCH(Tabela1[[#This Row],[Periodo]],listaPeriodos,0)))</f>
        <v>0.13952105592476335</v>
      </c>
      <c r="F1248" s="34"/>
      <c r="G1248" s="34"/>
      <c r="H1248" s="34"/>
    </row>
    <row r="1249" spans="1:8" x14ac:dyDescent="0.3">
      <c r="A1249" t="s">
        <v>685</v>
      </c>
      <c r="B1249" s="3">
        <f t="shared" si="15"/>
        <v>43770</v>
      </c>
      <c r="C1249" s="2" t="str">
        <f>VLOOKUP(MONTH(Tabela1[[#This Row],[Periodo]]),NUMMESES,2,FALSE)</f>
        <v>Novembro</v>
      </c>
      <c r="D1249" s="2">
        <f>YEAR(Tabela1[[#This Row],[Periodo]])</f>
        <v>2019</v>
      </c>
      <c r="E1249" s="34">
        <f>(INDEX(TBBP[],MATCH("3.1",planoContas,0)+1,MATCH(Tabela1[[#This Row],[Periodo]],listaPeriodos,0))/INDEX(TBBP[],MATCH("1",planoContas,0)+1,MATCH(Tabela1[[#This Row],[Periodo]],listaPeriodos,0)))</f>
        <v>0.10102886405063377</v>
      </c>
      <c r="F1249" s="34"/>
      <c r="G1249" s="34"/>
      <c r="H1249" s="34"/>
    </row>
    <row r="1250" spans="1:8" x14ac:dyDescent="0.3">
      <c r="A1250" t="s">
        <v>685</v>
      </c>
      <c r="B1250" s="3">
        <f t="shared" si="15"/>
        <v>43800</v>
      </c>
      <c r="C1250" s="2" t="str">
        <f>VLOOKUP(MONTH(Tabela1[[#This Row],[Periodo]]),NUMMESES,2,FALSE)</f>
        <v>Dezembro</v>
      </c>
      <c r="D1250" s="2">
        <f>YEAR(Tabela1[[#This Row],[Periodo]])</f>
        <v>2019</v>
      </c>
      <c r="E1250" s="34">
        <f>(INDEX(TBBP[],MATCH("3.1",planoContas,0)+1,MATCH(Tabela1[[#This Row],[Periodo]],listaPeriodos,0))/INDEX(TBBP[],MATCH("1",planoContas,0)+1,MATCH(Tabela1[[#This Row],[Periodo]],listaPeriodos,0)))</f>
        <v>7.7594518808818541E-2</v>
      </c>
      <c r="F1250" s="34"/>
      <c r="G1250" s="34"/>
      <c r="H1250" s="34"/>
    </row>
    <row r="1251" spans="1:8" x14ac:dyDescent="0.3">
      <c r="A1251" t="s">
        <v>685</v>
      </c>
      <c r="B1251" s="3">
        <f t="shared" si="15"/>
        <v>43831</v>
      </c>
      <c r="C1251" s="2" t="str">
        <f>VLOOKUP(MONTH(Tabela1[[#This Row],[Periodo]]),NUMMESES,2,FALSE)</f>
        <v>Janeiro</v>
      </c>
      <c r="D1251" s="2">
        <f>YEAR(Tabela1[[#This Row],[Periodo]])</f>
        <v>2020</v>
      </c>
      <c r="E1251" s="34">
        <f>(INDEX(TBBP[],MATCH("3.1",planoContas,0)+1,MATCH(Tabela1[[#This Row],[Periodo]],listaPeriodos,0))/INDEX(TBBP[],MATCH("1",planoContas,0)+1,MATCH(Tabela1[[#This Row],[Periodo]],listaPeriodos,0)))</f>
        <v>0.10816658733191489</v>
      </c>
      <c r="F1251" s="34"/>
      <c r="G1251" s="34"/>
      <c r="H1251" s="34"/>
    </row>
    <row r="1252" spans="1:8" x14ac:dyDescent="0.3">
      <c r="A1252" t="s">
        <v>685</v>
      </c>
      <c r="B1252" s="3">
        <f t="shared" si="15"/>
        <v>43862</v>
      </c>
      <c r="C1252" s="2" t="str">
        <f>VLOOKUP(MONTH(Tabela1[[#This Row],[Periodo]]),NUMMESES,2,FALSE)</f>
        <v>Fevereiro</v>
      </c>
      <c r="D1252" s="2">
        <f>YEAR(Tabela1[[#This Row],[Periodo]])</f>
        <v>2020</v>
      </c>
      <c r="E1252" s="34">
        <f>(INDEX(TBBP[],MATCH("3.1",planoContas,0)+1,MATCH(Tabela1[[#This Row],[Periodo]],listaPeriodos,0))/INDEX(TBBP[],MATCH("1",planoContas,0)+1,MATCH(Tabela1[[#This Row],[Periodo]],listaPeriodos,0)))</f>
        <v>8.0786420567812059E-2</v>
      </c>
      <c r="F1252" s="34"/>
      <c r="G1252" s="34"/>
      <c r="H1252" s="34"/>
    </row>
    <row r="1253" spans="1:8" x14ac:dyDescent="0.3">
      <c r="A1253" t="s">
        <v>685</v>
      </c>
      <c r="B1253" s="3">
        <f t="shared" si="15"/>
        <v>43891</v>
      </c>
      <c r="C1253" s="2" t="str">
        <f>VLOOKUP(MONTH(Tabela1[[#This Row],[Periodo]]),NUMMESES,2,FALSE)</f>
        <v>Março</v>
      </c>
      <c r="D1253" s="2">
        <f>YEAR(Tabela1[[#This Row],[Periodo]])</f>
        <v>2020</v>
      </c>
      <c r="E1253" s="34">
        <f>(INDEX(TBBP[],MATCH("3.1",planoContas,0)+1,MATCH(Tabela1[[#This Row],[Periodo]],listaPeriodos,0))/INDEX(TBBP[],MATCH("1",planoContas,0)+1,MATCH(Tabela1[[#This Row],[Periodo]],listaPeriodos,0)))</f>
        <v>6.2784423142984408E-2</v>
      </c>
      <c r="F1253" s="34"/>
      <c r="G1253" s="34"/>
      <c r="H1253" s="34"/>
    </row>
    <row r="1254" spans="1:8" x14ac:dyDescent="0.3">
      <c r="A1254" t="s">
        <v>685</v>
      </c>
      <c r="B1254" s="3">
        <f t="shared" si="15"/>
        <v>43922</v>
      </c>
      <c r="C1254" s="2" t="str">
        <f>VLOOKUP(MONTH(Tabela1[[#This Row],[Periodo]]),NUMMESES,2,FALSE)</f>
        <v>Abril</v>
      </c>
      <c r="D1254" s="2">
        <f>YEAR(Tabela1[[#This Row],[Periodo]])</f>
        <v>2020</v>
      </c>
      <c r="E1254" s="34">
        <f>(INDEX(TBBP[],MATCH("3.1",planoContas,0)+1,MATCH(Tabela1[[#This Row],[Periodo]],listaPeriodos,0))/INDEX(TBBP[],MATCH("1",planoContas,0)+1,MATCH(Tabela1[[#This Row],[Periodo]],listaPeriodos,0)))</f>
        <v>6.4109438635431559E-2</v>
      </c>
      <c r="F1254" s="34"/>
      <c r="G1254" s="34"/>
      <c r="H1254" s="34"/>
    </row>
    <row r="1255" spans="1:8" x14ac:dyDescent="0.3">
      <c r="A1255" t="s">
        <v>685</v>
      </c>
      <c r="B1255" s="3">
        <f>DATE(YEAR(B1254),MONTH(B1254)+1,DAY(B1254))</f>
        <v>43952</v>
      </c>
      <c r="C1255" s="2" t="str">
        <f>VLOOKUP(MONTH(Tabela1[[#This Row],[Periodo]]),NUMMESES,2,FALSE)</f>
        <v>Maio</v>
      </c>
      <c r="D1255" s="2">
        <f>YEAR(Tabela1[[#This Row],[Periodo]])</f>
        <v>2020</v>
      </c>
      <c r="E1255" s="34">
        <f>(INDEX(TBBP[],MATCH("3.1",planoContas,0)+1,MATCH(Tabela1[[#This Row],[Periodo]],listaPeriodos,0))/INDEX(TBBP[],MATCH("1",planoContas,0)+1,MATCH(Tabela1[[#This Row],[Periodo]],listaPeriodos,0)))</f>
        <v>8.9041378925026213E-2</v>
      </c>
      <c r="F1255" s="34"/>
      <c r="G1255" s="34"/>
      <c r="H1255" s="34"/>
    </row>
    <row r="1256" spans="1:8" x14ac:dyDescent="0.3">
      <c r="A1256" t="s">
        <v>685</v>
      </c>
      <c r="B1256" s="3">
        <f t="shared" si="15"/>
        <v>43983</v>
      </c>
      <c r="C1256" s="2" t="str">
        <f>VLOOKUP(MONTH(Tabela1[[#This Row],[Periodo]]),NUMMESES,2,FALSE)</f>
        <v>Junho</v>
      </c>
      <c r="D1256" s="2">
        <f>YEAR(Tabela1[[#This Row],[Periodo]])</f>
        <v>2020</v>
      </c>
      <c r="E1256" s="34">
        <f>(INDEX(TBBP[],MATCH("3.1",planoContas,0)+1,MATCH(Tabela1[[#This Row],[Periodo]],listaPeriodos,0))/INDEX(TBBP[],MATCH("1",planoContas,0)+1,MATCH(Tabela1[[#This Row],[Periodo]],listaPeriodos,0)))</f>
        <v>0.12802415315700524</v>
      </c>
      <c r="F1256" s="34"/>
      <c r="G1256" s="34"/>
      <c r="H1256" s="34"/>
    </row>
    <row r="1257" spans="1:8" x14ac:dyDescent="0.3">
      <c r="A1257" t="s">
        <v>685</v>
      </c>
      <c r="B1257" s="3">
        <f t="shared" si="15"/>
        <v>44013</v>
      </c>
      <c r="C1257" s="2" t="str">
        <f>VLOOKUP(MONTH(Tabela1[[#This Row],[Periodo]]),NUMMESES,2,FALSE)</f>
        <v>Julho</v>
      </c>
      <c r="D1257" s="2">
        <f>YEAR(Tabela1[[#This Row],[Periodo]])</f>
        <v>2020</v>
      </c>
      <c r="E1257" s="34">
        <f>(INDEX(TBBP[],MATCH("3.1",planoContas,0)+1,MATCH(Tabela1[[#This Row],[Periodo]],listaPeriodos,0))/INDEX(TBBP[],MATCH("1",planoContas,0)+1,MATCH(Tabela1[[#This Row],[Periodo]],listaPeriodos,0)))</f>
        <v>0.13152049717222367</v>
      </c>
      <c r="F1257" s="34"/>
      <c r="G1257" s="34"/>
      <c r="H1257" s="34"/>
    </row>
    <row r="1258" spans="1:8" x14ac:dyDescent="0.3">
      <c r="A1258" t="s">
        <v>685</v>
      </c>
      <c r="B1258" s="3">
        <f t="shared" si="15"/>
        <v>44044</v>
      </c>
      <c r="C1258" s="2" t="str">
        <f>VLOOKUP(MONTH(Tabela1[[#This Row],[Periodo]]),NUMMESES,2,FALSE)</f>
        <v>Agosto</v>
      </c>
      <c r="D1258" s="2">
        <f>YEAR(Tabela1[[#This Row],[Periodo]])</f>
        <v>2020</v>
      </c>
      <c r="E1258" s="34">
        <f>(INDEX(TBBP[],MATCH("3.1",planoContas,0)+1,MATCH(Tabela1[[#This Row],[Periodo]],listaPeriodos,0))/INDEX(TBBP[],MATCH("1",planoContas,0)+1,MATCH(Tabela1[[#This Row],[Periodo]],listaPeriodos,0)))</f>
        <v>0.12988755091039275</v>
      </c>
      <c r="F1258" s="34"/>
      <c r="G1258" s="34"/>
      <c r="H1258" s="34"/>
    </row>
    <row r="1259" spans="1:8" x14ac:dyDescent="0.3">
      <c r="A1259" t="s">
        <v>685</v>
      </c>
      <c r="B1259" s="3">
        <f t="shared" si="15"/>
        <v>44075</v>
      </c>
      <c r="C1259" s="2" t="str">
        <f>VLOOKUP(MONTH(Tabela1[[#This Row],[Periodo]]),NUMMESES,2,FALSE)</f>
        <v>Setembro</v>
      </c>
      <c r="D1259" s="2">
        <f>YEAR(Tabela1[[#This Row],[Periodo]])</f>
        <v>2020</v>
      </c>
      <c r="E1259" s="34">
        <f>(INDEX(TBBP[],MATCH("3.1",planoContas,0)+1,MATCH(Tabela1[[#This Row],[Periodo]],listaPeriodos,0))/INDEX(TBBP[],MATCH("1",planoContas,0)+1,MATCH(Tabela1[[#This Row],[Periodo]],listaPeriodos,0)))</f>
        <v>0.13324134111261363</v>
      </c>
      <c r="F1259" s="34"/>
      <c r="G1259" s="34"/>
      <c r="H1259" s="34"/>
    </row>
    <row r="1260" spans="1:8" x14ac:dyDescent="0.3">
      <c r="A1260" t="s">
        <v>685</v>
      </c>
      <c r="B1260" s="3">
        <f t="shared" si="15"/>
        <v>44105</v>
      </c>
      <c r="C1260" s="2" t="str">
        <f>VLOOKUP(MONTH(Tabela1[[#This Row],[Periodo]]),NUMMESES,2,FALSE)</f>
        <v>Outubro</v>
      </c>
      <c r="D1260" s="2">
        <f>YEAR(Tabela1[[#This Row],[Periodo]])</f>
        <v>2020</v>
      </c>
      <c r="E1260" s="34">
        <f>(INDEX(TBBP[],MATCH("3.1",planoContas,0)+1,MATCH(Tabela1[[#This Row],[Periodo]],listaPeriodos,0))/INDEX(TBBP[],MATCH("1",planoContas,0)+1,MATCH(Tabela1[[#This Row],[Periodo]],listaPeriodos,0)))</f>
        <v>0.15508759879042802</v>
      </c>
      <c r="F1260" s="34"/>
      <c r="G1260" s="34"/>
      <c r="H1260" s="34"/>
    </row>
    <row r="1261" spans="1:8" x14ac:dyDescent="0.3">
      <c r="A1261" t="s">
        <v>685</v>
      </c>
      <c r="B1261" s="3">
        <f t="shared" si="15"/>
        <v>44136</v>
      </c>
      <c r="C1261" s="2" t="str">
        <f>VLOOKUP(MONTH(Tabela1[[#This Row],[Periodo]]),NUMMESES,2,FALSE)</f>
        <v>Novembro</v>
      </c>
      <c r="D1261" s="2">
        <f>YEAR(Tabela1[[#This Row],[Periodo]])</f>
        <v>2020</v>
      </c>
      <c r="E1261" s="34">
        <f>(INDEX(TBBP[],MATCH("3.1",planoContas,0)+1,MATCH(Tabela1[[#This Row],[Periodo]],listaPeriodos,0))/INDEX(TBBP[],MATCH("1",planoContas,0)+1,MATCH(Tabela1[[#This Row],[Periodo]],listaPeriodos,0)))</f>
        <v>0.11991635625094989</v>
      </c>
      <c r="F1261" s="34"/>
      <c r="G1261" s="34"/>
      <c r="H1261" s="34"/>
    </row>
    <row r="1262" spans="1:8" x14ac:dyDescent="0.3">
      <c r="A1262" t="s">
        <v>685</v>
      </c>
      <c r="B1262" s="3">
        <f t="shared" si="15"/>
        <v>44166</v>
      </c>
      <c r="C1262" s="2" t="str">
        <f>VLOOKUP(MONTH(Tabela1[[#This Row],[Periodo]]),NUMMESES,2,FALSE)</f>
        <v>Dezembro</v>
      </c>
      <c r="D1262" s="2">
        <f>YEAR(Tabela1[[#This Row],[Periodo]])</f>
        <v>2020</v>
      </c>
      <c r="E1262" s="34">
        <f>(INDEX(TBBP[],MATCH("3.1",planoContas,0)+1,MATCH(Tabela1[[#This Row],[Periodo]],listaPeriodos,0))/INDEX(TBBP[],MATCH("1",planoContas,0)+1,MATCH(Tabela1[[#This Row],[Periodo]],listaPeriodos,0)))</f>
        <v>0.10770015859024336</v>
      </c>
      <c r="F1262" s="34"/>
      <c r="G1262" s="34"/>
      <c r="H1262" s="34"/>
    </row>
    <row r="1263" spans="1:8" x14ac:dyDescent="0.3">
      <c r="A1263" t="s">
        <v>685</v>
      </c>
      <c r="B1263" s="3">
        <f t="shared" si="15"/>
        <v>44197</v>
      </c>
      <c r="C1263" s="2" t="str">
        <f>VLOOKUP(MONTH(Tabela1[[#This Row],[Periodo]]),NUMMESES,2,FALSE)</f>
        <v>Janeiro</v>
      </c>
      <c r="D1263" s="2">
        <f>YEAR(Tabela1[[#This Row],[Periodo]])</f>
        <v>2021</v>
      </c>
      <c r="E1263" s="34">
        <f>(INDEX(TBBP[],MATCH("3.1",planoContas,0)+1,MATCH(Tabela1[[#This Row],[Periodo]],listaPeriodos,0))/INDEX(TBBP[],MATCH("1",planoContas,0)+1,MATCH(Tabela1[[#This Row],[Periodo]],listaPeriodos,0)))</f>
        <v>0.11654984857106751</v>
      </c>
      <c r="F1263" s="34"/>
      <c r="G1263" s="34"/>
      <c r="H1263" s="34"/>
    </row>
    <row r="1264" spans="1:8" x14ac:dyDescent="0.3">
      <c r="A1264" t="s">
        <v>685</v>
      </c>
      <c r="B1264" s="3">
        <f t="shared" si="15"/>
        <v>44228</v>
      </c>
      <c r="C1264" s="2" t="str">
        <f>VLOOKUP(MONTH(Tabela1[[#This Row],[Periodo]]),NUMMESES,2,FALSE)</f>
        <v>Fevereiro</v>
      </c>
      <c r="D1264" s="2">
        <f>YEAR(Tabela1[[#This Row],[Periodo]])</f>
        <v>2021</v>
      </c>
      <c r="E1264" s="34">
        <f>(INDEX(TBBP[],MATCH("3.1",planoContas,0)+1,MATCH(Tabela1[[#This Row],[Periodo]],listaPeriodos,0))/INDEX(TBBP[],MATCH("1",planoContas,0)+1,MATCH(Tabela1[[#This Row],[Periodo]],listaPeriodos,0)))</f>
        <v>0.11400462921317814</v>
      </c>
      <c r="F1264" s="34"/>
      <c r="G1264" s="34"/>
      <c r="H1264" s="34"/>
    </row>
    <row r="1265" spans="1:8" x14ac:dyDescent="0.3">
      <c r="A1265" t="s">
        <v>685</v>
      </c>
      <c r="B1265" s="3">
        <f t="shared" si="15"/>
        <v>44256</v>
      </c>
      <c r="C1265" s="2" t="str">
        <f>VLOOKUP(MONTH(Tabela1[[#This Row],[Periodo]]),NUMMESES,2,FALSE)</f>
        <v>Março</v>
      </c>
      <c r="D1265" s="2">
        <f>YEAR(Tabela1[[#This Row],[Periodo]])</f>
        <v>2021</v>
      </c>
      <c r="E1265" s="34">
        <f>(INDEX(TBBP[],MATCH("3.1",planoContas,0)+1,MATCH(Tabela1[[#This Row],[Periodo]],listaPeriodos,0))/INDEX(TBBP[],MATCH("1",planoContas,0)+1,MATCH(Tabela1[[#This Row],[Periodo]],listaPeriodos,0)))</f>
        <v>0.12378022055853109</v>
      </c>
      <c r="F1265" s="34"/>
      <c r="G1265" s="34"/>
      <c r="H1265" s="34"/>
    </row>
    <row r="1266" spans="1:8" x14ac:dyDescent="0.3">
      <c r="A1266" t="s">
        <v>685</v>
      </c>
      <c r="B1266" s="3">
        <f t="shared" si="15"/>
        <v>44287</v>
      </c>
      <c r="C1266" s="2" t="str">
        <f>VLOOKUP(MONTH(Tabela1[[#This Row],[Periodo]]),NUMMESES,2,FALSE)</f>
        <v>Abril</v>
      </c>
      <c r="D1266" s="2">
        <f>YEAR(Tabela1[[#This Row],[Periodo]])</f>
        <v>2021</v>
      </c>
      <c r="E1266" s="34">
        <f>(INDEX(TBBP[],MATCH("3.1",planoContas,0)+1,MATCH(Tabela1[[#This Row],[Periodo]],listaPeriodos,0))/INDEX(TBBP[],MATCH("1",planoContas,0)+1,MATCH(Tabela1[[#This Row],[Periodo]],listaPeriodos,0)))</f>
        <v>0.13905525821631984</v>
      </c>
      <c r="F1266" s="34"/>
      <c r="G1266" s="34"/>
      <c r="H1266" s="34"/>
    </row>
    <row r="1267" spans="1:8" x14ac:dyDescent="0.3">
      <c r="A1267" t="s">
        <v>685</v>
      </c>
      <c r="B1267" s="3">
        <f t="shared" si="15"/>
        <v>44317</v>
      </c>
      <c r="C1267" s="2" t="str">
        <f>VLOOKUP(MONTH(Tabela1[[#This Row],[Periodo]]),NUMMESES,2,FALSE)</f>
        <v>Maio</v>
      </c>
      <c r="D1267" s="2">
        <f>YEAR(Tabela1[[#This Row],[Periodo]])</f>
        <v>2021</v>
      </c>
      <c r="E1267" s="34">
        <f>(INDEX(TBBP[],MATCH("3.1",planoContas,0)+1,MATCH(Tabela1[[#This Row],[Periodo]],listaPeriodos,0))/INDEX(TBBP[],MATCH("1",planoContas,0)+1,MATCH(Tabela1[[#This Row],[Periodo]],listaPeriodos,0)))</f>
        <v>0.14771252154606629</v>
      </c>
      <c r="F1267" s="34"/>
      <c r="G1267" s="34"/>
      <c r="H1267" s="34"/>
    </row>
    <row r="1268" spans="1:8" x14ac:dyDescent="0.3">
      <c r="A1268" t="s">
        <v>685</v>
      </c>
      <c r="B1268" s="3">
        <f t="shared" si="15"/>
        <v>44348</v>
      </c>
      <c r="C1268" s="2" t="str">
        <f>VLOOKUP(MONTH(Tabela1[[#This Row],[Periodo]]),NUMMESES,2,FALSE)</f>
        <v>Junho</v>
      </c>
      <c r="D1268" s="2">
        <f>YEAR(Tabela1[[#This Row],[Periodo]])</f>
        <v>2021</v>
      </c>
      <c r="E1268" s="34">
        <f>(INDEX(TBBP[],MATCH("3.1",planoContas,0)+1,MATCH(Tabela1[[#This Row],[Periodo]],listaPeriodos,0))/INDEX(TBBP[],MATCH("1",planoContas,0)+1,MATCH(Tabela1[[#This Row],[Periodo]],listaPeriodos,0)))</f>
        <v>0.16214559949243568</v>
      </c>
      <c r="F1268" s="34"/>
      <c r="G1268" s="34"/>
      <c r="H1268" s="34"/>
    </row>
    <row r="1269" spans="1:8" x14ac:dyDescent="0.3">
      <c r="A1269" t="s">
        <v>685</v>
      </c>
      <c r="B1269" s="3">
        <f t="shared" si="15"/>
        <v>44378</v>
      </c>
      <c r="C1269" s="2" t="str">
        <f>VLOOKUP(MONTH(Tabela1[[#This Row],[Periodo]]),NUMMESES,2,FALSE)</f>
        <v>Julho</v>
      </c>
      <c r="D1269" s="2">
        <f>YEAR(Tabela1[[#This Row],[Periodo]])</f>
        <v>2021</v>
      </c>
      <c r="E1269" s="34">
        <f>(INDEX(TBBP[],MATCH("3.1",planoContas,0)+1,MATCH(Tabela1[[#This Row],[Periodo]],listaPeriodos,0))/INDEX(TBBP[],MATCH("1",planoContas,0)+1,MATCH(Tabela1[[#This Row],[Periodo]],listaPeriodos,0)))</f>
        <v>0.16562279122956278</v>
      </c>
      <c r="F1269" s="34"/>
      <c r="G1269" s="34"/>
      <c r="H1269" s="34"/>
    </row>
    <row r="1270" spans="1:8" x14ac:dyDescent="0.3">
      <c r="A1270" t="s">
        <v>685</v>
      </c>
      <c r="B1270" s="3">
        <f t="shared" si="15"/>
        <v>44409</v>
      </c>
      <c r="C1270" s="2" t="str">
        <f>VLOOKUP(MONTH(Tabela1[[#This Row],[Periodo]]),NUMMESES,2,FALSE)</f>
        <v>Agosto</v>
      </c>
      <c r="D1270" s="2">
        <f>YEAR(Tabela1[[#This Row],[Periodo]])</f>
        <v>2021</v>
      </c>
      <c r="E1270" s="34">
        <f>(INDEX(TBBP[],MATCH("3.1",planoContas,0)+1,MATCH(Tabela1[[#This Row],[Periodo]],listaPeriodos,0))/INDEX(TBBP[],MATCH("1",planoContas,0)+1,MATCH(Tabela1[[#This Row],[Periodo]],listaPeriodos,0)))</f>
        <v>0.14916552363275315</v>
      </c>
      <c r="F1270" s="34"/>
      <c r="G1270" s="34"/>
      <c r="H1270" s="34"/>
    </row>
    <row r="1271" spans="1:8" x14ac:dyDescent="0.3">
      <c r="A1271" t="s">
        <v>685</v>
      </c>
      <c r="B1271" s="3">
        <f t="shared" si="15"/>
        <v>44440</v>
      </c>
      <c r="C1271" s="2" t="str">
        <f>VLOOKUP(MONTH(Tabela1[[#This Row],[Periodo]]),NUMMESES,2,FALSE)</f>
        <v>Setembro</v>
      </c>
      <c r="D1271" s="2">
        <f>YEAR(Tabela1[[#This Row],[Periodo]])</f>
        <v>2021</v>
      </c>
      <c r="E1271" s="34">
        <f>(INDEX(TBBP[],MATCH("3.1",planoContas,0)+1,MATCH(Tabela1[[#This Row],[Periodo]],listaPeriodos,0))/INDEX(TBBP[],MATCH("1",planoContas,0)+1,MATCH(Tabela1[[#This Row],[Periodo]],listaPeriodos,0)))</f>
        <v>0.14031013017720739</v>
      </c>
      <c r="F1271" s="34"/>
      <c r="G1271" s="34"/>
      <c r="H1271" s="34"/>
    </row>
    <row r="1272" spans="1:8" x14ac:dyDescent="0.3">
      <c r="A1272" t="s">
        <v>685</v>
      </c>
      <c r="B1272" s="3">
        <f t="shared" si="15"/>
        <v>44470</v>
      </c>
      <c r="C1272" s="2" t="str">
        <f>VLOOKUP(MONTH(Tabela1[[#This Row],[Periodo]]),NUMMESES,2,FALSE)</f>
        <v>Outubro</v>
      </c>
      <c r="D1272" s="2">
        <f>YEAR(Tabela1[[#This Row],[Periodo]])</f>
        <v>2021</v>
      </c>
      <c r="E1272" s="34">
        <f>(INDEX(TBBP[],MATCH("3.1",planoContas,0)+1,MATCH(Tabela1[[#This Row],[Periodo]],listaPeriodos,0))/INDEX(TBBP[],MATCH("1",planoContas,0)+1,MATCH(Tabela1[[#This Row],[Periodo]],listaPeriodos,0)))</f>
        <v>0.119391472078604</v>
      </c>
      <c r="F1272" s="34"/>
      <c r="G1272" s="34"/>
      <c r="H1272" s="34"/>
    </row>
    <row r="1273" spans="1:8" x14ac:dyDescent="0.3">
      <c r="A1273" t="s">
        <v>685</v>
      </c>
      <c r="B1273" s="3">
        <f t="shared" si="15"/>
        <v>44501</v>
      </c>
      <c r="C1273" s="2" t="str">
        <f>VLOOKUP(MONTH(Tabela1[[#This Row],[Periodo]]),NUMMESES,2,FALSE)</f>
        <v>Novembro</v>
      </c>
      <c r="D1273" s="2">
        <f>YEAR(Tabela1[[#This Row],[Periodo]])</f>
        <v>2021</v>
      </c>
      <c r="E1273" s="34">
        <f>(INDEX(TBBP[],MATCH("3.1",planoContas,0)+1,MATCH(Tabela1[[#This Row],[Periodo]],listaPeriodos,0))/INDEX(TBBP[],MATCH("1",planoContas,0)+1,MATCH(Tabela1[[#This Row],[Periodo]],listaPeriodos,0)))</f>
        <v>9.7549832418478477E-2</v>
      </c>
      <c r="F1273" s="34"/>
      <c r="G1273" s="34"/>
      <c r="H1273" s="34"/>
    </row>
    <row r="1274" spans="1:8" x14ac:dyDescent="0.3">
      <c r="A1274" t="s">
        <v>685</v>
      </c>
      <c r="B1274" s="3">
        <f t="shared" si="15"/>
        <v>44531</v>
      </c>
      <c r="C1274" s="2" t="str">
        <f>VLOOKUP(MONTH(Tabela1[[#This Row],[Periodo]]),NUMMESES,2,FALSE)</f>
        <v>Dezembro</v>
      </c>
      <c r="D1274" s="2">
        <f>YEAR(Tabela1[[#This Row],[Periodo]])</f>
        <v>2021</v>
      </c>
      <c r="E1274" s="34">
        <f>(INDEX(TBBP[],MATCH("3.1",planoContas,0)+1,MATCH(Tabela1[[#This Row],[Periodo]],listaPeriodos,0))/INDEX(TBBP[],MATCH("1",planoContas,0)+1,MATCH(Tabela1[[#This Row],[Periodo]],listaPeriodos,0)))</f>
        <v>8.6816406694578241E-2</v>
      </c>
      <c r="F1274" s="34"/>
      <c r="G1274" s="34"/>
      <c r="H1274" s="34"/>
    </row>
    <row r="1275" spans="1:8" x14ac:dyDescent="0.3">
      <c r="A1275" t="s">
        <v>685</v>
      </c>
      <c r="B1275" s="3">
        <f t="shared" si="15"/>
        <v>44562</v>
      </c>
      <c r="C1275" s="2" t="str">
        <f>VLOOKUP(MONTH(Tabela1[[#This Row],[Periodo]]),NUMMESES,2,FALSE)</f>
        <v>Janeiro</v>
      </c>
      <c r="D1275" s="2">
        <f>YEAR(Tabela1[[#This Row],[Periodo]])</f>
        <v>2022</v>
      </c>
      <c r="E1275" s="34">
        <f>(INDEX(TBBP[],MATCH("3.1",planoContas,0)+1,MATCH(Tabela1[[#This Row],[Periodo]],listaPeriodos,0))/INDEX(TBBP[],MATCH("1",planoContas,0)+1,MATCH(Tabela1[[#This Row],[Periodo]],listaPeriodos,0)))</f>
        <v>8.4318722852823755E-2</v>
      </c>
      <c r="F1275" s="34"/>
      <c r="G1275" s="34"/>
      <c r="H1275" s="34"/>
    </row>
    <row r="1276" spans="1:8" x14ac:dyDescent="0.3">
      <c r="A1276" t="s">
        <v>685</v>
      </c>
      <c r="B1276" s="3">
        <f t="shared" si="15"/>
        <v>44593</v>
      </c>
      <c r="C1276" s="2" t="str">
        <f>VLOOKUP(MONTH(Tabela1[[#This Row],[Periodo]]),NUMMESES,2,FALSE)</f>
        <v>Fevereiro</v>
      </c>
      <c r="D1276" s="2">
        <f>YEAR(Tabela1[[#This Row],[Periodo]])</f>
        <v>2022</v>
      </c>
      <c r="E1276" s="34">
        <f>(INDEX(TBBP[],MATCH("3.1",planoContas,0)+1,MATCH(Tabela1[[#This Row],[Periodo]],listaPeriodos,0))/INDEX(TBBP[],MATCH("1",planoContas,0)+1,MATCH(Tabela1[[#This Row],[Periodo]],listaPeriodos,0)))</f>
        <v>0.10129916312883727</v>
      </c>
      <c r="F1276" s="34"/>
      <c r="G1276" s="34"/>
      <c r="H1276" s="34"/>
    </row>
    <row r="1277" spans="1:8" x14ac:dyDescent="0.3">
      <c r="A1277" t="s">
        <v>685</v>
      </c>
      <c r="B1277" s="3">
        <f t="shared" si="15"/>
        <v>44621</v>
      </c>
      <c r="C1277" s="2" t="str">
        <f>VLOOKUP(MONTH(Tabela1[[#This Row],[Periodo]]),NUMMESES,2,FALSE)</f>
        <v>Março</v>
      </c>
      <c r="D1277" s="2">
        <f>YEAR(Tabela1[[#This Row],[Periodo]])</f>
        <v>2022</v>
      </c>
      <c r="E1277" s="34">
        <f>(INDEX(TBBP[],MATCH("3.1",planoContas,0)+1,MATCH(Tabela1[[#This Row],[Periodo]],listaPeriodos,0))/INDEX(TBBP[],MATCH("1",planoContas,0)+1,MATCH(Tabela1[[#This Row],[Periodo]],listaPeriodos,0)))</f>
        <v>0.15159500877656884</v>
      </c>
      <c r="F1277" s="34"/>
      <c r="G1277" s="34"/>
      <c r="H1277" s="34"/>
    </row>
    <row r="1278" spans="1:8" x14ac:dyDescent="0.3">
      <c r="A1278" t="s">
        <v>685</v>
      </c>
      <c r="B1278" s="3">
        <f t="shared" si="15"/>
        <v>44652</v>
      </c>
      <c r="C1278" s="2" t="str">
        <f>VLOOKUP(MONTH(Tabela1[[#This Row],[Periodo]]),NUMMESES,2,FALSE)</f>
        <v>Abril</v>
      </c>
      <c r="D1278" s="2">
        <f>YEAR(Tabela1[[#This Row],[Periodo]])</f>
        <v>2022</v>
      </c>
      <c r="E1278" s="34">
        <f>(INDEX(TBBP[],MATCH("3.1",planoContas,0)+1,MATCH(Tabela1[[#This Row],[Periodo]],listaPeriodos,0))/INDEX(TBBP[],MATCH("1",planoContas,0)+1,MATCH(Tabela1[[#This Row],[Periodo]],listaPeriodos,0)))</f>
        <v>0.10490853324577747</v>
      </c>
      <c r="F1278" s="34"/>
      <c r="G1278" s="34"/>
      <c r="H1278" s="34"/>
    </row>
    <row r="1279" spans="1:8" x14ac:dyDescent="0.3">
      <c r="A1279" t="s">
        <v>685</v>
      </c>
      <c r="B1279" s="3">
        <f t="shared" si="15"/>
        <v>44682</v>
      </c>
      <c r="C1279" s="2" t="str">
        <f>VLOOKUP(MONTH(Tabela1[[#This Row],[Periodo]]),NUMMESES,2,FALSE)</f>
        <v>Maio</v>
      </c>
      <c r="D1279" s="2">
        <f>YEAR(Tabela1[[#This Row],[Periodo]])</f>
        <v>2022</v>
      </c>
      <c r="E1279" s="34">
        <f>(INDEX(TBBP[],MATCH("3.1",planoContas,0)+1,MATCH(Tabela1[[#This Row],[Periodo]],listaPeriodos,0))/INDEX(TBBP[],MATCH("1",planoContas,0)+1,MATCH(Tabela1[[#This Row],[Periodo]],listaPeriodos,0)))</f>
        <v>0.1122281991505049</v>
      </c>
      <c r="F1279" s="34"/>
      <c r="G1279" s="34"/>
      <c r="H1279" s="34"/>
    </row>
    <row r="1280" spans="1:8" x14ac:dyDescent="0.3">
      <c r="A1280" t="s">
        <v>685</v>
      </c>
      <c r="B1280" s="3">
        <f t="shared" si="15"/>
        <v>44713</v>
      </c>
      <c r="C1280" s="2" t="str">
        <f>VLOOKUP(MONTH(Tabela1[[#This Row],[Periodo]]),NUMMESES,2,FALSE)</f>
        <v>Junho</v>
      </c>
      <c r="D1280" s="2">
        <f>YEAR(Tabela1[[#This Row],[Periodo]])</f>
        <v>2022</v>
      </c>
      <c r="E1280" s="34">
        <f>(INDEX(TBBP[],MATCH("3.1",planoContas,0)+1,MATCH(Tabela1[[#This Row],[Periodo]],listaPeriodos,0))/INDEX(TBBP[],MATCH("1",planoContas,0)+1,MATCH(Tabela1[[#This Row],[Periodo]],listaPeriodos,0)))</f>
        <v>0.10995628654791058</v>
      </c>
      <c r="F1280" s="34"/>
      <c r="G1280" s="34"/>
      <c r="H1280" s="34"/>
    </row>
    <row r="1281" spans="1:8" x14ac:dyDescent="0.3">
      <c r="A1281" t="s">
        <v>685</v>
      </c>
      <c r="B1281" s="3">
        <f t="shared" si="15"/>
        <v>44743</v>
      </c>
      <c r="C1281" s="2" t="str">
        <f>VLOOKUP(MONTH(Tabela1[[#This Row],[Periodo]]),NUMMESES,2,FALSE)</f>
        <v>Julho</v>
      </c>
      <c r="D1281" s="2">
        <f>YEAR(Tabela1[[#This Row],[Periodo]])</f>
        <v>2022</v>
      </c>
      <c r="E1281" s="34">
        <f>(INDEX(TBBP[],MATCH("3.1",planoContas,0)+1,MATCH(Tabela1[[#This Row],[Periodo]],listaPeriodos,0))/INDEX(TBBP[],MATCH("1",planoContas,0)+1,MATCH(Tabela1[[#This Row],[Periodo]],listaPeriodos,0)))</f>
        <v>9.7165000426780307E-2</v>
      </c>
      <c r="F1281" s="34"/>
      <c r="G1281" s="34"/>
      <c r="H1281" s="34"/>
    </row>
    <row r="1282" spans="1:8" x14ac:dyDescent="0.3">
      <c r="A1282" t="s">
        <v>685</v>
      </c>
      <c r="B1282" s="3">
        <f t="shared" si="15"/>
        <v>44774</v>
      </c>
      <c r="C1282" s="2" t="str">
        <f>VLOOKUP(MONTH(Tabela1[[#This Row],[Periodo]]),NUMMESES,2,FALSE)</f>
        <v>Agosto</v>
      </c>
      <c r="D1282" s="2">
        <f>YEAR(Tabela1[[#This Row],[Periodo]])</f>
        <v>2022</v>
      </c>
      <c r="E1282" s="34">
        <f>(INDEX(TBBP[],MATCH("3.1",planoContas,0)+1,MATCH(Tabela1[[#This Row],[Periodo]],listaPeriodos,0))/INDEX(TBBP[],MATCH("1",planoContas,0)+1,MATCH(Tabela1[[#This Row],[Periodo]],listaPeriodos,0)))</f>
        <v>0.10234601906048736</v>
      </c>
      <c r="F1282" s="34"/>
      <c r="G1282" s="34"/>
      <c r="H1282" s="34"/>
    </row>
    <row r="1283" spans="1:8" x14ac:dyDescent="0.3">
      <c r="A1283" t="s">
        <v>685</v>
      </c>
      <c r="B1283" s="3">
        <f t="shared" si="15"/>
        <v>44805</v>
      </c>
      <c r="C1283" s="2" t="str">
        <f>VLOOKUP(MONTH(Tabela1[[#This Row],[Periodo]]),NUMMESES,2,FALSE)</f>
        <v>Setembro</v>
      </c>
      <c r="D1283" s="2">
        <f>YEAR(Tabela1[[#This Row],[Periodo]])</f>
        <v>2022</v>
      </c>
      <c r="E1283" s="34">
        <f>(INDEX(TBBP[],MATCH("3.1",planoContas,0)+1,MATCH(Tabela1[[#This Row],[Periodo]],listaPeriodos,0))/INDEX(TBBP[],MATCH("1",planoContas,0)+1,MATCH(Tabela1[[#This Row],[Periodo]],listaPeriodos,0)))</f>
        <v>0.10097704071292977</v>
      </c>
      <c r="F1283" s="34"/>
      <c r="G1283" s="34"/>
      <c r="H1283" s="34"/>
    </row>
    <row r="1284" spans="1:8" x14ac:dyDescent="0.3">
      <c r="A1284" t="s">
        <v>685</v>
      </c>
      <c r="B1284" s="3">
        <f t="shared" si="15"/>
        <v>44835</v>
      </c>
      <c r="C1284" s="2" t="str">
        <f>VLOOKUP(MONTH(Tabela1[[#This Row],[Periodo]]),NUMMESES,2,FALSE)</f>
        <v>Outubro</v>
      </c>
      <c r="D1284" s="2">
        <f>YEAR(Tabela1[[#This Row],[Periodo]])</f>
        <v>2022</v>
      </c>
      <c r="E1284" s="34">
        <f>(INDEX(TBBP[],MATCH("3.1",planoContas,0)+1,MATCH(Tabela1[[#This Row],[Periodo]],listaPeriodos,0))/INDEX(TBBP[],MATCH("1",planoContas,0)+1,MATCH(Tabela1[[#This Row],[Periodo]],listaPeriodos,0)))</f>
        <v>6.824266709929161E-2</v>
      </c>
      <c r="F1284" s="34"/>
      <c r="G1284" s="34"/>
      <c r="H1284" s="34"/>
    </row>
    <row r="1285" spans="1:8" x14ac:dyDescent="0.3">
      <c r="A1285" t="s">
        <v>685</v>
      </c>
      <c r="B1285" s="3">
        <f t="shared" si="15"/>
        <v>44866</v>
      </c>
      <c r="C1285" s="2" t="str">
        <f>VLOOKUP(MONTH(Tabela1[[#This Row],[Periodo]]),NUMMESES,2,FALSE)</f>
        <v>Novembro</v>
      </c>
      <c r="D1285" s="2">
        <f>YEAR(Tabela1[[#This Row],[Periodo]])</f>
        <v>2022</v>
      </c>
      <c r="E1285" s="34">
        <f>(INDEX(TBBP[],MATCH("3.1",planoContas,0)+1,MATCH(Tabela1[[#This Row],[Periodo]],listaPeriodos,0))/INDEX(TBBP[],MATCH("1",planoContas,0)+1,MATCH(Tabela1[[#This Row],[Periodo]],listaPeriodos,0)))</f>
        <v>8.6105956672559825E-2</v>
      </c>
      <c r="F1285" s="34"/>
      <c r="G1285" s="34"/>
      <c r="H1285" s="34"/>
    </row>
    <row r="1286" spans="1:8" x14ac:dyDescent="0.3">
      <c r="A1286" t="s">
        <v>685</v>
      </c>
      <c r="B1286" s="3">
        <f t="shared" si="15"/>
        <v>44896</v>
      </c>
      <c r="C1286" s="2" t="str">
        <f>VLOOKUP(MONTH(Tabela1[[#This Row],[Periodo]]),NUMMESES,2,FALSE)</f>
        <v>Dezembro</v>
      </c>
      <c r="D1286" s="2">
        <f>YEAR(Tabela1[[#This Row],[Periodo]])</f>
        <v>2022</v>
      </c>
      <c r="E1286" s="34">
        <f>(INDEX(TBBP[],MATCH("3.1",planoContas,0)+1,MATCH(Tabela1[[#This Row],[Periodo]],listaPeriodos,0))/INDEX(TBBP[],MATCH("1",planoContas,0)+1,MATCH(Tabela1[[#This Row],[Periodo]],listaPeriodos,0)))</f>
        <v>7.2620973270209305E-2</v>
      </c>
      <c r="F1286" s="34"/>
      <c r="G1286" s="34"/>
      <c r="H1286" s="34"/>
    </row>
    <row r="1287" spans="1:8" x14ac:dyDescent="0.3">
      <c r="A1287" t="s">
        <v>685</v>
      </c>
      <c r="B1287" s="3">
        <f t="shared" si="15"/>
        <v>44927</v>
      </c>
      <c r="C1287" s="2" t="str">
        <f>VLOOKUP(MONTH(Tabela1[[#This Row],[Periodo]]),NUMMESES,2,FALSE)</f>
        <v>Janeiro</v>
      </c>
      <c r="D1287" s="2">
        <f>YEAR(Tabela1[[#This Row],[Periodo]])</f>
        <v>2023</v>
      </c>
      <c r="E1287" s="34">
        <f>(INDEX(TBBP[],MATCH("3.1",planoContas,0)+1,MATCH(Tabela1[[#This Row],[Periodo]],listaPeriodos,0))/INDEX(TBBP[],MATCH("1",planoContas,0)+1,MATCH(Tabela1[[#This Row],[Periodo]],listaPeriodos,0)))</f>
        <v>6.0969501617001397E-2</v>
      </c>
      <c r="F1287" s="34"/>
      <c r="G1287" s="34"/>
      <c r="H1287" s="34"/>
    </row>
    <row r="1288" spans="1:8" x14ac:dyDescent="0.3">
      <c r="A1288" t="s">
        <v>685</v>
      </c>
      <c r="B1288" s="3">
        <f t="shared" si="15"/>
        <v>44958</v>
      </c>
      <c r="C1288" s="2" t="str">
        <f>VLOOKUP(MONTH(Tabela1[[#This Row],[Periodo]]),NUMMESES,2,FALSE)</f>
        <v>Fevereiro</v>
      </c>
      <c r="D1288" s="2">
        <f>YEAR(Tabela1[[#This Row],[Periodo]])</f>
        <v>2023</v>
      </c>
      <c r="E1288" s="34">
        <f>(INDEX(TBBP[],MATCH("3.1",planoContas,0)+1,MATCH(Tabela1[[#This Row],[Periodo]],listaPeriodos,0))/INDEX(TBBP[],MATCH("1",planoContas,0)+1,MATCH(Tabela1[[#This Row],[Periodo]],listaPeriodos,0)))</f>
        <v>6.6697273216839575E-2</v>
      </c>
      <c r="F1288" s="34"/>
      <c r="G1288" s="34"/>
      <c r="H1288" s="34"/>
    </row>
    <row r="1289" spans="1:8" x14ac:dyDescent="0.3">
      <c r="A1289" t="s">
        <v>685</v>
      </c>
      <c r="B1289" s="3">
        <f t="shared" si="15"/>
        <v>44986</v>
      </c>
      <c r="C1289" s="2" t="str">
        <f>VLOOKUP(MONTH(Tabela1[[#This Row],[Periodo]]),NUMMESES,2,FALSE)</f>
        <v>Março</v>
      </c>
      <c r="D1289" s="2">
        <f>YEAR(Tabela1[[#This Row],[Periodo]])</f>
        <v>2023</v>
      </c>
      <c r="E1289" s="34">
        <f>(INDEX(TBBP[],MATCH("3.1",planoContas,0)+1,MATCH(Tabela1[[#This Row],[Periodo]],listaPeriodos,0))/INDEX(TBBP[],MATCH("1",planoContas,0)+1,MATCH(Tabela1[[#This Row],[Periodo]],listaPeriodos,0)))</f>
        <v>7.9238742441198523E-2</v>
      </c>
      <c r="F1289" s="34"/>
      <c r="G1289" s="34"/>
      <c r="H1289" s="34"/>
    </row>
    <row r="1290" spans="1:8" x14ac:dyDescent="0.3">
      <c r="A1290" t="s">
        <v>685</v>
      </c>
      <c r="B1290" s="3">
        <f t="shared" si="15"/>
        <v>45017</v>
      </c>
      <c r="C1290" s="2" t="str">
        <f>VLOOKUP(MONTH(Tabela1[[#This Row],[Periodo]]),NUMMESES,2,FALSE)</f>
        <v>Abril</v>
      </c>
      <c r="D1290" s="2">
        <f>YEAR(Tabela1[[#This Row],[Periodo]])</f>
        <v>2023</v>
      </c>
      <c r="E1290" s="34">
        <f>(INDEX(TBBP[],MATCH("3.1",planoContas,0)+1,MATCH(Tabela1[[#This Row],[Periodo]],listaPeriodos,0))/INDEX(TBBP[],MATCH("1",planoContas,0)+1,MATCH(Tabela1[[#This Row],[Periodo]],listaPeriodos,0)))</f>
        <v>6.9537168003233063E-2</v>
      </c>
      <c r="F1290" s="34"/>
      <c r="G1290" s="34"/>
      <c r="H1290" s="34"/>
    </row>
    <row r="1291" spans="1:8" x14ac:dyDescent="0.3">
      <c r="A1291" t="s">
        <v>685</v>
      </c>
      <c r="B1291" s="3">
        <f t="shared" si="15"/>
        <v>45047</v>
      </c>
      <c r="C1291" s="2" t="str">
        <f>VLOOKUP(MONTH(Tabela1[[#This Row],[Periodo]]),NUMMESES,2,FALSE)</f>
        <v>Maio</v>
      </c>
      <c r="D1291" s="2">
        <f>YEAR(Tabela1[[#This Row],[Periodo]])</f>
        <v>2023</v>
      </c>
      <c r="E1291" s="34">
        <f>(INDEX(TBBP[],MATCH("3.1",planoContas,0)+1,MATCH(Tabela1[[#This Row],[Periodo]],listaPeriodos,0))/INDEX(TBBP[],MATCH("1",planoContas,0)+1,MATCH(Tabela1[[#This Row],[Periodo]],listaPeriodos,0)))</f>
        <v>0.10894117433196324</v>
      </c>
      <c r="F1291" s="34"/>
      <c r="G1291" s="34"/>
      <c r="H1291" s="34"/>
    </row>
    <row r="1292" spans="1:8" x14ac:dyDescent="0.3">
      <c r="A1292" t="s">
        <v>685</v>
      </c>
      <c r="B1292" s="3">
        <f t="shared" si="15"/>
        <v>45078</v>
      </c>
      <c r="C1292" s="2" t="str">
        <f>VLOOKUP(MONTH(Tabela1[[#This Row],[Periodo]]),NUMMESES,2,FALSE)</f>
        <v>Junho</v>
      </c>
      <c r="D1292" s="2">
        <f>YEAR(Tabela1[[#This Row],[Periodo]])</f>
        <v>2023</v>
      </c>
      <c r="E1292" s="34">
        <f>(INDEX(TBBP[],MATCH("3.1",planoContas,0)+1,MATCH(Tabela1[[#This Row],[Periodo]],listaPeriodos,0))/INDEX(TBBP[],MATCH("1",planoContas,0)+1,MATCH(Tabela1[[#This Row],[Periodo]],listaPeriodos,0)))</f>
        <v>9.7067622528932987E-2</v>
      </c>
      <c r="F1292" s="34"/>
      <c r="G1292" s="34"/>
      <c r="H1292" s="34"/>
    </row>
    <row r="1293" spans="1:8" x14ac:dyDescent="0.3">
      <c r="A1293" t="s">
        <v>685</v>
      </c>
      <c r="B1293" s="3">
        <f t="shared" si="15"/>
        <v>45108</v>
      </c>
      <c r="C1293" s="2" t="str">
        <f>VLOOKUP(MONTH(Tabela1[[#This Row],[Periodo]]),NUMMESES,2,FALSE)</f>
        <v>Julho</v>
      </c>
      <c r="D1293" s="2">
        <f>YEAR(Tabela1[[#This Row],[Periodo]])</f>
        <v>2023</v>
      </c>
      <c r="E1293" s="34">
        <f>(INDEX(TBBP[],MATCH("3.1",planoContas,0)+1,MATCH(Tabela1[[#This Row],[Periodo]],listaPeriodos,0))/INDEX(TBBP[],MATCH("1",planoContas,0)+1,MATCH(Tabela1[[#This Row],[Periodo]],listaPeriodos,0)))</f>
        <v>6.0535425483804271E-2</v>
      </c>
      <c r="F1293" s="34"/>
      <c r="G1293" s="34"/>
      <c r="H1293" s="34"/>
    </row>
    <row r="1294" spans="1:8" x14ac:dyDescent="0.3">
      <c r="A1294" t="s">
        <v>685</v>
      </c>
      <c r="B1294" s="3">
        <f t="shared" si="15"/>
        <v>45139</v>
      </c>
      <c r="C1294" s="2" t="str">
        <f>VLOOKUP(MONTH(Tabela1[[#This Row],[Periodo]]),NUMMESES,2,FALSE)</f>
        <v>Agosto</v>
      </c>
      <c r="D1294" s="2">
        <f>YEAR(Tabela1[[#This Row],[Periodo]])</f>
        <v>2023</v>
      </c>
      <c r="E1294" s="34">
        <f>(INDEX(TBBP[],MATCH("3.1",planoContas,0)+1,MATCH(Tabela1[[#This Row],[Periodo]],listaPeriodos,0))/INDEX(TBBP[],MATCH("1",planoContas,0)+1,MATCH(Tabela1[[#This Row],[Periodo]],listaPeriodos,0)))</f>
        <v>9.150556401066326E-2</v>
      </c>
      <c r="F1294" s="34"/>
      <c r="G1294" s="34"/>
      <c r="H1294" s="34"/>
    </row>
    <row r="1295" spans="1:8" x14ac:dyDescent="0.3">
      <c r="A1295" t="s">
        <v>685</v>
      </c>
      <c r="B1295" s="3">
        <f t="shared" si="15"/>
        <v>45170</v>
      </c>
      <c r="C1295" s="2" t="str">
        <f>VLOOKUP(MONTH(Tabela1[[#This Row],[Periodo]]),NUMMESES,2,FALSE)</f>
        <v>Setembro</v>
      </c>
      <c r="D1295" s="2">
        <f>YEAR(Tabela1[[#This Row],[Periodo]])</f>
        <v>2023</v>
      </c>
      <c r="E1295" s="34">
        <f>(INDEX(TBBP[],MATCH("3.1",planoContas,0)+1,MATCH(Tabela1[[#This Row],[Periodo]],listaPeriodos,0))/INDEX(TBBP[],MATCH("1",planoContas,0)+1,MATCH(Tabela1[[#This Row],[Periodo]],listaPeriodos,0)))</f>
        <v>7.9680225714509056E-2</v>
      </c>
      <c r="F1295" s="34"/>
      <c r="G1295" s="34"/>
      <c r="H1295" s="34"/>
    </row>
    <row r="1296" spans="1:8" x14ac:dyDescent="0.3">
      <c r="A1296" t="s">
        <v>685</v>
      </c>
      <c r="B1296" s="3">
        <f t="shared" si="15"/>
        <v>45200</v>
      </c>
      <c r="C1296" s="2" t="str">
        <f>VLOOKUP(MONTH(Tabela1[[#This Row],[Periodo]]),NUMMESES,2,FALSE)</f>
        <v>Outubro</v>
      </c>
      <c r="D1296" s="2">
        <f>YEAR(Tabela1[[#This Row],[Periodo]])</f>
        <v>2023</v>
      </c>
      <c r="E1296" s="34">
        <f>(INDEX(TBBP[],MATCH("3.1",planoContas,0)+1,MATCH(Tabela1[[#This Row],[Periodo]],listaPeriodos,0))/INDEX(TBBP[],MATCH("1",planoContas,0)+1,MATCH(Tabela1[[#This Row],[Periodo]],listaPeriodos,0)))</f>
        <v>9.4708305995489794E-2</v>
      </c>
      <c r="F1296" s="34"/>
      <c r="G1296" s="34"/>
      <c r="H1296" s="34"/>
    </row>
    <row r="1297" spans="1:8" x14ac:dyDescent="0.3">
      <c r="A1297" t="s">
        <v>685</v>
      </c>
      <c r="B1297" s="3">
        <f t="shared" si="15"/>
        <v>45231</v>
      </c>
      <c r="C1297" s="2" t="str">
        <f>VLOOKUP(MONTH(Tabela1[[#This Row],[Periodo]]),NUMMESES,2,FALSE)</f>
        <v>Novembro</v>
      </c>
      <c r="D1297" s="2">
        <f>YEAR(Tabela1[[#This Row],[Periodo]])</f>
        <v>2023</v>
      </c>
      <c r="E1297" s="34">
        <f>(INDEX(TBBP[],MATCH("3.1",planoContas,0)+1,MATCH(Tabela1[[#This Row],[Periodo]],listaPeriodos,0))/INDEX(TBBP[],MATCH("1",planoContas,0)+1,MATCH(Tabela1[[#This Row],[Periodo]],listaPeriodos,0)))</f>
        <v>6.4338318717609019E-2</v>
      </c>
      <c r="F1297" s="34"/>
      <c r="G1297" s="34"/>
      <c r="H1297" s="34"/>
    </row>
    <row r="1298" spans="1:8" x14ac:dyDescent="0.3">
      <c r="A1298" t="s">
        <v>685</v>
      </c>
      <c r="B1298" s="3">
        <f t="shared" si="15"/>
        <v>45261</v>
      </c>
      <c r="C1298" s="2" t="str">
        <f>VLOOKUP(MONTH(Tabela1[[#This Row],[Periodo]]),NUMMESES,2,FALSE)</f>
        <v>Dezembro</v>
      </c>
      <c r="D1298" s="2">
        <f>YEAR(Tabela1[[#This Row],[Periodo]])</f>
        <v>2023</v>
      </c>
      <c r="E1298" s="34">
        <f>(INDEX(TBBP[],MATCH("3.1",planoContas,0)+1,MATCH(Tabela1[[#This Row],[Periodo]],listaPeriodos,0))/INDEX(TBBP[],MATCH("1",planoContas,0)+1,MATCH(Tabela1[[#This Row],[Periodo]],listaPeriodos,0)))</f>
        <v>8.7734316128871115E-2</v>
      </c>
      <c r="F1298" s="34"/>
      <c r="G1298" s="34"/>
      <c r="H1298" s="34"/>
    </row>
    <row r="1299" spans="1:8" x14ac:dyDescent="0.3">
      <c r="A1299" t="s">
        <v>685</v>
      </c>
      <c r="B1299" s="3">
        <f t="shared" si="15"/>
        <v>45292</v>
      </c>
      <c r="C1299" s="2" t="str">
        <f>VLOOKUP(MONTH(Tabela1[[#This Row],[Periodo]]),NUMMESES,2,FALSE)</f>
        <v>Janeiro</v>
      </c>
      <c r="D1299" s="2">
        <f>YEAR(Tabela1[[#This Row],[Periodo]])</f>
        <v>2024</v>
      </c>
      <c r="E1299" s="34">
        <f>(INDEX(TBBP[],MATCH("3.1",planoContas,0)+1,MATCH(Tabela1[[#This Row],[Periodo]],listaPeriodos,0))/INDEX(TBBP[],MATCH("1",planoContas,0)+1,MATCH(Tabela1[[#This Row],[Periodo]],listaPeriodos,0)))</f>
        <v>8.2190003549212381E-2</v>
      </c>
      <c r="F1299" s="34"/>
      <c r="G1299" s="34"/>
      <c r="H1299" s="34"/>
    </row>
    <row r="1300" spans="1:8" x14ac:dyDescent="0.3">
      <c r="A1300" t="s">
        <v>685</v>
      </c>
      <c r="B1300" s="3">
        <f t="shared" si="15"/>
        <v>45323</v>
      </c>
      <c r="C1300" s="2" t="str">
        <f>VLOOKUP(MONTH(Tabela1[[#This Row],[Periodo]]),NUMMESES,2,FALSE)</f>
        <v>Fevereiro</v>
      </c>
      <c r="D1300" s="2">
        <f>YEAR(Tabela1[[#This Row],[Periodo]])</f>
        <v>2024</v>
      </c>
      <c r="E1300" s="34">
        <f>(INDEX(TBBP[],MATCH("3.1",planoContas,0)+1,MATCH(Tabela1[[#This Row],[Periodo]],listaPeriodos,0))/INDEX(TBBP[],MATCH("1",planoContas,0)+1,MATCH(Tabela1[[#This Row],[Periodo]],listaPeriodos,0)))</f>
        <v>8.828915988166991E-2</v>
      </c>
      <c r="F1300" s="34"/>
      <c r="G1300" s="34"/>
      <c r="H1300" s="34"/>
    </row>
    <row r="1301" spans="1:8" x14ac:dyDescent="0.3">
      <c r="A1301" t="s">
        <v>685</v>
      </c>
      <c r="B1301" s="3">
        <f t="shared" si="15"/>
        <v>45352</v>
      </c>
      <c r="C1301" s="2" t="str">
        <f>VLOOKUP(MONTH(Tabela1[[#This Row],[Periodo]]),NUMMESES,2,FALSE)</f>
        <v>Março</v>
      </c>
      <c r="D1301" s="2">
        <f>YEAR(Tabela1[[#This Row],[Periodo]])</f>
        <v>2024</v>
      </c>
      <c r="E1301" s="34">
        <f>(INDEX(TBBP[],MATCH("3.1",planoContas,0)+1,MATCH(Tabela1[[#This Row],[Periodo]],listaPeriodos,0))/INDEX(TBBP[],MATCH("1",planoContas,0)+1,MATCH(Tabela1[[#This Row],[Periodo]],listaPeriodos,0)))</f>
        <v>7.6483221980599592E-2</v>
      </c>
      <c r="F1301" s="34"/>
      <c r="G1301" s="34"/>
      <c r="H1301" s="34"/>
    </row>
    <row r="1302" spans="1:8" x14ac:dyDescent="0.3">
      <c r="A1302" t="s">
        <v>685</v>
      </c>
      <c r="B1302" s="3">
        <f t="shared" si="15"/>
        <v>45383</v>
      </c>
      <c r="C1302" s="2" t="str">
        <f>VLOOKUP(MONTH(Tabela1[[#This Row],[Periodo]]),NUMMESES,2,FALSE)</f>
        <v>Abril</v>
      </c>
      <c r="D1302" s="2">
        <f>YEAR(Tabela1[[#This Row],[Periodo]])</f>
        <v>2024</v>
      </c>
      <c r="E1302" s="34">
        <f>(INDEX(TBBP[],MATCH("3.1",planoContas,0)+1,MATCH(Tabela1[[#This Row],[Periodo]],listaPeriodos,0))/INDEX(TBBP[],MATCH("1",planoContas,0)+1,MATCH(Tabela1[[#This Row],[Periodo]],listaPeriodos,0)))</f>
        <v>0.10001032630781836</v>
      </c>
      <c r="F1302" s="34"/>
      <c r="G1302" s="34"/>
      <c r="H1302" s="34"/>
    </row>
    <row r="1303" spans="1:8" x14ac:dyDescent="0.3">
      <c r="A1303" t="s">
        <v>685</v>
      </c>
      <c r="B1303" s="3">
        <f t="shared" si="15"/>
        <v>45413</v>
      </c>
      <c r="C1303" s="2" t="str">
        <f>VLOOKUP(MONTH(Tabela1[[#This Row],[Periodo]]),NUMMESES,2,FALSE)</f>
        <v>Maio</v>
      </c>
      <c r="D1303" s="2">
        <f>YEAR(Tabela1[[#This Row],[Periodo]])</f>
        <v>2024</v>
      </c>
      <c r="E1303" s="34">
        <f>(INDEX(TBBP[],MATCH("3.1",planoContas,0)+1,MATCH(Tabela1[[#This Row],[Periodo]],listaPeriodos,0))/INDEX(TBBP[],MATCH("1",planoContas,0)+1,MATCH(Tabela1[[#This Row],[Periodo]],listaPeriodos,0)))</f>
        <v>0.10491914044820723</v>
      </c>
      <c r="F1303" s="34"/>
      <c r="G1303" s="34"/>
      <c r="H1303" s="34"/>
    </row>
    <row r="1304" spans="1:8" x14ac:dyDescent="0.3">
      <c r="A1304" t="s">
        <v>685</v>
      </c>
      <c r="B1304" s="3">
        <f t="shared" si="15"/>
        <v>45444</v>
      </c>
      <c r="C1304" s="2" t="str">
        <f>VLOOKUP(MONTH(Tabela1[[#This Row],[Periodo]]),NUMMESES,2,FALSE)</f>
        <v>Junho</v>
      </c>
      <c r="D1304" s="2">
        <f>YEAR(Tabela1[[#This Row],[Periodo]])</f>
        <v>2024</v>
      </c>
      <c r="E1304" s="34">
        <f>(INDEX(TBBP[],MATCH("3.1",planoContas,0)+1,MATCH(Tabela1[[#This Row],[Periodo]],listaPeriodos,0))/INDEX(TBBP[],MATCH("1",planoContas,0)+1,MATCH(Tabela1[[#This Row],[Periodo]],listaPeriodos,0)))</f>
        <v>9.2395847981155882E-2</v>
      </c>
      <c r="F1304" s="34"/>
      <c r="G1304" s="34"/>
      <c r="H1304" s="34"/>
    </row>
    <row r="1305" spans="1:8" x14ac:dyDescent="0.3">
      <c r="A1305" t="s">
        <v>685</v>
      </c>
      <c r="B1305" s="3">
        <f t="shared" si="15"/>
        <v>45474</v>
      </c>
      <c r="C1305" s="2" t="str">
        <f>VLOOKUP(MONTH(Tabela1[[#This Row],[Periodo]]),NUMMESES,2,FALSE)</f>
        <v>Julho</v>
      </c>
      <c r="D1305" s="2">
        <f>YEAR(Tabela1[[#This Row],[Periodo]])</f>
        <v>2024</v>
      </c>
      <c r="E1305" s="34">
        <f>(INDEX(TBBP[],MATCH("3.1",planoContas,0)+1,MATCH(Tabela1[[#This Row],[Periodo]],listaPeriodos,0))/INDEX(TBBP[],MATCH("1",planoContas,0)+1,MATCH(Tabela1[[#This Row],[Periodo]],listaPeriodos,0)))</f>
        <v>9.2503144568522377E-2</v>
      </c>
      <c r="F1305" s="34"/>
      <c r="G1305" s="34"/>
      <c r="H1305" s="34"/>
    </row>
    <row r="1306" spans="1:8" x14ac:dyDescent="0.3">
      <c r="A1306" t="s">
        <v>685</v>
      </c>
      <c r="B1306" s="3">
        <f t="shared" si="15"/>
        <v>45505</v>
      </c>
      <c r="C1306" s="2" t="str">
        <f>VLOOKUP(MONTH(Tabela1[[#This Row],[Periodo]]),NUMMESES,2,FALSE)</f>
        <v>Agosto</v>
      </c>
      <c r="D1306" s="2">
        <f>YEAR(Tabela1[[#This Row],[Periodo]])</f>
        <v>2024</v>
      </c>
      <c r="E1306" s="34">
        <f>(INDEX(TBBP[],MATCH("3.1",planoContas,0)+1,MATCH(Tabela1[[#This Row],[Periodo]],listaPeriodos,0))/INDEX(TBBP[],MATCH("1",planoContas,0)+1,MATCH(Tabela1[[#This Row],[Periodo]],listaPeriodos,0)))</f>
        <v>7.2170656805798802E-2</v>
      </c>
      <c r="F1306" s="34"/>
      <c r="G1306" s="34"/>
      <c r="H1306" s="34"/>
    </row>
    <row r="1307" spans="1:8" x14ac:dyDescent="0.3">
      <c r="A1307" t="s">
        <v>685</v>
      </c>
      <c r="B1307" s="3">
        <f t="shared" si="15"/>
        <v>45536</v>
      </c>
      <c r="C1307" s="2" t="str">
        <f>VLOOKUP(MONTH(Tabela1[[#This Row],[Periodo]]),NUMMESES,2,FALSE)</f>
        <v>Setembro</v>
      </c>
      <c r="D1307" s="2">
        <f>YEAR(Tabela1[[#This Row],[Periodo]])</f>
        <v>2024</v>
      </c>
      <c r="E1307" s="34">
        <f>(INDEX(TBBP[],MATCH("3.1",planoContas,0)+1,MATCH(Tabela1[[#This Row],[Periodo]],listaPeriodos,0))/INDEX(TBBP[],MATCH("1",planoContas,0)+1,MATCH(Tabela1[[#This Row],[Periodo]],listaPeriodos,0)))</f>
        <v>7.946532403817344E-2</v>
      </c>
      <c r="F1307" s="34"/>
      <c r="G1307" s="34"/>
      <c r="H1307" s="34"/>
    </row>
    <row r="1308" spans="1:8" x14ac:dyDescent="0.3">
      <c r="A1308" t="s">
        <v>685</v>
      </c>
      <c r="B1308" s="3">
        <f t="shared" si="15"/>
        <v>45566</v>
      </c>
      <c r="C1308" s="2" t="str">
        <f>VLOOKUP(MONTH(Tabela1[[#This Row],[Periodo]]),NUMMESES,2,FALSE)</f>
        <v>Outubro</v>
      </c>
      <c r="D1308" s="2">
        <f>YEAR(Tabela1[[#This Row],[Periodo]])</f>
        <v>2024</v>
      </c>
      <c r="E1308" s="34">
        <f>(INDEX(TBBP[],MATCH("3.1",planoContas,0)+1,MATCH(Tabela1[[#This Row],[Periodo]],listaPeriodos,0))/INDEX(TBBP[],MATCH("1",planoContas,0)+1,MATCH(Tabela1[[#This Row],[Periodo]],listaPeriodos,0)))</f>
        <v>8.2304712370295741E-2</v>
      </c>
      <c r="F1308" s="34"/>
      <c r="G1308" s="34"/>
      <c r="H1308" s="34"/>
    </row>
    <row r="1309" spans="1:8" x14ac:dyDescent="0.3">
      <c r="A1309" t="s">
        <v>685</v>
      </c>
      <c r="B1309" s="3">
        <f t="shared" si="15"/>
        <v>45597</v>
      </c>
      <c r="C1309" s="2" t="str">
        <f>VLOOKUP(MONTH(Tabela1[[#This Row],[Periodo]]),NUMMESES,2,FALSE)</f>
        <v>Novembro</v>
      </c>
      <c r="D1309" s="2">
        <f>YEAR(Tabela1[[#This Row],[Periodo]])</f>
        <v>2024</v>
      </c>
      <c r="E1309" s="34">
        <f>(INDEX(TBBP[],MATCH("3.1",planoContas,0)+1,MATCH(Tabela1[[#This Row],[Periodo]],listaPeriodos,0))/INDEX(TBBP[],MATCH("1",planoContas,0)+1,MATCH(Tabela1[[#This Row],[Periodo]],listaPeriodos,0)))</f>
        <v>6.2414332541716855E-2</v>
      </c>
      <c r="F1309" s="34"/>
      <c r="G1309" s="34"/>
      <c r="H1309" s="34"/>
    </row>
    <row r="1310" spans="1:8" x14ac:dyDescent="0.3">
      <c r="A1310" t="s">
        <v>685</v>
      </c>
      <c r="B1310" s="3">
        <f t="shared" si="15"/>
        <v>45627</v>
      </c>
      <c r="C1310" s="2" t="str">
        <f>VLOOKUP(MONTH(Tabela1[[#This Row],[Periodo]]),NUMMESES,2,FALSE)</f>
        <v>Dezembro</v>
      </c>
      <c r="D1310" s="2">
        <f>YEAR(Tabela1[[#This Row],[Periodo]])</f>
        <v>2024</v>
      </c>
      <c r="E1310" s="34">
        <f>(INDEX(TBBP[],MATCH("3.1",planoContas,0)+1,MATCH(Tabela1[[#This Row],[Periodo]],listaPeriodos,0))/INDEX(TBBP[],MATCH("1",planoContas,0)+1,MATCH(Tabela1[[#This Row],[Periodo]],listaPeriodos,0)))</f>
        <v>9.4596835568826393E-2</v>
      </c>
      <c r="F1310" s="34"/>
      <c r="G1310" s="34"/>
      <c r="H1310" s="34"/>
    </row>
    <row r="1311" spans="1:8" x14ac:dyDescent="0.3">
      <c r="A1311" t="s">
        <v>685</v>
      </c>
      <c r="B1311" s="3">
        <f t="shared" si="15"/>
        <v>45658</v>
      </c>
      <c r="C1311" s="2" t="str">
        <f>VLOOKUP(MONTH(Tabela1[[#This Row],[Periodo]]),NUMMESES,2,FALSE)</f>
        <v>Janeiro</v>
      </c>
      <c r="D1311" s="2">
        <f>YEAR(Tabela1[[#This Row],[Periodo]])</f>
        <v>2025</v>
      </c>
      <c r="E1311" s="34">
        <f>(INDEX(TBBP[],MATCH("3.1",planoContas,0)+1,MATCH(Tabela1[[#This Row],[Periodo]],listaPeriodos,0))/INDEX(TBBP[],MATCH("1",planoContas,0)+1,MATCH(Tabela1[[#This Row],[Periodo]],listaPeriodos,0)))</f>
        <v>6.1464778277562561E-2</v>
      </c>
      <c r="F1311" s="34"/>
      <c r="G1311" s="34"/>
      <c r="H1311" s="34"/>
    </row>
    <row r="1312" spans="1:8" x14ac:dyDescent="0.3">
      <c r="A1312" t="s">
        <v>685</v>
      </c>
      <c r="B1312" s="3">
        <f t="shared" si="15"/>
        <v>45689</v>
      </c>
      <c r="C1312" s="2" t="str">
        <f>VLOOKUP(MONTH(Tabela1[[#This Row],[Periodo]]),NUMMESES,2,FALSE)</f>
        <v>Fevereiro</v>
      </c>
      <c r="D1312" s="2">
        <f>YEAR(Tabela1[[#This Row],[Periodo]])</f>
        <v>2025</v>
      </c>
      <c r="E1312" s="34">
        <f>(INDEX(TBBP[],MATCH("3.1",planoContas,0)+1,MATCH(Tabela1[[#This Row],[Periodo]],listaPeriodos,0))/INDEX(TBBP[],MATCH("1",planoContas,0)+1,MATCH(Tabela1[[#This Row],[Periodo]],listaPeriodos,0)))</f>
        <v>7.0644989593340521E-2</v>
      </c>
      <c r="F1312" s="34"/>
      <c r="G1312" s="34"/>
      <c r="H1312" s="34"/>
    </row>
    <row r="1313" spans="1:8" x14ac:dyDescent="0.3">
      <c r="A1313" t="s">
        <v>685</v>
      </c>
      <c r="B1313" s="3">
        <f t="shared" si="15"/>
        <v>45717</v>
      </c>
      <c r="C1313" s="2" t="str">
        <f>VLOOKUP(MONTH(Tabela1[[#This Row],[Periodo]]),NUMMESES,2,FALSE)</f>
        <v>Março</v>
      </c>
      <c r="D1313" s="2">
        <f>YEAR(Tabela1[[#This Row],[Periodo]])</f>
        <v>2025</v>
      </c>
      <c r="E1313" s="34">
        <f>(INDEX(TBBP[],MATCH("3.1",planoContas,0)+1,MATCH(Tabela1[[#This Row],[Periodo]],listaPeriodos,0))/INDEX(TBBP[],MATCH("1",planoContas,0)+1,MATCH(Tabela1[[#This Row],[Periodo]],listaPeriodos,0)))</f>
        <v>7.1185822382969777E-2</v>
      </c>
      <c r="F1313" s="34"/>
      <c r="G1313" s="34"/>
      <c r="H1313" s="34"/>
    </row>
    <row r="1314" spans="1:8" x14ac:dyDescent="0.3">
      <c r="A1314" t="s">
        <v>685</v>
      </c>
      <c r="B1314" s="3">
        <f t="shared" si="15"/>
        <v>45748</v>
      </c>
      <c r="C1314" s="2" t="str">
        <f>VLOOKUP(MONTH(Tabela1[[#This Row],[Periodo]]),NUMMESES,2,FALSE)</f>
        <v>Abril</v>
      </c>
      <c r="D1314" s="2">
        <f>YEAR(Tabela1[[#This Row],[Periodo]])</f>
        <v>2025</v>
      </c>
      <c r="E1314" s="34">
        <f>(INDEX(TBBP[],MATCH("3.1",planoContas,0)+1,MATCH(Tabela1[[#This Row],[Periodo]],listaPeriodos,0))/INDEX(TBBP[],MATCH("1",planoContas,0)+1,MATCH(Tabela1[[#This Row],[Periodo]],listaPeriodos,0)))</f>
        <v>0.10020745842929092</v>
      </c>
      <c r="F1314" s="34"/>
      <c r="G1314" s="34"/>
      <c r="H1314" s="34"/>
    </row>
    <row r="1315" spans="1:8" x14ac:dyDescent="0.3">
      <c r="A1315" t="s">
        <v>685</v>
      </c>
      <c r="B1315" s="3">
        <f t="shared" si="15"/>
        <v>45778</v>
      </c>
      <c r="C1315" s="2" t="str">
        <f>VLOOKUP(MONTH(Tabela1[[#This Row],[Periodo]]),NUMMESES,2,FALSE)</f>
        <v>Maio</v>
      </c>
      <c r="D1315" s="2">
        <f>YEAR(Tabela1[[#This Row],[Periodo]])</f>
        <v>2025</v>
      </c>
      <c r="E1315" s="34">
        <f>(INDEX(TBBP[],MATCH("3.1",planoContas,0)+1,MATCH(Tabela1[[#This Row],[Periodo]],listaPeriodos,0))/INDEX(TBBP[],MATCH("1",planoContas,0)+1,MATCH(Tabela1[[#This Row],[Periodo]],listaPeriodos,0)))</f>
        <v>0.10500451390531547</v>
      </c>
      <c r="F1315" s="34"/>
      <c r="G1315" s="34"/>
      <c r="H1315" s="34"/>
    </row>
    <row r="1316" spans="1:8" x14ac:dyDescent="0.3">
      <c r="A1316" t="s">
        <v>685</v>
      </c>
      <c r="B1316" s="3">
        <f t="shared" si="15"/>
        <v>45809</v>
      </c>
      <c r="C1316" s="2" t="str">
        <f>VLOOKUP(MONTH(Tabela1[[#This Row],[Periodo]]),NUMMESES,2,FALSE)</f>
        <v>Junho</v>
      </c>
      <c r="D1316" s="2">
        <f>YEAR(Tabela1[[#This Row],[Periodo]])</f>
        <v>2025</v>
      </c>
      <c r="E1316" s="34">
        <f>(INDEX(TBBP[],MATCH("3.1",planoContas,0)+1,MATCH(Tabela1[[#This Row],[Periodo]],listaPeriodos,0))/INDEX(TBBP[],MATCH("1",planoContas,0)+1,MATCH(Tabela1[[#This Row],[Periodo]],listaPeriodos,0)))</f>
        <v>5.5889393826130958E-2</v>
      </c>
      <c r="F1316" s="34"/>
      <c r="G1316" s="34"/>
      <c r="H1316" s="34"/>
    </row>
    <row r="1317" spans="1:8" x14ac:dyDescent="0.3">
      <c r="A1317" t="s">
        <v>685</v>
      </c>
      <c r="B1317" s="3">
        <f t="shared" si="15"/>
        <v>45839</v>
      </c>
      <c r="C1317" s="2" t="str">
        <f>VLOOKUP(MONTH(Tabela1[[#This Row],[Periodo]]),NUMMESES,2,FALSE)</f>
        <v>Julho</v>
      </c>
      <c r="D1317" s="2">
        <f>YEAR(Tabela1[[#This Row],[Periodo]])</f>
        <v>2025</v>
      </c>
      <c r="E1317" s="34">
        <f>(INDEX(TBBP[],MATCH("3.1",planoContas,0)+1,MATCH(Tabela1[[#This Row],[Periodo]],listaPeriodos,0))/INDEX(TBBP[],MATCH("1",planoContas,0)+1,MATCH(Tabela1[[#This Row],[Periodo]],listaPeriodos,0)))</f>
        <v>6.0565681534162349E-2</v>
      </c>
      <c r="F1317" s="34"/>
      <c r="G1317" s="34"/>
      <c r="H1317" s="34"/>
    </row>
    <row r="1318" spans="1:8" x14ac:dyDescent="0.3">
      <c r="A1318" t="s">
        <v>685</v>
      </c>
      <c r="B1318" s="3">
        <f t="shared" si="15"/>
        <v>45870</v>
      </c>
      <c r="C1318" s="2" t="str">
        <f>VLOOKUP(MONTH(Tabela1[[#This Row],[Periodo]]),NUMMESES,2,FALSE)</f>
        <v>Agosto</v>
      </c>
      <c r="D1318" s="2">
        <f>YEAR(Tabela1[[#This Row],[Periodo]])</f>
        <v>2025</v>
      </c>
      <c r="E1318" s="34">
        <f>(INDEX(TBBP[],MATCH("3.1",planoContas,0)+1,MATCH(Tabela1[[#This Row],[Periodo]],listaPeriodos,0))/INDEX(TBBP[],MATCH("1",planoContas,0)+1,MATCH(Tabela1[[#This Row],[Periodo]],listaPeriodos,0)))</f>
        <v>6.3901891621618995E-2</v>
      </c>
      <c r="F1318" s="34"/>
      <c r="G1318" s="34"/>
      <c r="H1318" s="34"/>
    </row>
    <row r="1319" spans="1:8" x14ac:dyDescent="0.3">
      <c r="A1319" t="s">
        <v>685</v>
      </c>
      <c r="B1319" s="3">
        <f t="shared" si="15"/>
        <v>45901</v>
      </c>
      <c r="C1319" s="2" t="str">
        <f>VLOOKUP(MONTH(Tabela1[[#This Row],[Periodo]]),NUMMESES,2,FALSE)</f>
        <v>Setembro</v>
      </c>
      <c r="D1319" s="2">
        <f>YEAR(Tabela1[[#This Row],[Periodo]])</f>
        <v>2025</v>
      </c>
      <c r="E1319" s="34">
        <f>(INDEX(TBBP[],MATCH("3.1",planoContas,0)+1,MATCH(Tabela1[[#This Row],[Periodo]],listaPeriodos,0))/INDEX(TBBP[],MATCH("1",planoContas,0)+1,MATCH(Tabela1[[#This Row],[Periodo]],listaPeriodos,0)))</f>
        <v>5.9085538699616816E-2</v>
      </c>
      <c r="F1319" s="34"/>
      <c r="G1319" s="34"/>
      <c r="H1319" s="34"/>
    </row>
    <row r="1320" spans="1:8" x14ac:dyDescent="0.3">
      <c r="A1320" t="s">
        <v>685</v>
      </c>
      <c r="B1320" s="3">
        <f t="shared" si="15"/>
        <v>45931</v>
      </c>
      <c r="C1320" s="2" t="str">
        <f>VLOOKUP(MONTH(Tabela1[[#This Row],[Periodo]]),NUMMESES,2,FALSE)</f>
        <v>Outubro</v>
      </c>
      <c r="D1320" s="2">
        <f>YEAR(Tabela1[[#This Row],[Periodo]])</f>
        <v>2025</v>
      </c>
      <c r="E1320" s="34">
        <f>(INDEX(TBBP[],MATCH("3.1",planoContas,0)+1,MATCH(Tabela1[[#This Row],[Periodo]],listaPeriodos,0))/INDEX(TBBP[],MATCH("1",planoContas,0)+1,MATCH(Tabela1[[#This Row],[Periodo]],listaPeriodos,0)))</f>
        <v>5.8344374878687759E-2</v>
      </c>
      <c r="F1320" s="34"/>
      <c r="G1320" s="34"/>
      <c r="H1320" s="34"/>
    </row>
    <row r="1321" spans="1:8" x14ac:dyDescent="0.3">
      <c r="A1321" t="s">
        <v>685</v>
      </c>
      <c r="B1321" s="3">
        <f t="shared" si="15"/>
        <v>45962</v>
      </c>
      <c r="C1321" s="2" t="str">
        <f>VLOOKUP(MONTH(Tabela1[[#This Row],[Periodo]]),NUMMESES,2,FALSE)</f>
        <v>Novembro</v>
      </c>
      <c r="D1321" s="2">
        <f>YEAR(Tabela1[[#This Row],[Periodo]])</f>
        <v>2025</v>
      </c>
      <c r="E1321" s="34">
        <f>(INDEX(TBBP[],MATCH("3.1",planoContas,0)+1,MATCH(Tabela1[[#This Row],[Periodo]],listaPeriodos,0))/INDEX(TBBP[],MATCH("1",planoContas,0)+1,MATCH(Tabela1[[#This Row],[Periodo]],listaPeriodos,0)))</f>
        <v>6.3240098015160229E-2</v>
      </c>
      <c r="F1321" s="34"/>
      <c r="G1321" s="34"/>
      <c r="H1321" s="34"/>
    </row>
    <row r="1322" spans="1:8" x14ac:dyDescent="0.3">
      <c r="A1322" t="s">
        <v>685</v>
      </c>
      <c r="B1322" s="3">
        <f t="shared" si="15"/>
        <v>45992</v>
      </c>
      <c r="C1322" s="2" t="str">
        <f>VLOOKUP(MONTH(Tabela1[[#This Row],[Periodo]]),NUMMESES,2,FALSE)</f>
        <v>Dezembro</v>
      </c>
      <c r="D1322" s="2">
        <f>YEAR(Tabela1[[#This Row],[Periodo]])</f>
        <v>2025</v>
      </c>
      <c r="E1322" s="34">
        <f>(INDEX(TBBP[],MATCH("3.1",planoContas,0)+1,MATCH(Tabela1[[#This Row],[Periodo]],listaPeriodos,0))/INDEX(TBBP[],MATCH("1",planoContas,0)+1,MATCH(Tabela1[[#This Row],[Periodo]],listaPeriodos,0)))</f>
        <v>5.3899214498049207E-2</v>
      </c>
      <c r="F1322" s="34"/>
      <c r="G1322" s="34"/>
      <c r="H1322" s="34"/>
    </row>
    <row r="1323" spans="1:8" x14ac:dyDescent="0.3">
      <c r="A1323" t="s">
        <v>685</v>
      </c>
      <c r="B1323" s="3">
        <f t="shared" si="15"/>
        <v>46023</v>
      </c>
      <c r="C1323" s="2" t="str">
        <f>VLOOKUP(MONTH(Tabela1[[#This Row],[Periodo]]),NUMMESES,2,FALSE)</f>
        <v>Janeiro</v>
      </c>
      <c r="D1323" s="2">
        <f>YEAR(Tabela1[[#This Row],[Periodo]])</f>
        <v>2026</v>
      </c>
      <c r="E1323" s="34">
        <f>(INDEX(TBBP[],MATCH("3.1",planoContas,0)+1,MATCH(Tabela1[[#This Row],[Periodo]],listaPeriodos,0))/INDEX(TBBP[],MATCH("1",planoContas,0)+1,MATCH(Tabela1[[#This Row],[Periodo]],listaPeriodos,0)))</f>
        <v>6.5422508828377371E-2</v>
      </c>
      <c r="F1323" s="34"/>
      <c r="G1323" s="34"/>
      <c r="H1323" s="34"/>
    </row>
    <row r="1324" spans="1:8" x14ac:dyDescent="0.3">
      <c r="B1324" s="3"/>
      <c r="C1324" s="2"/>
      <c r="D1324" s="2"/>
      <c r="E1324" s="34"/>
      <c r="F1324" s="34"/>
      <c r="G1324" s="34"/>
      <c r="H1324" s="34"/>
    </row>
    <row r="1325" spans="1:8" x14ac:dyDescent="0.3">
      <c r="A1325" t="s">
        <v>686</v>
      </c>
      <c r="B1325" s="3">
        <v>41609</v>
      </c>
      <c r="C1325" s="2" t="str">
        <f>VLOOKUP(MONTH(Tabela1[[#This Row],[Periodo]]),NUMMESES,2,FALSE)</f>
        <v>Dezembro</v>
      </c>
      <c r="D1325" s="2">
        <f>YEAR(Tabela1[[#This Row],[Periodo]])</f>
        <v>2013</v>
      </c>
      <c r="E1325" s="33">
        <f>(INDEX(TBBP[],MATCH(8,planoContas,0)+1,MATCH(Tabela1[[#This Row],[Periodo]],listaPeriodos,0))/INDEX(TBBP[],MATCH("1",planoContas,0)+1,MATCH(Tabela1[[#This Row],[Periodo]],listaPeriodos,0)))</f>
        <v>0.53273158789163666</v>
      </c>
      <c r="F1325" s="34"/>
      <c r="G1325" s="34"/>
      <c r="H1325" s="34"/>
    </row>
    <row r="1326" spans="1:8" x14ac:dyDescent="0.3">
      <c r="A1326" t="s">
        <v>686</v>
      </c>
      <c r="B1326" s="3">
        <v>41974</v>
      </c>
      <c r="C1326" s="2" t="str">
        <f>VLOOKUP(MONTH(Tabela1[[#This Row],[Periodo]]),NUMMESES,2,FALSE)</f>
        <v>Dezembro</v>
      </c>
      <c r="D1326" s="2">
        <f>YEAR(Tabela1[[#This Row],[Periodo]])</f>
        <v>2014</v>
      </c>
      <c r="E1326" s="33">
        <f>(INDEX(TBBP[],MATCH(8,planoContas,0)+1,MATCH(Tabela1[[#This Row],[Periodo]],listaPeriodos,0))/INDEX(TBBP[],MATCH("1",planoContas,0)+1,MATCH(Tabela1[[#This Row],[Periodo]],listaPeriodos,0)))</f>
        <v>0.31378242648639326</v>
      </c>
      <c r="F1326" s="34"/>
      <c r="G1326" s="34"/>
      <c r="H1326" s="34"/>
    </row>
    <row r="1327" spans="1:8" x14ac:dyDescent="0.3">
      <c r="A1327" t="s">
        <v>686</v>
      </c>
      <c r="B1327" s="3">
        <v>42339</v>
      </c>
      <c r="C1327" s="2" t="str">
        <f>VLOOKUP(MONTH(Tabela1[[#This Row],[Periodo]]),NUMMESES,2,FALSE)</f>
        <v>Dezembro</v>
      </c>
      <c r="D1327" s="2">
        <f>YEAR(Tabela1[[#This Row],[Periodo]])</f>
        <v>2015</v>
      </c>
      <c r="E1327" s="33">
        <f>(INDEX(TBBP[],MATCH(8,planoContas,0)+1,MATCH(Tabela1[[#This Row],[Periodo]],listaPeriodos,0))/INDEX(TBBP[],MATCH("1",planoContas,0)+1,MATCH(Tabela1[[#This Row],[Periodo]],listaPeriodos,0)))</f>
        <v>0.330700165617825</v>
      </c>
      <c r="F1327" s="34"/>
      <c r="G1327" s="34"/>
      <c r="H1327" s="34"/>
    </row>
    <row r="1328" spans="1:8" x14ac:dyDescent="0.3">
      <c r="A1328" t="s">
        <v>686</v>
      </c>
      <c r="B1328" s="3">
        <v>42705</v>
      </c>
      <c r="C1328" s="2" t="str">
        <f>VLOOKUP(MONTH(Tabela1[[#This Row],[Periodo]]),NUMMESES,2,FALSE)</f>
        <v>Dezembro</v>
      </c>
      <c r="D1328" s="2">
        <f>YEAR(Tabela1[[#This Row],[Periodo]])</f>
        <v>2016</v>
      </c>
      <c r="E1328" s="33">
        <f>(INDEX(TBBP[],MATCH(8,planoContas,0)+1,MATCH(Tabela1[[#This Row],[Periodo]],listaPeriodos,0))/INDEX(TBBP[],MATCH("1",planoContas,0)+1,MATCH(Tabela1[[#This Row],[Periodo]],listaPeriodos,0)))</f>
        <v>0.21438016414469377</v>
      </c>
      <c r="F1328" s="34"/>
      <c r="G1328" s="34"/>
      <c r="H1328" s="34"/>
    </row>
    <row r="1329" spans="1:8" x14ac:dyDescent="0.3">
      <c r="A1329" t="s">
        <v>686</v>
      </c>
      <c r="B1329" s="3">
        <v>43070</v>
      </c>
      <c r="C1329" s="2" t="str">
        <f>VLOOKUP(MONTH(Tabela1[[#This Row],[Periodo]]),NUMMESES,2,FALSE)</f>
        <v>Dezembro</v>
      </c>
      <c r="D1329" s="2">
        <f>YEAR(Tabela1[[#This Row],[Periodo]])</f>
        <v>2017</v>
      </c>
      <c r="E1329" s="33">
        <f>(INDEX(TBBP[],MATCH(8,planoContas,0)+1,MATCH(Tabela1[[#This Row],[Periodo]],listaPeriodos,0))/INDEX(TBBP[],MATCH("1",planoContas,0)+1,MATCH(Tabela1[[#This Row],[Periodo]],listaPeriodos,0)))</f>
        <v>0.1502600611933407</v>
      </c>
      <c r="F1329" s="34"/>
      <c r="G1329" s="34"/>
      <c r="H1329" s="34"/>
    </row>
    <row r="1330" spans="1:8" x14ac:dyDescent="0.3">
      <c r="A1330" t="s">
        <v>686</v>
      </c>
      <c r="B1330" s="3">
        <v>43101</v>
      </c>
      <c r="C1330" s="2" t="str">
        <f>VLOOKUP(MONTH(Tabela1[[#This Row],[Periodo]]),NUMMESES,2,FALSE)</f>
        <v>Janeiro</v>
      </c>
      <c r="D1330" s="2">
        <f>YEAR(Tabela1[[#This Row],[Periodo]])</f>
        <v>2018</v>
      </c>
      <c r="E1330" s="33">
        <f>(INDEX(TBBP[],MATCH(8,planoContas,0)+1,MATCH(Tabela1[[#This Row],[Periodo]],listaPeriodos,0))/INDEX(TBBP[],MATCH("1",planoContas,0)+1,MATCH(Tabela1[[#This Row],[Periodo]],listaPeriodos,0)))</f>
        <v>1.4636557690576467E-2</v>
      </c>
      <c r="F1330" s="34"/>
      <c r="G1330" s="34"/>
      <c r="H1330" s="34"/>
    </row>
    <row r="1331" spans="1:8" x14ac:dyDescent="0.3">
      <c r="A1331" t="s">
        <v>686</v>
      </c>
      <c r="B1331" s="3">
        <f t="shared" ref="B1331:B1426" si="16">DATE(YEAR(B1330),MONTH(B1330)+1,DAY(B1330))</f>
        <v>43132</v>
      </c>
      <c r="C1331" s="2" t="str">
        <f>VLOOKUP(MONTH(Tabela1[[#This Row],[Periodo]]),NUMMESES,2,FALSE)</f>
        <v>Fevereiro</v>
      </c>
      <c r="D1331" s="2">
        <f>YEAR(Tabela1[[#This Row],[Periodo]])</f>
        <v>2018</v>
      </c>
      <c r="E1331" s="33">
        <f>(INDEX(TBBP[],MATCH(8,planoContas,0)+1,MATCH(Tabela1[[#This Row],[Periodo]],listaPeriodos,0))/INDEX(TBBP[],MATCH("1",planoContas,0)+1,MATCH(Tabela1[[#This Row],[Periodo]],listaPeriodos,0)))</f>
        <v>1.5086676923083556E-2</v>
      </c>
      <c r="F1331" s="34"/>
      <c r="G1331" s="34"/>
      <c r="H1331" s="34"/>
    </row>
    <row r="1332" spans="1:8" x14ac:dyDescent="0.3">
      <c r="A1332" t="s">
        <v>686</v>
      </c>
      <c r="B1332" s="3">
        <f t="shared" si="16"/>
        <v>43160</v>
      </c>
      <c r="C1332" s="2" t="str">
        <f>VLOOKUP(MONTH(Tabela1[[#This Row],[Periodo]]),NUMMESES,2,FALSE)</f>
        <v>Março</v>
      </c>
      <c r="D1332" s="2">
        <f>YEAR(Tabela1[[#This Row],[Periodo]])</f>
        <v>2018</v>
      </c>
      <c r="E1332" s="33">
        <f>(INDEX(TBBP[],MATCH(8,planoContas,0)+1,MATCH(Tabela1[[#This Row],[Periodo]],listaPeriodos,0))/INDEX(TBBP[],MATCH("1",planoContas,0)+1,MATCH(Tabela1[[#This Row],[Periodo]],listaPeriodos,0)))</f>
        <v>2.3321213335488335E-2</v>
      </c>
      <c r="F1332" s="34"/>
      <c r="G1332" s="34"/>
      <c r="H1332" s="34"/>
    </row>
    <row r="1333" spans="1:8" x14ac:dyDescent="0.3">
      <c r="A1333" t="s">
        <v>686</v>
      </c>
      <c r="B1333" s="3">
        <f t="shared" si="16"/>
        <v>43191</v>
      </c>
      <c r="C1333" s="2" t="str">
        <f>VLOOKUP(MONTH(Tabela1[[#This Row],[Periodo]]),NUMMESES,2,FALSE)</f>
        <v>Abril</v>
      </c>
      <c r="D1333" s="2">
        <f>YEAR(Tabela1[[#This Row],[Periodo]])</f>
        <v>2018</v>
      </c>
      <c r="E1333" s="33">
        <f>(INDEX(TBBP[],MATCH(8,planoContas,0)+1,MATCH(Tabela1[[#This Row],[Periodo]],listaPeriodos,0))/INDEX(TBBP[],MATCH("1",planoContas,0)+1,MATCH(Tabela1[[#This Row],[Periodo]],listaPeriodos,0)))</f>
        <v>2.1517526977857044E-2</v>
      </c>
      <c r="F1333" s="34"/>
      <c r="G1333" s="34"/>
      <c r="H1333" s="34"/>
    </row>
    <row r="1334" spans="1:8" x14ac:dyDescent="0.3">
      <c r="A1334" t="s">
        <v>686</v>
      </c>
      <c r="B1334" s="3">
        <f t="shared" si="16"/>
        <v>43221</v>
      </c>
      <c r="C1334" s="2" t="str">
        <f>VLOOKUP(MONTH(Tabela1[[#This Row],[Periodo]]),NUMMESES,2,FALSE)</f>
        <v>Maio</v>
      </c>
      <c r="D1334" s="2">
        <f>YEAR(Tabela1[[#This Row],[Periodo]])</f>
        <v>2018</v>
      </c>
      <c r="E1334" s="33">
        <f>(INDEX(TBBP[],MATCH(8,planoContas,0)+1,MATCH(Tabela1[[#This Row],[Periodo]],listaPeriodos,0))/INDEX(TBBP[],MATCH("1",planoContas,0)+1,MATCH(Tabela1[[#This Row],[Periodo]],listaPeriodos,0)))</f>
        <v>8.6338455824179188E-3</v>
      </c>
      <c r="F1334" s="34"/>
      <c r="G1334" s="34"/>
      <c r="H1334" s="34"/>
    </row>
    <row r="1335" spans="1:8" x14ac:dyDescent="0.3">
      <c r="A1335" t="s">
        <v>686</v>
      </c>
      <c r="B1335" s="3">
        <f t="shared" si="16"/>
        <v>43252</v>
      </c>
      <c r="C1335" s="2" t="str">
        <f>VLOOKUP(MONTH(Tabela1[[#This Row],[Periodo]]),NUMMESES,2,FALSE)</f>
        <v>Junho</v>
      </c>
      <c r="D1335" s="2">
        <f>YEAR(Tabela1[[#This Row],[Periodo]])</f>
        <v>2018</v>
      </c>
      <c r="E1335" s="33">
        <f>(INDEX(TBBP[],MATCH(8,planoContas,0)+1,MATCH(Tabela1[[#This Row],[Periodo]],listaPeriodos,0))/INDEX(TBBP[],MATCH("1",planoContas,0)+1,MATCH(Tabela1[[#This Row],[Periodo]],listaPeriodos,0)))</f>
        <v>9.6707281660766073E-3</v>
      </c>
      <c r="F1335" s="34"/>
      <c r="G1335" s="34"/>
      <c r="H1335" s="34"/>
    </row>
    <row r="1336" spans="1:8" x14ac:dyDescent="0.3">
      <c r="A1336" t="s">
        <v>686</v>
      </c>
      <c r="B1336" s="3">
        <f t="shared" si="16"/>
        <v>43282</v>
      </c>
      <c r="C1336" s="2" t="str">
        <f>VLOOKUP(MONTH(Tabela1[[#This Row],[Periodo]]),NUMMESES,2,FALSE)</f>
        <v>Julho</v>
      </c>
      <c r="D1336" s="2">
        <f>YEAR(Tabela1[[#This Row],[Periodo]])</f>
        <v>2018</v>
      </c>
      <c r="E1336" s="33">
        <f>(INDEX(TBBP[],MATCH(8,planoContas,0)+1,MATCH(Tabela1[[#This Row],[Periodo]],listaPeriodos,0))/INDEX(TBBP[],MATCH("1",planoContas,0)+1,MATCH(Tabela1[[#This Row],[Periodo]],listaPeriodos,0)))</f>
        <v>2.9154974984787984E-2</v>
      </c>
      <c r="F1336" s="34"/>
      <c r="G1336" s="34"/>
      <c r="H1336" s="34"/>
    </row>
    <row r="1337" spans="1:8" x14ac:dyDescent="0.3">
      <c r="A1337" t="s">
        <v>686</v>
      </c>
      <c r="B1337" s="3">
        <f t="shared" si="16"/>
        <v>43313</v>
      </c>
      <c r="C1337" s="2" t="str">
        <f>VLOOKUP(MONTH(Tabela1[[#This Row],[Periodo]]),NUMMESES,2,FALSE)</f>
        <v>Agosto</v>
      </c>
      <c r="D1337" s="2">
        <f>YEAR(Tabela1[[#This Row],[Periodo]])</f>
        <v>2018</v>
      </c>
      <c r="E1337" s="33">
        <f>(INDEX(TBBP[],MATCH(8,planoContas,0)+1,MATCH(Tabela1[[#This Row],[Periodo]],listaPeriodos,0))/INDEX(TBBP[],MATCH("1",planoContas,0)+1,MATCH(Tabela1[[#This Row],[Periodo]],listaPeriodos,0)))</f>
        <v>2.5745275854566242E-2</v>
      </c>
      <c r="F1337" s="34"/>
      <c r="G1337" s="34"/>
      <c r="H1337" s="34"/>
    </row>
    <row r="1338" spans="1:8" x14ac:dyDescent="0.3">
      <c r="A1338" t="s">
        <v>686</v>
      </c>
      <c r="B1338" s="3">
        <f t="shared" si="16"/>
        <v>43344</v>
      </c>
      <c r="C1338" s="2" t="str">
        <f>VLOOKUP(MONTH(Tabela1[[#This Row],[Periodo]]),NUMMESES,2,FALSE)</f>
        <v>Setembro</v>
      </c>
      <c r="D1338" s="2">
        <f>YEAR(Tabela1[[#This Row],[Periodo]])</f>
        <v>2018</v>
      </c>
      <c r="E1338" s="33">
        <f>(INDEX(TBBP[],MATCH(8,planoContas,0)+1,MATCH(Tabela1[[#This Row],[Periodo]],listaPeriodos,0))/INDEX(TBBP[],MATCH("1",planoContas,0)+1,MATCH(Tabela1[[#This Row],[Periodo]],listaPeriodos,0)))</f>
        <v>4.7374305874526242E-2</v>
      </c>
      <c r="F1338" s="34"/>
      <c r="G1338" s="34"/>
      <c r="H1338" s="34"/>
    </row>
    <row r="1339" spans="1:8" x14ac:dyDescent="0.3">
      <c r="A1339" t="s">
        <v>686</v>
      </c>
      <c r="B1339" s="3">
        <f t="shared" si="16"/>
        <v>43374</v>
      </c>
      <c r="C1339" s="2" t="str">
        <f>VLOOKUP(MONTH(Tabela1[[#This Row],[Periodo]]),NUMMESES,2,FALSE)</f>
        <v>Outubro</v>
      </c>
      <c r="D1339" s="2">
        <f>YEAR(Tabela1[[#This Row],[Periodo]])</f>
        <v>2018</v>
      </c>
      <c r="E1339" s="33">
        <f>(INDEX(TBBP[],MATCH(8,planoContas,0)+1,MATCH(Tabela1[[#This Row],[Periodo]],listaPeriodos,0))/INDEX(TBBP[],MATCH("1",planoContas,0)+1,MATCH(Tabela1[[#This Row],[Periodo]],listaPeriodos,0)))</f>
        <v>2.4492773761867745E-2</v>
      </c>
      <c r="F1339" s="34"/>
      <c r="G1339" s="34"/>
      <c r="H1339" s="34"/>
    </row>
    <row r="1340" spans="1:8" x14ac:dyDescent="0.3">
      <c r="A1340" t="s">
        <v>686</v>
      </c>
      <c r="B1340" s="3">
        <f t="shared" si="16"/>
        <v>43405</v>
      </c>
      <c r="C1340" s="2" t="str">
        <f>VLOOKUP(MONTH(Tabela1[[#This Row],[Periodo]]),NUMMESES,2,FALSE)</f>
        <v>Novembro</v>
      </c>
      <c r="D1340" s="2">
        <f>YEAR(Tabela1[[#This Row],[Periodo]])</f>
        <v>2018</v>
      </c>
      <c r="E1340" s="33">
        <f>(INDEX(TBBP[],MATCH(8,planoContas,0)+1,MATCH(Tabela1[[#This Row],[Periodo]],listaPeriodos,0))/INDEX(TBBP[],MATCH("1",planoContas,0)+1,MATCH(Tabela1[[#This Row],[Periodo]],listaPeriodos,0)))</f>
        <v>2.36898884119321E-3</v>
      </c>
      <c r="F1340" s="34"/>
      <c r="G1340" s="34"/>
      <c r="H1340" s="34"/>
    </row>
    <row r="1341" spans="1:8" x14ac:dyDescent="0.3">
      <c r="A1341" t="s">
        <v>686</v>
      </c>
      <c r="B1341" s="3">
        <f t="shared" si="16"/>
        <v>43435</v>
      </c>
      <c r="C1341" s="2" t="str">
        <f>VLOOKUP(MONTH(Tabela1[[#This Row],[Periodo]]),NUMMESES,2,FALSE)</f>
        <v>Dezembro</v>
      </c>
      <c r="D1341" s="2">
        <f>YEAR(Tabela1[[#This Row],[Periodo]])</f>
        <v>2018</v>
      </c>
      <c r="E1341" s="33">
        <f>(INDEX(TBBP[],MATCH(8,planoContas,0)+1,MATCH(Tabela1[[#This Row],[Periodo]],listaPeriodos,0))/INDEX(TBBP[],MATCH("1",planoContas,0)+1,MATCH(Tabela1[[#This Row],[Periodo]],listaPeriodos,0)))</f>
        <v>1.0494756915185387E-2</v>
      </c>
      <c r="F1341" s="34"/>
      <c r="G1341" s="34"/>
      <c r="H1341" s="34"/>
    </row>
    <row r="1342" spans="1:8" x14ac:dyDescent="0.3">
      <c r="A1342" t="s">
        <v>686</v>
      </c>
      <c r="B1342" s="3">
        <f t="shared" si="16"/>
        <v>43466</v>
      </c>
      <c r="C1342" s="2" t="str">
        <f>VLOOKUP(MONTH(Tabela1[[#This Row],[Periodo]]),NUMMESES,2,FALSE)</f>
        <v>Janeiro</v>
      </c>
      <c r="D1342" s="2">
        <f>YEAR(Tabela1[[#This Row],[Periodo]])</f>
        <v>2019</v>
      </c>
      <c r="E1342" s="33">
        <f>(INDEX(TBBP[],MATCH(8,planoContas,0)+1,MATCH(Tabela1[[#This Row],[Periodo]],listaPeriodos,0))/INDEX(TBBP[],MATCH("1",planoContas,0)+1,MATCH(Tabela1[[#This Row],[Periodo]],listaPeriodos,0)))</f>
        <v>1.0881832379168982E-2</v>
      </c>
      <c r="F1342" s="34"/>
      <c r="G1342" s="34"/>
      <c r="H1342" s="34"/>
    </row>
    <row r="1343" spans="1:8" x14ac:dyDescent="0.3">
      <c r="A1343" t="s">
        <v>686</v>
      </c>
      <c r="B1343" s="3">
        <f t="shared" si="16"/>
        <v>43497</v>
      </c>
      <c r="C1343" s="2" t="str">
        <f>VLOOKUP(MONTH(Tabela1[[#This Row],[Periodo]]),NUMMESES,2,FALSE)</f>
        <v>Fevereiro</v>
      </c>
      <c r="D1343" s="2">
        <f>YEAR(Tabela1[[#This Row],[Periodo]])</f>
        <v>2019</v>
      </c>
      <c r="E1343" s="33">
        <f>(INDEX(TBBP[],MATCH(8,planoContas,0)+1,MATCH(Tabela1[[#This Row],[Periodo]],listaPeriodos,0))/INDEX(TBBP[],MATCH("1",planoContas,0)+1,MATCH(Tabela1[[#This Row],[Periodo]],listaPeriodos,0)))</f>
        <v>1.0046863954776594E-2</v>
      </c>
      <c r="F1343" s="34"/>
      <c r="G1343" s="34"/>
      <c r="H1343" s="34"/>
    </row>
    <row r="1344" spans="1:8" x14ac:dyDescent="0.3">
      <c r="A1344" t="s">
        <v>686</v>
      </c>
      <c r="B1344" s="3">
        <f t="shared" si="16"/>
        <v>43525</v>
      </c>
      <c r="C1344" s="2" t="str">
        <f>VLOOKUP(MONTH(Tabela1[[#This Row],[Periodo]]),NUMMESES,2,FALSE)</f>
        <v>Março</v>
      </c>
      <c r="D1344" s="2">
        <f>YEAR(Tabela1[[#This Row],[Periodo]])</f>
        <v>2019</v>
      </c>
      <c r="E1344" s="33">
        <f>(INDEX(TBBP[],MATCH(8,planoContas,0)+1,MATCH(Tabela1[[#This Row],[Periodo]],listaPeriodos,0))/INDEX(TBBP[],MATCH("1",planoContas,0)+1,MATCH(Tabela1[[#This Row],[Periodo]],listaPeriodos,0)))</f>
        <v>1.6442174711624052E-2</v>
      </c>
      <c r="F1344" s="34"/>
      <c r="G1344" s="34"/>
      <c r="H1344" s="34"/>
    </row>
    <row r="1345" spans="1:8" x14ac:dyDescent="0.3">
      <c r="A1345" t="s">
        <v>686</v>
      </c>
      <c r="B1345" s="3">
        <f t="shared" si="16"/>
        <v>43556</v>
      </c>
      <c r="C1345" s="2" t="str">
        <f>VLOOKUP(MONTH(Tabela1[[#This Row],[Periodo]]),NUMMESES,2,FALSE)</f>
        <v>Abril</v>
      </c>
      <c r="D1345" s="2">
        <f>YEAR(Tabela1[[#This Row],[Periodo]])</f>
        <v>2019</v>
      </c>
      <c r="E1345" s="33">
        <f>(INDEX(TBBP[],MATCH(8,planoContas,0)+1,MATCH(Tabela1[[#This Row],[Periodo]],listaPeriodos,0))/INDEX(TBBP[],MATCH("1",planoContas,0)+1,MATCH(Tabela1[[#This Row],[Periodo]],listaPeriodos,0)))</f>
        <v>2.556123050552684E-2</v>
      </c>
      <c r="F1345" s="34"/>
      <c r="G1345" s="34"/>
      <c r="H1345" s="34"/>
    </row>
    <row r="1346" spans="1:8" x14ac:dyDescent="0.3">
      <c r="A1346" t="s">
        <v>686</v>
      </c>
      <c r="B1346" s="3">
        <f t="shared" si="16"/>
        <v>43586</v>
      </c>
      <c r="C1346" s="2" t="str">
        <f>VLOOKUP(MONTH(Tabela1[[#This Row],[Periodo]]),NUMMESES,2,FALSE)</f>
        <v>Maio</v>
      </c>
      <c r="D1346" s="2">
        <f>YEAR(Tabela1[[#This Row],[Periodo]])</f>
        <v>2019</v>
      </c>
      <c r="E1346" s="33">
        <f>(INDEX(TBBP[],MATCH(8,planoContas,0)+1,MATCH(Tabela1[[#This Row],[Periodo]],listaPeriodos,0))/INDEX(TBBP[],MATCH("1",planoContas,0)+1,MATCH(Tabela1[[#This Row],[Periodo]],listaPeriodos,0)))</f>
        <v>2.3227355227619498E-2</v>
      </c>
      <c r="F1346" s="34"/>
      <c r="G1346" s="34"/>
      <c r="H1346" s="34"/>
    </row>
    <row r="1347" spans="1:8" x14ac:dyDescent="0.3">
      <c r="A1347" t="s">
        <v>686</v>
      </c>
      <c r="B1347" s="3">
        <f t="shared" si="16"/>
        <v>43617</v>
      </c>
      <c r="C1347" s="2" t="str">
        <f>VLOOKUP(MONTH(Tabela1[[#This Row],[Periodo]]),NUMMESES,2,FALSE)</f>
        <v>Junho</v>
      </c>
      <c r="D1347" s="2">
        <f>YEAR(Tabela1[[#This Row],[Periodo]])</f>
        <v>2019</v>
      </c>
      <c r="E1347" s="33">
        <f>(INDEX(TBBP[],MATCH(8,planoContas,0)+1,MATCH(Tabela1[[#This Row],[Periodo]],listaPeriodos,0))/INDEX(TBBP[],MATCH("1",planoContas,0)+1,MATCH(Tabela1[[#This Row],[Periodo]],listaPeriodos,0)))</f>
        <v>5.254211290440995E-3</v>
      </c>
      <c r="F1347" s="34"/>
      <c r="G1347" s="34"/>
      <c r="H1347" s="34"/>
    </row>
    <row r="1348" spans="1:8" x14ac:dyDescent="0.3">
      <c r="A1348" t="s">
        <v>686</v>
      </c>
      <c r="B1348" s="3">
        <f t="shared" si="16"/>
        <v>43647</v>
      </c>
      <c r="C1348" s="2" t="str">
        <f>VLOOKUP(MONTH(Tabela1[[#This Row],[Periodo]]),NUMMESES,2,FALSE)</f>
        <v>Julho</v>
      </c>
      <c r="D1348" s="2">
        <f>YEAR(Tabela1[[#This Row],[Periodo]])</f>
        <v>2019</v>
      </c>
      <c r="E1348" s="33">
        <f>(INDEX(TBBP[],MATCH(8,planoContas,0)+1,MATCH(Tabela1[[#This Row],[Periodo]],listaPeriodos,0))/INDEX(TBBP[],MATCH("1",planoContas,0)+1,MATCH(Tabela1[[#This Row],[Periodo]],listaPeriodos,0)))</f>
        <v>3.0952382461439828E-2</v>
      </c>
      <c r="F1348" s="34"/>
      <c r="G1348" s="34"/>
      <c r="H1348" s="34"/>
    </row>
    <row r="1349" spans="1:8" x14ac:dyDescent="0.3">
      <c r="A1349" t="s">
        <v>686</v>
      </c>
      <c r="B1349" s="3">
        <f t="shared" si="16"/>
        <v>43678</v>
      </c>
      <c r="C1349" s="2" t="str">
        <f>VLOOKUP(MONTH(Tabela1[[#This Row],[Periodo]]),NUMMESES,2,FALSE)</f>
        <v>Agosto</v>
      </c>
      <c r="D1349" s="2">
        <f>YEAR(Tabela1[[#This Row],[Periodo]])</f>
        <v>2019</v>
      </c>
      <c r="E1349" s="33">
        <f>(INDEX(TBBP[],MATCH(8,planoContas,0)+1,MATCH(Tabela1[[#This Row],[Periodo]],listaPeriodos,0))/INDEX(TBBP[],MATCH("1",planoContas,0)+1,MATCH(Tabela1[[#This Row],[Periodo]],listaPeriodos,0)))</f>
        <v>1.5250122360628128E-2</v>
      </c>
      <c r="F1349" s="34"/>
      <c r="G1349" s="34"/>
      <c r="H1349" s="34"/>
    </row>
    <row r="1350" spans="1:8" x14ac:dyDescent="0.3">
      <c r="A1350" t="s">
        <v>686</v>
      </c>
      <c r="B1350" s="3">
        <f t="shared" si="16"/>
        <v>43709</v>
      </c>
      <c r="C1350" s="2" t="str">
        <f>VLOOKUP(MONTH(Tabela1[[#This Row],[Periodo]]),NUMMESES,2,FALSE)</f>
        <v>Setembro</v>
      </c>
      <c r="D1350" s="2">
        <f>YEAR(Tabela1[[#This Row],[Periodo]])</f>
        <v>2019</v>
      </c>
      <c r="E1350" s="33">
        <f>(INDEX(TBBP[],MATCH(8,planoContas,0)+1,MATCH(Tabela1[[#This Row],[Periodo]],listaPeriodos,0))/INDEX(TBBP[],MATCH("1",planoContas,0)+1,MATCH(Tabela1[[#This Row],[Periodo]],listaPeriodos,0)))</f>
        <v>3.2027603243159224E-2</v>
      </c>
      <c r="F1350" s="34"/>
      <c r="G1350" s="34"/>
      <c r="H1350" s="34"/>
    </row>
    <row r="1351" spans="1:8" x14ac:dyDescent="0.3">
      <c r="A1351" t="s">
        <v>686</v>
      </c>
      <c r="B1351" s="3">
        <f t="shared" si="16"/>
        <v>43739</v>
      </c>
      <c r="C1351" s="2" t="str">
        <f>VLOOKUP(MONTH(Tabela1[[#This Row],[Periodo]]),NUMMESES,2,FALSE)</f>
        <v>Outubro</v>
      </c>
      <c r="D1351" s="2">
        <f>YEAR(Tabela1[[#This Row],[Periodo]])</f>
        <v>2019</v>
      </c>
      <c r="E1351" s="33">
        <f>(INDEX(TBBP[],MATCH(8,planoContas,0)+1,MATCH(Tabela1[[#This Row],[Periodo]],listaPeriodos,0))/INDEX(TBBP[],MATCH("1",planoContas,0)+1,MATCH(Tabela1[[#This Row],[Periodo]],listaPeriodos,0)))</f>
        <v>3.4338700618263766E-2</v>
      </c>
      <c r="F1351" s="34"/>
      <c r="G1351" s="34"/>
      <c r="H1351" s="34"/>
    </row>
    <row r="1352" spans="1:8" x14ac:dyDescent="0.3">
      <c r="A1352" t="s">
        <v>686</v>
      </c>
      <c r="B1352" s="3">
        <f t="shared" si="16"/>
        <v>43770</v>
      </c>
      <c r="C1352" s="2" t="str">
        <f>VLOOKUP(MONTH(Tabela1[[#This Row],[Periodo]]),NUMMESES,2,FALSE)</f>
        <v>Novembro</v>
      </c>
      <c r="D1352" s="2">
        <f>YEAR(Tabela1[[#This Row],[Periodo]])</f>
        <v>2019</v>
      </c>
      <c r="E1352" s="33">
        <f>(INDEX(TBBP[],MATCH(8,planoContas,0)+1,MATCH(Tabela1[[#This Row],[Periodo]],listaPeriodos,0))/INDEX(TBBP[],MATCH("1",planoContas,0)+1,MATCH(Tabela1[[#This Row],[Periodo]],listaPeriodos,0)))</f>
        <v>1.5057292761725637E-2</v>
      </c>
      <c r="F1352" s="34"/>
      <c r="G1352" s="34"/>
      <c r="H1352" s="34"/>
    </row>
    <row r="1353" spans="1:8" x14ac:dyDescent="0.3">
      <c r="A1353" t="s">
        <v>686</v>
      </c>
      <c r="B1353" s="3">
        <f t="shared" si="16"/>
        <v>43800</v>
      </c>
      <c r="C1353" s="2" t="str">
        <f>VLOOKUP(MONTH(Tabela1[[#This Row],[Periodo]]),NUMMESES,2,FALSE)</f>
        <v>Dezembro</v>
      </c>
      <c r="D1353" s="2">
        <f>YEAR(Tabela1[[#This Row],[Periodo]])</f>
        <v>2019</v>
      </c>
      <c r="E1353" s="33">
        <f>(INDEX(TBBP[],MATCH(8,planoContas,0)+1,MATCH(Tabela1[[#This Row],[Periodo]],listaPeriodos,0))/INDEX(TBBP[],MATCH("1",planoContas,0)+1,MATCH(Tabela1[[#This Row],[Periodo]],listaPeriodos,0)))</f>
        <v>1.6322290559329482E-2</v>
      </c>
      <c r="F1353" s="34"/>
      <c r="G1353" s="34"/>
      <c r="H1353" s="34"/>
    </row>
    <row r="1354" spans="1:8" x14ac:dyDescent="0.3">
      <c r="A1354" t="s">
        <v>686</v>
      </c>
      <c r="B1354" s="3">
        <f t="shared" si="16"/>
        <v>43831</v>
      </c>
      <c r="C1354" s="2" t="str">
        <f>VLOOKUP(MONTH(Tabela1[[#This Row],[Periodo]]),NUMMESES,2,FALSE)</f>
        <v>Janeiro</v>
      </c>
      <c r="D1354" s="2">
        <f>YEAR(Tabela1[[#This Row],[Periodo]])</f>
        <v>2020</v>
      </c>
      <c r="E1354" s="33">
        <f>(INDEX(TBBP[],MATCH(8,planoContas,0)+1,MATCH(Tabela1[[#This Row],[Periodo]],listaPeriodos,0))/INDEX(TBBP[],MATCH("1",planoContas,0)+1,MATCH(Tabela1[[#This Row],[Periodo]],listaPeriodos,0)))</f>
        <v>1.9551702962063398E-2</v>
      </c>
      <c r="F1354" s="34"/>
      <c r="G1354" s="34"/>
      <c r="H1354" s="34"/>
    </row>
    <row r="1355" spans="1:8" x14ac:dyDescent="0.3">
      <c r="A1355" t="s">
        <v>686</v>
      </c>
      <c r="B1355" s="3">
        <f t="shared" si="16"/>
        <v>43862</v>
      </c>
      <c r="C1355" s="2" t="str">
        <f>VLOOKUP(MONTH(Tabela1[[#This Row],[Periodo]]),NUMMESES,2,FALSE)</f>
        <v>Fevereiro</v>
      </c>
      <c r="D1355" s="2">
        <f>YEAR(Tabela1[[#This Row],[Periodo]])</f>
        <v>2020</v>
      </c>
      <c r="E1355" s="33">
        <f>(INDEX(TBBP[],MATCH(8,planoContas,0)+1,MATCH(Tabela1[[#This Row],[Periodo]],listaPeriodos,0))/INDEX(TBBP[],MATCH("1",planoContas,0)+1,MATCH(Tabela1[[#This Row],[Periodo]],listaPeriodos,0)))</f>
        <v>9.1086180987082956E-3</v>
      </c>
      <c r="F1355" s="34"/>
      <c r="G1355" s="34"/>
      <c r="H1355" s="34"/>
    </row>
    <row r="1356" spans="1:8" x14ac:dyDescent="0.3">
      <c r="A1356" t="s">
        <v>686</v>
      </c>
      <c r="B1356" s="3">
        <f t="shared" si="16"/>
        <v>43891</v>
      </c>
      <c r="C1356" s="2" t="str">
        <f>VLOOKUP(MONTH(Tabela1[[#This Row],[Periodo]]),NUMMESES,2,FALSE)</f>
        <v>Março</v>
      </c>
      <c r="D1356" s="2">
        <f>YEAR(Tabela1[[#This Row],[Periodo]])</f>
        <v>2020</v>
      </c>
      <c r="E1356" s="33">
        <f>(INDEX(TBBP[],MATCH(8,planoContas,0)+1,MATCH(Tabela1[[#This Row],[Periodo]],listaPeriodos,0))/INDEX(TBBP[],MATCH("1",planoContas,0)+1,MATCH(Tabela1[[#This Row],[Periodo]],listaPeriodos,0)))</f>
        <v>1.1065754367742266E-3</v>
      </c>
      <c r="F1356" s="34"/>
      <c r="G1356" s="34"/>
      <c r="H1356" s="34"/>
    </row>
    <row r="1357" spans="1:8" x14ac:dyDescent="0.3">
      <c r="A1357" t="s">
        <v>686</v>
      </c>
      <c r="B1357" s="3">
        <f>DATE(YEAR(B1356),MONTH(B1356)+1,DAY(B1356))</f>
        <v>43922</v>
      </c>
      <c r="C1357" s="2" t="str">
        <f>VLOOKUP(MONTH(Tabela1[[#This Row],[Periodo]]),NUMMESES,2,FALSE)</f>
        <v>Abril</v>
      </c>
      <c r="D1357" s="2">
        <f>YEAR(Tabela1[[#This Row],[Periodo]])</f>
        <v>2020</v>
      </c>
      <c r="E1357" s="33">
        <f>(INDEX(TBBP[],MATCH(8,planoContas,0)+1,MATCH(Tabela1[[#This Row],[Periodo]],listaPeriodos,0))/INDEX(TBBP[],MATCH("1",planoContas,0)+1,MATCH(Tabela1[[#This Row],[Periodo]],listaPeriodos,0)))</f>
        <v>4.5517026701802563E-3</v>
      </c>
      <c r="F1357" s="34"/>
      <c r="G1357" s="34"/>
      <c r="H1357" s="34"/>
    </row>
    <row r="1358" spans="1:8" x14ac:dyDescent="0.3">
      <c r="A1358" t="s">
        <v>686</v>
      </c>
      <c r="B1358" s="3">
        <f t="shared" si="16"/>
        <v>43952</v>
      </c>
      <c r="C1358" s="2" t="str">
        <f>VLOOKUP(MONTH(Tabela1[[#This Row],[Periodo]]),NUMMESES,2,FALSE)</f>
        <v>Maio</v>
      </c>
      <c r="D1358" s="2">
        <f>YEAR(Tabela1[[#This Row],[Periodo]])</f>
        <v>2020</v>
      </c>
      <c r="E1358" s="33">
        <f>(INDEX(TBBP[],MATCH(8,planoContas,0)+1,MATCH(Tabela1[[#This Row],[Periodo]],listaPeriodos,0))/INDEX(TBBP[],MATCH("1",planoContas,0)+1,MATCH(Tabela1[[#This Row],[Periodo]],listaPeriodos,0)))</f>
        <v>2.1303746591662846E-2</v>
      </c>
      <c r="F1358" s="34"/>
      <c r="G1358" s="34"/>
      <c r="H1358" s="34"/>
    </row>
    <row r="1359" spans="1:8" x14ac:dyDescent="0.3">
      <c r="A1359" t="s">
        <v>686</v>
      </c>
      <c r="B1359" s="3">
        <f t="shared" si="16"/>
        <v>43983</v>
      </c>
      <c r="C1359" s="2" t="str">
        <f>VLOOKUP(MONTH(Tabela1[[#This Row],[Periodo]]),NUMMESES,2,FALSE)</f>
        <v>Junho</v>
      </c>
      <c r="D1359" s="2">
        <f>YEAR(Tabela1[[#This Row],[Periodo]])</f>
        <v>2020</v>
      </c>
      <c r="E1359" s="33">
        <f>(INDEX(TBBP[],MATCH(8,planoContas,0)+1,MATCH(Tabela1[[#This Row],[Periodo]],listaPeriodos,0))/INDEX(TBBP[],MATCH("1",planoContas,0)+1,MATCH(Tabela1[[#This Row],[Periodo]],listaPeriodos,0)))</f>
        <v>4.9177625983456298E-2</v>
      </c>
      <c r="F1359" s="34"/>
      <c r="G1359" s="34"/>
      <c r="H1359" s="34"/>
    </row>
    <row r="1360" spans="1:8" x14ac:dyDescent="0.3">
      <c r="A1360" t="s">
        <v>686</v>
      </c>
      <c r="B1360" s="3">
        <f t="shared" si="16"/>
        <v>44013</v>
      </c>
      <c r="C1360" s="2" t="str">
        <f>VLOOKUP(MONTH(Tabela1[[#This Row],[Periodo]]),NUMMESES,2,FALSE)</f>
        <v>Julho</v>
      </c>
      <c r="D1360" s="2">
        <f>YEAR(Tabela1[[#This Row],[Periodo]])</f>
        <v>2020</v>
      </c>
      <c r="E1360" s="33">
        <f>(INDEX(TBBP[],MATCH(8,planoContas,0)+1,MATCH(Tabela1[[#This Row],[Periodo]],listaPeriodos,0))/INDEX(TBBP[],MATCH("1",planoContas,0)+1,MATCH(Tabela1[[#This Row],[Periodo]],listaPeriodos,0)))</f>
        <v>3.8015471242139443E-2</v>
      </c>
      <c r="F1360" s="34"/>
      <c r="G1360" s="34"/>
      <c r="H1360" s="34"/>
    </row>
    <row r="1361" spans="1:8" x14ac:dyDescent="0.3">
      <c r="A1361" t="s">
        <v>686</v>
      </c>
      <c r="B1361" s="3">
        <f t="shared" si="16"/>
        <v>44044</v>
      </c>
      <c r="C1361" s="2" t="str">
        <f>VLOOKUP(MONTH(Tabela1[[#This Row],[Periodo]]),NUMMESES,2,FALSE)</f>
        <v>Agosto</v>
      </c>
      <c r="D1361" s="2">
        <f>YEAR(Tabela1[[#This Row],[Periodo]])</f>
        <v>2020</v>
      </c>
      <c r="E1361" s="33">
        <f>(INDEX(TBBP[],MATCH(8,planoContas,0)+1,MATCH(Tabela1[[#This Row],[Periodo]],listaPeriodos,0))/INDEX(TBBP[],MATCH("1",planoContas,0)+1,MATCH(Tabela1[[#This Row],[Periodo]],listaPeriodos,0)))</f>
        <v>3.8228966928928007E-2</v>
      </c>
      <c r="F1361" s="34"/>
      <c r="G1361" s="34"/>
      <c r="H1361" s="34"/>
    </row>
    <row r="1362" spans="1:8" x14ac:dyDescent="0.3">
      <c r="A1362" t="s">
        <v>686</v>
      </c>
      <c r="B1362" s="3">
        <f t="shared" si="16"/>
        <v>44075</v>
      </c>
      <c r="C1362" s="2" t="str">
        <f>VLOOKUP(MONTH(Tabela1[[#This Row],[Periodo]]),NUMMESES,2,FALSE)</f>
        <v>Setembro</v>
      </c>
      <c r="D1362" s="2">
        <f>YEAR(Tabela1[[#This Row],[Periodo]])</f>
        <v>2020</v>
      </c>
      <c r="E1362" s="33">
        <f>(INDEX(TBBP[],MATCH(8,planoContas,0)+1,MATCH(Tabela1[[#This Row],[Periodo]],listaPeriodos,0))/INDEX(TBBP[],MATCH("1",planoContas,0)+1,MATCH(Tabela1[[#This Row],[Periodo]],listaPeriodos,0)))</f>
        <v>4.0621814921881966E-2</v>
      </c>
      <c r="F1362" s="34"/>
      <c r="G1362" s="34"/>
      <c r="H1362" s="34"/>
    </row>
    <row r="1363" spans="1:8" x14ac:dyDescent="0.3">
      <c r="A1363" t="s">
        <v>686</v>
      </c>
      <c r="B1363" s="3">
        <f t="shared" si="16"/>
        <v>44105</v>
      </c>
      <c r="C1363" s="2" t="str">
        <f>VLOOKUP(MONTH(Tabela1[[#This Row],[Periodo]]),NUMMESES,2,FALSE)</f>
        <v>Outubro</v>
      </c>
      <c r="D1363" s="2">
        <f>YEAR(Tabela1[[#This Row],[Periodo]])</f>
        <v>2020</v>
      </c>
      <c r="E1363" s="33">
        <f>(INDEX(TBBP[],MATCH(8,planoContas,0)+1,MATCH(Tabela1[[#This Row],[Periodo]],listaPeriodos,0))/INDEX(TBBP[],MATCH("1",planoContas,0)+1,MATCH(Tabela1[[#This Row],[Periodo]],listaPeriodos,0)))</f>
        <v>4.6239230324162897E-2</v>
      </c>
      <c r="F1363" s="34"/>
      <c r="G1363" s="34"/>
      <c r="H1363" s="34"/>
    </row>
    <row r="1364" spans="1:8" x14ac:dyDescent="0.3">
      <c r="A1364" t="s">
        <v>686</v>
      </c>
      <c r="B1364" s="3">
        <f t="shared" si="16"/>
        <v>44136</v>
      </c>
      <c r="C1364" s="2" t="str">
        <f>VLOOKUP(MONTH(Tabela1[[#This Row],[Periodo]]),NUMMESES,2,FALSE)</f>
        <v>Novembro</v>
      </c>
      <c r="D1364" s="2">
        <f>YEAR(Tabela1[[#This Row],[Periodo]])</f>
        <v>2020</v>
      </c>
      <c r="E1364" s="33">
        <f>(INDEX(TBBP[],MATCH(8,planoContas,0)+1,MATCH(Tabela1[[#This Row],[Periodo]],listaPeriodos,0))/INDEX(TBBP[],MATCH("1",planoContas,0)+1,MATCH(Tabela1[[#This Row],[Periodo]],listaPeriodos,0)))</f>
        <v>2.8696719316546389E-2</v>
      </c>
      <c r="F1364" s="34"/>
      <c r="G1364" s="34"/>
      <c r="H1364" s="34"/>
    </row>
    <row r="1365" spans="1:8" x14ac:dyDescent="0.3">
      <c r="A1365" t="s">
        <v>686</v>
      </c>
      <c r="B1365" s="3">
        <f t="shared" si="16"/>
        <v>44166</v>
      </c>
      <c r="C1365" s="2" t="str">
        <f>VLOOKUP(MONTH(Tabela1[[#This Row],[Periodo]]),NUMMESES,2,FALSE)</f>
        <v>Dezembro</v>
      </c>
      <c r="D1365" s="2">
        <f>YEAR(Tabela1[[#This Row],[Periodo]])</f>
        <v>2020</v>
      </c>
      <c r="E1365" s="33">
        <f>(INDEX(TBBP[],MATCH(8,planoContas,0)+1,MATCH(Tabela1[[#This Row],[Periodo]],listaPeriodos,0))/INDEX(TBBP[],MATCH("1",planoContas,0)+1,MATCH(Tabela1[[#This Row],[Periodo]],listaPeriodos,0)))</f>
        <v>3.0792873446724368E-2</v>
      </c>
      <c r="F1365" s="34"/>
      <c r="G1365" s="34"/>
      <c r="H1365" s="34"/>
    </row>
    <row r="1366" spans="1:8" x14ac:dyDescent="0.3">
      <c r="A1366" t="s">
        <v>686</v>
      </c>
      <c r="B1366" s="3">
        <f t="shared" si="16"/>
        <v>44197</v>
      </c>
      <c r="C1366" s="2" t="str">
        <f>VLOOKUP(MONTH(Tabela1[[#This Row],[Periodo]]),NUMMESES,2,FALSE)</f>
        <v>Janeiro</v>
      </c>
      <c r="D1366" s="2">
        <f>YEAR(Tabela1[[#This Row],[Periodo]])</f>
        <v>2021</v>
      </c>
      <c r="E1366" s="33">
        <f>(INDEX(TBBP[],MATCH(8,planoContas,0)+1,MATCH(Tabela1[[#This Row],[Periodo]],listaPeriodos,0))/INDEX(TBBP[],MATCH("1",planoContas,0)+1,MATCH(Tabela1[[#This Row],[Periodo]],listaPeriodos,0)))</f>
        <v>3.2550248612934624E-2</v>
      </c>
      <c r="F1366" s="34"/>
      <c r="G1366" s="34"/>
      <c r="H1366" s="34"/>
    </row>
    <row r="1367" spans="1:8" x14ac:dyDescent="0.3">
      <c r="A1367" t="s">
        <v>686</v>
      </c>
      <c r="B1367" s="3">
        <f t="shared" si="16"/>
        <v>44228</v>
      </c>
      <c r="C1367" s="2" t="str">
        <f>VLOOKUP(MONTH(Tabela1[[#This Row],[Periodo]]),NUMMESES,2,FALSE)</f>
        <v>Fevereiro</v>
      </c>
      <c r="D1367" s="2">
        <f>YEAR(Tabela1[[#This Row],[Periodo]])</f>
        <v>2021</v>
      </c>
      <c r="E1367" s="33">
        <f>(INDEX(TBBP[],MATCH(8,planoContas,0)+1,MATCH(Tabela1[[#This Row],[Periodo]],listaPeriodos,0))/INDEX(TBBP[],MATCH("1",planoContas,0)+1,MATCH(Tabela1[[#This Row],[Periodo]],listaPeriodos,0)))</f>
        <v>2.0583097616616669E-2</v>
      </c>
      <c r="F1367" s="34"/>
      <c r="G1367" s="34"/>
      <c r="H1367" s="34"/>
    </row>
    <row r="1368" spans="1:8" x14ac:dyDescent="0.3">
      <c r="A1368" t="s">
        <v>686</v>
      </c>
      <c r="B1368" s="3">
        <f t="shared" si="16"/>
        <v>44256</v>
      </c>
      <c r="C1368" s="2" t="str">
        <f>VLOOKUP(MONTH(Tabela1[[#This Row],[Periodo]]),NUMMESES,2,FALSE)</f>
        <v>Março</v>
      </c>
      <c r="D1368" s="2">
        <f>YEAR(Tabela1[[#This Row],[Periodo]])</f>
        <v>2021</v>
      </c>
      <c r="E1368" s="33">
        <f>(INDEX(TBBP[],MATCH(8,planoContas,0)+1,MATCH(Tabela1[[#This Row],[Periodo]],listaPeriodos,0))/INDEX(TBBP[],MATCH("1",planoContas,0)+1,MATCH(Tabela1[[#This Row],[Periodo]],listaPeriodos,0)))</f>
        <v>3.7497618901095382E-2</v>
      </c>
      <c r="F1368" s="34"/>
      <c r="G1368" s="34"/>
      <c r="H1368" s="34"/>
    </row>
    <row r="1369" spans="1:8" x14ac:dyDescent="0.3">
      <c r="A1369" t="s">
        <v>686</v>
      </c>
      <c r="B1369" s="3">
        <f t="shared" si="16"/>
        <v>44287</v>
      </c>
      <c r="C1369" s="2" t="str">
        <f>VLOOKUP(MONTH(Tabela1[[#This Row],[Periodo]]),NUMMESES,2,FALSE)</f>
        <v>Abril</v>
      </c>
      <c r="D1369" s="2">
        <f>YEAR(Tabela1[[#This Row],[Periodo]])</f>
        <v>2021</v>
      </c>
      <c r="E1369" s="33">
        <f>(INDEX(TBBP[],MATCH(8,planoContas,0)+1,MATCH(Tabela1[[#This Row],[Periodo]],listaPeriodos,0))/INDEX(TBBP[],MATCH("1",planoContas,0)+1,MATCH(Tabela1[[#This Row],[Periodo]],listaPeriodos,0)))</f>
        <v>4.9260534110870384E-2</v>
      </c>
      <c r="F1369" s="34"/>
      <c r="G1369" s="34"/>
      <c r="H1369" s="34"/>
    </row>
    <row r="1370" spans="1:8" x14ac:dyDescent="0.3">
      <c r="A1370" t="s">
        <v>686</v>
      </c>
      <c r="B1370" s="3">
        <f t="shared" si="16"/>
        <v>44317</v>
      </c>
      <c r="C1370" s="2" t="str">
        <f>VLOOKUP(MONTH(Tabela1[[#This Row],[Periodo]]),NUMMESES,2,FALSE)</f>
        <v>Maio</v>
      </c>
      <c r="D1370" s="2">
        <f>YEAR(Tabela1[[#This Row],[Periodo]])</f>
        <v>2021</v>
      </c>
      <c r="E1370" s="33">
        <f>(INDEX(TBBP[],MATCH(8,planoContas,0)+1,MATCH(Tabela1[[#This Row],[Periodo]],listaPeriodos,0))/INDEX(TBBP[],MATCH("1",planoContas,0)+1,MATCH(Tabela1[[#This Row],[Periodo]],listaPeriodos,0)))</f>
        <v>4.4449131752482364E-2</v>
      </c>
      <c r="F1370" s="34"/>
      <c r="G1370" s="34"/>
      <c r="H1370" s="34"/>
    </row>
    <row r="1371" spans="1:8" x14ac:dyDescent="0.3">
      <c r="A1371" t="s">
        <v>686</v>
      </c>
      <c r="B1371" s="3">
        <f t="shared" si="16"/>
        <v>44348</v>
      </c>
      <c r="C1371" s="2" t="str">
        <f>VLOOKUP(MONTH(Tabela1[[#This Row],[Periodo]]),NUMMESES,2,FALSE)</f>
        <v>Junho</v>
      </c>
      <c r="D1371" s="2">
        <f>YEAR(Tabela1[[#This Row],[Periodo]])</f>
        <v>2021</v>
      </c>
      <c r="E1371" s="33">
        <f>(INDEX(TBBP[],MATCH(8,planoContas,0)+1,MATCH(Tabela1[[#This Row],[Periodo]],listaPeriodos,0))/INDEX(TBBP[],MATCH("1",planoContas,0)+1,MATCH(Tabela1[[#This Row],[Periodo]],listaPeriodos,0)))</f>
        <v>5.2409278335061378E-2</v>
      </c>
      <c r="F1371" s="34"/>
      <c r="G1371" s="34"/>
      <c r="H1371" s="34"/>
    </row>
    <row r="1372" spans="1:8" x14ac:dyDescent="0.3">
      <c r="A1372" t="s">
        <v>686</v>
      </c>
      <c r="B1372" s="3">
        <f t="shared" si="16"/>
        <v>44378</v>
      </c>
      <c r="C1372" s="2" t="str">
        <f>VLOOKUP(MONTH(Tabela1[[#This Row],[Periodo]]),NUMMESES,2,FALSE)</f>
        <v>Julho</v>
      </c>
      <c r="D1372" s="2">
        <f>YEAR(Tabela1[[#This Row],[Periodo]])</f>
        <v>2021</v>
      </c>
      <c r="E1372" s="33">
        <f>(INDEX(TBBP[],MATCH(8,planoContas,0)+1,MATCH(Tabela1[[#This Row],[Periodo]],listaPeriodos,0))/INDEX(TBBP[],MATCH("1",planoContas,0)+1,MATCH(Tabela1[[#This Row],[Periodo]],listaPeriodos,0)))</f>
        <v>5.1001790811370296E-2</v>
      </c>
      <c r="F1372" s="34"/>
      <c r="G1372" s="34"/>
      <c r="H1372" s="34"/>
    </row>
    <row r="1373" spans="1:8" x14ac:dyDescent="0.3">
      <c r="A1373" t="s">
        <v>686</v>
      </c>
      <c r="B1373" s="3">
        <f t="shared" si="16"/>
        <v>44409</v>
      </c>
      <c r="C1373" s="2" t="str">
        <f>VLOOKUP(MONTH(Tabela1[[#This Row],[Periodo]]),NUMMESES,2,FALSE)</f>
        <v>Agosto</v>
      </c>
      <c r="D1373" s="2">
        <f>YEAR(Tabela1[[#This Row],[Periodo]])</f>
        <v>2021</v>
      </c>
      <c r="E1373" s="33">
        <f>(INDEX(TBBP[],MATCH(8,planoContas,0)+1,MATCH(Tabela1[[#This Row],[Periodo]],listaPeriodos,0))/INDEX(TBBP[],MATCH("1",planoContas,0)+1,MATCH(Tabela1[[#This Row],[Periodo]],listaPeriodos,0)))</f>
        <v>4.6840920450448124E-2</v>
      </c>
      <c r="F1373" s="34"/>
      <c r="G1373" s="34"/>
      <c r="H1373" s="34"/>
    </row>
    <row r="1374" spans="1:8" x14ac:dyDescent="0.3">
      <c r="A1374" t="s">
        <v>686</v>
      </c>
      <c r="B1374" s="3">
        <f t="shared" si="16"/>
        <v>44440</v>
      </c>
      <c r="C1374" s="2" t="str">
        <f>VLOOKUP(MONTH(Tabela1[[#This Row],[Periodo]]),NUMMESES,2,FALSE)</f>
        <v>Setembro</v>
      </c>
      <c r="D1374" s="2">
        <f>YEAR(Tabela1[[#This Row],[Periodo]])</f>
        <v>2021</v>
      </c>
      <c r="E1374" s="33">
        <f>(INDEX(TBBP[],MATCH(8,planoContas,0)+1,MATCH(Tabela1[[#This Row],[Periodo]],listaPeriodos,0))/INDEX(TBBP[],MATCH("1",planoContas,0)+1,MATCH(Tabela1[[#This Row],[Periodo]],listaPeriodos,0)))</f>
        <v>5.0104976850784376E-2</v>
      </c>
      <c r="F1374" s="34"/>
      <c r="G1374" s="34"/>
      <c r="H1374" s="34"/>
    </row>
    <row r="1375" spans="1:8" x14ac:dyDescent="0.3">
      <c r="A1375" t="s">
        <v>686</v>
      </c>
      <c r="B1375" s="3">
        <f t="shared" si="16"/>
        <v>44470</v>
      </c>
      <c r="C1375" s="2" t="str">
        <f>VLOOKUP(MONTH(Tabela1[[#This Row],[Periodo]]),NUMMESES,2,FALSE)</f>
        <v>Outubro</v>
      </c>
      <c r="D1375" s="2">
        <f>YEAR(Tabela1[[#This Row],[Periodo]])</f>
        <v>2021</v>
      </c>
      <c r="E1375" s="33">
        <f>(INDEX(TBBP[],MATCH(8,planoContas,0)+1,MATCH(Tabela1[[#This Row],[Periodo]],listaPeriodos,0))/INDEX(TBBP[],MATCH("1",planoContas,0)+1,MATCH(Tabela1[[#This Row],[Periodo]],listaPeriodos,0)))</f>
        <v>2.2130495237899457E-2</v>
      </c>
      <c r="F1375" s="34"/>
      <c r="G1375" s="34"/>
      <c r="H1375" s="34"/>
    </row>
    <row r="1376" spans="1:8" x14ac:dyDescent="0.3">
      <c r="A1376" t="s">
        <v>686</v>
      </c>
      <c r="B1376" s="3">
        <f t="shared" si="16"/>
        <v>44501</v>
      </c>
      <c r="C1376" s="2" t="str">
        <f>VLOOKUP(MONTH(Tabela1[[#This Row],[Periodo]]),NUMMESES,2,FALSE)</f>
        <v>Novembro</v>
      </c>
      <c r="D1376" s="2">
        <f>YEAR(Tabela1[[#This Row],[Periodo]])</f>
        <v>2021</v>
      </c>
      <c r="E1376" s="33">
        <f>(INDEX(TBBP[],MATCH(8,planoContas,0)+1,MATCH(Tabela1[[#This Row],[Periodo]],listaPeriodos,0))/INDEX(TBBP[],MATCH("1",planoContas,0)+1,MATCH(Tabela1[[#This Row],[Periodo]],listaPeriodos,0)))</f>
        <v>2.3483479056826722E-2</v>
      </c>
      <c r="F1376" s="34"/>
      <c r="G1376" s="34"/>
      <c r="H1376" s="34"/>
    </row>
    <row r="1377" spans="1:8" x14ac:dyDescent="0.3">
      <c r="A1377" t="s">
        <v>686</v>
      </c>
      <c r="B1377" s="3">
        <f t="shared" si="16"/>
        <v>44531</v>
      </c>
      <c r="C1377" s="2" t="str">
        <f>VLOOKUP(MONTH(Tabela1[[#This Row],[Periodo]]),NUMMESES,2,FALSE)</f>
        <v>Dezembro</v>
      </c>
      <c r="D1377" s="2">
        <f>YEAR(Tabela1[[#This Row],[Periodo]])</f>
        <v>2021</v>
      </c>
      <c r="E1377" s="33">
        <f>(INDEX(TBBP[],MATCH(8,planoContas,0)+1,MATCH(Tabela1[[#This Row],[Periodo]],listaPeriodos,0))/INDEX(TBBP[],MATCH("1",planoContas,0)+1,MATCH(Tabela1[[#This Row],[Periodo]],listaPeriodos,0)))</f>
        <v>1.6731511984914956E-2</v>
      </c>
      <c r="F1377" s="34"/>
      <c r="G1377" s="34"/>
      <c r="H1377" s="34"/>
    </row>
    <row r="1378" spans="1:8" x14ac:dyDescent="0.3">
      <c r="A1378" t="s">
        <v>686</v>
      </c>
      <c r="B1378" s="3">
        <f t="shared" si="16"/>
        <v>44562</v>
      </c>
      <c r="C1378" s="2" t="str">
        <f>VLOOKUP(MONTH(Tabela1[[#This Row],[Periodo]]),NUMMESES,2,FALSE)</f>
        <v>Janeiro</v>
      </c>
      <c r="D1378" s="2">
        <f>YEAR(Tabela1[[#This Row],[Periodo]])</f>
        <v>2022</v>
      </c>
      <c r="E1378" s="33">
        <f>(INDEX(TBBP[],MATCH(8,planoContas,0)+1,MATCH(Tabela1[[#This Row],[Periodo]],listaPeriodos,0))/INDEX(TBBP[],MATCH("1",planoContas,0)+1,MATCH(Tabela1[[#This Row],[Periodo]],listaPeriodos,0)))</f>
        <v>1.1252153090926644E-2</v>
      </c>
      <c r="F1378" s="34"/>
      <c r="G1378" s="34"/>
      <c r="H1378" s="34"/>
    </row>
    <row r="1379" spans="1:8" x14ac:dyDescent="0.3">
      <c r="A1379" t="s">
        <v>686</v>
      </c>
      <c r="B1379" s="3">
        <f t="shared" si="16"/>
        <v>44593</v>
      </c>
      <c r="C1379" s="2" t="str">
        <f>VLOOKUP(MONTH(Tabela1[[#This Row],[Periodo]]),NUMMESES,2,FALSE)</f>
        <v>Fevereiro</v>
      </c>
      <c r="D1379" s="2">
        <f>YEAR(Tabela1[[#This Row],[Periodo]])</f>
        <v>2022</v>
      </c>
      <c r="E1379" s="33">
        <f>(INDEX(TBBP[],MATCH(8,planoContas,0)+1,MATCH(Tabela1[[#This Row],[Periodo]],listaPeriodos,0))/INDEX(TBBP[],MATCH("1",planoContas,0)+1,MATCH(Tabela1[[#This Row],[Periodo]],listaPeriodos,0)))</f>
        <v>1.6630213787335618E-2</v>
      </c>
      <c r="F1379" s="34"/>
      <c r="G1379" s="34"/>
      <c r="H1379" s="34"/>
    </row>
    <row r="1380" spans="1:8" x14ac:dyDescent="0.3">
      <c r="A1380" t="s">
        <v>686</v>
      </c>
      <c r="B1380" s="3">
        <f t="shared" si="16"/>
        <v>44621</v>
      </c>
      <c r="C1380" s="2" t="str">
        <f>VLOOKUP(MONTH(Tabela1[[#This Row],[Periodo]]),NUMMESES,2,FALSE)</f>
        <v>Março</v>
      </c>
      <c r="D1380" s="2">
        <f>YEAR(Tabela1[[#This Row],[Periodo]])</f>
        <v>2022</v>
      </c>
      <c r="E1380" s="33">
        <f>(INDEX(TBBP[],MATCH(8,planoContas,0)+1,MATCH(Tabela1[[#This Row],[Periodo]],listaPeriodos,0))/INDEX(TBBP[],MATCH("1",planoContas,0)+1,MATCH(Tabela1[[#This Row],[Periodo]],listaPeriodos,0)))</f>
        <v>2.4337094502415106E-2</v>
      </c>
      <c r="F1380" s="34"/>
      <c r="G1380" s="34"/>
      <c r="H1380" s="34"/>
    </row>
    <row r="1381" spans="1:8" x14ac:dyDescent="0.3">
      <c r="A1381" t="s">
        <v>686</v>
      </c>
      <c r="B1381" s="3">
        <f t="shared" si="16"/>
        <v>44652</v>
      </c>
      <c r="C1381" s="2" t="str">
        <f>VLOOKUP(MONTH(Tabela1[[#This Row],[Periodo]]),NUMMESES,2,FALSE)</f>
        <v>Abril</v>
      </c>
      <c r="D1381" s="2">
        <f>YEAR(Tabela1[[#This Row],[Periodo]])</f>
        <v>2022</v>
      </c>
      <c r="E1381" s="33">
        <f>(INDEX(TBBP[],MATCH(8,planoContas,0)+1,MATCH(Tabela1[[#This Row],[Periodo]],listaPeriodos,0))/INDEX(TBBP[],MATCH("1",planoContas,0)+1,MATCH(Tabela1[[#This Row],[Periodo]],listaPeriodos,0)))</f>
        <v>2.5033924446023079E-2</v>
      </c>
      <c r="F1381" s="34"/>
      <c r="G1381" s="34"/>
      <c r="H1381" s="34"/>
    </row>
    <row r="1382" spans="1:8" x14ac:dyDescent="0.3">
      <c r="A1382" t="s">
        <v>686</v>
      </c>
      <c r="B1382" s="3">
        <f t="shared" si="16"/>
        <v>44682</v>
      </c>
      <c r="C1382" s="2" t="str">
        <f>VLOOKUP(MONTH(Tabela1[[#This Row],[Periodo]]),NUMMESES,2,FALSE)</f>
        <v>Maio</v>
      </c>
      <c r="D1382" s="2">
        <f>YEAR(Tabela1[[#This Row],[Periodo]])</f>
        <v>2022</v>
      </c>
      <c r="E1382" s="33">
        <f>(INDEX(TBBP[],MATCH(8,planoContas,0)+1,MATCH(Tabela1[[#This Row],[Periodo]],listaPeriodos,0))/INDEX(TBBP[],MATCH("1",planoContas,0)+1,MATCH(Tabela1[[#This Row],[Periodo]],listaPeriodos,0)))</f>
        <v>2.1546024386242285E-2</v>
      </c>
      <c r="F1382" s="34"/>
      <c r="G1382" s="34"/>
      <c r="H1382" s="34"/>
    </row>
    <row r="1383" spans="1:8" x14ac:dyDescent="0.3">
      <c r="A1383" t="s">
        <v>686</v>
      </c>
      <c r="B1383" s="3">
        <f t="shared" si="16"/>
        <v>44713</v>
      </c>
      <c r="C1383" s="2" t="str">
        <f>VLOOKUP(MONTH(Tabela1[[#This Row],[Periodo]]),NUMMESES,2,FALSE)</f>
        <v>Junho</v>
      </c>
      <c r="D1383" s="2">
        <f>YEAR(Tabela1[[#This Row],[Periodo]])</f>
        <v>2022</v>
      </c>
      <c r="E1383" s="33">
        <f>(INDEX(TBBP[],MATCH(8,planoContas,0)+1,MATCH(Tabela1[[#This Row],[Periodo]],listaPeriodos,0))/INDEX(TBBP[],MATCH("1",planoContas,0)+1,MATCH(Tabela1[[#This Row],[Periodo]],listaPeriodos,0)))</f>
        <v>1.9041385759761213E-2</v>
      </c>
      <c r="F1383" s="34"/>
      <c r="G1383" s="34"/>
      <c r="H1383" s="34"/>
    </row>
    <row r="1384" spans="1:8" x14ac:dyDescent="0.3">
      <c r="A1384" t="s">
        <v>686</v>
      </c>
      <c r="B1384" s="3">
        <f t="shared" si="16"/>
        <v>44743</v>
      </c>
      <c r="C1384" s="2" t="str">
        <f>VLOOKUP(MONTH(Tabela1[[#This Row],[Periodo]]),NUMMESES,2,FALSE)</f>
        <v>Julho</v>
      </c>
      <c r="D1384" s="2">
        <f>YEAR(Tabela1[[#This Row],[Periodo]])</f>
        <v>2022</v>
      </c>
      <c r="E1384" s="33">
        <f>(INDEX(TBBP[],MATCH(8,planoContas,0)+1,MATCH(Tabela1[[#This Row],[Periodo]],listaPeriodos,0))/INDEX(TBBP[],MATCH("1",planoContas,0)+1,MATCH(Tabela1[[#This Row],[Periodo]],listaPeriodos,0)))</f>
        <v>2.3519940519624135E-2</v>
      </c>
      <c r="F1384" s="34"/>
      <c r="G1384" s="34"/>
      <c r="H1384" s="34"/>
    </row>
    <row r="1385" spans="1:8" x14ac:dyDescent="0.3">
      <c r="A1385" t="s">
        <v>686</v>
      </c>
      <c r="B1385" s="3">
        <f t="shared" si="16"/>
        <v>44774</v>
      </c>
      <c r="C1385" s="2" t="str">
        <f>VLOOKUP(MONTH(Tabela1[[#This Row],[Periodo]]),NUMMESES,2,FALSE)</f>
        <v>Agosto</v>
      </c>
      <c r="D1385" s="2">
        <f>YEAR(Tabela1[[#This Row],[Periodo]])</f>
        <v>2022</v>
      </c>
      <c r="E1385" s="33">
        <f>(INDEX(TBBP[],MATCH(8,planoContas,0)+1,MATCH(Tabela1[[#This Row],[Periodo]],listaPeriodos,0))/INDEX(TBBP[],MATCH("1",planoContas,0)+1,MATCH(Tabela1[[#This Row],[Periodo]],listaPeriodos,0)))</f>
        <v>1.8563958486819583E-2</v>
      </c>
      <c r="F1385" s="34"/>
      <c r="G1385" s="34"/>
      <c r="H1385" s="34"/>
    </row>
    <row r="1386" spans="1:8" x14ac:dyDescent="0.3">
      <c r="A1386" t="s">
        <v>686</v>
      </c>
      <c r="B1386" s="3">
        <f t="shared" si="16"/>
        <v>44805</v>
      </c>
      <c r="C1386" s="2" t="str">
        <f>VLOOKUP(MONTH(Tabela1[[#This Row],[Periodo]]),NUMMESES,2,FALSE)</f>
        <v>Setembro</v>
      </c>
      <c r="D1386" s="2">
        <f>YEAR(Tabela1[[#This Row],[Periodo]])</f>
        <v>2022</v>
      </c>
      <c r="E1386" s="33">
        <f>(INDEX(TBBP[],MATCH(8,planoContas,0)+1,MATCH(Tabela1[[#This Row],[Periodo]],listaPeriodos,0))/INDEX(TBBP[],MATCH("1",planoContas,0)+1,MATCH(Tabela1[[#This Row],[Periodo]],listaPeriodos,0)))</f>
        <v>1.7941784228148287E-2</v>
      </c>
      <c r="F1386" s="34"/>
      <c r="G1386" s="34"/>
      <c r="H1386" s="34"/>
    </row>
    <row r="1387" spans="1:8" x14ac:dyDescent="0.3">
      <c r="A1387" t="s">
        <v>686</v>
      </c>
      <c r="B1387" s="3">
        <f t="shared" si="16"/>
        <v>44835</v>
      </c>
      <c r="C1387" s="2" t="str">
        <f>VLOOKUP(MONTH(Tabela1[[#This Row],[Periodo]]),NUMMESES,2,FALSE)</f>
        <v>Outubro</v>
      </c>
      <c r="D1387" s="2">
        <f>YEAR(Tabela1[[#This Row],[Periodo]])</f>
        <v>2022</v>
      </c>
      <c r="E1387" s="33">
        <f>(INDEX(TBBP[],MATCH(8,planoContas,0)+1,MATCH(Tabela1[[#This Row],[Periodo]],listaPeriodos,0))/INDEX(TBBP[],MATCH("1",planoContas,0)+1,MATCH(Tabela1[[#This Row],[Periodo]],listaPeriodos,0)))</f>
        <v>5.6166666553713754E-3</v>
      </c>
      <c r="F1387" s="34"/>
      <c r="G1387" s="34"/>
      <c r="H1387" s="34"/>
    </row>
    <row r="1388" spans="1:8" x14ac:dyDescent="0.3">
      <c r="A1388" t="s">
        <v>686</v>
      </c>
      <c r="B1388" s="3">
        <f t="shared" si="16"/>
        <v>44866</v>
      </c>
      <c r="C1388" s="2" t="str">
        <f>VLOOKUP(MONTH(Tabela1[[#This Row],[Periodo]]),NUMMESES,2,FALSE)</f>
        <v>Novembro</v>
      </c>
      <c r="D1388" s="2">
        <f>YEAR(Tabela1[[#This Row],[Periodo]])</f>
        <v>2022</v>
      </c>
      <c r="E1388" s="33">
        <f>(INDEX(TBBP[],MATCH(8,planoContas,0)+1,MATCH(Tabela1[[#This Row],[Periodo]],listaPeriodos,0))/INDEX(TBBP[],MATCH("1",planoContas,0)+1,MATCH(Tabela1[[#This Row],[Periodo]],listaPeriodos,0)))</f>
        <v>1.9655492716395193E-2</v>
      </c>
      <c r="F1388" s="34"/>
      <c r="G1388" s="34"/>
      <c r="H1388" s="34"/>
    </row>
    <row r="1389" spans="1:8" x14ac:dyDescent="0.3">
      <c r="A1389" t="s">
        <v>686</v>
      </c>
      <c r="B1389" s="3">
        <f t="shared" si="16"/>
        <v>44896</v>
      </c>
      <c r="C1389" s="2" t="str">
        <f>VLOOKUP(MONTH(Tabela1[[#This Row],[Periodo]]),NUMMESES,2,FALSE)</f>
        <v>Dezembro</v>
      </c>
      <c r="D1389" s="2">
        <f>YEAR(Tabela1[[#This Row],[Periodo]])</f>
        <v>2022</v>
      </c>
      <c r="E1389" s="33">
        <f>(INDEX(TBBP[],MATCH(8,planoContas,0)+1,MATCH(Tabela1[[#This Row],[Periodo]],listaPeriodos,0))/INDEX(TBBP[],MATCH("1",planoContas,0)+1,MATCH(Tabela1[[#This Row],[Periodo]],listaPeriodos,0)))</f>
        <v>2.1018378319743458E-3</v>
      </c>
      <c r="F1389" s="34"/>
      <c r="G1389" s="34"/>
      <c r="H1389" s="34"/>
    </row>
    <row r="1390" spans="1:8" x14ac:dyDescent="0.3">
      <c r="A1390" t="s">
        <v>686</v>
      </c>
      <c r="B1390" s="3">
        <f t="shared" si="16"/>
        <v>44927</v>
      </c>
      <c r="C1390" s="2" t="str">
        <f>VLOOKUP(MONTH(Tabela1[[#This Row],[Periodo]]),NUMMESES,2,FALSE)</f>
        <v>Janeiro</v>
      </c>
      <c r="D1390" s="2">
        <f>YEAR(Tabela1[[#This Row],[Periodo]])</f>
        <v>2023</v>
      </c>
      <c r="E1390" s="33">
        <f>(INDEX(TBBP[],MATCH(8,planoContas,0)+1,MATCH(Tabela1[[#This Row],[Periodo]],listaPeriodos,0))/INDEX(TBBP[],MATCH("1",planoContas,0)+1,MATCH(Tabela1[[#This Row],[Periodo]],listaPeriodos,0)))</f>
        <v>6.9075657413992407E-3</v>
      </c>
      <c r="F1390" s="34"/>
      <c r="G1390" s="34"/>
      <c r="H1390" s="34"/>
    </row>
    <row r="1391" spans="1:8" x14ac:dyDescent="0.3">
      <c r="A1391" t="s">
        <v>686</v>
      </c>
      <c r="B1391" s="3">
        <f t="shared" si="16"/>
        <v>44958</v>
      </c>
      <c r="C1391" s="2" t="str">
        <f>VLOOKUP(MONTH(Tabela1[[#This Row],[Periodo]]),NUMMESES,2,FALSE)</f>
        <v>Fevereiro</v>
      </c>
      <c r="D1391" s="2">
        <f>YEAR(Tabela1[[#This Row],[Periodo]])</f>
        <v>2023</v>
      </c>
      <c r="E1391" s="33">
        <f>(INDEX(TBBP[],MATCH(8,planoContas,0)+1,MATCH(Tabela1[[#This Row],[Periodo]],listaPeriodos,0))/INDEX(TBBP[],MATCH("1",planoContas,0)+1,MATCH(Tabela1[[#This Row],[Periodo]],listaPeriodos,0)))</f>
        <v>2.2178399634191176E-3</v>
      </c>
      <c r="F1391" s="34"/>
      <c r="G1391" s="34"/>
      <c r="H1391" s="34"/>
    </row>
    <row r="1392" spans="1:8" x14ac:dyDescent="0.3">
      <c r="A1392" t="s">
        <v>686</v>
      </c>
      <c r="B1392" s="3">
        <f t="shared" si="16"/>
        <v>44986</v>
      </c>
      <c r="C1392" s="2" t="str">
        <f>VLOOKUP(MONTH(Tabela1[[#This Row],[Periodo]]),NUMMESES,2,FALSE)</f>
        <v>Março</v>
      </c>
      <c r="D1392" s="2">
        <f>YEAR(Tabela1[[#This Row],[Periodo]])</f>
        <v>2023</v>
      </c>
      <c r="E1392" s="33">
        <f>(INDEX(TBBP[],MATCH(8,planoContas,0)+1,MATCH(Tabela1[[#This Row],[Periodo]],listaPeriodos,0))/INDEX(TBBP[],MATCH("1",planoContas,0)+1,MATCH(Tabela1[[#This Row],[Periodo]],listaPeriodos,0)))</f>
        <v>9.0770690765857604E-3</v>
      </c>
      <c r="F1392" s="34"/>
      <c r="G1392" s="34"/>
      <c r="H1392" s="34"/>
    </row>
    <row r="1393" spans="1:8" x14ac:dyDescent="0.3">
      <c r="A1393" t="s">
        <v>686</v>
      </c>
      <c r="B1393" s="3">
        <f t="shared" si="16"/>
        <v>45017</v>
      </c>
      <c r="C1393" s="2" t="str">
        <f>VLOOKUP(MONTH(Tabela1[[#This Row],[Periodo]]),NUMMESES,2,FALSE)</f>
        <v>Abril</v>
      </c>
      <c r="D1393" s="2">
        <f>YEAR(Tabela1[[#This Row],[Periodo]])</f>
        <v>2023</v>
      </c>
      <c r="E1393" s="33">
        <f>(INDEX(TBBP[],MATCH(8,planoContas,0)+1,MATCH(Tabela1[[#This Row],[Periodo]],listaPeriodos,0))/INDEX(TBBP[],MATCH("1",planoContas,0)+1,MATCH(Tabela1[[#This Row],[Periodo]],listaPeriodos,0)))</f>
        <v>1.1701211623357161E-2</v>
      </c>
      <c r="F1393" s="34"/>
      <c r="G1393" s="34"/>
      <c r="H1393" s="34"/>
    </row>
    <row r="1394" spans="1:8" x14ac:dyDescent="0.3">
      <c r="A1394" t="s">
        <v>686</v>
      </c>
      <c r="B1394" s="3">
        <f t="shared" si="16"/>
        <v>45047</v>
      </c>
      <c r="C1394" s="2" t="str">
        <f>VLOOKUP(MONTH(Tabela1[[#This Row],[Periodo]]),NUMMESES,2,FALSE)</f>
        <v>Maio</v>
      </c>
      <c r="D1394" s="2">
        <f>YEAR(Tabela1[[#This Row],[Periodo]])</f>
        <v>2023</v>
      </c>
      <c r="E1394" s="33">
        <f>(INDEX(TBBP[],MATCH(8,planoContas,0)+1,MATCH(Tabela1[[#This Row],[Periodo]],listaPeriodos,0))/INDEX(TBBP[],MATCH("1",planoContas,0)+1,MATCH(Tabela1[[#This Row],[Periodo]],listaPeriodos,0)))</f>
        <v>2.1921854952620203E-2</v>
      </c>
      <c r="F1394" s="34"/>
      <c r="G1394" s="34"/>
      <c r="H1394" s="34"/>
    </row>
    <row r="1395" spans="1:8" x14ac:dyDescent="0.3">
      <c r="A1395" t="s">
        <v>686</v>
      </c>
      <c r="B1395" s="3">
        <f t="shared" si="16"/>
        <v>45078</v>
      </c>
      <c r="C1395" s="2" t="str">
        <f>VLOOKUP(MONTH(Tabela1[[#This Row],[Periodo]]),NUMMESES,2,FALSE)</f>
        <v>Junho</v>
      </c>
      <c r="D1395" s="2">
        <f>YEAR(Tabela1[[#This Row],[Periodo]])</f>
        <v>2023</v>
      </c>
      <c r="E1395" s="33">
        <f>(INDEX(TBBP[],MATCH(8,planoContas,0)+1,MATCH(Tabela1[[#This Row],[Periodo]],listaPeriodos,0))/INDEX(TBBP[],MATCH("1",planoContas,0)+1,MATCH(Tabela1[[#This Row],[Periodo]],listaPeriodos,0)))</f>
        <v>1.7030399571378058E-2</v>
      </c>
      <c r="F1395" s="34"/>
      <c r="G1395" s="34"/>
      <c r="H1395" s="34"/>
    </row>
    <row r="1396" spans="1:8" x14ac:dyDescent="0.3">
      <c r="A1396" t="s">
        <v>686</v>
      </c>
      <c r="B1396" s="3">
        <f t="shared" si="16"/>
        <v>45108</v>
      </c>
      <c r="C1396" s="2" t="str">
        <f>VLOOKUP(MONTH(Tabela1[[#This Row],[Periodo]]),NUMMESES,2,FALSE)</f>
        <v>Julho</v>
      </c>
      <c r="D1396" s="2">
        <f>YEAR(Tabela1[[#This Row],[Periodo]])</f>
        <v>2023</v>
      </c>
      <c r="E1396" s="33">
        <f>(INDEX(TBBP[],MATCH(8,planoContas,0)+1,MATCH(Tabela1[[#This Row],[Periodo]],listaPeriodos,0))/INDEX(TBBP[],MATCH("1",planoContas,0)+1,MATCH(Tabela1[[#This Row],[Periodo]],listaPeriodos,0)))</f>
        <v>4.7141246438074233E-3</v>
      </c>
      <c r="F1396" s="34"/>
      <c r="G1396" s="34"/>
      <c r="H1396" s="34"/>
    </row>
    <row r="1397" spans="1:8" x14ac:dyDescent="0.3">
      <c r="A1397" t="s">
        <v>686</v>
      </c>
      <c r="B1397" s="3">
        <f t="shared" si="16"/>
        <v>45139</v>
      </c>
      <c r="C1397" s="2" t="str">
        <f>VLOOKUP(MONTH(Tabela1[[#This Row],[Periodo]]),NUMMESES,2,FALSE)</f>
        <v>Agosto</v>
      </c>
      <c r="D1397" s="2">
        <f>YEAR(Tabela1[[#This Row],[Periodo]])</f>
        <v>2023</v>
      </c>
      <c r="E1397" s="33">
        <f>(INDEX(TBBP[],MATCH(8,planoContas,0)+1,MATCH(Tabela1[[#This Row],[Periodo]],listaPeriodos,0))/INDEX(TBBP[],MATCH("1",planoContas,0)+1,MATCH(Tabela1[[#This Row],[Periodo]],listaPeriodos,0)))</f>
        <v>1.1810037882842104E-2</v>
      </c>
      <c r="F1397" s="34"/>
      <c r="G1397" s="34"/>
      <c r="H1397" s="34"/>
    </row>
    <row r="1398" spans="1:8" x14ac:dyDescent="0.3">
      <c r="A1398" t="s">
        <v>686</v>
      </c>
      <c r="B1398" s="3">
        <f t="shared" si="16"/>
        <v>45170</v>
      </c>
      <c r="C1398" s="2" t="str">
        <f>VLOOKUP(MONTH(Tabela1[[#This Row],[Periodo]]),NUMMESES,2,FALSE)</f>
        <v>Setembro</v>
      </c>
      <c r="D1398" s="2">
        <f>YEAR(Tabela1[[#This Row],[Periodo]])</f>
        <v>2023</v>
      </c>
      <c r="E1398" s="33">
        <f>(INDEX(TBBP[],MATCH(8,planoContas,0)+1,MATCH(Tabela1[[#This Row],[Periodo]],listaPeriodos,0))/INDEX(TBBP[],MATCH("1",planoContas,0)+1,MATCH(Tabela1[[#This Row],[Periodo]],listaPeriodos,0)))</f>
        <v>6.313946897570223E-3</v>
      </c>
      <c r="F1398" s="34"/>
      <c r="G1398" s="34"/>
      <c r="H1398" s="34"/>
    </row>
    <row r="1399" spans="1:8" x14ac:dyDescent="0.3">
      <c r="A1399" t="s">
        <v>686</v>
      </c>
      <c r="B1399" s="3">
        <f t="shared" si="16"/>
        <v>45200</v>
      </c>
      <c r="C1399" s="2" t="str">
        <f>VLOOKUP(MONTH(Tabela1[[#This Row],[Periodo]]),NUMMESES,2,FALSE)</f>
        <v>Outubro</v>
      </c>
      <c r="D1399" s="2">
        <f>YEAR(Tabela1[[#This Row],[Periodo]])</f>
        <v>2023</v>
      </c>
      <c r="E1399" s="33">
        <f>(INDEX(TBBP[],MATCH(8,planoContas,0)+1,MATCH(Tabela1[[#This Row],[Periodo]],listaPeriodos,0))/INDEX(TBBP[],MATCH("1",planoContas,0)+1,MATCH(Tabela1[[#This Row],[Periodo]],listaPeriodos,0)))</f>
        <v>1.4887510038222956E-2</v>
      </c>
      <c r="F1399" s="34"/>
      <c r="G1399" s="34"/>
      <c r="H1399" s="34"/>
    </row>
    <row r="1400" spans="1:8" x14ac:dyDescent="0.3">
      <c r="A1400" t="s">
        <v>686</v>
      </c>
      <c r="B1400" s="3">
        <f t="shared" si="16"/>
        <v>45231</v>
      </c>
      <c r="C1400" s="2" t="str">
        <f>VLOOKUP(MONTH(Tabela1[[#This Row],[Periodo]]),NUMMESES,2,FALSE)</f>
        <v>Novembro</v>
      </c>
      <c r="D1400" s="2">
        <f>YEAR(Tabela1[[#This Row],[Periodo]])</f>
        <v>2023</v>
      </c>
      <c r="E1400" s="33">
        <f>(INDEX(TBBP[],MATCH(8,planoContas,0)+1,MATCH(Tabela1[[#This Row],[Periodo]],listaPeriodos,0))/INDEX(TBBP[],MATCH("1",planoContas,0)+1,MATCH(Tabela1[[#This Row],[Periodo]],listaPeriodos,0)))</f>
        <v>3.8764253001615867E-3</v>
      </c>
      <c r="F1400" s="34"/>
      <c r="G1400" s="34"/>
      <c r="H1400" s="34"/>
    </row>
    <row r="1401" spans="1:8" x14ac:dyDescent="0.3">
      <c r="A1401" t="s">
        <v>686</v>
      </c>
      <c r="B1401" s="3">
        <f t="shared" si="16"/>
        <v>45261</v>
      </c>
      <c r="C1401" s="2" t="str">
        <f>VLOOKUP(MONTH(Tabela1[[#This Row],[Periodo]]),NUMMESES,2,FALSE)</f>
        <v>Dezembro</v>
      </c>
      <c r="D1401" s="2">
        <f>YEAR(Tabela1[[#This Row],[Periodo]])</f>
        <v>2023</v>
      </c>
      <c r="E1401" s="33">
        <f>(INDEX(TBBP[],MATCH(8,planoContas,0)+1,MATCH(Tabela1[[#This Row],[Periodo]],listaPeriodos,0))/INDEX(TBBP[],MATCH("1",planoContas,0)+1,MATCH(Tabela1[[#This Row],[Periodo]],listaPeriodos,0)))</f>
        <v>1.575113252409388E-2</v>
      </c>
      <c r="F1401" s="34"/>
      <c r="G1401" s="34"/>
      <c r="H1401" s="34"/>
    </row>
    <row r="1402" spans="1:8" x14ac:dyDescent="0.3">
      <c r="A1402" t="s">
        <v>686</v>
      </c>
      <c r="B1402" s="3">
        <f t="shared" si="16"/>
        <v>45292</v>
      </c>
      <c r="C1402" s="2" t="str">
        <f>VLOOKUP(MONTH(Tabela1[[#This Row],[Periodo]]),NUMMESES,2,FALSE)</f>
        <v>Janeiro</v>
      </c>
      <c r="D1402" s="2">
        <f>YEAR(Tabela1[[#This Row],[Periodo]])</f>
        <v>2024</v>
      </c>
      <c r="E1402" s="33">
        <f>(INDEX(TBBP[],MATCH(8,planoContas,0)+1,MATCH(Tabela1[[#This Row],[Periodo]],listaPeriodos,0))/INDEX(TBBP[],MATCH("1",planoContas,0)+1,MATCH(Tabela1[[#This Row],[Periodo]],listaPeriodos,0)))</f>
        <v>7.1957531657547025E-3</v>
      </c>
      <c r="F1402" s="34"/>
      <c r="G1402" s="34"/>
      <c r="H1402" s="34"/>
    </row>
    <row r="1403" spans="1:8" x14ac:dyDescent="0.3">
      <c r="A1403" t="s">
        <v>686</v>
      </c>
      <c r="B1403" s="3">
        <f t="shared" si="16"/>
        <v>45323</v>
      </c>
      <c r="C1403" s="2" t="str">
        <f>VLOOKUP(MONTH(Tabela1[[#This Row],[Periodo]]),NUMMESES,2,FALSE)</f>
        <v>Fevereiro</v>
      </c>
      <c r="D1403" s="2">
        <f>YEAR(Tabela1[[#This Row],[Periodo]])</f>
        <v>2024</v>
      </c>
      <c r="E1403" s="33">
        <f>(INDEX(TBBP[],MATCH(8,planoContas,0)+1,MATCH(Tabela1[[#This Row],[Periodo]],listaPeriodos,0))/INDEX(TBBP[],MATCH("1",planoContas,0)+1,MATCH(Tabela1[[#This Row],[Periodo]],listaPeriodos,0)))</f>
        <v>1.2945011718367934E-2</v>
      </c>
      <c r="F1403" s="34"/>
      <c r="G1403" s="34"/>
      <c r="H1403" s="34"/>
    </row>
    <row r="1404" spans="1:8" x14ac:dyDescent="0.3">
      <c r="A1404" t="s">
        <v>686</v>
      </c>
      <c r="B1404" s="3">
        <f t="shared" si="16"/>
        <v>45352</v>
      </c>
      <c r="C1404" s="2" t="str">
        <f>VLOOKUP(MONTH(Tabela1[[#This Row],[Periodo]]),NUMMESES,2,FALSE)</f>
        <v>Março</v>
      </c>
      <c r="D1404" s="2">
        <f>YEAR(Tabela1[[#This Row],[Periodo]])</f>
        <v>2024</v>
      </c>
      <c r="E1404" s="33">
        <f>(INDEX(TBBP[],MATCH(8,planoContas,0)+1,MATCH(Tabela1[[#This Row],[Periodo]],listaPeriodos,0))/INDEX(TBBP[],MATCH("1",planoContas,0)+1,MATCH(Tabela1[[#This Row],[Periodo]],listaPeriodos,0)))</f>
        <v>5.221298424221082E-3</v>
      </c>
      <c r="F1404" s="34"/>
      <c r="G1404" s="34"/>
      <c r="H1404" s="34"/>
    </row>
    <row r="1405" spans="1:8" x14ac:dyDescent="0.3">
      <c r="A1405" t="s">
        <v>686</v>
      </c>
      <c r="B1405" s="3">
        <f t="shared" si="16"/>
        <v>45383</v>
      </c>
      <c r="C1405" s="2" t="str">
        <f>VLOOKUP(MONTH(Tabela1[[#This Row],[Periodo]]),NUMMESES,2,FALSE)</f>
        <v>Abril</v>
      </c>
      <c r="D1405" s="2">
        <f>YEAR(Tabela1[[#This Row],[Periodo]])</f>
        <v>2024</v>
      </c>
      <c r="E1405" s="33">
        <f>(INDEX(TBBP[],MATCH(8,planoContas,0)+1,MATCH(Tabela1[[#This Row],[Periodo]],listaPeriodos,0))/INDEX(TBBP[],MATCH("1",planoContas,0)+1,MATCH(Tabela1[[#This Row],[Periodo]],listaPeriodos,0)))</f>
        <v>1.9006984862208653E-2</v>
      </c>
      <c r="F1405" s="34"/>
      <c r="G1405" s="34"/>
      <c r="H1405" s="34"/>
    </row>
    <row r="1406" spans="1:8" x14ac:dyDescent="0.3">
      <c r="A1406" t="s">
        <v>686</v>
      </c>
      <c r="B1406" s="3">
        <f t="shared" si="16"/>
        <v>45413</v>
      </c>
      <c r="C1406" s="2" t="str">
        <f>VLOOKUP(MONTH(Tabela1[[#This Row],[Periodo]]),NUMMESES,2,FALSE)</f>
        <v>Maio</v>
      </c>
      <c r="D1406" s="2">
        <f>YEAR(Tabela1[[#This Row],[Periodo]])</f>
        <v>2024</v>
      </c>
      <c r="E1406" s="33">
        <f>(INDEX(TBBP[],MATCH(8,planoContas,0)+1,MATCH(Tabela1[[#This Row],[Periodo]],listaPeriodos,0))/INDEX(TBBP[],MATCH("1",planoContas,0)+1,MATCH(Tabela1[[#This Row],[Periodo]],listaPeriodos,0)))</f>
        <v>3.9007856286298096E-3</v>
      </c>
      <c r="F1406" s="34"/>
      <c r="G1406" s="34"/>
      <c r="H1406" s="34"/>
    </row>
    <row r="1407" spans="1:8" x14ac:dyDescent="0.3">
      <c r="A1407" t="s">
        <v>686</v>
      </c>
      <c r="B1407" s="3">
        <f t="shared" si="16"/>
        <v>45444</v>
      </c>
      <c r="C1407" s="2" t="str">
        <f>VLOOKUP(MONTH(Tabela1[[#This Row],[Periodo]]),NUMMESES,2,FALSE)</f>
        <v>Junho</v>
      </c>
      <c r="D1407" s="2">
        <f>YEAR(Tabela1[[#This Row],[Periodo]])</f>
        <v>2024</v>
      </c>
      <c r="E1407" s="33">
        <f>(INDEX(TBBP[],MATCH(8,planoContas,0)+1,MATCH(Tabela1[[#This Row],[Periodo]],listaPeriodos,0))/INDEX(TBBP[],MATCH("1",planoContas,0)+1,MATCH(Tabela1[[#This Row],[Periodo]],listaPeriodos,0)))</f>
        <v>1.0145872201716501E-2</v>
      </c>
      <c r="F1407" s="34"/>
      <c r="G1407" s="34"/>
      <c r="H1407" s="34"/>
    </row>
    <row r="1408" spans="1:8" x14ac:dyDescent="0.3">
      <c r="A1408" t="s">
        <v>686</v>
      </c>
      <c r="B1408" s="3">
        <f t="shared" si="16"/>
        <v>45474</v>
      </c>
      <c r="C1408" s="2" t="str">
        <f>VLOOKUP(MONTH(Tabela1[[#This Row],[Periodo]]),NUMMESES,2,FALSE)</f>
        <v>Julho</v>
      </c>
      <c r="D1408" s="2">
        <f>YEAR(Tabela1[[#This Row],[Periodo]])</f>
        <v>2024</v>
      </c>
      <c r="E1408" s="33">
        <f>(INDEX(TBBP[],MATCH(8,planoContas,0)+1,MATCH(Tabela1[[#This Row],[Periodo]],listaPeriodos,0))/INDEX(TBBP[],MATCH("1",planoContas,0)+1,MATCH(Tabela1[[#This Row],[Periodo]],listaPeriodos,0)))</f>
        <v>9.4139002684504921E-3</v>
      </c>
      <c r="F1408" s="34"/>
      <c r="G1408" s="34"/>
      <c r="H1408" s="34"/>
    </row>
    <row r="1409" spans="1:8" x14ac:dyDescent="0.3">
      <c r="A1409" t="s">
        <v>686</v>
      </c>
      <c r="B1409" s="3">
        <f t="shared" si="16"/>
        <v>45505</v>
      </c>
      <c r="C1409" s="2" t="str">
        <f>VLOOKUP(MONTH(Tabela1[[#This Row],[Periodo]]),NUMMESES,2,FALSE)</f>
        <v>Agosto</v>
      </c>
      <c r="D1409" s="2">
        <f>YEAR(Tabela1[[#This Row],[Periodo]])</f>
        <v>2024</v>
      </c>
      <c r="E1409" s="33">
        <f>(INDEX(TBBP[],MATCH(8,planoContas,0)+1,MATCH(Tabela1[[#This Row],[Periodo]],listaPeriodos,0))/INDEX(TBBP[],MATCH("1",planoContas,0)+1,MATCH(Tabela1[[#This Row],[Periodo]],listaPeriodos,0)))</f>
        <v>4.0905781998443122E-3</v>
      </c>
      <c r="F1409" s="34"/>
      <c r="G1409" s="34"/>
      <c r="H1409" s="34"/>
    </row>
    <row r="1410" spans="1:8" x14ac:dyDescent="0.3">
      <c r="A1410" t="s">
        <v>686</v>
      </c>
      <c r="B1410" s="3">
        <f t="shared" si="16"/>
        <v>45536</v>
      </c>
      <c r="C1410" s="2" t="str">
        <f>VLOOKUP(MONTH(Tabela1[[#This Row],[Periodo]]),NUMMESES,2,FALSE)</f>
        <v>Setembro</v>
      </c>
      <c r="D1410" s="2">
        <f>YEAR(Tabela1[[#This Row],[Periodo]])</f>
        <v>2024</v>
      </c>
      <c r="E1410" s="33">
        <f>(INDEX(TBBP[],MATCH(8,planoContas,0)+1,MATCH(Tabela1[[#This Row],[Periodo]],listaPeriodos,0))/INDEX(TBBP[],MATCH("1",planoContas,0)+1,MATCH(Tabela1[[#This Row],[Periodo]],listaPeriodos,0)))</f>
        <v>1.0017248243041017E-2</v>
      </c>
      <c r="F1410" s="34"/>
      <c r="G1410" s="34"/>
      <c r="H1410" s="34"/>
    </row>
    <row r="1411" spans="1:8" x14ac:dyDescent="0.3">
      <c r="A1411" t="s">
        <v>686</v>
      </c>
      <c r="B1411" s="3">
        <f t="shared" si="16"/>
        <v>45566</v>
      </c>
      <c r="C1411" s="2" t="str">
        <f>VLOOKUP(MONTH(Tabela1[[#This Row],[Periodo]]),NUMMESES,2,FALSE)</f>
        <v>Outubro</v>
      </c>
      <c r="D1411" s="2">
        <f>YEAR(Tabela1[[#This Row],[Periodo]])</f>
        <v>2024</v>
      </c>
      <c r="E1411" s="33">
        <f>(INDEX(TBBP[],MATCH(8,planoContas,0)+1,MATCH(Tabela1[[#This Row],[Periodo]],listaPeriodos,0))/INDEX(TBBP[],MATCH("1",planoContas,0)+1,MATCH(Tabela1[[#This Row],[Periodo]],listaPeriodos,0)))</f>
        <v>2.3595261071893336E-3</v>
      </c>
      <c r="F1411" s="34"/>
      <c r="G1411" s="34"/>
      <c r="H1411" s="34"/>
    </row>
    <row r="1412" spans="1:8" x14ac:dyDescent="0.3">
      <c r="A1412" t="s">
        <v>686</v>
      </c>
      <c r="B1412" s="3">
        <f t="shared" si="16"/>
        <v>45597</v>
      </c>
      <c r="C1412" s="2" t="str">
        <f>VLOOKUP(MONTH(Tabela1[[#This Row],[Periodo]]),NUMMESES,2,FALSE)</f>
        <v>Novembro</v>
      </c>
      <c r="D1412" s="2">
        <f>YEAR(Tabela1[[#This Row],[Periodo]])</f>
        <v>2024</v>
      </c>
      <c r="E1412" s="33">
        <f>(INDEX(TBBP[],MATCH(8,planoContas,0)+1,MATCH(Tabela1[[#This Row],[Periodo]],listaPeriodos,0))/INDEX(TBBP[],MATCH("1",planoContas,0)+1,MATCH(Tabela1[[#This Row],[Periodo]],listaPeriodos,0)))</f>
        <v>-3.7650960270242304E-3</v>
      </c>
      <c r="F1412" s="34"/>
      <c r="G1412" s="34"/>
      <c r="H1412" s="34"/>
    </row>
    <row r="1413" spans="1:8" x14ac:dyDescent="0.3">
      <c r="A1413" t="s">
        <v>686</v>
      </c>
      <c r="B1413" s="3">
        <f t="shared" si="16"/>
        <v>45627</v>
      </c>
      <c r="C1413" s="2" t="str">
        <f>VLOOKUP(MONTH(Tabela1[[#This Row],[Periodo]]),NUMMESES,2,FALSE)</f>
        <v>Dezembro</v>
      </c>
      <c r="D1413" s="2">
        <f>YEAR(Tabela1[[#This Row],[Periodo]])</f>
        <v>2024</v>
      </c>
      <c r="E1413" s="33">
        <f>(INDEX(TBBP[],MATCH(8,planoContas,0)+1,MATCH(Tabela1[[#This Row],[Periodo]],listaPeriodos,0))/INDEX(TBBP[],MATCH("1",planoContas,0)+1,MATCH(Tabela1[[#This Row],[Periodo]],listaPeriodos,0)))</f>
        <v>1.2424340720759196E-2</v>
      </c>
      <c r="F1413" s="34"/>
      <c r="G1413" s="34"/>
      <c r="H1413" s="34"/>
    </row>
    <row r="1414" spans="1:8" x14ac:dyDescent="0.3">
      <c r="A1414" t="s">
        <v>686</v>
      </c>
      <c r="B1414" s="3">
        <f t="shared" si="16"/>
        <v>45658</v>
      </c>
      <c r="C1414" s="2" t="str">
        <f>VLOOKUP(MONTH(Tabela1[[#This Row],[Periodo]]),NUMMESES,2,FALSE)</f>
        <v>Janeiro</v>
      </c>
      <c r="D1414" s="2">
        <f>YEAR(Tabela1[[#This Row],[Periodo]])</f>
        <v>2025</v>
      </c>
      <c r="E1414" s="33">
        <f>(INDEX(TBBP[],MATCH(8,planoContas,0)+1,MATCH(Tabela1[[#This Row],[Periodo]],listaPeriodos,0))/INDEX(TBBP[],MATCH("1",planoContas,0)+1,MATCH(Tabela1[[#This Row],[Periodo]],listaPeriodos,0)))</f>
        <v>9.2370588891699627E-3</v>
      </c>
      <c r="F1414" s="34"/>
      <c r="G1414" s="34"/>
      <c r="H1414" s="34"/>
    </row>
    <row r="1415" spans="1:8" x14ac:dyDescent="0.3">
      <c r="A1415" t="s">
        <v>686</v>
      </c>
      <c r="B1415" s="3">
        <f t="shared" si="16"/>
        <v>45689</v>
      </c>
      <c r="C1415" s="2" t="str">
        <f>VLOOKUP(MONTH(Tabela1[[#This Row],[Periodo]]),NUMMESES,2,FALSE)</f>
        <v>Fevereiro</v>
      </c>
      <c r="D1415" s="2">
        <f>YEAR(Tabela1[[#This Row],[Periodo]])</f>
        <v>2025</v>
      </c>
      <c r="E1415" s="33">
        <f>(INDEX(TBBP[],MATCH(8,planoContas,0)+1,MATCH(Tabela1[[#This Row],[Periodo]],listaPeriodos,0))/INDEX(TBBP[],MATCH("1",planoContas,0)+1,MATCH(Tabela1[[#This Row],[Periodo]],listaPeriodos,0)))</f>
        <v>6.174288276950885E-3</v>
      </c>
      <c r="F1415" s="34"/>
      <c r="G1415" s="34"/>
      <c r="H1415" s="34"/>
    </row>
    <row r="1416" spans="1:8" x14ac:dyDescent="0.3">
      <c r="A1416" t="s">
        <v>686</v>
      </c>
      <c r="B1416" s="3">
        <f t="shared" si="16"/>
        <v>45717</v>
      </c>
      <c r="C1416" s="2" t="str">
        <f>VLOOKUP(MONTH(Tabela1[[#This Row],[Periodo]]),NUMMESES,2,FALSE)</f>
        <v>Março</v>
      </c>
      <c r="D1416" s="2">
        <f>YEAR(Tabela1[[#This Row],[Periodo]])</f>
        <v>2025</v>
      </c>
      <c r="E1416" s="33">
        <f>(INDEX(TBBP[],MATCH(8,planoContas,0)+1,MATCH(Tabela1[[#This Row],[Periodo]],listaPeriodos,0))/INDEX(TBBP[],MATCH("1",planoContas,0)+1,MATCH(Tabela1[[#This Row],[Periodo]],listaPeriodos,0)))</f>
        <v>8.6898291367513338E-3</v>
      </c>
      <c r="F1416" s="34"/>
      <c r="G1416" s="34"/>
      <c r="H1416" s="34"/>
    </row>
    <row r="1417" spans="1:8" x14ac:dyDescent="0.3">
      <c r="A1417" t="s">
        <v>686</v>
      </c>
      <c r="B1417" s="3">
        <f t="shared" si="16"/>
        <v>45748</v>
      </c>
      <c r="C1417" s="2" t="str">
        <f>VLOOKUP(MONTH(Tabela1[[#This Row],[Periodo]]),NUMMESES,2,FALSE)</f>
        <v>Abril</v>
      </c>
      <c r="D1417" s="2">
        <f>YEAR(Tabela1[[#This Row],[Periodo]])</f>
        <v>2025</v>
      </c>
      <c r="E1417" s="33">
        <f>(INDEX(TBBP[],MATCH(8,planoContas,0)+1,MATCH(Tabela1[[#This Row],[Periodo]],listaPeriodos,0))/INDEX(TBBP[],MATCH("1",planoContas,0)+1,MATCH(Tabela1[[#This Row],[Periodo]],listaPeriodos,0)))</f>
        <v>1.5248815049580186E-2</v>
      </c>
      <c r="F1417" s="34"/>
      <c r="G1417" s="34"/>
      <c r="H1417" s="34"/>
    </row>
    <row r="1418" spans="1:8" x14ac:dyDescent="0.3">
      <c r="A1418" t="s">
        <v>686</v>
      </c>
      <c r="B1418" s="3">
        <f t="shared" si="16"/>
        <v>45778</v>
      </c>
      <c r="C1418" s="2" t="str">
        <f>VLOOKUP(MONTH(Tabela1[[#This Row],[Periodo]]),NUMMESES,2,FALSE)</f>
        <v>Maio</v>
      </c>
      <c r="D1418" s="2">
        <f>YEAR(Tabela1[[#This Row],[Periodo]])</f>
        <v>2025</v>
      </c>
      <c r="E1418" s="33">
        <f>(INDEX(TBBP[],MATCH(8,planoContas,0)+1,MATCH(Tabela1[[#This Row],[Periodo]],listaPeriodos,0))/INDEX(TBBP[],MATCH("1",planoContas,0)+1,MATCH(Tabela1[[#This Row],[Periodo]],listaPeriodos,0)))</f>
        <v>1.6102624141215518E-2</v>
      </c>
      <c r="F1418" s="34"/>
      <c r="G1418" s="34"/>
      <c r="H1418" s="34"/>
    </row>
    <row r="1419" spans="1:8" x14ac:dyDescent="0.3">
      <c r="A1419" t="s">
        <v>686</v>
      </c>
      <c r="B1419" s="3">
        <f t="shared" si="16"/>
        <v>45809</v>
      </c>
      <c r="C1419" s="2" t="str">
        <f>VLOOKUP(MONTH(Tabela1[[#This Row],[Periodo]]),NUMMESES,2,FALSE)</f>
        <v>Junho</v>
      </c>
      <c r="D1419" s="2">
        <f>YEAR(Tabela1[[#This Row],[Periodo]])</f>
        <v>2025</v>
      </c>
      <c r="E1419" s="33">
        <f>(INDEX(TBBP[],MATCH(8,planoContas,0)+1,MATCH(Tabela1[[#This Row],[Periodo]],listaPeriodos,0))/INDEX(TBBP[],MATCH("1",planoContas,0)+1,MATCH(Tabela1[[#This Row],[Periodo]],listaPeriodos,0)))</f>
        <v>-3.6766687137301892E-3</v>
      </c>
      <c r="F1419" s="34"/>
      <c r="G1419" s="34"/>
      <c r="H1419" s="34"/>
    </row>
    <row r="1420" spans="1:8" x14ac:dyDescent="0.3">
      <c r="A1420" t="s">
        <v>686</v>
      </c>
      <c r="B1420" s="3">
        <f t="shared" si="16"/>
        <v>45839</v>
      </c>
      <c r="C1420" s="2" t="str">
        <f>VLOOKUP(MONTH(Tabela1[[#This Row],[Periodo]]),NUMMESES,2,FALSE)</f>
        <v>Julho</v>
      </c>
      <c r="D1420" s="2">
        <f>YEAR(Tabela1[[#This Row],[Periodo]])</f>
        <v>2025</v>
      </c>
      <c r="E1420" s="33">
        <f>(INDEX(TBBP[],MATCH(8,planoContas,0)+1,MATCH(Tabela1[[#This Row],[Periodo]],listaPeriodos,0))/INDEX(TBBP[],MATCH("1",planoContas,0)+1,MATCH(Tabela1[[#This Row],[Periodo]],listaPeriodos,0)))</f>
        <v>4.2461937890250035E-4</v>
      </c>
      <c r="F1420" s="34"/>
      <c r="G1420" s="34"/>
      <c r="H1420" s="34"/>
    </row>
    <row r="1421" spans="1:8" x14ac:dyDescent="0.3">
      <c r="A1421" t="s">
        <v>686</v>
      </c>
      <c r="B1421" s="3">
        <f t="shared" si="16"/>
        <v>45870</v>
      </c>
      <c r="C1421" s="2" t="str">
        <f>VLOOKUP(MONTH(Tabela1[[#This Row],[Periodo]]),NUMMESES,2,FALSE)</f>
        <v>Agosto</v>
      </c>
      <c r="D1421" s="2">
        <f>YEAR(Tabela1[[#This Row],[Periodo]])</f>
        <v>2025</v>
      </c>
      <c r="E1421" s="33">
        <f>(INDEX(TBBP[],MATCH(8,planoContas,0)+1,MATCH(Tabela1[[#This Row],[Periodo]],listaPeriodos,0))/INDEX(TBBP[],MATCH("1",planoContas,0)+1,MATCH(Tabela1[[#This Row],[Periodo]],listaPeriodos,0)))</f>
        <v>8.9080531545703383E-3</v>
      </c>
      <c r="F1421" s="34"/>
      <c r="G1421" s="34"/>
      <c r="H1421" s="34"/>
    </row>
    <row r="1422" spans="1:8" x14ac:dyDescent="0.3">
      <c r="A1422" t="s">
        <v>686</v>
      </c>
      <c r="B1422" s="3">
        <f t="shared" si="16"/>
        <v>45901</v>
      </c>
      <c r="C1422" s="2" t="str">
        <f>VLOOKUP(MONTH(Tabela1[[#This Row],[Periodo]]),NUMMESES,2,FALSE)</f>
        <v>Setembro</v>
      </c>
      <c r="D1422" s="2">
        <f>YEAR(Tabela1[[#This Row],[Periodo]])</f>
        <v>2025</v>
      </c>
      <c r="E1422" s="33">
        <f>(INDEX(TBBP[],MATCH(8,planoContas,0)+1,MATCH(Tabela1[[#This Row],[Periodo]],listaPeriodos,0))/INDEX(TBBP[],MATCH("1",planoContas,0)+1,MATCH(Tabela1[[#This Row],[Periodo]],listaPeriodos,0)))</f>
        <v>2.6949320315276686E-3</v>
      </c>
      <c r="F1422" s="34"/>
      <c r="G1422" s="34"/>
      <c r="H1422" s="34"/>
    </row>
    <row r="1423" spans="1:8" x14ac:dyDescent="0.3">
      <c r="A1423" t="s">
        <v>686</v>
      </c>
      <c r="B1423" s="3">
        <f t="shared" si="16"/>
        <v>45931</v>
      </c>
      <c r="C1423" s="2" t="str">
        <f>VLOOKUP(MONTH(Tabela1[[#This Row],[Periodo]]),NUMMESES,2,FALSE)</f>
        <v>Outubro</v>
      </c>
      <c r="D1423" s="2">
        <f>YEAR(Tabela1[[#This Row],[Periodo]])</f>
        <v>2025</v>
      </c>
      <c r="E1423" s="33">
        <f>(INDEX(TBBP[],MATCH(8,planoContas,0)+1,MATCH(Tabela1[[#This Row],[Periodo]],listaPeriodos,0))/INDEX(TBBP[],MATCH("1",planoContas,0)+1,MATCH(Tabela1[[#This Row],[Periodo]],listaPeriodos,0)))</f>
        <v>3.1907816606639369E-3</v>
      </c>
      <c r="F1423" s="34"/>
      <c r="G1423" s="34"/>
      <c r="H1423" s="34"/>
    </row>
    <row r="1424" spans="1:8" x14ac:dyDescent="0.3">
      <c r="A1424" t="s">
        <v>686</v>
      </c>
      <c r="B1424" s="3">
        <f t="shared" si="16"/>
        <v>45962</v>
      </c>
      <c r="C1424" s="2" t="str">
        <f>VLOOKUP(MONTH(Tabela1[[#This Row],[Periodo]]),NUMMESES,2,FALSE)</f>
        <v>Novembro</v>
      </c>
      <c r="D1424" s="2">
        <f>YEAR(Tabela1[[#This Row],[Periodo]])</f>
        <v>2025</v>
      </c>
      <c r="E1424" s="33">
        <f>(INDEX(TBBP[],MATCH(8,planoContas,0)+1,MATCH(Tabela1[[#This Row],[Periodo]],listaPeriodos,0))/INDEX(TBBP[],MATCH("1",planoContas,0)+1,MATCH(Tabela1[[#This Row],[Periodo]],listaPeriodos,0)))</f>
        <v>4.3049647614870554E-3</v>
      </c>
      <c r="F1424" s="34"/>
      <c r="G1424" s="34"/>
      <c r="H1424" s="34"/>
    </row>
    <row r="1425" spans="1:8" x14ac:dyDescent="0.3">
      <c r="A1425" t="s">
        <v>686</v>
      </c>
      <c r="B1425" s="3">
        <f t="shared" si="16"/>
        <v>45992</v>
      </c>
      <c r="C1425" s="2" t="str">
        <f>VLOOKUP(MONTH(Tabela1[[#This Row],[Periodo]]),NUMMESES,2,FALSE)</f>
        <v>Dezembro</v>
      </c>
      <c r="D1425" s="2">
        <f>YEAR(Tabela1[[#This Row],[Periodo]])</f>
        <v>2025</v>
      </c>
      <c r="E1425" s="33">
        <f>(INDEX(TBBP[],MATCH(8,planoContas,0)+1,MATCH(Tabela1[[#This Row],[Periodo]],listaPeriodos,0))/INDEX(TBBP[],MATCH("1",planoContas,0)+1,MATCH(Tabela1[[#This Row],[Periodo]],listaPeriodos,0)))</f>
        <v>8.1722402259573916E-4</v>
      </c>
      <c r="F1425" s="34"/>
      <c r="G1425" s="34"/>
      <c r="H1425" s="34"/>
    </row>
    <row r="1426" spans="1:8" x14ac:dyDescent="0.3">
      <c r="A1426" t="s">
        <v>686</v>
      </c>
      <c r="B1426" s="3">
        <f t="shared" si="16"/>
        <v>46023</v>
      </c>
      <c r="C1426" s="2" t="str">
        <f>VLOOKUP(MONTH(Tabela1[[#This Row],[Periodo]]),NUMMESES,2,FALSE)</f>
        <v>Janeiro</v>
      </c>
      <c r="D1426" s="2">
        <f>YEAR(Tabela1[[#This Row],[Periodo]])</f>
        <v>2026</v>
      </c>
      <c r="E1426" s="33">
        <f>(INDEX(TBBP[],MATCH(8,planoContas,0)+1,MATCH(Tabela1[[#This Row],[Periodo]],listaPeriodos,0))/INDEX(TBBP[],MATCH("1",planoContas,0)+1,MATCH(Tabela1[[#This Row],[Periodo]],listaPeriodos,0)))</f>
        <v>5.9562588081995185E-3</v>
      </c>
      <c r="F1426" s="34"/>
      <c r="G1426" s="34"/>
      <c r="H1426" s="34"/>
    </row>
    <row r="1427" spans="1:8" x14ac:dyDescent="0.3">
      <c r="B1427" s="3"/>
      <c r="C1427" s="2"/>
      <c r="D1427" s="2"/>
      <c r="E1427" s="33"/>
      <c r="F1427" s="34"/>
      <c r="G1427" s="34"/>
      <c r="H1427" s="34"/>
    </row>
    <row r="1428" spans="1:8" x14ac:dyDescent="0.3">
      <c r="A1428" t="s">
        <v>734</v>
      </c>
      <c r="B1428" s="3">
        <v>41609</v>
      </c>
      <c r="C1428" s="2" t="str">
        <f>VLOOKUP(MONTH(Tabela1[[#This Row],[Periodo]]),NUMMESES,2,FALSE)</f>
        <v>Dezembro</v>
      </c>
      <c r="D1428" s="2">
        <f>YEAR(Tabela1[[#This Row],[Periodo]])</f>
        <v>2013</v>
      </c>
      <c r="E1428" s="33">
        <f>(INDEX(TBBP[],MATCH(8,planoContas,0)+1,MATCH(Tabela1[[#This Row],[Periodo]],listaPeriodos,0))/INDEX(TBBP[],MATCH("1",planoContas,0)+1,MATCH(Tabela1[[#This Row],[Periodo]],listaPeriodos,0)))</f>
        <v>0.53273158789163666</v>
      </c>
      <c r="F1428" s="34"/>
      <c r="G1428" s="34"/>
      <c r="H1428" s="34"/>
    </row>
    <row r="1429" spans="1:8" x14ac:dyDescent="0.3">
      <c r="A1429" t="s">
        <v>734</v>
      </c>
      <c r="B1429" s="3">
        <v>41974</v>
      </c>
      <c r="C1429" s="2" t="str">
        <f>VLOOKUP(MONTH(Tabela1[[#This Row],[Periodo]]),NUMMESES,2,FALSE)</f>
        <v>Dezembro</v>
      </c>
      <c r="D1429" s="2">
        <f>YEAR(Tabela1[[#This Row],[Periodo]])</f>
        <v>2014</v>
      </c>
      <c r="E1429" s="33">
        <f>(INDEX(TBBP[],MATCH(8,planoContas,0)+1,MATCH(Tabela1[[#This Row],[Periodo]],listaPeriodos,0))/INDEX(TBBP[],MATCH("1",planoContas,0)+1,MATCH(Tabela1[[#This Row],[Periodo]],listaPeriodos,0)))</f>
        <v>0.31378242648639326</v>
      </c>
      <c r="F1429" s="34"/>
      <c r="G1429" s="34"/>
      <c r="H1429" s="34"/>
    </row>
    <row r="1430" spans="1:8" x14ac:dyDescent="0.3">
      <c r="A1430" t="s">
        <v>734</v>
      </c>
      <c r="B1430" s="3">
        <v>42339</v>
      </c>
      <c r="C1430" s="2" t="str">
        <f>VLOOKUP(MONTH(Tabela1[[#This Row],[Periodo]]),NUMMESES,2,FALSE)</f>
        <v>Dezembro</v>
      </c>
      <c r="D1430" s="2">
        <f>YEAR(Tabela1[[#This Row],[Periodo]])</f>
        <v>2015</v>
      </c>
      <c r="E1430" s="33">
        <f>(INDEX(TBBP[],MATCH(8,planoContas,0)+1,MATCH(Tabela1[[#This Row],[Periodo]],listaPeriodos,0))/INDEX(TBBP[],MATCH("1",planoContas,0)+1,MATCH(Tabela1[[#This Row],[Periodo]],listaPeriodos,0)))</f>
        <v>0.330700165617825</v>
      </c>
      <c r="F1430" s="34"/>
      <c r="G1430" s="34"/>
      <c r="H1430" s="34"/>
    </row>
    <row r="1431" spans="1:8" x14ac:dyDescent="0.3">
      <c r="A1431" t="s">
        <v>734</v>
      </c>
      <c r="B1431" s="3">
        <v>42705</v>
      </c>
      <c r="C1431" s="2" t="str">
        <f>VLOOKUP(MONTH(Tabela1[[#This Row],[Periodo]]),NUMMESES,2,FALSE)</f>
        <v>Dezembro</v>
      </c>
      <c r="D1431" s="2">
        <f>YEAR(Tabela1[[#This Row],[Periodo]])</f>
        <v>2016</v>
      </c>
      <c r="E1431" s="33">
        <f>(INDEX(TBBP[],MATCH(8,planoContas,0)+1,MATCH(Tabela1[[#This Row],[Periodo]],listaPeriodos,0))/INDEX(TBBP[],MATCH("1",planoContas,0)+1,MATCH(Tabela1[[#This Row],[Periodo]],listaPeriodos,0)))</f>
        <v>0.21438016414469377</v>
      </c>
      <c r="F1431" s="34"/>
      <c r="G1431" s="34"/>
      <c r="H1431" s="34"/>
    </row>
    <row r="1432" spans="1:8" x14ac:dyDescent="0.3">
      <c r="A1432" t="s">
        <v>734</v>
      </c>
      <c r="B1432" s="3">
        <v>43070</v>
      </c>
      <c r="C1432" s="2" t="str">
        <f>VLOOKUP(MONTH(Tabela1[[#This Row],[Periodo]]),NUMMESES,2,FALSE)</f>
        <v>Dezembro</v>
      </c>
      <c r="D1432" s="2">
        <f>YEAR(Tabela1[[#This Row],[Periodo]])</f>
        <v>2017</v>
      </c>
      <c r="E1432" s="33">
        <f>(INDEX(TBBP[],MATCH(8,planoContas,0)+1,MATCH(Tabela1[[#This Row],[Periodo]],listaPeriodos,0))/INDEX(TBBP[],MATCH("1",planoContas,0)+1,MATCH(Tabela1[[#This Row],[Periodo]],listaPeriodos,0)))</f>
        <v>0.1502600611933407</v>
      </c>
      <c r="F1432" s="34"/>
      <c r="G1432" s="34"/>
      <c r="H1432" s="34"/>
    </row>
    <row r="1433" spans="1:8" x14ac:dyDescent="0.3">
      <c r="A1433" t="s">
        <v>734</v>
      </c>
      <c r="B1433" s="3">
        <v>43435</v>
      </c>
      <c r="C1433" s="2" t="str">
        <f>VLOOKUP(MONTH(Tabela1[[#This Row],[Periodo]]),NUMMESES,2,FALSE)</f>
        <v>Dezembro</v>
      </c>
      <c r="D1433" s="2">
        <f>YEAR(Tabela1[[#This Row],[Periodo]])</f>
        <v>2018</v>
      </c>
      <c r="E1433" s="33">
        <f>(INDEX(TBBP[],MATCH(8,planoContas,0)+1,MATCH(Tabela1[[#This Row],[Periodo]],listaPeriodos,0)+1)/INDEX(TBBP[],MATCH("1",planoContas,0)+1,MATCH(Tabela1[[#This Row],[Periodo]],listaPeriodos,0)+1))</f>
        <v>0.22498155826884791</v>
      </c>
      <c r="F1433" s="34"/>
      <c r="G1433" s="34"/>
      <c r="H1433" s="34"/>
    </row>
    <row r="1434" spans="1:8" x14ac:dyDescent="0.3">
      <c r="A1434" t="s">
        <v>734</v>
      </c>
      <c r="B1434" s="3">
        <v>43800</v>
      </c>
      <c r="C1434" s="2" t="str">
        <f>VLOOKUP(MONTH(Tabela1[[#This Row],[Periodo]]),NUMMESES,2,FALSE)</f>
        <v>Dezembro</v>
      </c>
      <c r="D1434" s="2">
        <f>YEAR(Tabela1[[#This Row],[Periodo]])</f>
        <v>2019</v>
      </c>
      <c r="E1434" s="33">
        <f>(INDEX(TBBP[],MATCH(8,planoContas,0)+1,MATCH(Tabela1[[#This Row],[Periodo]],listaPeriodos,0)+1)/INDEX(TBBP[],MATCH("1",planoContas,0)+1,MATCH(Tabela1[[#This Row],[Periodo]],listaPeriodos,0)+1))</f>
        <v>0.22780032982636125</v>
      </c>
      <c r="F1434" s="34"/>
      <c r="G1434" s="34"/>
      <c r="H1434" s="34"/>
    </row>
    <row r="1435" spans="1:8" x14ac:dyDescent="0.3">
      <c r="A1435" t="s">
        <v>734</v>
      </c>
      <c r="B1435" s="3">
        <v>44166</v>
      </c>
      <c r="C1435" s="2" t="str">
        <f>VLOOKUP(MONTH(Tabela1[[#This Row],[Periodo]]),NUMMESES,2,FALSE)</f>
        <v>Dezembro</v>
      </c>
      <c r="D1435" s="2">
        <f>YEAR(Tabela1[[#This Row],[Periodo]])</f>
        <v>2020</v>
      </c>
      <c r="E1435" s="33">
        <f>(INDEX(TBBP[],MATCH(8,planoContas,0)+1,MATCH(Tabela1[[#This Row],[Periodo]],listaPeriodos,0)+1)/INDEX(TBBP[],MATCH("1",planoContas,0)+1,MATCH(Tabela1[[#This Row],[Periodo]],listaPeriodos,0)+1))</f>
        <v>0.26774980373879825</v>
      </c>
      <c r="F1435" s="34"/>
      <c r="G1435" s="34"/>
      <c r="H1435" s="34"/>
    </row>
    <row r="1436" spans="1:8" x14ac:dyDescent="0.3">
      <c r="A1436" t="s">
        <v>734</v>
      </c>
      <c r="B1436" s="3">
        <v>44531</v>
      </c>
      <c r="C1436" s="2" t="str">
        <f>VLOOKUP(MONTH(Tabela1[[#This Row],[Periodo]]),NUMMESES,2,FALSE)</f>
        <v>Dezembro</v>
      </c>
      <c r="D1436" s="2">
        <f>YEAR(Tabela1[[#This Row],[Periodo]])</f>
        <v>2021</v>
      </c>
      <c r="E1436" s="33">
        <f>(INDEX(TBBP[],MATCH(8,planoContas,0)+1,MATCH(Tabela1[[#This Row],[Periodo]],listaPeriodos,0)+1)/INDEX(TBBP[],MATCH("1",planoContas,0)+1,MATCH(Tabela1[[#This Row],[Periodo]],listaPeriodos,0)+1))</f>
        <v>0.38635413063618945</v>
      </c>
      <c r="F1436" s="34"/>
      <c r="G1436" s="34"/>
      <c r="H1436" s="34"/>
    </row>
    <row r="1437" spans="1:8" x14ac:dyDescent="0.3">
      <c r="A1437" t="s">
        <v>734</v>
      </c>
      <c r="B1437" s="3">
        <v>44896</v>
      </c>
      <c r="C1437" s="2" t="str">
        <f>VLOOKUP(MONTH(Tabela1[[#This Row],[Periodo]]),NUMMESES,2,FALSE)</f>
        <v>Dezembro</v>
      </c>
      <c r="D1437" s="2">
        <f>YEAR(Tabela1[[#This Row],[Periodo]])</f>
        <v>2022</v>
      </c>
      <c r="E1437" s="33">
        <f>(INDEX(TBBP[],MATCH(8,planoContas,0)+1,MATCH(Tabela1[[#This Row],[Periodo]],listaPeriodos,0)+1)/INDEX(TBBP[],MATCH("1",planoContas,0)+1,MATCH(Tabela1[[#This Row],[Periodo]],listaPeriodos,0)+1))</f>
        <v>0.19347936045626318</v>
      </c>
      <c r="F1437" s="34"/>
      <c r="G1437" s="34"/>
      <c r="H1437" s="34"/>
    </row>
    <row r="1438" spans="1:8" x14ac:dyDescent="0.3">
      <c r="A1438" t="s">
        <v>734</v>
      </c>
      <c r="B1438" s="3">
        <v>45261</v>
      </c>
      <c r="C1438" s="2" t="str">
        <f>VLOOKUP(MONTH(Tabela1[[#This Row],[Periodo]]),NUMMESES,2,FALSE)</f>
        <v>Dezembro</v>
      </c>
      <c r="D1438" s="2">
        <f>YEAR(Tabela1[[#This Row],[Periodo]])</f>
        <v>2023</v>
      </c>
      <c r="E1438" s="33">
        <f>(INDEX(TBBP[],MATCH(8,planoContas,0)+1,MATCH(Tabela1[[#This Row],[Periodo]],listaPeriodos,0)+1)/INDEX(TBBP[],MATCH("1",planoContas,0)+1,MATCH(Tabela1[[#This Row],[Periodo]],listaPeriodos,0)+1))</f>
        <v>0.11535156410753618</v>
      </c>
      <c r="F1438" s="34"/>
      <c r="G1438" s="34"/>
      <c r="H1438" s="34"/>
    </row>
    <row r="1439" spans="1:8" x14ac:dyDescent="0.3">
      <c r="A1439" t="s">
        <v>734</v>
      </c>
      <c r="B1439" s="3">
        <v>45627</v>
      </c>
      <c r="C1439" s="2" t="str">
        <f>VLOOKUP(MONTH(Tabela1[[#This Row],[Periodo]]),NUMMESES,2,FALSE)</f>
        <v>Dezembro</v>
      </c>
      <c r="D1439" s="2">
        <f>YEAR(Tabela1[[#This Row],[Periodo]])</f>
        <v>2024</v>
      </c>
      <c r="E1439" s="33">
        <f>(INDEX(TBBP[],MATCH(8,planoContas,0)+1,MATCH(Tabela1[[#This Row],[Periodo]],listaPeriodos,0)+1)/INDEX(TBBP[],MATCH("1",planoContas,0)+1,MATCH(Tabela1[[#This Row],[Periodo]],listaPeriodos,0)+1))</f>
        <v>7.7839685507916978E-2</v>
      </c>
      <c r="F1439" s="34"/>
      <c r="G1439" s="34"/>
      <c r="H1439" s="34"/>
    </row>
    <row r="1440" spans="1:8" x14ac:dyDescent="0.3">
      <c r="A1440" t="s">
        <v>734</v>
      </c>
      <c r="B1440" s="3">
        <v>45992</v>
      </c>
      <c r="C1440" s="2" t="str">
        <f>VLOOKUP(MONTH(Tabela1[[#This Row],[Periodo]]),NUMMESES,2,FALSE)</f>
        <v>Dezembro</v>
      </c>
      <c r="D1440" s="2">
        <f>YEAR(Tabela1[[#This Row],[Periodo]])</f>
        <v>2025</v>
      </c>
      <c r="E1440" s="33">
        <f>(INDEX(TBBP[],MATCH(8,planoContas,0)+1,MATCH(Tabela1[[#This Row],[Periodo]],listaPeriodos,0)+1)/INDEX(TBBP[],MATCH("1",planoContas,0)+1,MATCH(Tabela1[[#This Row],[Periodo]],listaPeriodos,0)+1))</f>
        <v>7.7763989910707418E-2</v>
      </c>
      <c r="F1440" s="34"/>
      <c r="G1440" s="34"/>
      <c r="H1440" s="34"/>
    </row>
    <row r="1441" spans="1:10" x14ac:dyDescent="0.3">
      <c r="A1441" t="s">
        <v>734</v>
      </c>
      <c r="B1441" s="3">
        <v>45992</v>
      </c>
      <c r="C1441" s="2" t="str">
        <f>VLOOKUP(MONTH(Tabela1[[#This Row],[Periodo]]),NUMMESES,2,FALSE)</f>
        <v>Dezembro</v>
      </c>
      <c r="D1441" s="2">
        <f>YEAR(Tabela1[[#This Row],[Periodo]])</f>
        <v>2025</v>
      </c>
      <c r="E1441" s="33">
        <f>(INDEX(TBBP[],MATCH(8,planoContas,0)+1,MATCH(Tabela1[[#This Row],[Periodo]],listaPeriodos,0)+1)/INDEX(TBBP[],MATCH("1",planoContas,0)+1,MATCH(Tabela1[[#This Row],[Periodo]],listaPeriodos,0)+1))</f>
        <v>7.7763989910707418E-2</v>
      </c>
      <c r="F1441" s="34"/>
      <c r="G1441" s="34"/>
      <c r="H1441" s="34"/>
    </row>
    <row r="1442" spans="1:10" x14ac:dyDescent="0.3">
      <c r="B1442" s="3"/>
      <c r="C1442" s="2"/>
      <c r="D1442" s="2"/>
      <c r="E1442" s="33"/>
      <c r="F1442" s="34"/>
      <c r="G1442" s="34"/>
      <c r="H1442" s="34"/>
    </row>
    <row r="1443" spans="1:10" x14ac:dyDescent="0.3">
      <c r="A1443" t="s">
        <v>687</v>
      </c>
      <c r="B1443" s="3">
        <v>41609</v>
      </c>
      <c r="C1443" s="2" t="str">
        <f>VLOOKUP(MONTH(Tabela1[[#This Row],[Periodo]]),NUMMESES,2,FALSE)</f>
        <v>Dezembro</v>
      </c>
      <c r="D1443" s="2">
        <f>YEAR(Tabela1[[#This Row],[Periodo]])</f>
        <v>2013</v>
      </c>
      <c r="E1443" s="33">
        <f>(INDEX(TBBP[],MATCH(8,planoContas,0)+1,MATCH(Tabela1[[#This Row],[Periodo]],listaPeriodos,0))/INDEX(TBBP[],MATCH("2.9",planoContas,0)+1,MATCH(Tabela1[[#This Row],[Periodo]],listaPeriodos,0)))</f>
        <v>0.65914839441373785</v>
      </c>
      <c r="F1443" s="34"/>
      <c r="G1443" s="34"/>
      <c r="H1443" s="34"/>
    </row>
    <row r="1444" spans="1:10" x14ac:dyDescent="0.3">
      <c r="A1444" t="s">
        <v>687</v>
      </c>
      <c r="B1444" s="3">
        <v>41974</v>
      </c>
      <c r="C1444" s="2" t="str">
        <f>VLOOKUP(MONTH(Tabela1[[#This Row],[Periodo]]),NUMMESES,2,FALSE)</f>
        <v>Dezembro</v>
      </c>
      <c r="D1444" s="2">
        <f>YEAR(Tabela1[[#This Row],[Periodo]])</f>
        <v>2014</v>
      </c>
      <c r="E1444" s="33">
        <f>(INDEX(TBBP[],MATCH(8,planoContas,0)+1,MATCH(Tabela1[[#This Row],[Periodo]],listaPeriodos,0))/INDEX(TBBP[],MATCH("2.9",planoContas,0)+1,MATCH(Tabela1[[#This Row],[Periodo]],listaPeriodos,0)))</f>
        <v>0.43530176783831853</v>
      </c>
      <c r="F1444" s="34"/>
      <c r="G1444" s="34"/>
      <c r="H1444" s="34"/>
    </row>
    <row r="1445" spans="1:10" x14ac:dyDescent="0.3">
      <c r="A1445" t="s">
        <v>687</v>
      </c>
      <c r="B1445" s="3">
        <v>42339</v>
      </c>
      <c r="C1445" s="2" t="str">
        <f>VLOOKUP(MONTH(Tabela1[[#This Row],[Periodo]]),NUMMESES,2,FALSE)</f>
        <v>Dezembro</v>
      </c>
      <c r="D1445" s="2">
        <f>YEAR(Tabela1[[#This Row],[Periodo]])</f>
        <v>2015</v>
      </c>
      <c r="E1445" s="33">
        <f>(INDEX(TBBP[],MATCH(8,planoContas,0)+1,MATCH(Tabela1[[#This Row],[Periodo]],listaPeriodos,0))/INDEX(TBBP[],MATCH("2.9",planoContas,0)+1,MATCH(Tabela1[[#This Row],[Periodo]],listaPeriodos,0)))</f>
        <v>0.40691426945817599</v>
      </c>
      <c r="F1445" s="34"/>
      <c r="G1445" s="34"/>
      <c r="H1445" s="34"/>
    </row>
    <row r="1446" spans="1:10" x14ac:dyDescent="0.3">
      <c r="A1446" t="s">
        <v>687</v>
      </c>
      <c r="B1446" s="3">
        <v>42705</v>
      </c>
      <c r="C1446" s="2" t="str">
        <f>VLOOKUP(MONTH(Tabela1[[#This Row],[Periodo]]),NUMMESES,2,FALSE)</f>
        <v>Dezembro</v>
      </c>
      <c r="D1446" s="2">
        <f>YEAR(Tabela1[[#This Row],[Periodo]])</f>
        <v>2016</v>
      </c>
      <c r="E1446" s="33">
        <f>(INDEX(TBBP[],MATCH(8,planoContas,0)+1,MATCH(Tabela1[[#This Row],[Periodo]],listaPeriodos,0))/INDEX(TBBP[],MATCH("2.9",planoContas,0)+1,MATCH(Tabela1[[#This Row],[Periodo]],listaPeriodos,0)))</f>
        <v>0.24731778643368085</v>
      </c>
      <c r="F1446" s="34"/>
      <c r="G1446" s="34"/>
      <c r="H1446" s="34"/>
    </row>
    <row r="1447" spans="1:10" x14ac:dyDescent="0.3">
      <c r="A1447" t="s">
        <v>687</v>
      </c>
      <c r="B1447" s="3">
        <v>43070</v>
      </c>
      <c r="C1447" s="2" t="str">
        <f>VLOOKUP(MONTH(Tabela1[[#This Row],[Periodo]]),NUMMESES,2,FALSE)</f>
        <v>Dezembro</v>
      </c>
      <c r="D1447" s="2">
        <f>YEAR(Tabela1[[#This Row],[Periodo]])</f>
        <v>2017</v>
      </c>
      <c r="E1447" s="33">
        <f>(INDEX(TBBP[],MATCH(8,planoContas,0)+1,MATCH(Tabela1[[#This Row],[Periodo]],listaPeriodos,0))/INDEX(TBBP[],MATCH("2.9",planoContas,0)+1,MATCH(Tabela1[[#This Row],[Periodo]],listaPeriodos,0)))</f>
        <v>0.17400049131048628</v>
      </c>
      <c r="F1447" s="34"/>
      <c r="G1447" s="34"/>
      <c r="H1447" s="34"/>
    </row>
    <row r="1448" spans="1:10" x14ac:dyDescent="0.3">
      <c r="A1448" t="s">
        <v>687</v>
      </c>
      <c r="B1448" s="3">
        <v>43101</v>
      </c>
      <c r="C1448" s="2" t="str">
        <f>VLOOKUP(MONTH(Tabela1[[#This Row],[Periodo]]),NUMMESES,2,FALSE)</f>
        <v>Janeiro</v>
      </c>
      <c r="D1448" s="2">
        <f>YEAR(Tabela1[[#This Row],[Periodo]])</f>
        <v>2018</v>
      </c>
      <c r="E1448" s="33">
        <f>(INDEX(TBBP[],MATCH(8,planoContas,0)+1,MATCH(Tabela1[[#This Row],[Periodo]],listaPeriodos,0))/INDEX(TBBP[],MATCH("2.9",planoContas,0)+1,MATCH(Tabela1[[#This Row],[Periodo]],listaPeriodos,0)))</f>
        <v>1.6571916144215767E-2</v>
      </c>
      <c r="F1448" s="34"/>
      <c r="G1448" s="34"/>
      <c r="H1448" s="34"/>
      <c r="J1448" s="4"/>
    </row>
    <row r="1449" spans="1:10" x14ac:dyDescent="0.3">
      <c r="A1449" t="s">
        <v>687</v>
      </c>
      <c r="B1449" s="3">
        <f t="shared" ref="B1449:B1544" si="17">DATE(YEAR(B1448),MONTH(B1448)+1,DAY(B1448))</f>
        <v>43132</v>
      </c>
      <c r="C1449" s="2" t="str">
        <f>VLOOKUP(MONTH(Tabela1[[#This Row],[Periodo]]),NUMMESES,2,FALSE)</f>
        <v>Fevereiro</v>
      </c>
      <c r="D1449" s="2">
        <f>YEAR(Tabela1[[#This Row],[Periodo]])</f>
        <v>2018</v>
      </c>
      <c r="E1449" s="33">
        <f>(INDEX(TBBP[],MATCH(8,planoContas,0)+1,MATCH(Tabela1[[#This Row],[Periodo]],listaPeriodos,0))/INDEX(TBBP[],MATCH("2.9",planoContas,0)+1,MATCH(Tabela1[[#This Row],[Periodo]],listaPeriodos,0)))</f>
        <v>1.7224219795453209E-2</v>
      </c>
      <c r="F1449" s="34"/>
      <c r="G1449" s="34"/>
      <c r="H1449" s="34"/>
      <c r="J1449" s="4"/>
    </row>
    <row r="1450" spans="1:10" x14ac:dyDescent="0.3">
      <c r="A1450" t="s">
        <v>687</v>
      </c>
      <c r="B1450" s="3">
        <f t="shared" si="17"/>
        <v>43160</v>
      </c>
      <c r="C1450" s="2" t="str">
        <f>VLOOKUP(MONTH(Tabela1[[#This Row],[Periodo]]),NUMMESES,2,FALSE)</f>
        <v>Março</v>
      </c>
      <c r="D1450" s="2">
        <f>YEAR(Tabela1[[#This Row],[Periodo]])</f>
        <v>2018</v>
      </c>
      <c r="E1450" s="33">
        <f>(INDEX(TBBP[],MATCH(8,planoContas,0)+1,MATCH(Tabela1[[#This Row],[Periodo]],listaPeriodos,0))/INDEX(TBBP[],MATCH("2.9",planoContas,0)+1,MATCH(Tabela1[[#This Row],[Periodo]],listaPeriodos,0)))</f>
        <v>2.70393809417959E-2</v>
      </c>
      <c r="F1450" s="34"/>
      <c r="G1450" s="34"/>
      <c r="H1450" s="34"/>
      <c r="J1450" s="4"/>
    </row>
    <row r="1451" spans="1:10" x14ac:dyDescent="0.3">
      <c r="A1451" t="s">
        <v>687</v>
      </c>
      <c r="B1451" s="3">
        <f>DATE(YEAR(B1450),MONTH(B1450)+1,DAY(B1450))</f>
        <v>43191</v>
      </c>
      <c r="C1451" s="2" t="str">
        <f>VLOOKUP(MONTH(Tabela1[[#This Row],[Periodo]]),NUMMESES,2,FALSE)</f>
        <v>Abril</v>
      </c>
      <c r="D1451" s="2">
        <f>YEAR(Tabela1[[#This Row],[Periodo]])</f>
        <v>2018</v>
      </c>
      <c r="E1451" s="33">
        <f>(INDEX(TBBP[],MATCH(8,planoContas,0)+1,MATCH(Tabela1[[#This Row],[Periodo]],listaPeriodos,0))/INDEX(TBBP[],MATCH("2.9",planoContas,0)+1,MATCH(Tabela1[[#This Row],[Periodo]],listaPeriodos,0)))</f>
        <v>3.1636070806906405E-2</v>
      </c>
      <c r="F1451" s="34"/>
      <c r="G1451" s="34"/>
      <c r="H1451" s="34"/>
      <c r="J1451" s="4"/>
    </row>
    <row r="1452" spans="1:10" x14ac:dyDescent="0.3">
      <c r="A1452" t="s">
        <v>687</v>
      </c>
      <c r="B1452" s="3">
        <f t="shared" si="17"/>
        <v>43221</v>
      </c>
      <c r="C1452" s="2" t="str">
        <f>VLOOKUP(MONTH(Tabela1[[#This Row],[Periodo]]),NUMMESES,2,FALSE)</f>
        <v>Maio</v>
      </c>
      <c r="D1452" s="2">
        <f>YEAR(Tabela1[[#This Row],[Periodo]])</f>
        <v>2018</v>
      </c>
      <c r="E1452" s="33">
        <f>(INDEX(TBBP[],MATCH(8,planoContas,0)+1,MATCH(Tabela1[[#This Row],[Periodo]],listaPeriodos,0))/INDEX(TBBP[],MATCH("2.9",planoContas,0)+1,MATCH(Tabela1[[#This Row],[Periodo]],listaPeriodos,0)))</f>
        <v>1.2229254735244848E-2</v>
      </c>
      <c r="F1452" s="34"/>
      <c r="G1452" s="34"/>
      <c r="H1452" s="34"/>
    </row>
    <row r="1453" spans="1:10" x14ac:dyDescent="0.3">
      <c r="A1453" t="s">
        <v>687</v>
      </c>
      <c r="B1453" s="3">
        <f t="shared" si="17"/>
        <v>43252</v>
      </c>
      <c r="C1453" s="2" t="str">
        <f>VLOOKUP(MONTH(Tabela1[[#This Row],[Periodo]]),NUMMESES,2,FALSE)</f>
        <v>Junho</v>
      </c>
      <c r="D1453" s="2">
        <f>YEAR(Tabela1[[#This Row],[Periodo]])</f>
        <v>2018</v>
      </c>
      <c r="E1453" s="33">
        <f>(INDEX(TBBP[],MATCH(8,planoContas,0)+1,MATCH(Tabela1[[#This Row],[Periodo]],listaPeriodos,0))/INDEX(TBBP[],MATCH("2.9",planoContas,0)+1,MATCH(Tabela1[[#This Row],[Periodo]],listaPeriodos,0)))</f>
        <v>1.3986881183802664E-2</v>
      </c>
      <c r="F1453" s="34"/>
      <c r="G1453" s="34"/>
      <c r="H1453" s="34"/>
    </row>
    <row r="1454" spans="1:10" x14ac:dyDescent="0.3">
      <c r="A1454" t="s">
        <v>687</v>
      </c>
      <c r="B1454" s="3">
        <f t="shared" si="17"/>
        <v>43282</v>
      </c>
      <c r="C1454" s="2" t="str">
        <f>VLOOKUP(MONTH(Tabela1[[#This Row],[Periodo]]),NUMMESES,2,FALSE)</f>
        <v>Julho</v>
      </c>
      <c r="D1454" s="2">
        <f>YEAR(Tabela1[[#This Row],[Periodo]])</f>
        <v>2018</v>
      </c>
      <c r="E1454" s="33">
        <f>(INDEX(TBBP[],MATCH(8,planoContas,0)+1,MATCH(Tabela1[[#This Row],[Periodo]],listaPeriodos,0))/INDEX(TBBP[],MATCH("2.9",planoContas,0)+1,MATCH(Tabela1[[#This Row],[Periodo]],listaPeriodos,0)))</f>
        <v>4.091823928158092E-2</v>
      </c>
      <c r="F1454" s="34"/>
      <c r="G1454" s="34"/>
      <c r="H1454" s="34"/>
    </row>
    <row r="1455" spans="1:10" x14ac:dyDescent="0.3">
      <c r="A1455" t="s">
        <v>687</v>
      </c>
      <c r="B1455" s="3">
        <f t="shared" si="17"/>
        <v>43313</v>
      </c>
      <c r="C1455" s="2" t="str">
        <f>VLOOKUP(MONTH(Tabela1[[#This Row],[Periodo]]),NUMMESES,2,FALSE)</f>
        <v>Agosto</v>
      </c>
      <c r="D1455" s="2">
        <f>YEAR(Tabela1[[#This Row],[Periodo]])</f>
        <v>2018</v>
      </c>
      <c r="E1455" s="33">
        <f>(INDEX(TBBP[],MATCH(8,planoContas,0)+1,MATCH(Tabela1[[#This Row],[Periodo]],listaPeriodos,0))/INDEX(TBBP[],MATCH("2.9",planoContas,0)+1,MATCH(Tabela1[[#This Row],[Periodo]],listaPeriodos,0)))</f>
        <v>3.6318501808273028E-2</v>
      </c>
      <c r="F1455" s="34"/>
      <c r="G1455" s="34"/>
      <c r="H1455" s="34"/>
    </row>
    <row r="1456" spans="1:10" x14ac:dyDescent="0.3">
      <c r="A1456" t="s">
        <v>687</v>
      </c>
      <c r="B1456" s="3">
        <f t="shared" si="17"/>
        <v>43344</v>
      </c>
      <c r="C1456" s="2" t="str">
        <f>VLOOKUP(MONTH(Tabela1[[#This Row],[Periodo]]),NUMMESES,2,FALSE)</f>
        <v>Setembro</v>
      </c>
      <c r="D1456" s="2">
        <f>YEAR(Tabela1[[#This Row],[Periodo]])</f>
        <v>2018</v>
      </c>
      <c r="E1456" s="33">
        <f>(INDEX(TBBP[],MATCH(8,planoContas,0)+1,MATCH(Tabela1[[#This Row],[Periodo]],listaPeriodos,0))/INDEX(TBBP[],MATCH("2.9",planoContas,0)+1,MATCH(Tabela1[[#This Row],[Periodo]],listaPeriodos,0)))</f>
        <v>6.8361802890776688E-2</v>
      </c>
      <c r="F1456" s="34"/>
      <c r="G1456" s="34"/>
      <c r="H1456" s="34"/>
    </row>
    <row r="1457" spans="1:8" x14ac:dyDescent="0.3">
      <c r="A1457" t="s">
        <v>687</v>
      </c>
      <c r="B1457" s="3">
        <f t="shared" si="17"/>
        <v>43374</v>
      </c>
      <c r="C1457" s="2" t="str">
        <f>VLOOKUP(MONTH(Tabela1[[#This Row],[Periodo]]),NUMMESES,2,FALSE)</f>
        <v>Outubro</v>
      </c>
      <c r="D1457" s="2">
        <f>YEAR(Tabela1[[#This Row],[Periodo]])</f>
        <v>2018</v>
      </c>
      <c r="E1457" s="33">
        <f>(INDEX(TBBP[],MATCH(8,planoContas,0)+1,MATCH(Tabela1[[#This Row],[Periodo]],listaPeriodos,0))/INDEX(TBBP[],MATCH("2.9",planoContas,0)+1,MATCH(Tabela1[[#This Row],[Periodo]],listaPeriodos,0)))</f>
        <v>3.4517254602359979E-2</v>
      </c>
      <c r="F1457" s="34"/>
      <c r="G1457" s="34"/>
      <c r="H1457" s="34"/>
    </row>
    <row r="1458" spans="1:8" x14ac:dyDescent="0.3">
      <c r="A1458" t="s">
        <v>687</v>
      </c>
      <c r="B1458" s="3">
        <f t="shared" si="17"/>
        <v>43405</v>
      </c>
      <c r="C1458" s="2" t="str">
        <f>VLOOKUP(MONTH(Tabela1[[#This Row],[Periodo]]),NUMMESES,2,FALSE)</f>
        <v>Novembro</v>
      </c>
      <c r="D1458" s="2">
        <f>YEAR(Tabela1[[#This Row],[Periodo]])</f>
        <v>2018</v>
      </c>
      <c r="E1458" s="33">
        <f>(INDEX(TBBP[],MATCH(8,planoContas,0)+1,MATCH(Tabela1[[#This Row],[Periodo]],listaPeriodos,0))/INDEX(TBBP[],MATCH("2.9",planoContas,0)+1,MATCH(Tabela1[[#This Row],[Periodo]],listaPeriodos,0)))</f>
        <v>3.2210015211736409E-3</v>
      </c>
      <c r="F1458" s="34"/>
      <c r="G1458" s="34"/>
      <c r="H1458" s="34"/>
    </row>
    <row r="1459" spans="1:8" x14ac:dyDescent="0.3">
      <c r="A1459" t="s">
        <v>687</v>
      </c>
      <c r="B1459" s="3">
        <f t="shared" si="17"/>
        <v>43435</v>
      </c>
      <c r="C1459" s="2" t="str">
        <f>VLOOKUP(MONTH(Tabela1[[#This Row],[Periodo]]),NUMMESES,2,FALSE)</f>
        <v>Dezembro</v>
      </c>
      <c r="D1459" s="2">
        <f>YEAR(Tabela1[[#This Row],[Periodo]])</f>
        <v>2018</v>
      </c>
      <c r="E1459" s="33">
        <f>(INDEX(TBBP[],MATCH(8,planoContas,0)+1,MATCH(Tabela1[[#This Row],[Periodo]],listaPeriodos,0))/INDEX(TBBP[],MATCH("2.9",planoContas,0)+1,MATCH(Tabela1[[#This Row],[Periodo]],listaPeriodos,0)))</f>
        <v>1.4052807808155161E-2</v>
      </c>
      <c r="F1459" s="34"/>
      <c r="G1459" s="34"/>
      <c r="H1459" s="34"/>
    </row>
    <row r="1460" spans="1:8" x14ac:dyDescent="0.3">
      <c r="A1460" t="s">
        <v>687</v>
      </c>
      <c r="B1460" s="3">
        <f t="shared" si="17"/>
        <v>43466</v>
      </c>
      <c r="C1460" s="2" t="str">
        <f>VLOOKUP(MONTH(Tabela1[[#This Row],[Periodo]]),NUMMESES,2,FALSE)</f>
        <v>Janeiro</v>
      </c>
      <c r="D1460" s="2">
        <f>YEAR(Tabela1[[#This Row],[Periodo]])</f>
        <v>2019</v>
      </c>
      <c r="E1460" s="33">
        <f>(INDEX(TBBP[],MATCH(8,planoContas,0)+1,MATCH(Tabela1[[#This Row],[Periodo]],listaPeriodos,0))/INDEX(TBBP[],MATCH("2.9",planoContas,0)+1,MATCH(Tabela1[[#This Row],[Periodo]],listaPeriodos,0)))</f>
        <v>1.4926375095459124E-2</v>
      </c>
      <c r="F1460" s="34"/>
      <c r="G1460" s="34"/>
      <c r="H1460" s="34"/>
    </row>
    <row r="1461" spans="1:8" x14ac:dyDescent="0.3">
      <c r="A1461" t="s">
        <v>687</v>
      </c>
      <c r="B1461" s="3">
        <f t="shared" si="17"/>
        <v>43497</v>
      </c>
      <c r="C1461" s="2" t="str">
        <f>VLOOKUP(MONTH(Tabela1[[#This Row],[Periodo]]),NUMMESES,2,FALSE)</f>
        <v>Fevereiro</v>
      </c>
      <c r="D1461" s="2">
        <f>YEAR(Tabela1[[#This Row],[Periodo]])</f>
        <v>2019</v>
      </c>
      <c r="E1461" s="33">
        <f>(INDEX(TBBP[],MATCH(8,planoContas,0)+1,MATCH(Tabela1[[#This Row],[Periodo]],listaPeriodos,0))/INDEX(TBBP[],MATCH("2.9",planoContas,0)+1,MATCH(Tabela1[[#This Row],[Periodo]],listaPeriodos,0)))</f>
        <v>1.3584400192604616E-2</v>
      </c>
      <c r="F1461" s="34"/>
      <c r="G1461" s="34"/>
      <c r="H1461" s="34"/>
    </row>
    <row r="1462" spans="1:8" x14ac:dyDescent="0.3">
      <c r="A1462" t="s">
        <v>687</v>
      </c>
      <c r="B1462" s="3">
        <f t="shared" si="17"/>
        <v>43525</v>
      </c>
      <c r="C1462" s="2" t="str">
        <f>VLOOKUP(MONTH(Tabela1[[#This Row],[Periodo]]),NUMMESES,2,FALSE)</f>
        <v>Março</v>
      </c>
      <c r="D1462" s="2">
        <f>YEAR(Tabela1[[#This Row],[Periodo]])</f>
        <v>2019</v>
      </c>
      <c r="E1462" s="33">
        <f>(INDEX(TBBP[],MATCH(8,planoContas,0)+1,MATCH(Tabela1[[#This Row],[Periodo]],listaPeriodos,0))/INDEX(TBBP[],MATCH("2.9",planoContas,0)+1,MATCH(Tabela1[[#This Row],[Periodo]],listaPeriodos,0)))</f>
        <v>2.2708537895069804E-2</v>
      </c>
      <c r="F1462" s="34"/>
      <c r="G1462" s="34"/>
      <c r="H1462" s="34"/>
    </row>
    <row r="1463" spans="1:8" x14ac:dyDescent="0.3">
      <c r="A1463" t="s">
        <v>687</v>
      </c>
      <c r="B1463" s="3">
        <f t="shared" si="17"/>
        <v>43556</v>
      </c>
      <c r="C1463" s="2" t="str">
        <f>VLOOKUP(MONTH(Tabela1[[#This Row],[Periodo]]),NUMMESES,2,FALSE)</f>
        <v>Abril</v>
      </c>
      <c r="D1463" s="2">
        <f>YEAR(Tabela1[[#This Row],[Periodo]])</f>
        <v>2019</v>
      </c>
      <c r="E1463" s="33">
        <f>(INDEX(TBBP[],MATCH(8,planoContas,0)+1,MATCH(Tabela1[[#This Row],[Periodo]],listaPeriodos,0))/INDEX(TBBP[],MATCH("2.9",planoContas,0)+1,MATCH(Tabela1[[#This Row],[Periodo]],listaPeriodos,0)))</f>
        <v>3.42724676226129E-2</v>
      </c>
      <c r="F1463" s="34"/>
      <c r="G1463" s="34"/>
      <c r="H1463" s="34"/>
    </row>
    <row r="1464" spans="1:8" x14ac:dyDescent="0.3">
      <c r="A1464" t="s">
        <v>687</v>
      </c>
      <c r="B1464" s="3">
        <f>DATE(YEAR(B1463),MONTH(B1463)+1,DAY(B1463))</f>
        <v>43586</v>
      </c>
      <c r="C1464" s="2" t="str">
        <f>VLOOKUP(MONTH(Tabela1[[#This Row],[Periodo]]),NUMMESES,2,FALSE)</f>
        <v>Maio</v>
      </c>
      <c r="D1464" s="2">
        <f>YEAR(Tabela1[[#This Row],[Periodo]])</f>
        <v>2019</v>
      </c>
      <c r="E1464" s="33">
        <f>(INDEX(TBBP[],MATCH(8,planoContas,0)+1,MATCH(Tabela1[[#This Row],[Periodo]],listaPeriodos,0))/INDEX(TBBP[],MATCH("2.9",planoContas,0)+1,MATCH(Tabela1[[#This Row],[Periodo]],listaPeriodos,0)))</f>
        <v>3.1496318514467346E-2</v>
      </c>
      <c r="F1464" s="34"/>
      <c r="G1464" s="34"/>
      <c r="H1464" s="34"/>
    </row>
    <row r="1465" spans="1:8" x14ac:dyDescent="0.3">
      <c r="A1465" t="s">
        <v>687</v>
      </c>
      <c r="B1465" s="3">
        <f t="shared" si="17"/>
        <v>43617</v>
      </c>
      <c r="C1465" s="2" t="str">
        <f>VLOOKUP(MONTH(Tabela1[[#This Row],[Periodo]]),NUMMESES,2,FALSE)</f>
        <v>Junho</v>
      </c>
      <c r="D1465" s="2">
        <f>YEAR(Tabela1[[#This Row],[Periodo]])</f>
        <v>2019</v>
      </c>
      <c r="E1465" s="33">
        <f>(INDEX(TBBP[],MATCH(8,planoContas,0)+1,MATCH(Tabela1[[#This Row],[Periodo]],listaPeriodos,0))/INDEX(TBBP[],MATCH("2.9",planoContas,0)+1,MATCH(Tabela1[[#This Row],[Periodo]],listaPeriodos,0)))</f>
        <v>7.2553439648465412E-3</v>
      </c>
      <c r="F1465" s="34"/>
      <c r="G1465" s="34"/>
      <c r="H1465" s="34"/>
    </row>
    <row r="1466" spans="1:8" x14ac:dyDescent="0.3">
      <c r="A1466" t="s">
        <v>687</v>
      </c>
      <c r="B1466" s="3">
        <f t="shared" si="17"/>
        <v>43647</v>
      </c>
      <c r="C1466" s="2" t="str">
        <f>VLOOKUP(MONTH(Tabela1[[#This Row],[Periodo]]),NUMMESES,2,FALSE)</f>
        <v>Julho</v>
      </c>
      <c r="D1466" s="2">
        <f>YEAR(Tabela1[[#This Row],[Periodo]])</f>
        <v>2019</v>
      </c>
      <c r="E1466" s="33">
        <f>(INDEX(TBBP[],MATCH(8,planoContas,0)+1,MATCH(Tabela1[[#This Row],[Periodo]],listaPeriodos,0))/INDEX(TBBP[],MATCH("2.9",planoContas,0)+1,MATCH(Tabela1[[#This Row],[Periodo]],listaPeriodos,0)))</f>
        <v>4.2323548378801597E-2</v>
      </c>
      <c r="F1466" s="34"/>
      <c r="G1466" s="34"/>
      <c r="H1466" s="34"/>
    </row>
    <row r="1467" spans="1:8" x14ac:dyDescent="0.3">
      <c r="A1467" t="s">
        <v>687</v>
      </c>
      <c r="B1467" s="3">
        <f t="shared" si="17"/>
        <v>43678</v>
      </c>
      <c r="C1467" s="2" t="str">
        <f>VLOOKUP(MONTH(Tabela1[[#This Row],[Periodo]]),NUMMESES,2,FALSE)</f>
        <v>Agosto</v>
      </c>
      <c r="D1467" s="2">
        <f>YEAR(Tabela1[[#This Row],[Periodo]])</f>
        <v>2019</v>
      </c>
      <c r="E1467" s="33">
        <f>(INDEX(TBBP[],MATCH(8,planoContas,0)+1,MATCH(Tabela1[[#This Row],[Periodo]],listaPeriodos,0))/INDEX(TBBP[],MATCH("2.9",planoContas,0)+1,MATCH(Tabela1[[#This Row],[Periodo]],listaPeriodos,0)))</f>
        <v>2.026779036728572E-2</v>
      </c>
      <c r="F1467" s="34"/>
      <c r="G1467" s="34"/>
      <c r="H1467" s="34"/>
    </row>
    <row r="1468" spans="1:8" x14ac:dyDescent="0.3">
      <c r="A1468" t="s">
        <v>687</v>
      </c>
      <c r="B1468" s="3">
        <f t="shared" si="17"/>
        <v>43709</v>
      </c>
      <c r="C1468" s="2" t="str">
        <f>VLOOKUP(MONTH(Tabela1[[#This Row],[Periodo]]),NUMMESES,2,FALSE)</f>
        <v>Setembro</v>
      </c>
      <c r="D1468" s="2">
        <f>YEAR(Tabela1[[#This Row],[Periodo]])</f>
        <v>2019</v>
      </c>
      <c r="E1468" s="33">
        <f>(INDEX(TBBP[],MATCH(8,planoContas,0)+1,MATCH(Tabela1[[#This Row],[Periodo]],listaPeriodos,0))/INDEX(TBBP[],MATCH("2.9",planoContas,0)+1,MATCH(Tabela1[[#This Row],[Periodo]],listaPeriodos,0)))</f>
        <v>4.3124846280547774E-2</v>
      </c>
      <c r="F1468" s="34"/>
      <c r="G1468" s="34"/>
      <c r="H1468" s="34"/>
    </row>
    <row r="1469" spans="1:8" x14ac:dyDescent="0.3">
      <c r="A1469" t="s">
        <v>687</v>
      </c>
      <c r="B1469" s="3">
        <f t="shared" si="17"/>
        <v>43739</v>
      </c>
      <c r="C1469" s="2" t="str">
        <f>VLOOKUP(MONTH(Tabela1[[#This Row],[Periodo]]),NUMMESES,2,FALSE)</f>
        <v>Outubro</v>
      </c>
      <c r="D1469" s="2">
        <f>YEAR(Tabela1[[#This Row],[Periodo]])</f>
        <v>2019</v>
      </c>
      <c r="E1469" s="33">
        <f>(INDEX(TBBP[],MATCH(8,planoContas,0)+1,MATCH(Tabela1[[#This Row],[Periodo]],listaPeriodos,0))/INDEX(TBBP[],MATCH("2.9",planoContas,0)+1,MATCH(Tabela1[[#This Row],[Periodo]],listaPeriodos,0)))</f>
        <v>4.2941429507868216E-2</v>
      </c>
      <c r="F1469" s="34"/>
      <c r="G1469" s="34"/>
      <c r="H1469" s="34"/>
    </row>
    <row r="1470" spans="1:8" x14ac:dyDescent="0.3">
      <c r="A1470" t="s">
        <v>687</v>
      </c>
      <c r="B1470" s="3">
        <f t="shared" si="17"/>
        <v>43770</v>
      </c>
      <c r="C1470" s="2" t="str">
        <f>VLOOKUP(MONTH(Tabela1[[#This Row],[Periodo]]),NUMMESES,2,FALSE)</f>
        <v>Novembro</v>
      </c>
      <c r="D1470" s="2">
        <f>YEAR(Tabela1[[#This Row],[Periodo]])</f>
        <v>2019</v>
      </c>
      <c r="E1470" s="33">
        <f>(INDEX(TBBP[],MATCH(8,planoContas,0)+1,MATCH(Tabela1[[#This Row],[Periodo]],listaPeriodos,0))/INDEX(TBBP[],MATCH("2.9",planoContas,0)+1,MATCH(Tabela1[[#This Row],[Periodo]],listaPeriodos,0)))</f>
        <v>1.910924267579275E-2</v>
      </c>
      <c r="F1470" s="34"/>
      <c r="G1470" s="34"/>
      <c r="H1470" s="34"/>
    </row>
    <row r="1471" spans="1:8" x14ac:dyDescent="0.3">
      <c r="A1471" t="s">
        <v>687</v>
      </c>
      <c r="B1471" s="3">
        <f t="shared" si="17"/>
        <v>43800</v>
      </c>
      <c r="C1471" s="2" t="str">
        <f>VLOOKUP(MONTH(Tabela1[[#This Row],[Periodo]]),NUMMESES,2,FALSE)</f>
        <v>Dezembro</v>
      </c>
      <c r="D1471" s="2">
        <f>YEAR(Tabela1[[#This Row],[Periodo]])</f>
        <v>2019</v>
      </c>
      <c r="E1471" s="33">
        <f>(INDEX(TBBP[],MATCH(8,planoContas,0)+1,MATCH(Tabela1[[#This Row],[Periodo]],listaPeriodos,0))/INDEX(TBBP[],MATCH("2.9",planoContas,0)+1,MATCH(Tabela1[[#This Row],[Periodo]],listaPeriodos,0)))</f>
        <v>2.0082084898775734E-2</v>
      </c>
      <c r="F1471" s="34"/>
      <c r="G1471" s="34"/>
      <c r="H1471" s="34"/>
    </row>
    <row r="1472" spans="1:8" x14ac:dyDescent="0.3">
      <c r="A1472" t="s">
        <v>687</v>
      </c>
      <c r="B1472" s="3">
        <f t="shared" si="17"/>
        <v>43831</v>
      </c>
      <c r="C1472" s="2" t="str">
        <f>VLOOKUP(MONTH(Tabela1[[#This Row],[Periodo]]),NUMMESES,2,FALSE)</f>
        <v>Janeiro</v>
      </c>
      <c r="D1472" s="2">
        <f>YEAR(Tabela1[[#This Row],[Periodo]])</f>
        <v>2020</v>
      </c>
      <c r="E1472" s="33">
        <f>(INDEX(TBBP[],MATCH(8,planoContas,0)+1,MATCH(Tabela1[[#This Row],[Periodo]],listaPeriodos,0))/INDEX(TBBP[],MATCH("2.9",planoContas,0)+1,MATCH(Tabela1[[#This Row],[Periodo]],listaPeriodos,0)))</f>
        <v>2.407165802971057E-2</v>
      </c>
      <c r="F1472" s="34"/>
      <c r="G1472" s="34"/>
      <c r="H1472" s="34"/>
    </row>
    <row r="1473" spans="1:8" x14ac:dyDescent="0.3">
      <c r="A1473" t="s">
        <v>687</v>
      </c>
      <c r="B1473" s="3">
        <f t="shared" si="17"/>
        <v>43862</v>
      </c>
      <c r="C1473" s="2" t="str">
        <f>VLOOKUP(MONTH(Tabela1[[#This Row],[Periodo]]),NUMMESES,2,FALSE)</f>
        <v>Fevereiro</v>
      </c>
      <c r="D1473" s="2">
        <f>YEAR(Tabela1[[#This Row],[Periodo]])</f>
        <v>2020</v>
      </c>
      <c r="E1473" s="33">
        <f>(INDEX(TBBP[],MATCH(8,planoContas,0)+1,MATCH(Tabela1[[#This Row],[Periodo]],listaPeriodos,0))/INDEX(TBBP[],MATCH("2.9",planoContas,0)+1,MATCH(Tabela1[[#This Row],[Periodo]],listaPeriodos,0)))</f>
        <v>1.1889089247400179E-2</v>
      </c>
      <c r="F1473" s="34"/>
      <c r="G1473" s="34"/>
      <c r="H1473" s="34"/>
    </row>
    <row r="1474" spans="1:8" x14ac:dyDescent="0.3">
      <c r="A1474" t="s">
        <v>687</v>
      </c>
      <c r="B1474" s="3">
        <f t="shared" si="17"/>
        <v>43891</v>
      </c>
      <c r="C1474" s="2" t="str">
        <f>VLOOKUP(MONTH(Tabela1[[#This Row],[Periodo]]),NUMMESES,2,FALSE)</f>
        <v>Março</v>
      </c>
      <c r="D1474" s="2">
        <f>YEAR(Tabela1[[#This Row],[Periodo]])</f>
        <v>2020</v>
      </c>
      <c r="E1474" s="33">
        <f>(INDEX(TBBP[],MATCH(8,planoContas,0)+1,MATCH(Tabela1[[#This Row],[Periodo]],listaPeriodos,0))/INDEX(TBBP[],MATCH("2.9",planoContas,0)+1,MATCH(Tabela1[[#This Row],[Periodo]],listaPeriodos,0)))</f>
        <v>1.4095177436726438E-3</v>
      </c>
      <c r="F1474" s="34"/>
      <c r="G1474" s="34"/>
      <c r="H1474" s="34"/>
    </row>
    <row r="1475" spans="1:8" x14ac:dyDescent="0.3">
      <c r="A1475" t="s">
        <v>687</v>
      </c>
      <c r="B1475" s="3">
        <f t="shared" si="17"/>
        <v>43922</v>
      </c>
      <c r="C1475" s="2" t="str">
        <f>VLOOKUP(MONTH(Tabela1[[#This Row],[Periodo]]),NUMMESES,2,FALSE)</f>
        <v>Abril</v>
      </c>
      <c r="D1475" s="2">
        <f>YEAR(Tabela1[[#This Row],[Periodo]])</f>
        <v>2020</v>
      </c>
      <c r="E1475" s="33">
        <f>(INDEX(TBBP[],MATCH(8,planoContas,0)+1,MATCH(Tabela1[[#This Row],[Periodo]],listaPeriodos,0))/INDEX(TBBP[],MATCH("2.9",planoContas,0)+1,MATCH(Tabela1[[#This Row],[Periodo]],listaPeriodos,0)))</f>
        <v>5.622510434912892E-3</v>
      </c>
      <c r="F1475" s="34"/>
      <c r="G1475" s="34"/>
      <c r="H1475" s="34"/>
    </row>
    <row r="1476" spans="1:8" x14ac:dyDescent="0.3">
      <c r="A1476" t="s">
        <v>687</v>
      </c>
      <c r="B1476" s="3">
        <f t="shared" si="17"/>
        <v>43952</v>
      </c>
      <c r="C1476" s="2" t="str">
        <f>VLOOKUP(MONTH(Tabela1[[#This Row],[Periodo]]),NUMMESES,2,FALSE)</f>
        <v>Maio</v>
      </c>
      <c r="D1476" s="2">
        <f>YEAR(Tabela1[[#This Row],[Periodo]])</f>
        <v>2020</v>
      </c>
      <c r="E1476" s="33">
        <f>(INDEX(TBBP[],MATCH(8,planoContas,0)+1,MATCH(Tabela1[[#This Row],[Periodo]],listaPeriodos,0))/INDEX(TBBP[],MATCH("2.9",planoContas,0)+1,MATCH(Tabela1[[#This Row],[Periodo]],listaPeriodos,0)))</f>
        <v>2.6899494635069892E-2</v>
      </c>
      <c r="F1476" s="34"/>
      <c r="G1476" s="34"/>
      <c r="H1476" s="34"/>
    </row>
    <row r="1477" spans="1:8" x14ac:dyDescent="0.3">
      <c r="A1477" t="s">
        <v>687</v>
      </c>
      <c r="B1477" s="3">
        <f t="shared" si="17"/>
        <v>43983</v>
      </c>
      <c r="C1477" s="2" t="str">
        <f>VLOOKUP(MONTH(Tabela1[[#This Row],[Periodo]]),NUMMESES,2,FALSE)</f>
        <v>Junho</v>
      </c>
      <c r="D1477" s="2">
        <f>YEAR(Tabela1[[#This Row],[Periodo]])</f>
        <v>2020</v>
      </c>
      <c r="E1477" s="33">
        <f>(INDEX(TBBP[],MATCH(8,planoContas,0)+1,MATCH(Tabela1[[#This Row],[Periodo]],listaPeriodos,0))/INDEX(TBBP[],MATCH("2.9",planoContas,0)+1,MATCH(Tabela1[[#This Row],[Periodo]],listaPeriodos,0)))</f>
        <v>6.1681775062183204E-2</v>
      </c>
      <c r="F1477" s="34"/>
      <c r="G1477" s="34"/>
      <c r="H1477" s="34"/>
    </row>
    <row r="1478" spans="1:8" x14ac:dyDescent="0.3">
      <c r="A1478" t="s">
        <v>687</v>
      </c>
      <c r="B1478" s="3">
        <f t="shared" si="17"/>
        <v>44013</v>
      </c>
      <c r="C1478" s="2" t="str">
        <f>VLOOKUP(MONTH(Tabela1[[#This Row],[Periodo]]),NUMMESES,2,FALSE)</f>
        <v>Julho</v>
      </c>
      <c r="D1478" s="2">
        <f>YEAR(Tabela1[[#This Row],[Periodo]])</f>
        <v>2020</v>
      </c>
      <c r="E1478" s="33">
        <f>(INDEX(TBBP[],MATCH(8,planoContas,0)+1,MATCH(Tabela1[[#This Row],[Periodo]],listaPeriodos,0))/INDEX(TBBP[],MATCH("2.9",planoContas,0)+1,MATCH(Tabela1[[#This Row],[Periodo]],listaPeriodos,0)))</f>
        <v>4.7177410379126671E-2</v>
      </c>
      <c r="F1478" s="34"/>
      <c r="G1478" s="34"/>
      <c r="H1478" s="34"/>
    </row>
    <row r="1479" spans="1:8" x14ac:dyDescent="0.3">
      <c r="A1479" t="s">
        <v>687</v>
      </c>
      <c r="B1479" s="3">
        <f t="shared" si="17"/>
        <v>44044</v>
      </c>
      <c r="C1479" s="2" t="str">
        <f>VLOOKUP(MONTH(Tabela1[[#This Row],[Periodo]]),NUMMESES,2,FALSE)</f>
        <v>Agosto</v>
      </c>
      <c r="D1479" s="2">
        <f>YEAR(Tabela1[[#This Row],[Periodo]])</f>
        <v>2020</v>
      </c>
      <c r="E1479" s="33">
        <f>(INDEX(TBBP[],MATCH(8,planoContas,0)+1,MATCH(Tabela1[[#This Row],[Periodo]],listaPeriodos,0))/INDEX(TBBP[],MATCH("2.9",planoContas,0)+1,MATCH(Tabela1[[#This Row],[Periodo]],listaPeriodos,0)))</f>
        <v>4.9648954934504733E-2</v>
      </c>
      <c r="F1479" s="34"/>
      <c r="G1479" s="34"/>
      <c r="H1479" s="34"/>
    </row>
    <row r="1480" spans="1:8" x14ac:dyDescent="0.3">
      <c r="A1480" t="s">
        <v>687</v>
      </c>
      <c r="B1480" s="3">
        <f t="shared" si="17"/>
        <v>44075</v>
      </c>
      <c r="C1480" s="2" t="str">
        <f>VLOOKUP(MONTH(Tabela1[[#This Row],[Periodo]]),NUMMESES,2,FALSE)</f>
        <v>Setembro</v>
      </c>
      <c r="D1480" s="2">
        <f>YEAR(Tabela1[[#This Row],[Periodo]])</f>
        <v>2020</v>
      </c>
      <c r="E1480" s="33">
        <f>(INDEX(TBBP[],MATCH(8,planoContas,0)+1,MATCH(Tabela1[[#This Row],[Periodo]],listaPeriodos,0))/INDEX(TBBP[],MATCH("2.9",planoContas,0)+1,MATCH(Tabela1[[#This Row],[Periodo]],listaPeriodos,0)))</f>
        <v>5.2552210459500322E-2</v>
      </c>
      <c r="F1480" s="34"/>
      <c r="G1480" s="34"/>
      <c r="H1480" s="34"/>
    </row>
    <row r="1481" spans="1:8" x14ac:dyDescent="0.3">
      <c r="A1481" t="s">
        <v>687</v>
      </c>
      <c r="B1481" s="3">
        <f t="shared" si="17"/>
        <v>44105</v>
      </c>
      <c r="C1481" s="2" t="str">
        <f>VLOOKUP(MONTH(Tabela1[[#This Row],[Periodo]]),NUMMESES,2,FALSE)</f>
        <v>Outubro</v>
      </c>
      <c r="D1481" s="2">
        <f>YEAR(Tabela1[[#This Row],[Periodo]])</f>
        <v>2020</v>
      </c>
      <c r="E1481" s="33">
        <f>(INDEX(TBBP[],MATCH(8,planoContas,0)+1,MATCH(Tabela1[[#This Row],[Periodo]],listaPeriodos,0))/INDEX(TBBP[],MATCH("2.9",planoContas,0)+1,MATCH(Tabela1[[#This Row],[Periodo]],listaPeriodos,0)))</f>
        <v>5.7523027662700982E-2</v>
      </c>
      <c r="F1481" s="34"/>
      <c r="G1481" s="34"/>
      <c r="H1481" s="34"/>
    </row>
    <row r="1482" spans="1:8" x14ac:dyDescent="0.3">
      <c r="A1482" t="s">
        <v>687</v>
      </c>
      <c r="B1482" s="3">
        <f t="shared" si="17"/>
        <v>44136</v>
      </c>
      <c r="C1482" s="2" t="str">
        <f>VLOOKUP(MONTH(Tabela1[[#This Row],[Periodo]]),NUMMESES,2,FALSE)</f>
        <v>Novembro</v>
      </c>
      <c r="D1482" s="2">
        <f>YEAR(Tabela1[[#This Row],[Periodo]])</f>
        <v>2020</v>
      </c>
      <c r="E1482" s="33">
        <f>(INDEX(TBBP[],MATCH(8,planoContas,0)+1,MATCH(Tabela1[[#This Row],[Periodo]],listaPeriodos,0))/INDEX(TBBP[],MATCH("2.9",planoContas,0)+1,MATCH(Tabela1[[#This Row],[Periodo]],listaPeriodos,0)))</f>
        <v>3.6527538722710778E-2</v>
      </c>
      <c r="F1482" s="34"/>
      <c r="G1482" s="34"/>
      <c r="H1482" s="34"/>
    </row>
    <row r="1483" spans="1:8" x14ac:dyDescent="0.3">
      <c r="A1483" t="s">
        <v>687</v>
      </c>
      <c r="B1483" s="3">
        <f t="shared" si="17"/>
        <v>44166</v>
      </c>
      <c r="C1483" s="2" t="str">
        <f>VLOOKUP(MONTH(Tabela1[[#This Row],[Periodo]]),NUMMESES,2,FALSE)</f>
        <v>Dezembro</v>
      </c>
      <c r="D1483" s="2">
        <f>YEAR(Tabela1[[#This Row],[Periodo]])</f>
        <v>2020</v>
      </c>
      <c r="E1483" s="33">
        <f>(INDEX(TBBP[],MATCH(8,planoContas,0)+1,MATCH(Tabela1[[#This Row],[Periodo]],listaPeriodos,0))/INDEX(TBBP[],MATCH("2.9",planoContas,0)+1,MATCH(Tabela1[[#This Row],[Periodo]],listaPeriodos,0)))</f>
        <v>4.0600216895141962E-2</v>
      </c>
      <c r="F1483" s="34"/>
      <c r="G1483" s="34"/>
      <c r="H1483" s="34"/>
    </row>
    <row r="1484" spans="1:8" x14ac:dyDescent="0.3">
      <c r="A1484" t="s">
        <v>687</v>
      </c>
      <c r="B1484" s="3">
        <f t="shared" si="17"/>
        <v>44197</v>
      </c>
      <c r="C1484" s="2" t="str">
        <f>VLOOKUP(MONTH(Tabela1[[#This Row],[Periodo]]),NUMMESES,2,FALSE)</f>
        <v>Janeiro</v>
      </c>
      <c r="D1484" s="2">
        <f>YEAR(Tabela1[[#This Row],[Periodo]])</f>
        <v>2021</v>
      </c>
      <c r="E1484" s="33">
        <f>(INDEX(TBBP[],MATCH(8,planoContas,0)+1,MATCH(Tabela1[[#This Row],[Periodo]],listaPeriodos,0))/INDEX(TBBP[],MATCH("2.9",planoContas,0)+1,MATCH(Tabela1[[#This Row],[Periodo]],listaPeriodos,0)))</f>
        <v>4.210448549449132E-2</v>
      </c>
      <c r="F1484" s="34"/>
      <c r="G1484" s="34"/>
      <c r="H1484" s="34"/>
    </row>
    <row r="1485" spans="1:8" x14ac:dyDescent="0.3">
      <c r="A1485" t="s">
        <v>687</v>
      </c>
      <c r="B1485" s="3">
        <f t="shared" si="17"/>
        <v>44228</v>
      </c>
      <c r="C1485" s="2" t="str">
        <f>VLOOKUP(MONTH(Tabela1[[#This Row],[Periodo]]),NUMMESES,2,FALSE)</f>
        <v>Fevereiro</v>
      </c>
      <c r="D1485" s="2">
        <f>YEAR(Tabela1[[#This Row],[Periodo]])</f>
        <v>2021</v>
      </c>
      <c r="E1485" s="33">
        <f>(INDEX(TBBP[],MATCH(8,planoContas,0)+1,MATCH(Tabela1[[#This Row],[Periodo]],listaPeriodos,0))/INDEX(TBBP[],MATCH("2.9",planoContas,0)+1,MATCH(Tabela1[[#This Row],[Periodo]],listaPeriodos,0)))</f>
        <v>2.8174368710854884E-2</v>
      </c>
      <c r="F1485" s="34"/>
      <c r="G1485" s="34"/>
      <c r="H1485" s="34"/>
    </row>
    <row r="1486" spans="1:8" x14ac:dyDescent="0.3">
      <c r="A1486" t="s">
        <v>687</v>
      </c>
      <c r="B1486" s="3">
        <f t="shared" si="17"/>
        <v>44256</v>
      </c>
      <c r="C1486" s="2" t="str">
        <f>VLOOKUP(MONTH(Tabela1[[#This Row],[Periodo]]),NUMMESES,2,FALSE)</f>
        <v>Março</v>
      </c>
      <c r="D1486" s="2">
        <f>YEAR(Tabela1[[#This Row],[Periodo]])</f>
        <v>2021</v>
      </c>
      <c r="E1486" s="33">
        <f>(INDEX(TBBP[],MATCH(8,planoContas,0)+1,MATCH(Tabela1[[#This Row],[Periodo]],listaPeriodos,0))/INDEX(TBBP[],MATCH("2.9",planoContas,0)+1,MATCH(Tabela1[[#This Row],[Periodo]],listaPeriodos,0)))</f>
        <v>5.1903321971358281E-2</v>
      </c>
      <c r="F1486" s="34"/>
      <c r="G1486" s="34"/>
      <c r="H1486" s="34"/>
    </row>
    <row r="1487" spans="1:8" x14ac:dyDescent="0.3">
      <c r="A1487" t="s">
        <v>687</v>
      </c>
      <c r="B1487" s="3">
        <f t="shared" si="17"/>
        <v>44287</v>
      </c>
      <c r="C1487" s="2" t="str">
        <f>VLOOKUP(MONTH(Tabela1[[#This Row],[Periodo]]),NUMMESES,2,FALSE)</f>
        <v>Abril</v>
      </c>
      <c r="D1487" s="2">
        <f>YEAR(Tabela1[[#This Row],[Periodo]])</f>
        <v>2021</v>
      </c>
      <c r="E1487" s="33">
        <f>(INDEX(TBBP[],MATCH(8,planoContas,0)+1,MATCH(Tabela1[[#This Row],[Periodo]],listaPeriodos,0))/INDEX(TBBP[],MATCH("2.9",planoContas,0)+1,MATCH(Tabela1[[#This Row],[Periodo]],listaPeriodos,0)))</f>
        <v>6.7174264919149185E-2</v>
      </c>
      <c r="F1487" s="34"/>
      <c r="G1487" s="34"/>
      <c r="H1487" s="34"/>
    </row>
    <row r="1488" spans="1:8" x14ac:dyDescent="0.3">
      <c r="A1488" t="s">
        <v>687</v>
      </c>
      <c r="B1488" s="3">
        <f t="shared" si="17"/>
        <v>44317</v>
      </c>
      <c r="C1488" s="2" t="str">
        <f>VLOOKUP(MONTH(Tabela1[[#This Row],[Periodo]]),NUMMESES,2,FALSE)</f>
        <v>Maio</v>
      </c>
      <c r="D1488" s="2">
        <f>YEAR(Tabela1[[#This Row],[Periodo]])</f>
        <v>2021</v>
      </c>
      <c r="E1488" s="33">
        <f>(INDEX(TBBP[],MATCH(8,planoContas,0)+1,MATCH(Tabela1[[#This Row],[Periodo]],listaPeriodos,0))/INDEX(TBBP[],MATCH("2.9",planoContas,0)+1,MATCH(Tabela1[[#This Row],[Periodo]],listaPeriodos,0)))</f>
        <v>6.0305707056198941E-2</v>
      </c>
      <c r="F1488" s="34"/>
      <c r="G1488" s="34"/>
      <c r="H1488" s="34"/>
    </row>
    <row r="1489" spans="1:8" x14ac:dyDescent="0.3">
      <c r="A1489" t="s">
        <v>687</v>
      </c>
      <c r="B1489" s="3">
        <f t="shared" si="17"/>
        <v>44348</v>
      </c>
      <c r="C1489" s="2" t="str">
        <f>VLOOKUP(MONTH(Tabela1[[#This Row],[Periodo]]),NUMMESES,2,FALSE)</f>
        <v>Junho</v>
      </c>
      <c r="D1489" s="2">
        <f>YEAR(Tabela1[[#This Row],[Periodo]])</f>
        <v>2021</v>
      </c>
      <c r="E1489" s="33">
        <f>(INDEX(TBBP[],MATCH(8,planoContas,0)+1,MATCH(Tabela1[[#This Row],[Periodo]],listaPeriodos,0))/INDEX(TBBP[],MATCH("2.9",planoContas,0)+1,MATCH(Tabela1[[#This Row],[Periodo]],listaPeriodos,0)))</f>
        <v>7.2565496272268146E-2</v>
      </c>
      <c r="F1489" s="34"/>
      <c r="G1489" s="34"/>
      <c r="H1489" s="34"/>
    </row>
    <row r="1490" spans="1:8" x14ac:dyDescent="0.3">
      <c r="A1490" t="s">
        <v>687</v>
      </c>
      <c r="B1490" s="3">
        <f t="shared" si="17"/>
        <v>44378</v>
      </c>
      <c r="C1490" s="2" t="str">
        <f>VLOOKUP(MONTH(Tabela1[[#This Row],[Periodo]]),NUMMESES,2,FALSE)</f>
        <v>Julho</v>
      </c>
      <c r="D1490" s="2">
        <f>YEAR(Tabela1[[#This Row],[Periodo]])</f>
        <v>2021</v>
      </c>
      <c r="E1490" s="33">
        <f>(INDEX(TBBP[],MATCH(8,planoContas,0)+1,MATCH(Tabela1[[#This Row],[Periodo]],listaPeriodos,0))/INDEX(TBBP[],MATCH("2.9",planoContas,0)+1,MATCH(Tabela1[[#This Row],[Periodo]],listaPeriodos,0)))</f>
        <v>6.8562576354557009E-2</v>
      </c>
      <c r="F1490" s="34"/>
      <c r="G1490" s="34"/>
      <c r="H1490" s="34"/>
    </row>
    <row r="1491" spans="1:8" x14ac:dyDescent="0.3">
      <c r="A1491" t="s">
        <v>687</v>
      </c>
      <c r="B1491" s="3">
        <f t="shared" si="17"/>
        <v>44409</v>
      </c>
      <c r="C1491" s="2" t="str">
        <f>VLOOKUP(MONTH(Tabela1[[#This Row],[Periodo]]),NUMMESES,2,FALSE)</f>
        <v>Agosto</v>
      </c>
      <c r="D1491" s="2">
        <f>YEAR(Tabela1[[#This Row],[Periodo]])</f>
        <v>2021</v>
      </c>
      <c r="E1491" s="33">
        <f>(INDEX(TBBP[],MATCH(8,planoContas,0)+1,MATCH(Tabela1[[#This Row],[Periodo]],listaPeriodos,0))/INDEX(TBBP[],MATCH("2.9",planoContas,0)+1,MATCH(Tabela1[[#This Row],[Periodo]],listaPeriodos,0)))</f>
        <v>6.0963914105850975E-2</v>
      </c>
      <c r="F1491" s="34"/>
      <c r="G1491" s="34"/>
      <c r="H1491" s="34"/>
    </row>
    <row r="1492" spans="1:8" x14ac:dyDescent="0.3">
      <c r="A1492" t="s">
        <v>687</v>
      </c>
      <c r="B1492" s="3">
        <f t="shared" si="17"/>
        <v>44440</v>
      </c>
      <c r="C1492" s="2" t="str">
        <f>VLOOKUP(MONTH(Tabela1[[#This Row],[Periodo]]),NUMMESES,2,FALSE)</f>
        <v>Setembro</v>
      </c>
      <c r="D1492" s="2">
        <f>YEAR(Tabela1[[#This Row],[Periodo]])</f>
        <v>2021</v>
      </c>
      <c r="E1492" s="33">
        <f>(INDEX(TBBP[],MATCH(8,planoContas,0)+1,MATCH(Tabela1[[#This Row],[Periodo]],listaPeriodos,0))/INDEX(TBBP[],MATCH("2.9",planoContas,0)+1,MATCH(Tabela1[[#This Row],[Periodo]],listaPeriodos,0)))</f>
        <v>6.4299732733106421E-2</v>
      </c>
      <c r="F1492" s="34"/>
      <c r="G1492" s="34"/>
      <c r="H1492" s="34"/>
    </row>
    <row r="1493" spans="1:8" x14ac:dyDescent="0.3">
      <c r="A1493" t="s">
        <v>687</v>
      </c>
      <c r="B1493" s="3">
        <f t="shared" si="17"/>
        <v>44470</v>
      </c>
      <c r="C1493" s="2" t="str">
        <f>VLOOKUP(MONTH(Tabela1[[#This Row],[Periodo]]),NUMMESES,2,FALSE)</f>
        <v>Outubro</v>
      </c>
      <c r="D1493" s="2">
        <f>YEAR(Tabela1[[#This Row],[Periodo]])</f>
        <v>2021</v>
      </c>
      <c r="E1493" s="33">
        <f>(INDEX(TBBP[],MATCH(8,planoContas,0)+1,MATCH(Tabela1[[#This Row],[Periodo]],listaPeriodos,0))/INDEX(TBBP[],MATCH("2.9",planoContas,0)+1,MATCH(Tabela1[[#This Row],[Periodo]],listaPeriodos,0)))</f>
        <v>2.8182718991779945E-2</v>
      </c>
      <c r="F1493" s="34"/>
      <c r="G1493" s="34"/>
      <c r="H1493" s="34"/>
    </row>
    <row r="1494" spans="1:8" x14ac:dyDescent="0.3">
      <c r="A1494" t="s">
        <v>687</v>
      </c>
      <c r="B1494" s="3">
        <f t="shared" si="17"/>
        <v>44501</v>
      </c>
      <c r="C1494" s="2" t="str">
        <f>VLOOKUP(MONTH(Tabela1[[#This Row],[Periodo]]),NUMMESES,2,FALSE)</f>
        <v>Novembro</v>
      </c>
      <c r="D1494" s="2">
        <f>YEAR(Tabela1[[#This Row],[Periodo]])</f>
        <v>2021</v>
      </c>
      <c r="E1494" s="33">
        <f>(INDEX(TBBP[],MATCH(8,planoContas,0)+1,MATCH(Tabela1[[#This Row],[Periodo]],listaPeriodos,0))/INDEX(TBBP[],MATCH("2.9",planoContas,0)+1,MATCH(Tabela1[[#This Row],[Periodo]],listaPeriodos,0)))</f>
        <v>2.9454549939367095E-2</v>
      </c>
      <c r="F1494" s="34"/>
      <c r="G1494" s="34"/>
      <c r="H1494" s="34"/>
    </row>
    <row r="1495" spans="1:8" x14ac:dyDescent="0.3">
      <c r="A1495" t="s">
        <v>687</v>
      </c>
      <c r="B1495" s="3">
        <f t="shared" si="17"/>
        <v>44531</v>
      </c>
      <c r="C1495" s="2" t="str">
        <f>VLOOKUP(MONTH(Tabela1[[#This Row],[Periodo]]),NUMMESES,2,FALSE)</f>
        <v>Dezembro</v>
      </c>
      <c r="D1495" s="2">
        <f>YEAR(Tabela1[[#This Row],[Periodo]])</f>
        <v>2021</v>
      </c>
      <c r="E1495" s="33">
        <f>(INDEX(TBBP[],MATCH(8,planoContas,0)+1,MATCH(Tabela1[[#This Row],[Periodo]],listaPeriodos,0))/INDEX(TBBP[],MATCH("2.9",planoContas,0)+1,MATCH(Tabela1[[#This Row],[Periodo]],listaPeriodos,0)))</f>
        <v>2.0862137196806987E-2</v>
      </c>
      <c r="F1495" s="34"/>
      <c r="G1495" s="34"/>
      <c r="H1495" s="34"/>
    </row>
    <row r="1496" spans="1:8" x14ac:dyDescent="0.3">
      <c r="A1496" t="s">
        <v>687</v>
      </c>
      <c r="B1496" s="3">
        <f t="shared" si="17"/>
        <v>44562</v>
      </c>
      <c r="C1496" s="2" t="str">
        <f>VLOOKUP(MONTH(Tabela1[[#This Row],[Periodo]]),NUMMESES,2,FALSE)</f>
        <v>Janeiro</v>
      </c>
      <c r="D1496" s="2">
        <f>YEAR(Tabela1[[#This Row],[Periodo]])</f>
        <v>2022</v>
      </c>
      <c r="E1496" s="33">
        <f>(INDEX(TBBP[],MATCH(8,planoContas,0)+1,MATCH(Tabela1[[#This Row],[Periodo]],listaPeriodos,0))/INDEX(TBBP[],MATCH("2.9",planoContas,0)+1,MATCH(Tabela1[[#This Row],[Periodo]],listaPeriodos,0)))</f>
        <v>1.3827199402663857E-2</v>
      </c>
      <c r="F1496" s="34"/>
      <c r="G1496" s="34"/>
      <c r="H1496" s="34"/>
    </row>
    <row r="1497" spans="1:8" x14ac:dyDescent="0.3">
      <c r="A1497" t="s">
        <v>687</v>
      </c>
      <c r="B1497" s="3">
        <f t="shared" si="17"/>
        <v>44593</v>
      </c>
      <c r="C1497" s="2" t="str">
        <f>VLOOKUP(MONTH(Tabela1[[#This Row],[Periodo]]),NUMMESES,2,FALSE)</f>
        <v>Fevereiro</v>
      </c>
      <c r="D1497" s="2">
        <f>YEAR(Tabela1[[#This Row],[Periodo]])</f>
        <v>2022</v>
      </c>
      <c r="E1497" s="33">
        <f>(INDEX(TBBP[],MATCH(8,planoContas,0)+1,MATCH(Tabela1[[#This Row],[Periodo]],listaPeriodos,0))/INDEX(TBBP[],MATCH("2.9",planoContas,0)+1,MATCH(Tabela1[[#This Row],[Periodo]],listaPeriodos,0)))</f>
        <v>2.0801567052119871E-2</v>
      </c>
      <c r="F1497" s="34"/>
      <c r="G1497" s="34"/>
      <c r="H1497" s="34"/>
    </row>
    <row r="1498" spans="1:8" x14ac:dyDescent="0.3">
      <c r="A1498" t="s">
        <v>687</v>
      </c>
      <c r="B1498" s="3">
        <f t="shared" si="17"/>
        <v>44621</v>
      </c>
      <c r="C1498" s="2" t="str">
        <f>VLOOKUP(MONTH(Tabela1[[#This Row],[Periodo]]),NUMMESES,2,FALSE)</f>
        <v>Março</v>
      </c>
      <c r="D1498" s="2">
        <f>YEAR(Tabela1[[#This Row],[Periodo]])</f>
        <v>2022</v>
      </c>
      <c r="E1498" s="33">
        <f>(INDEX(TBBP[],MATCH(8,planoContas,0)+1,MATCH(Tabela1[[#This Row],[Periodo]],listaPeriodos,0))/INDEX(TBBP[],MATCH("2.9",planoContas,0)+1,MATCH(Tabela1[[#This Row],[Periodo]],listaPeriodos,0)))</f>
        <v>3.0837366609901974E-2</v>
      </c>
      <c r="F1498" s="34"/>
      <c r="G1498" s="34"/>
      <c r="H1498" s="34"/>
    </row>
    <row r="1499" spans="1:8" x14ac:dyDescent="0.3">
      <c r="A1499" t="s">
        <v>687</v>
      </c>
      <c r="B1499" s="3">
        <f t="shared" si="17"/>
        <v>44652</v>
      </c>
      <c r="C1499" s="2" t="str">
        <f>VLOOKUP(MONTH(Tabela1[[#This Row],[Periodo]]),NUMMESES,2,FALSE)</f>
        <v>Abril</v>
      </c>
      <c r="D1499" s="2">
        <f>YEAR(Tabela1[[#This Row],[Periodo]])</f>
        <v>2022</v>
      </c>
      <c r="E1499" s="33">
        <f>(INDEX(TBBP[],MATCH(8,planoContas,0)+1,MATCH(Tabela1[[#This Row],[Periodo]],listaPeriodos,0))/INDEX(TBBP[],MATCH("2.9",planoContas,0)+1,MATCH(Tabela1[[#This Row],[Periodo]],listaPeriodos,0)))</f>
        <v>3.0977358249813465E-2</v>
      </c>
      <c r="F1499" s="34"/>
      <c r="G1499" s="34"/>
      <c r="H1499" s="34"/>
    </row>
    <row r="1500" spans="1:8" x14ac:dyDescent="0.3">
      <c r="A1500" t="s">
        <v>687</v>
      </c>
      <c r="B1500" s="3">
        <f t="shared" si="17"/>
        <v>44682</v>
      </c>
      <c r="C1500" s="2" t="str">
        <f>VLOOKUP(MONTH(Tabela1[[#This Row],[Periodo]]),NUMMESES,2,FALSE)</f>
        <v>Maio</v>
      </c>
      <c r="D1500" s="2">
        <f>YEAR(Tabela1[[#This Row],[Periodo]])</f>
        <v>2022</v>
      </c>
      <c r="E1500" s="33">
        <f>(INDEX(TBBP[],MATCH(8,planoContas,0)+1,MATCH(Tabela1[[#This Row],[Periodo]],listaPeriodos,0))/INDEX(TBBP[],MATCH("2.9",planoContas,0)+1,MATCH(Tabela1[[#This Row],[Periodo]],listaPeriodos,0)))</f>
        <v>2.629310916956407E-2</v>
      </c>
      <c r="F1500" s="34"/>
      <c r="G1500" s="34"/>
      <c r="H1500" s="34"/>
    </row>
    <row r="1501" spans="1:8" x14ac:dyDescent="0.3">
      <c r="A1501" t="s">
        <v>687</v>
      </c>
      <c r="B1501" s="3">
        <f t="shared" si="17"/>
        <v>44713</v>
      </c>
      <c r="C1501" s="2" t="str">
        <f>VLOOKUP(MONTH(Tabela1[[#This Row],[Periodo]]),NUMMESES,2,FALSE)</f>
        <v>Junho</v>
      </c>
      <c r="D1501" s="2">
        <f>YEAR(Tabela1[[#This Row],[Periodo]])</f>
        <v>2022</v>
      </c>
      <c r="E1501" s="33">
        <f>(INDEX(TBBP[],MATCH(8,planoContas,0)+1,MATCH(Tabela1[[#This Row],[Periodo]],listaPeriodos,0))/INDEX(TBBP[],MATCH("2.9",planoContas,0)+1,MATCH(Tabela1[[#This Row],[Periodo]],listaPeriodos,0)))</f>
        <v>2.3315996684803057E-2</v>
      </c>
      <c r="F1501" s="34"/>
      <c r="G1501" s="34"/>
      <c r="H1501" s="34"/>
    </row>
    <row r="1502" spans="1:8" x14ac:dyDescent="0.3">
      <c r="A1502" t="s">
        <v>687</v>
      </c>
      <c r="B1502" s="3">
        <f t="shared" si="17"/>
        <v>44743</v>
      </c>
      <c r="C1502" s="2" t="str">
        <f>VLOOKUP(MONTH(Tabela1[[#This Row],[Periodo]]),NUMMESES,2,FALSE)</f>
        <v>Julho</v>
      </c>
      <c r="D1502" s="2">
        <f>YEAR(Tabela1[[#This Row],[Periodo]])</f>
        <v>2022</v>
      </c>
      <c r="E1502" s="33">
        <f>(INDEX(TBBP[],MATCH(8,planoContas,0)+1,MATCH(Tabela1[[#This Row],[Periodo]],listaPeriodos,0))/INDEX(TBBP[],MATCH("2.9",planoContas,0)+1,MATCH(Tabela1[[#This Row],[Periodo]],listaPeriodos,0)))</f>
        <v>2.8588913223973136E-2</v>
      </c>
      <c r="F1502" s="34"/>
      <c r="G1502" s="34"/>
      <c r="H1502" s="34"/>
    </row>
    <row r="1503" spans="1:8" x14ac:dyDescent="0.3">
      <c r="A1503" t="s">
        <v>687</v>
      </c>
      <c r="B1503" s="3">
        <f t="shared" si="17"/>
        <v>44774</v>
      </c>
      <c r="C1503" s="2" t="str">
        <f>VLOOKUP(MONTH(Tabela1[[#This Row],[Periodo]]),NUMMESES,2,FALSE)</f>
        <v>Agosto</v>
      </c>
      <c r="D1503" s="2">
        <f>YEAR(Tabela1[[#This Row],[Periodo]])</f>
        <v>2022</v>
      </c>
      <c r="E1503" s="33">
        <f>(INDEX(TBBP[],MATCH(8,planoContas,0)+1,MATCH(Tabela1[[#This Row],[Periodo]],listaPeriodos,0))/INDEX(TBBP[],MATCH("2.9",planoContas,0)+1,MATCH(Tabela1[[#This Row],[Periodo]],listaPeriodos,0)))</f>
        <v>2.2970480623713329E-2</v>
      </c>
      <c r="F1503" s="34"/>
      <c r="G1503" s="34"/>
      <c r="H1503" s="34"/>
    </row>
    <row r="1504" spans="1:8" x14ac:dyDescent="0.3">
      <c r="A1504" t="s">
        <v>687</v>
      </c>
      <c r="B1504" s="3">
        <f t="shared" si="17"/>
        <v>44805</v>
      </c>
      <c r="C1504" s="2" t="str">
        <f>VLOOKUP(MONTH(Tabela1[[#This Row],[Periodo]]),NUMMESES,2,FALSE)</f>
        <v>Setembro</v>
      </c>
      <c r="D1504" s="2">
        <f>YEAR(Tabela1[[#This Row],[Periodo]])</f>
        <v>2022</v>
      </c>
      <c r="E1504" s="33">
        <f>(INDEX(TBBP[],MATCH(8,planoContas,0)+1,MATCH(Tabela1[[#This Row],[Periodo]],listaPeriodos,0))/INDEX(TBBP[],MATCH("2.9",planoContas,0)+1,MATCH(Tabela1[[#This Row],[Periodo]],listaPeriodos,0)))</f>
        <v>2.2444725222207498E-2</v>
      </c>
      <c r="F1504" s="34"/>
      <c r="G1504" s="34"/>
      <c r="H1504" s="34"/>
    </row>
    <row r="1505" spans="1:8" x14ac:dyDescent="0.3">
      <c r="A1505" t="s">
        <v>687</v>
      </c>
      <c r="B1505" s="3">
        <f t="shared" si="17"/>
        <v>44835</v>
      </c>
      <c r="C1505" s="2" t="str">
        <f>VLOOKUP(MONTH(Tabela1[[#This Row],[Periodo]]),NUMMESES,2,FALSE)</f>
        <v>Outubro</v>
      </c>
      <c r="D1505" s="2">
        <f>YEAR(Tabela1[[#This Row],[Periodo]])</f>
        <v>2022</v>
      </c>
      <c r="E1505" s="33">
        <f>(INDEX(TBBP[],MATCH(8,planoContas,0)+1,MATCH(Tabela1[[#This Row],[Periodo]],listaPeriodos,0))/INDEX(TBBP[],MATCH("2.9",planoContas,0)+1,MATCH(Tabela1[[#This Row],[Periodo]],listaPeriodos,0)))</f>
        <v>6.8214858761131703E-3</v>
      </c>
      <c r="F1505" s="34"/>
      <c r="G1505" s="34"/>
      <c r="H1505" s="34"/>
    </row>
    <row r="1506" spans="1:8" x14ac:dyDescent="0.3">
      <c r="A1506" t="s">
        <v>687</v>
      </c>
      <c r="B1506" s="3">
        <f t="shared" si="17"/>
        <v>44866</v>
      </c>
      <c r="C1506" s="2" t="str">
        <f>VLOOKUP(MONTH(Tabela1[[#This Row],[Periodo]]),NUMMESES,2,FALSE)</f>
        <v>Novembro</v>
      </c>
      <c r="D1506" s="2">
        <f>YEAR(Tabela1[[#This Row],[Periodo]])</f>
        <v>2022</v>
      </c>
      <c r="E1506" s="33">
        <f>(INDEX(TBBP[],MATCH(8,planoContas,0)+1,MATCH(Tabela1[[#This Row],[Periodo]],listaPeriodos,0))/INDEX(TBBP[],MATCH("2.9",planoContas,0)+1,MATCH(Tabela1[[#This Row],[Periodo]],listaPeriodos,0)))</f>
        <v>2.3538707210370009E-2</v>
      </c>
      <c r="F1506" s="34"/>
      <c r="G1506" s="34"/>
      <c r="H1506" s="34"/>
    </row>
    <row r="1507" spans="1:8" x14ac:dyDescent="0.3">
      <c r="A1507" t="s">
        <v>687</v>
      </c>
      <c r="B1507" s="3">
        <f t="shared" si="17"/>
        <v>44896</v>
      </c>
      <c r="C1507" s="2" t="str">
        <f>VLOOKUP(MONTH(Tabela1[[#This Row],[Periodo]]),NUMMESES,2,FALSE)</f>
        <v>Dezembro</v>
      </c>
      <c r="D1507" s="2">
        <f>YEAR(Tabela1[[#This Row],[Periodo]])</f>
        <v>2022</v>
      </c>
      <c r="E1507" s="33">
        <f>(INDEX(TBBP[],MATCH(8,planoContas,0)+1,MATCH(Tabela1[[#This Row],[Periodo]],listaPeriodos,0))/INDEX(TBBP[],MATCH("2.9",planoContas,0)+1,MATCH(Tabela1[[#This Row],[Periodo]],listaPeriodos,0)))</f>
        <v>2.4851164742210221E-3</v>
      </c>
      <c r="F1507" s="34"/>
      <c r="G1507" s="34"/>
      <c r="H1507" s="34"/>
    </row>
    <row r="1508" spans="1:8" x14ac:dyDescent="0.3">
      <c r="A1508" t="s">
        <v>687</v>
      </c>
      <c r="B1508" s="3">
        <f t="shared" si="17"/>
        <v>44927</v>
      </c>
      <c r="C1508" s="2" t="str">
        <f>VLOOKUP(MONTH(Tabela1[[#This Row],[Periodo]]),NUMMESES,2,FALSE)</f>
        <v>Janeiro</v>
      </c>
      <c r="D1508" s="2">
        <f>YEAR(Tabela1[[#This Row],[Periodo]])</f>
        <v>2023</v>
      </c>
      <c r="E1508" s="33">
        <f>(INDEX(TBBP[],MATCH(8,planoContas,0)+1,MATCH(Tabela1[[#This Row],[Periodo]],listaPeriodos,0))/INDEX(TBBP[],MATCH("2.9",planoContas,0)+1,MATCH(Tabela1[[#This Row],[Periodo]],listaPeriodos,0)))</f>
        <v>7.9144018265393853E-3</v>
      </c>
      <c r="F1508" s="34"/>
      <c r="G1508" s="34"/>
      <c r="H1508" s="34"/>
    </row>
    <row r="1509" spans="1:8" x14ac:dyDescent="0.3">
      <c r="A1509" t="s">
        <v>687</v>
      </c>
      <c r="B1509" s="3">
        <f t="shared" si="17"/>
        <v>44958</v>
      </c>
      <c r="C1509" s="2" t="str">
        <f>VLOOKUP(MONTH(Tabela1[[#This Row],[Periodo]]),NUMMESES,2,FALSE)</f>
        <v>Fevereiro</v>
      </c>
      <c r="D1509" s="2">
        <f>YEAR(Tabela1[[#This Row],[Periodo]])</f>
        <v>2023</v>
      </c>
      <c r="E1509" s="33">
        <f>(INDEX(TBBP[],MATCH(8,planoContas,0)+1,MATCH(Tabela1[[#This Row],[Periodo]],listaPeriodos,0))/INDEX(TBBP[],MATCH("2.9",planoContas,0)+1,MATCH(Tabela1[[#This Row],[Periodo]],listaPeriodos,0)))</f>
        <v>2.5744677524003512E-3</v>
      </c>
      <c r="F1509" s="34"/>
      <c r="G1509" s="34"/>
      <c r="H1509" s="34"/>
    </row>
    <row r="1510" spans="1:8" x14ac:dyDescent="0.3">
      <c r="A1510" t="s">
        <v>687</v>
      </c>
      <c r="B1510" s="3">
        <f t="shared" si="17"/>
        <v>44986</v>
      </c>
      <c r="C1510" s="2" t="str">
        <f>VLOOKUP(MONTH(Tabela1[[#This Row],[Periodo]]),NUMMESES,2,FALSE)</f>
        <v>Março</v>
      </c>
      <c r="D1510" s="2">
        <f>YEAR(Tabela1[[#This Row],[Periodo]])</f>
        <v>2023</v>
      </c>
      <c r="E1510" s="33">
        <f>(INDEX(TBBP[],MATCH(8,planoContas,0)+1,MATCH(Tabela1[[#This Row],[Periodo]],listaPeriodos,0))/INDEX(TBBP[],MATCH("2.9",planoContas,0)+1,MATCH(Tabela1[[#This Row],[Periodo]],listaPeriodos,0)))</f>
        <v>1.0783721391927965E-2</v>
      </c>
      <c r="F1510" s="34"/>
      <c r="G1510" s="34"/>
      <c r="H1510" s="34"/>
    </row>
    <row r="1511" spans="1:8" x14ac:dyDescent="0.3">
      <c r="A1511" t="s">
        <v>687</v>
      </c>
      <c r="B1511" s="3">
        <f t="shared" si="17"/>
        <v>45017</v>
      </c>
      <c r="C1511" s="2" t="str">
        <f>VLOOKUP(MONTH(Tabela1[[#This Row],[Periodo]]),NUMMESES,2,FALSE)</f>
        <v>Abril</v>
      </c>
      <c r="D1511" s="2">
        <f>YEAR(Tabela1[[#This Row],[Periodo]])</f>
        <v>2023</v>
      </c>
      <c r="E1511" s="33">
        <f>(INDEX(TBBP[],MATCH(8,planoContas,0)+1,MATCH(Tabela1[[#This Row],[Periodo]],listaPeriodos,0))/INDEX(TBBP[],MATCH("2.9",planoContas,0)+1,MATCH(Tabela1[[#This Row],[Periodo]],listaPeriodos,0)))</f>
        <v>1.384526073097667E-2</v>
      </c>
      <c r="F1511" s="34"/>
      <c r="G1511" s="34"/>
      <c r="H1511" s="34"/>
    </row>
    <row r="1512" spans="1:8" x14ac:dyDescent="0.3">
      <c r="A1512" t="s">
        <v>687</v>
      </c>
      <c r="B1512" s="3">
        <f t="shared" si="17"/>
        <v>45047</v>
      </c>
      <c r="C1512" s="2" t="str">
        <f>VLOOKUP(MONTH(Tabela1[[#This Row],[Periodo]]),NUMMESES,2,FALSE)</f>
        <v>Maio</v>
      </c>
      <c r="D1512" s="2">
        <f>YEAR(Tabela1[[#This Row],[Periodo]])</f>
        <v>2023</v>
      </c>
      <c r="E1512" s="33">
        <f>(INDEX(TBBP[],MATCH(8,planoContas,0)+1,MATCH(Tabela1[[#This Row],[Periodo]],listaPeriodos,0))/INDEX(TBBP[],MATCH("2.9",planoContas,0)+1,MATCH(Tabela1[[#This Row],[Periodo]],listaPeriodos,0)))</f>
        <v>2.6894393652745544E-2</v>
      </c>
      <c r="F1512" s="34"/>
      <c r="G1512" s="34"/>
      <c r="H1512" s="34"/>
    </row>
    <row r="1513" spans="1:8" x14ac:dyDescent="0.3">
      <c r="A1513" t="s">
        <v>687</v>
      </c>
      <c r="B1513" s="3">
        <f t="shared" si="17"/>
        <v>45078</v>
      </c>
      <c r="C1513" s="2" t="str">
        <f>VLOOKUP(MONTH(Tabela1[[#This Row],[Periodo]]),NUMMESES,2,FALSE)</f>
        <v>Junho</v>
      </c>
      <c r="D1513" s="2">
        <f>YEAR(Tabela1[[#This Row],[Periodo]])</f>
        <v>2023</v>
      </c>
      <c r="E1513" s="33">
        <f>(INDEX(TBBP[],MATCH(8,planoContas,0)+1,MATCH(Tabela1[[#This Row],[Periodo]],listaPeriodos,0))/INDEX(TBBP[],MATCH("2.9",planoContas,0)+1,MATCH(Tabela1[[#This Row],[Periodo]],listaPeriodos,0)))</f>
        <v>2.0935158350123505E-2</v>
      </c>
      <c r="F1513" s="34"/>
      <c r="G1513" s="34"/>
      <c r="H1513" s="34"/>
    </row>
    <row r="1514" spans="1:8" x14ac:dyDescent="0.3">
      <c r="A1514" t="s">
        <v>687</v>
      </c>
      <c r="B1514" s="3">
        <f t="shared" si="17"/>
        <v>45108</v>
      </c>
      <c r="C1514" s="2" t="str">
        <f>VLOOKUP(MONTH(Tabela1[[#This Row],[Periodo]]),NUMMESES,2,FALSE)</f>
        <v>Julho</v>
      </c>
      <c r="D1514" s="2">
        <f>YEAR(Tabela1[[#This Row],[Periodo]])</f>
        <v>2023</v>
      </c>
      <c r="E1514" s="33">
        <f>(INDEX(TBBP[],MATCH(8,planoContas,0)+1,MATCH(Tabela1[[#This Row],[Periodo]],listaPeriodos,0))/INDEX(TBBP[],MATCH("2.9",planoContas,0)+1,MATCH(Tabela1[[#This Row],[Periodo]],listaPeriodos,0)))</f>
        <v>5.8194128712698552E-3</v>
      </c>
      <c r="F1514" s="34"/>
      <c r="G1514" s="34"/>
      <c r="H1514" s="34"/>
    </row>
    <row r="1515" spans="1:8" x14ac:dyDescent="0.3">
      <c r="A1515" t="s">
        <v>687</v>
      </c>
      <c r="B1515" s="3">
        <f t="shared" si="17"/>
        <v>45139</v>
      </c>
      <c r="C1515" s="2" t="str">
        <f>VLOOKUP(MONTH(Tabela1[[#This Row],[Periodo]]),NUMMESES,2,FALSE)</f>
        <v>Agosto</v>
      </c>
      <c r="D1515" s="2">
        <f>YEAR(Tabela1[[#This Row],[Periodo]])</f>
        <v>2023</v>
      </c>
      <c r="E1515" s="33">
        <f>(INDEX(TBBP[],MATCH(8,planoContas,0)+1,MATCH(Tabela1[[#This Row],[Periodo]],listaPeriodos,0))/INDEX(TBBP[],MATCH("2.9",planoContas,0)+1,MATCH(Tabela1[[#This Row],[Periodo]],listaPeriodos,0)))</f>
        <v>1.4621032621749196E-2</v>
      </c>
      <c r="F1515" s="34"/>
      <c r="G1515" s="34"/>
      <c r="H1515" s="34"/>
    </row>
    <row r="1516" spans="1:8" x14ac:dyDescent="0.3">
      <c r="A1516" t="s">
        <v>687</v>
      </c>
      <c r="B1516" s="3">
        <f t="shared" si="17"/>
        <v>45170</v>
      </c>
      <c r="C1516" s="2" t="str">
        <f>VLOOKUP(MONTH(Tabela1[[#This Row],[Periodo]]),NUMMESES,2,FALSE)</f>
        <v>Setembro</v>
      </c>
      <c r="D1516" s="2">
        <f>YEAR(Tabela1[[#This Row],[Periodo]])</f>
        <v>2023</v>
      </c>
      <c r="E1516" s="33">
        <f>(INDEX(TBBP[],MATCH(8,planoContas,0)+1,MATCH(Tabela1[[#This Row],[Periodo]],listaPeriodos,0))/INDEX(TBBP[],MATCH("2.9",planoContas,0)+1,MATCH(Tabela1[[#This Row],[Periodo]],listaPeriodos,0)))</f>
        <v>8.1505174102879403E-3</v>
      </c>
      <c r="F1516" s="34"/>
      <c r="G1516" s="34"/>
      <c r="H1516" s="34"/>
    </row>
    <row r="1517" spans="1:8" x14ac:dyDescent="0.3">
      <c r="A1517" t="s">
        <v>687</v>
      </c>
      <c r="B1517" s="3">
        <f t="shared" si="17"/>
        <v>45200</v>
      </c>
      <c r="C1517" s="2" t="str">
        <f>VLOOKUP(MONTH(Tabela1[[#This Row],[Periodo]]),NUMMESES,2,FALSE)</f>
        <v>Outubro</v>
      </c>
      <c r="D1517" s="2">
        <f>YEAR(Tabela1[[#This Row],[Periodo]])</f>
        <v>2023</v>
      </c>
      <c r="E1517" s="33">
        <f>(INDEX(TBBP[],MATCH(8,planoContas,0)+1,MATCH(Tabela1[[#This Row],[Periodo]],listaPeriodos,0))/INDEX(TBBP[],MATCH("2.9",planoContas,0)+1,MATCH(Tabela1[[#This Row],[Periodo]],listaPeriodos,0)))</f>
        <v>1.920490642798172E-2</v>
      </c>
      <c r="F1517" s="34"/>
      <c r="G1517" s="34"/>
      <c r="H1517" s="34"/>
    </row>
    <row r="1518" spans="1:8" x14ac:dyDescent="0.3">
      <c r="A1518" t="s">
        <v>687</v>
      </c>
      <c r="B1518" s="3">
        <f t="shared" si="17"/>
        <v>45231</v>
      </c>
      <c r="C1518" s="2" t="str">
        <f>VLOOKUP(MONTH(Tabela1[[#This Row],[Periodo]]),NUMMESES,2,FALSE)</f>
        <v>Novembro</v>
      </c>
      <c r="D1518" s="2">
        <f>YEAR(Tabela1[[#This Row],[Periodo]])</f>
        <v>2023</v>
      </c>
      <c r="E1518" s="33">
        <f>(INDEX(TBBP[],MATCH(8,planoContas,0)+1,MATCH(Tabela1[[#This Row],[Periodo]],listaPeriodos,0))/INDEX(TBBP[],MATCH("2.9",planoContas,0)+1,MATCH(Tabela1[[#This Row],[Periodo]],listaPeriodos,0)))</f>
        <v>4.9579359712637622E-3</v>
      </c>
      <c r="F1518" s="34"/>
      <c r="G1518" s="34"/>
      <c r="H1518" s="34"/>
    </row>
    <row r="1519" spans="1:8" x14ac:dyDescent="0.3">
      <c r="A1519" t="s">
        <v>687</v>
      </c>
      <c r="B1519" s="3">
        <f t="shared" si="17"/>
        <v>45261</v>
      </c>
      <c r="C1519" s="2" t="str">
        <f>VLOOKUP(MONTH(Tabela1[[#This Row],[Periodo]]),NUMMESES,2,FALSE)</f>
        <v>Dezembro</v>
      </c>
      <c r="D1519" s="2">
        <f>YEAR(Tabela1[[#This Row],[Periodo]])</f>
        <v>2023</v>
      </c>
      <c r="E1519" s="33">
        <f>(INDEX(TBBP[],MATCH(8,planoContas,0)+1,MATCH(Tabela1[[#This Row],[Periodo]],listaPeriodos,0))/INDEX(TBBP[],MATCH("2.9",planoContas,0)+1,MATCH(Tabela1[[#This Row],[Periodo]],listaPeriodos,0)))</f>
        <v>1.99794405778548E-2</v>
      </c>
      <c r="F1519" s="34"/>
      <c r="G1519" s="34"/>
      <c r="H1519" s="34"/>
    </row>
    <row r="1520" spans="1:8" x14ac:dyDescent="0.3">
      <c r="A1520" t="s">
        <v>687</v>
      </c>
      <c r="B1520" s="3">
        <f t="shared" si="17"/>
        <v>45292</v>
      </c>
      <c r="C1520" s="2" t="str">
        <f>VLOOKUP(MONTH(Tabela1[[#This Row],[Periodo]]),NUMMESES,2,FALSE)</f>
        <v>Janeiro</v>
      </c>
      <c r="D1520" s="2">
        <f>YEAR(Tabela1[[#This Row],[Periodo]])</f>
        <v>2024</v>
      </c>
      <c r="E1520" s="33">
        <f>(INDEX(TBBP[],MATCH(8,planoContas,0)+1,MATCH(Tabela1[[#This Row],[Periodo]],listaPeriodos,0))/INDEX(TBBP[],MATCH("2.9",planoContas,0)+1,MATCH(Tabela1[[#This Row],[Periodo]],listaPeriodos,0)))</f>
        <v>8.6697137050989054E-3</v>
      </c>
      <c r="F1520" s="34"/>
      <c r="G1520" s="34"/>
      <c r="H1520" s="34"/>
    </row>
    <row r="1521" spans="1:8" x14ac:dyDescent="0.3">
      <c r="A1521" t="s">
        <v>687</v>
      </c>
      <c r="B1521" s="3">
        <f t="shared" si="17"/>
        <v>45323</v>
      </c>
      <c r="C1521" s="2" t="str">
        <f>VLOOKUP(MONTH(Tabela1[[#This Row],[Periodo]]),NUMMESES,2,FALSE)</f>
        <v>Fevereiro</v>
      </c>
      <c r="D1521" s="2">
        <f>YEAR(Tabela1[[#This Row],[Periodo]])</f>
        <v>2024</v>
      </c>
      <c r="E1521" s="33">
        <f>(INDEX(TBBP[],MATCH(8,planoContas,0)+1,MATCH(Tabela1[[#This Row],[Periodo]],listaPeriodos,0))/INDEX(TBBP[],MATCH("2.9",planoContas,0)+1,MATCH(Tabela1[[#This Row],[Periodo]],listaPeriodos,0)))</f>
        <v>1.6071414985939978E-2</v>
      </c>
      <c r="F1521" s="34"/>
      <c r="G1521" s="34"/>
      <c r="H1521" s="34"/>
    </row>
    <row r="1522" spans="1:8" x14ac:dyDescent="0.3">
      <c r="A1522" t="s">
        <v>687</v>
      </c>
      <c r="B1522" s="3">
        <f t="shared" si="17"/>
        <v>45352</v>
      </c>
      <c r="C1522" s="2" t="str">
        <f>VLOOKUP(MONTH(Tabela1[[#This Row],[Periodo]]),NUMMESES,2,FALSE)</f>
        <v>Março</v>
      </c>
      <c r="D1522" s="2">
        <f>YEAR(Tabela1[[#This Row],[Periodo]])</f>
        <v>2024</v>
      </c>
      <c r="E1522" s="33">
        <f>(INDEX(TBBP[],MATCH(8,planoContas,0)+1,MATCH(Tabela1[[#This Row],[Periodo]],listaPeriodos,0))/INDEX(TBBP[],MATCH("2.9",planoContas,0)+1,MATCH(Tabela1[[#This Row],[Periodo]],listaPeriodos,0)))</f>
        <v>6.7876448403427613E-3</v>
      </c>
      <c r="F1522" s="34"/>
      <c r="G1522" s="34"/>
      <c r="H1522" s="34"/>
    </row>
    <row r="1523" spans="1:8" x14ac:dyDescent="0.3">
      <c r="A1523" t="s">
        <v>687</v>
      </c>
      <c r="B1523" s="3">
        <f t="shared" si="17"/>
        <v>45383</v>
      </c>
      <c r="C1523" s="2" t="str">
        <f>VLOOKUP(MONTH(Tabela1[[#This Row],[Periodo]]),NUMMESES,2,FALSE)</f>
        <v>Abril</v>
      </c>
      <c r="D1523" s="2">
        <f>YEAR(Tabela1[[#This Row],[Periodo]])</f>
        <v>2024</v>
      </c>
      <c r="E1523" s="33">
        <f>(INDEX(TBBP[],MATCH(8,planoContas,0)+1,MATCH(Tabela1[[#This Row],[Periodo]],listaPeriodos,0))/INDEX(TBBP[],MATCH("2.9",planoContas,0)+1,MATCH(Tabela1[[#This Row],[Periodo]],listaPeriodos,0)))</f>
        <v>2.5444609115995349E-2</v>
      </c>
      <c r="F1523" s="34"/>
      <c r="G1523" s="34"/>
      <c r="H1523" s="34"/>
    </row>
    <row r="1524" spans="1:8" x14ac:dyDescent="0.3">
      <c r="A1524" t="s">
        <v>687</v>
      </c>
      <c r="B1524" s="3">
        <f t="shared" si="17"/>
        <v>45413</v>
      </c>
      <c r="C1524" s="2" t="str">
        <f>VLOOKUP(MONTH(Tabela1[[#This Row],[Periodo]]),NUMMESES,2,FALSE)</f>
        <v>Maio</v>
      </c>
      <c r="D1524" s="2">
        <f>YEAR(Tabela1[[#This Row],[Periodo]])</f>
        <v>2024</v>
      </c>
      <c r="E1524" s="33">
        <f>(INDEX(TBBP[],MATCH(8,planoContas,0)+1,MATCH(Tabela1[[#This Row],[Periodo]],listaPeriodos,0))/INDEX(TBBP[],MATCH("2.9",planoContas,0)+1,MATCH(Tabela1[[#This Row],[Periodo]],listaPeriodos,0)))</f>
        <v>5.525984449264232E-3</v>
      </c>
      <c r="F1524" s="34"/>
      <c r="G1524" s="34"/>
      <c r="H1524" s="34"/>
    </row>
    <row r="1525" spans="1:8" x14ac:dyDescent="0.3">
      <c r="A1525" t="s">
        <v>687</v>
      </c>
      <c r="B1525" s="3">
        <f t="shared" si="17"/>
        <v>45444</v>
      </c>
      <c r="C1525" s="2" t="str">
        <f>VLOOKUP(MONTH(Tabela1[[#This Row],[Periodo]]),NUMMESES,2,FALSE)</f>
        <v>Junho</v>
      </c>
      <c r="D1525" s="2">
        <f>YEAR(Tabela1[[#This Row],[Periodo]])</f>
        <v>2024</v>
      </c>
      <c r="E1525" s="33">
        <f>(INDEX(TBBP[],MATCH(8,planoContas,0)+1,MATCH(Tabela1[[#This Row],[Periodo]],listaPeriodos,0))/INDEX(TBBP[],MATCH("2.9",planoContas,0)+1,MATCH(Tabela1[[#This Row],[Periodo]],listaPeriodos,0)))</f>
        <v>1.4463476790134619E-2</v>
      </c>
      <c r="F1525" s="34"/>
      <c r="G1525" s="34"/>
      <c r="H1525" s="34"/>
    </row>
    <row r="1526" spans="1:8" x14ac:dyDescent="0.3">
      <c r="A1526" t="s">
        <v>687</v>
      </c>
      <c r="B1526" s="3">
        <f t="shared" si="17"/>
        <v>45474</v>
      </c>
      <c r="C1526" s="2" t="str">
        <f>VLOOKUP(MONTH(Tabela1[[#This Row],[Periodo]]),NUMMESES,2,FALSE)</f>
        <v>Julho</v>
      </c>
      <c r="D1526" s="2">
        <f>YEAR(Tabela1[[#This Row],[Periodo]])</f>
        <v>2024</v>
      </c>
      <c r="E1526" s="33">
        <f>(INDEX(TBBP[],MATCH(8,planoContas,0)+1,MATCH(Tabela1[[#This Row],[Periodo]],listaPeriodos,0))/INDEX(TBBP[],MATCH("2.9",planoContas,0)+1,MATCH(Tabela1[[#This Row],[Periodo]],listaPeriodos,0)))</f>
        <v>1.4884973160935339E-2</v>
      </c>
      <c r="F1526" s="34"/>
      <c r="G1526" s="34"/>
      <c r="H1526" s="34"/>
    </row>
    <row r="1527" spans="1:8" x14ac:dyDescent="0.3">
      <c r="A1527" t="s">
        <v>687</v>
      </c>
      <c r="B1527" s="3">
        <f t="shared" si="17"/>
        <v>45505</v>
      </c>
      <c r="C1527" s="2" t="str">
        <f>VLOOKUP(MONTH(Tabela1[[#This Row],[Periodo]]),NUMMESES,2,FALSE)</f>
        <v>Agosto</v>
      </c>
      <c r="D1527" s="2">
        <f>YEAR(Tabela1[[#This Row],[Periodo]])</f>
        <v>2024</v>
      </c>
      <c r="E1527" s="33">
        <f>(INDEX(TBBP[],MATCH(8,planoContas,0)+1,MATCH(Tabela1[[#This Row],[Periodo]],listaPeriodos,0))/INDEX(TBBP[],MATCH("2.9",planoContas,0)+1,MATCH(Tabela1[[#This Row],[Periodo]],listaPeriodos,0)))</f>
        <v>6.4536595521559265E-3</v>
      </c>
      <c r="F1527" s="34"/>
      <c r="G1527" s="34"/>
      <c r="H1527" s="34"/>
    </row>
    <row r="1528" spans="1:8" x14ac:dyDescent="0.3">
      <c r="A1528" t="s">
        <v>687</v>
      </c>
      <c r="B1528" s="3">
        <f t="shared" si="17"/>
        <v>45536</v>
      </c>
      <c r="C1528" s="2" t="str">
        <f>VLOOKUP(MONTH(Tabela1[[#This Row],[Periodo]]),NUMMESES,2,FALSE)</f>
        <v>Setembro</v>
      </c>
      <c r="D1528" s="2">
        <f>YEAR(Tabela1[[#This Row],[Periodo]])</f>
        <v>2024</v>
      </c>
      <c r="E1528" s="33">
        <f>(INDEX(TBBP[],MATCH(8,planoContas,0)+1,MATCH(Tabela1[[#This Row],[Periodo]],listaPeriodos,0))/INDEX(TBBP[],MATCH("2.9",planoContas,0)+1,MATCH(Tabela1[[#This Row],[Periodo]],listaPeriodos,0)))</f>
        <v>1.5657210241693018E-2</v>
      </c>
      <c r="F1528" s="34"/>
      <c r="G1528" s="34"/>
      <c r="H1528" s="34"/>
    </row>
    <row r="1529" spans="1:8" x14ac:dyDescent="0.3">
      <c r="A1529" t="s">
        <v>687</v>
      </c>
      <c r="B1529" s="3">
        <f t="shared" si="17"/>
        <v>45566</v>
      </c>
      <c r="C1529" s="2" t="str">
        <f>VLOOKUP(MONTH(Tabela1[[#This Row],[Periodo]]),NUMMESES,2,FALSE)</f>
        <v>Outubro</v>
      </c>
      <c r="D1529" s="2">
        <f>YEAR(Tabela1[[#This Row],[Periodo]])</f>
        <v>2024</v>
      </c>
      <c r="E1529" s="33">
        <f>(INDEX(TBBP[],MATCH(8,planoContas,0)+1,MATCH(Tabela1[[#This Row],[Periodo]],listaPeriodos,0))/INDEX(TBBP[],MATCH("2.9",planoContas,0)+1,MATCH(Tabela1[[#This Row],[Periodo]],listaPeriodos,0)))</f>
        <v>3.730151232607325E-3</v>
      </c>
      <c r="F1529" s="34"/>
      <c r="G1529" s="34"/>
      <c r="H1529" s="34"/>
    </row>
    <row r="1530" spans="1:8" x14ac:dyDescent="0.3">
      <c r="A1530" t="s">
        <v>687</v>
      </c>
      <c r="B1530" s="3">
        <f t="shared" si="17"/>
        <v>45597</v>
      </c>
      <c r="C1530" s="2" t="str">
        <f>VLOOKUP(MONTH(Tabela1[[#This Row],[Periodo]]),NUMMESES,2,FALSE)</f>
        <v>Novembro</v>
      </c>
      <c r="D1530" s="2">
        <f>YEAR(Tabela1[[#This Row],[Periodo]])</f>
        <v>2024</v>
      </c>
      <c r="E1530" s="33">
        <f>(INDEX(TBBP[],MATCH(8,planoContas,0)+1,MATCH(Tabela1[[#This Row],[Periodo]],listaPeriodos,0))/INDEX(TBBP[],MATCH("2.9",planoContas,0)+1,MATCH(Tabela1[[#This Row],[Periodo]],listaPeriodos,0)))</f>
        <v>-6.1011730609131006E-3</v>
      </c>
      <c r="F1530" s="34"/>
      <c r="G1530" s="34"/>
      <c r="H1530" s="34"/>
    </row>
    <row r="1531" spans="1:8" x14ac:dyDescent="0.3">
      <c r="A1531" t="s">
        <v>687</v>
      </c>
      <c r="B1531" s="3">
        <f t="shared" si="17"/>
        <v>45627</v>
      </c>
      <c r="C1531" s="2" t="str">
        <f>VLOOKUP(MONTH(Tabela1[[#This Row],[Periodo]]),NUMMESES,2,FALSE)</f>
        <v>Dezembro</v>
      </c>
      <c r="D1531" s="2">
        <f>YEAR(Tabela1[[#This Row],[Periodo]])</f>
        <v>2024</v>
      </c>
      <c r="E1531" s="33">
        <f>(INDEX(TBBP[],MATCH(8,planoContas,0)+1,MATCH(Tabela1[[#This Row],[Periodo]],listaPeriodos,0))/INDEX(TBBP[],MATCH("2.9",planoContas,0)+1,MATCH(Tabela1[[#This Row],[Periodo]],listaPeriodos,0)))</f>
        <v>1.9857093636057668E-2</v>
      </c>
      <c r="F1531" s="34"/>
      <c r="G1531" s="34"/>
      <c r="H1531" s="34"/>
    </row>
    <row r="1532" spans="1:8" x14ac:dyDescent="0.3">
      <c r="A1532" t="s">
        <v>687</v>
      </c>
      <c r="B1532" s="3">
        <f t="shared" si="17"/>
        <v>45658</v>
      </c>
      <c r="C1532" s="2" t="str">
        <f>VLOOKUP(MONTH(Tabela1[[#This Row],[Periodo]]),NUMMESES,2,FALSE)</f>
        <v>Janeiro</v>
      </c>
      <c r="D1532" s="2">
        <f>YEAR(Tabela1[[#This Row],[Periodo]])</f>
        <v>2025</v>
      </c>
      <c r="E1532" s="33">
        <f>(INDEX(TBBP[],MATCH(8,planoContas,0)+1,MATCH(Tabela1[[#This Row],[Periodo]],listaPeriodos,0))/INDEX(TBBP[],MATCH("2.9",planoContas,0)+1,MATCH(Tabela1[[#This Row],[Periodo]],listaPeriodos,0)))</f>
        <v>1.4077134840869756E-2</v>
      </c>
      <c r="F1532" s="34"/>
      <c r="G1532" s="34"/>
      <c r="H1532" s="34"/>
    </row>
    <row r="1533" spans="1:8" x14ac:dyDescent="0.3">
      <c r="A1533" t="s">
        <v>687</v>
      </c>
      <c r="B1533" s="3">
        <f t="shared" si="17"/>
        <v>45689</v>
      </c>
      <c r="C1533" s="2" t="str">
        <f>VLOOKUP(MONTH(Tabela1[[#This Row],[Periodo]]),NUMMESES,2,FALSE)</f>
        <v>Fevereiro</v>
      </c>
      <c r="D1533" s="2">
        <f>YEAR(Tabela1[[#This Row],[Periodo]])</f>
        <v>2025</v>
      </c>
      <c r="E1533" s="33">
        <f>(INDEX(TBBP[],MATCH(8,planoContas,0)+1,MATCH(Tabela1[[#This Row],[Periodo]],listaPeriodos,0))/INDEX(TBBP[],MATCH("2.9",planoContas,0)+1,MATCH(Tabela1[[#This Row],[Periodo]],listaPeriodos,0)))</f>
        <v>9.358386769769373E-3</v>
      </c>
      <c r="F1533" s="34"/>
      <c r="G1533" s="34"/>
      <c r="H1533" s="34"/>
    </row>
    <row r="1534" spans="1:8" x14ac:dyDescent="0.3">
      <c r="A1534" t="s">
        <v>687</v>
      </c>
      <c r="B1534" s="3">
        <f t="shared" si="17"/>
        <v>45717</v>
      </c>
      <c r="C1534" s="2" t="str">
        <f>VLOOKUP(MONTH(Tabela1[[#This Row],[Periodo]]),NUMMESES,2,FALSE)</f>
        <v>Março</v>
      </c>
      <c r="D1534" s="2">
        <f>YEAR(Tabela1[[#This Row],[Periodo]])</f>
        <v>2025</v>
      </c>
      <c r="E1534" s="33">
        <f>(INDEX(TBBP[],MATCH(8,planoContas,0)+1,MATCH(Tabela1[[#This Row],[Periodo]],listaPeriodos,0))/INDEX(TBBP[],MATCH("2.9",planoContas,0)+1,MATCH(Tabela1[[#This Row],[Periodo]],listaPeriodos,0)))</f>
        <v>1.2831905291121689E-2</v>
      </c>
      <c r="F1534" s="34"/>
      <c r="G1534" s="34"/>
      <c r="H1534" s="34"/>
    </row>
    <row r="1535" spans="1:8" x14ac:dyDescent="0.3">
      <c r="A1535" t="s">
        <v>687</v>
      </c>
      <c r="B1535" s="3">
        <f t="shared" si="17"/>
        <v>45748</v>
      </c>
      <c r="C1535" s="2" t="str">
        <f>VLOOKUP(MONTH(Tabela1[[#This Row],[Periodo]]),NUMMESES,2,FALSE)</f>
        <v>Abril</v>
      </c>
      <c r="D1535" s="2">
        <f>YEAR(Tabela1[[#This Row],[Periodo]])</f>
        <v>2025</v>
      </c>
      <c r="E1535" s="33">
        <f>(INDEX(TBBP[],MATCH(8,planoContas,0)+1,MATCH(Tabela1[[#This Row],[Periodo]],listaPeriodos,0))/INDEX(TBBP[],MATCH("2.9",planoContas,0)+1,MATCH(Tabela1[[#This Row],[Periodo]],listaPeriodos,0)))</f>
        <v>2.2274874391219782E-2</v>
      </c>
      <c r="F1535" s="34"/>
      <c r="G1535" s="34"/>
      <c r="H1535" s="34"/>
    </row>
    <row r="1536" spans="1:8" x14ac:dyDescent="0.3">
      <c r="A1536" t="s">
        <v>687</v>
      </c>
      <c r="B1536" s="3">
        <f t="shared" si="17"/>
        <v>45778</v>
      </c>
      <c r="C1536" s="2" t="str">
        <f>VLOOKUP(MONTH(Tabela1[[#This Row],[Periodo]]),NUMMESES,2,FALSE)</f>
        <v>Maio</v>
      </c>
      <c r="D1536" s="2">
        <f>YEAR(Tabela1[[#This Row],[Periodo]])</f>
        <v>2025</v>
      </c>
      <c r="E1536" s="33">
        <f>(INDEX(TBBP[],MATCH(8,planoContas,0)+1,MATCH(Tabela1[[#This Row],[Periodo]],listaPeriodos,0))/INDEX(TBBP[],MATCH("2.9",planoContas,0)+1,MATCH(Tabela1[[#This Row],[Periodo]],listaPeriodos,0)))</f>
        <v>2.3281567258436733E-2</v>
      </c>
      <c r="F1536" s="34"/>
      <c r="G1536" s="34"/>
      <c r="H1536" s="34"/>
    </row>
    <row r="1537" spans="1:8" x14ac:dyDescent="0.3">
      <c r="A1537" t="s">
        <v>687</v>
      </c>
      <c r="B1537" s="3">
        <f t="shared" si="17"/>
        <v>45809</v>
      </c>
      <c r="C1537" s="2" t="str">
        <f>VLOOKUP(MONTH(Tabela1[[#This Row],[Periodo]]),NUMMESES,2,FALSE)</f>
        <v>Junho</v>
      </c>
      <c r="D1537" s="2">
        <f>YEAR(Tabela1[[#This Row],[Periodo]])</f>
        <v>2025</v>
      </c>
      <c r="E1537" s="33">
        <f>(INDEX(TBBP[],MATCH(8,planoContas,0)+1,MATCH(Tabela1[[#This Row],[Periodo]],listaPeriodos,0))/INDEX(TBBP[],MATCH("2.9",planoContas,0)+1,MATCH(Tabela1[[#This Row],[Periodo]],listaPeriodos,0)))</f>
        <v>-5.4620318741397901E-3</v>
      </c>
      <c r="F1537" s="34"/>
      <c r="G1537" s="34"/>
      <c r="H1537" s="34"/>
    </row>
    <row r="1538" spans="1:8" x14ac:dyDescent="0.3">
      <c r="A1538" t="s">
        <v>687</v>
      </c>
      <c r="B1538" s="3">
        <f t="shared" si="17"/>
        <v>45839</v>
      </c>
      <c r="C1538" s="2" t="str">
        <f>VLOOKUP(MONTH(Tabela1[[#This Row],[Periodo]]),NUMMESES,2,FALSE)</f>
        <v>Julho</v>
      </c>
      <c r="D1538" s="2">
        <f>YEAR(Tabela1[[#This Row],[Periodo]])</f>
        <v>2025</v>
      </c>
      <c r="E1538" s="33">
        <f>(INDEX(TBBP[],MATCH(8,planoContas,0)+1,MATCH(Tabela1[[#This Row],[Periodo]],listaPeriodos,0))/INDEX(TBBP[],MATCH("2.9",planoContas,0)+1,MATCH(Tabela1[[#This Row],[Periodo]],listaPeriodos,0)))</f>
        <v>6.5555139445803534E-4</v>
      </c>
      <c r="F1538" s="34"/>
      <c r="G1538" s="34"/>
      <c r="H1538" s="34"/>
    </row>
    <row r="1539" spans="1:8" x14ac:dyDescent="0.3">
      <c r="A1539" t="s">
        <v>687</v>
      </c>
      <c r="B1539" s="3">
        <f t="shared" si="17"/>
        <v>45870</v>
      </c>
      <c r="C1539" s="2" t="str">
        <f>VLOOKUP(MONTH(Tabela1[[#This Row],[Periodo]]),NUMMESES,2,FALSE)</f>
        <v>Agosto</v>
      </c>
      <c r="D1539" s="2">
        <f>YEAR(Tabela1[[#This Row],[Periodo]])</f>
        <v>2025</v>
      </c>
      <c r="E1539" s="33">
        <f>(INDEX(TBBP[],MATCH(8,planoContas,0)+1,MATCH(Tabela1[[#This Row],[Periodo]],listaPeriodos,0))/INDEX(TBBP[],MATCH("2.9",planoContas,0)+1,MATCH(Tabela1[[#This Row],[Periodo]],listaPeriodos,0)))</f>
        <v>1.3483887884822639E-2</v>
      </c>
      <c r="F1539" s="34"/>
      <c r="G1539" s="34"/>
      <c r="H1539" s="34"/>
    </row>
    <row r="1540" spans="1:8" x14ac:dyDescent="0.3">
      <c r="A1540" t="s">
        <v>687</v>
      </c>
      <c r="B1540" s="3">
        <f t="shared" si="17"/>
        <v>45901</v>
      </c>
      <c r="C1540" s="2" t="str">
        <f>VLOOKUP(MONTH(Tabela1[[#This Row],[Periodo]]),NUMMESES,2,FALSE)</f>
        <v>Setembro</v>
      </c>
      <c r="D1540" s="2">
        <f>YEAR(Tabela1[[#This Row],[Periodo]])</f>
        <v>2025</v>
      </c>
      <c r="E1540" s="33">
        <f>(INDEX(TBBP[],MATCH(8,planoContas,0)+1,MATCH(Tabela1[[#This Row],[Periodo]],listaPeriodos,0))/INDEX(TBBP[],MATCH("2.9",planoContas,0)+1,MATCH(Tabela1[[#This Row],[Periodo]],listaPeriodos,0)))</f>
        <v>4.0707142632976055E-3</v>
      </c>
      <c r="F1540" s="34"/>
      <c r="G1540" s="34"/>
      <c r="H1540" s="34"/>
    </row>
    <row r="1541" spans="1:8" x14ac:dyDescent="0.3">
      <c r="A1541" t="s">
        <v>687</v>
      </c>
      <c r="B1541" s="3">
        <f t="shared" si="17"/>
        <v>45931</v>
      </c>
      <c r="C1541" s="2" t="str">
        <f>VLOOKUP(MONTH(Tabela1[[#This Row],[Periodo]]),NUMMESES,2,FALSE)</f>
        <v>Outubro</v>
      </c>
      <c r="D1541" s="2">
        <f>YEAR(Tabela1[[#This Row],[Periodo]])</f>
        <v>2025</v>
      </c>
      <c r="E1541" s="33">
        <f>(INDEX(TBBP[],MATCH(8,planoContas,0)+1,MATCH(Tabela1[[#This Row],[Periodo]],listaPeriodos,0))/INDEX(TBBP[],MATCH("2.9",planoContas,0)+1,MATCH(Tabela1[[#This Row],[Periodo]],listaPeriodos,0)))</f>
        <v>4.8876940091222018E-3</v>
      </c>
      <c r="F1541" s="34"/>
      <c r="G1541" s="34"/>
      <c r="H1541" s="34"/>
    </row>
    <row r="1542" spans="1:8" x14ac:dyDescent="0.3">
      <c r="A1542" t="s">
        <v>687</v>
      </c>
      <c r="B1542" s="3">
        <f t="shared" si="17"/>
        <v>45962</v>
      </c>
      <c r="C1542" s="2" t="str">
        <f>VLOOKUP(MONTH(Tabela1[[#This Row],[Periodo]]),NUMMESES,2,FALSE)</f>
        <v>Novembro</v>
      </c>
      <c r="D1542" s="2">
        <f>YEAR(Tabela1[[#This Row],[Periodo]])</f>
        <v>2025</v>
      </c>
      <c r="E1542" s="33">
        <f>(INDEX(TBBP[],MATCH(8,planoContas,0)+1,MATCH(Tabela1[[#This Row],[Periodo]],listaPeriodos,0))/INDEX(TBBP[],MATCH("2.9",planoContas,0)+1,MATCH(Tabela1[[#This Row],[Periodo]],listaPeriodos,0)))</f>
        <v>6.5985121521497554E-3</v>
      </c>
      <c r="F1542" s="34"/>
      <c r="G1542" s="34"/>
      <c r="H1542" s="34"/>
    </row>
    <row r="1543" spans="1:8" x14ac:dyDescent="0.3">
      <c r="A1543" t="s">
        <v>687</v>
      </c>
      <c r="B1543" s="3">
        <f t="shared" si="17"/>
        <v>45992</v>
      </c>
      <c r="C1543" s="2" t="str">
        <f>VLOOKUP(MONTH(Tabela1[[#This Row],[Periodo]]),NUMMESES,2,FALSE)</f>
        <v>Dezembro</v>
      </c>
      <c r="D1543" s="2">
        <f>YEAR(Tabela1[[#This Row],[Periodo]])</f>
        <v>2025</v>
      </c>
      <c r="E1543" s="33">
        <f>(INDEX(TBBP[],MATCH(8,planoContas,0)+1,MATCH(Tabela1[[#This Row],[Periodo]],listaPeriodos,0))/INDEX(TBBP[],MATCH("2.9",planoContas,0)+1,MATCH(Tabela1[[#This Row],[Periodo]],listaPeriodos,0)))</f>
        <v>1.3927780066897864E-3</v>
      </c>
      <c r="F1543" s="34"/>
      <c r="G1543" s="34"/>
      <c r="H1543" s="34"/>
    </row>
    <row r="1544" spans="1:8" x14ac:dyDescent="0.3">
      <c r="A1544" t="s">
        <v>687</v>
      </c>
      <c r="B1544" s="3">
        <f t="shared" si="17"/>
        <v>46023</v>
      </c>
      <c r="C1544" s="2" t="str">
        <f>VLOOKUP(MONTH(Tabela1[[#This Row],[Periodo]]),NUMMESES,2,FALSE)</f>
        <v>Janeiro</v>
      </c>
      <c r="D1544" s="2">
        <f>YEAR(Tabela1[[#This Row],[Periodo]])</f>
        <v>2026</v>
      </c>
      <c r="E1544" s="33">
        <f>(INDEX(TBBP[],MATCH(8,planoContas,0)+1,MATCH(Tabela1[[#This Row],[Periodo]],listaPeriodos,0))/INDEX(TBBP[],MATCH("2.9",planoContas,0)+1,MATCH(Tabela1[[#This Row],[Periodo]],listaPeriodos,0)))</f>
        <v>1.0260270491718262E-2</v>
      </c>
      <c r="F1544" s="34"/>
      <c r="G1544" s="34"/>
      <c r="H1544" s="34"/>
    </row>
    <row r="1545" spans="1:8" x14ac:dyDescent="0.3">
      <c r="B1545" s="3"/>
      <c r="C1545" s="2"/>
      <c r="D1545" s="2"/>
      <c r="E1545" s="33"/>
      <c r="F1545" s="34"/>
      <c r="G1545" s="34"/>
      <c r="H1545" s="34"/>
    </row>
    <row r="1546" spans="1:8" x14ac:dyDescent="0.3">
      <c r="A1546" t="s">
        <v>735</v>
      </c>
      <c r="B1546" s="3">
        <v>41609</v>
      </c>
      <c r="C1546" s="2" t="str">
        <f>VLOOKUP(MONTH(Tabela1[[#This Row],[Periodo]]),NUMMESES,2,FALSE)</f>
        <v>Dezembro</v>
      </c>
      <c r="D1546" s="2">
        <f>YEAR(Tabela1[[#This Row],[Periodo]])</f>
        <v>2013</v>
      </c>
      <c r="E1546" s="33">
        <f>(INDEX(TBBP[],MATCH(8,planoContas,0)+1,MATCH(Tabela1[[#This Row],[Periodo]],listaPeriodos,0))/INDEX(TBBP[],MATCH("2.9",planoContas,0)+1,MATCH(Tabela1[[#This Row],[Periodo]],listaPeriodos,0)))</f>
        <v>0.65914839441373785</v>
      </c>
      <c r="F1546" s="34"/>
      <c r="G1546" s="34"/>
      <c r="H1546" s="34"/>
    </row>
    <row r="1547" spans="1:8" x14ac:dyDescent="0.3">
      <c r="A1547" t="s">
        <v>735</v>
      </c>
      <c r="B1547" s="3">
        <v>41974</v>
      </c>
      <c r="C1547" s="2" t="str">
        <f>VLOOKUP(MONTH(Tabela1[[#This Row],[Periodo]]),NUMMESES,2,FALSE)</f>
        <v>Dezembro</v>
      </c>
      <c r="D1547" s="2">
        <f>YEAR(Tabela1[[#This Row],[Periodo]])</f>
        <v>2014</v>
      </c>
      <c r="E1547" s="33">
        <f>(INDEX(TBBP[],MATCH(8,planoContas,0)+1,MATCH(Tabela1[[#This Row],[Periodo]],listaPeriodos,0))/INDEX(TBBP[],MATCH("2.9",planoContas,0)+1,MATCH(Tabela1[[#This Row],[Periodo]],listaPeriodos,0)))</f>
        <v>0.43530176783831853</v>
      </c>
      <c r="F1547" s="34"/>
      <c r="G1547" s="34"/>
      <c r="H1547" s="34"/>
    </row>
    <row r="1548" spans="1:8" x14ac:dyDescent="0.3">
      <c r="A1548" t="s">
        <v>735</v>
      </c>
      <c r="B1548" s="3">
        <v>42339</v>
      </c>
      <c r="C1548" s="2" t="str">
        <f>VLOOKUP(MONTH(Tabela1[[#This Row],[Periodo]]),NUMMESES,2,FALSE)</f>
        <v>Dezembro</v>
      </c>
      <c r="D1548" s="2">
        <f>YEAR(Tabela1[[#This Row],[Periodo]])</f>
        <v>2015</v>
      </c>
      <c r="E1548" s="33">
        <f>(INDEX(TBBP[],MATCH(8,planoContas,0)+1,MATCH(Tabela1[[#This Row],[Periodo]],listaPeriodos,0))/INDEX(TBBP[],MATCH("2.9",planoContas,0)+1,MATCH(Tabela1[[#This Row],[Periodo]],listaPeriodos,0)))</f>
        <v>0.40691426945817599</v>
      </c>
      <c r="F1548" s="34"/>
      <c r="G1548" s="34"/>
      <c r="H1548" s="34"/>
    </row>
    <row r="1549" spans="1:8" x14ac:dyDescent="0.3">
      <c r="A1549" t="s">
        <v>735</v>
      </c>
      <c r="B1549" s="3">
        <v>42705</v>
      </c>
      <c r="C1549" s="2" t="str">
        <f>VLOOKUP(MONTH(Tabela1[[#This Row],[Periodo]]),NUMMESES,2,FALSE)</f>
        <v>Dezembro</v>
      </c>
      <c r="D1549" s="2">
        <f>YEAR(Tabela1[[#This Row],[Periodo]])</f>
        <v>2016</v>
      </c>
      <c r="E1549" s="33">
        <f>(INDEX(TBBP[],MATCH(8,planoContas,0)+1,MATCH(Tabela1[[#This Row],[Periodo]],listaPeriodos,0))/INDEX(TBBP[],MATCH("2.9",planoContas,0)+1,MATCH(Tabela1[[#This Row],[Periodo]],listaPeriodos,0)))</f>
        <v>0.24731778643368085</v>
      </c>
      <c r="F1549" s="34"/>
      <c r="G1549" s="34"/>
      <c r="H1549" s="34"/>
    </row>
    <row r="1550" spans="1:8" x14ac:dyDescent="0.3">
      <c r="A1550" t="s">
        <v>735</v>
      </c>
      <c r="B1550" s="3">
        <v>43070</v>
      </c>
      <c r="C1550" s="2" t="str">
        <f>VLOOKUP(MONTH(Tabela1[[#This Row],[Periodo]]),NUMMESES,2,FALSE)</f>
        <v>Dezembro</v>
      </c>
      <c r="D1550" s="2">
        <f>YEAR(Tabela1[[#This Row],[Periodo]])</f>
        <v>2017</v>
      </c>
      <c r="E1550" s="33">
        <f>(INDEX(TBBP[],MATCH(8,planoContas,0)+1,MATCH(Tabela1[[#This Row],[Periodo]],listaPeriodos,0))/INDEX(TBBP[],MATCH("2.9",planoContas,0)+1,MATCH(Tabela1[[#This Row],[Periodo]],listaPeriodos,0)))</f>
        <v>0.17400049131048628</v>
      </c>
      <c r="F1550" s="34"/>
      <c r="G1550" s="34"/>
      <c r="H1550" s="34"/>
    </row>
    <row r="1551" spans="1:8" x14ac:dyDescent="0.3">
      <c r="A1551" t="s">
        <v>735</v>
      </c>
      <c r="B1551" s="3">
        <v>43435</v>
      </c>
      <c r="C1551" s="2" t="str">
        <f>VLOOKUP(MONTH(Tabela1[[#This Row],[Periodo]]),NUMMESES,2,FALSE)</f>
        <v>Dezembro</v>
      </c>
      <c r="D1551" s="2">
        <f>YEAR(Tabela1[[#This Row],[Periodo]])</f>
        <v>2018</v>
      </c>
      <c r="E1551" s="33">
        <f>(INDEX(TBBP[],MATCH(8,planoContas,0)+1,MATCH(Tabela1[[#This Row],[Periodo]],listaPeriodos,0)+1)/INDEX(TBBP[],MATCH("2.9",planoContas,0)+1,MATCH(Tabela1[[#This Row],[Periodo]],listaPeriodos,0)+1))</f>
        <v>0.30125734443231095</v>
      </c>
      <c r="F1551" s="34"/>
      <c r="G1551" s="34"/>
      <c r="H1551" s="34"/>
    </row>
    <row r="1552" spans="1:8" x14ac:dyDescent="0.3">
      <c r="A1552" t="s">
        <v>735</v>
      </c>
      <c r="B1552" s="3">
        <v>43800</v>
      </c>
      <c r="C1552" s="2" t="str">
        <f>VLOOKUP(MONTH(Tabela1[[#This Row],[Periodo]]),NUMMESES,2,FALSE)</f>
        <v>Dezembro</v>
      </c>
      <c r="D1552" s="2">
        <f>YEAR(Tabela1[[#This Row],[Periodo]])</f>
        <v>2019</v>
      </c>
      <c r="E1552" s="33">
        <f>(INDEX(TBBP[],MATCH(8,planoContas,0)+1,MATCH(Tabela1[[#This Row],[Periodo]],listaPeriodos,0)+1)/INDEX(TBBP[],MATCH("2.9",planoContas,0)+1,MATCH(Tabela1[[#This Row],[Periodo]],listaPeriodos,0)+1))</f>
        <v>0.28027350370425147</v>
      </c>
      <c r="F1552" s="34"/>
      <c r="G1552" s="34"/>
      <c r="H1552" s="34"/>
    </row>
    <row r="1553" spans="1:10" x14ac:dyDescent="0.3">
      <c r="A1553" t="s">
        <v>735</v>
      </c>
      <c r="B1553" s="3">
        <v>44166</v>
      </c>
      <c r="C1553" s="2" t="str">
        <f>VLOOKUP(MONTH(Tabela1[[#This Row],[Periodo]]),NUMMESES,2,FALSE)</f>
        <v>Dezembro</v>
      </c>
      <c r="D1553" s="2">
        <f>YEAR(Tabela1[[#This Row],[Periodo]])</f>
        <v>2020</v>
      </c>
      <c r="E1553" s="33">
        <f>(INDEX(TBBP[],MATCH(8,planoContas,0)+1,MATCH(Tabela1[[#This Row],[Periodo]],listaPeriodos,0)+1)/INDEX(TBBP[],MATCH("2.9",planoContas,0)+1,MATCH(Tabela1[[#This Row],[Periodo]],listaPeriodos,0)+1))</f>
        <v>0.3530264924523725</v>
      </c>
      <c r="F1553" s="16"/>
      <c r="G1553" s="16"/>
      <c r="H1553" s="34"/>
      <c r="J1553" s="4"/>
    </row>
    <row r="1554" spans="1:10" x14ac:dyDescent="0.3">
      <c r="A1554" t="s">
        <v>735</v>
      </c>
      <c r="B1554" s="3">
        <v>44531</v>
      </c>
      <c r="C1554" s="2" t="str">
        <f>VLOOKUP(MONTH(Tabela1[[#This Row],[Periodo]]),NUMMESES,2,FALSE)</f>
        <v>Dezembro</v>
      </c>
      <c r="D1554" s="2">
        <f>YEAR(Tabela1[[#This Row],[Periodo]])</f>
        <v>2021</v>
      </c>
      <c r="E1554" s="33">
        <f>(INDEX(TBBP[],MATCH(8,planoContas,0)+1,MATCH(Tabela1[[#This Row],[Periodo]],listaPeriodos,0)+1)/INDEX(TBBP[],MATCH("2.9",planoContas,0)+1,MATCH(Tabela1[[#This Row],[Periodo]],listaPeriodos,0)+1))</f>
        <v>0.48173607305498056</v>
      </c>
      <c r="F1554" s="16"/>
      <c r="G1554" s="16"/>
      <c r="H1554" s="34"/>
    </row>
    <row r="1555" spans="1:10" x14ac:dyDescent="0.3">
      <c r="A1555" t="s">
        <v>735</v>
      </c>
      <c r="B1555" s="3">
        <v>44896</v>
      </c>
      <c r="C1555" s="2" t="str">
        <f>VLOOKUP(MONTH(Tabela1[[#This Row],[Periodo]]),NUMMESES,2,FALSE)</f>
        <v>Dezembro</v>
      </c>
      <c r="D1555" s="2">
        <f>YEAR(Tabela1[[#This Row],[Periodo]])</f>
        <v>2022</v>
      </c>
      <c r="E1555" s="33">
        <f>(INDEX(TBBP[],MATCH(8,planoContas,0)+1,MATCH(Tabela1[[#This Row],[Periodo]],listaPeriodos,0)+1)/INDEX(TBBP[],MATCH("2.9",planoContas,0)+1,MATCH(Tabela1[[#This Row],[Periodo]],listaPeriodos,0)+1))</f>
        <v>0.22876110553208259</v>
      </c>
      <c r="F1555" s="16"/>
      <c r="G1555" s="16"/>
      <c r="H1555" s="34"/>
    </row>
    <row r="1556" spans="1:10" x14ac:dyDescent="0.3">
      <c r="A1556" t="s">
        <v>735</v>
      </c>
      <c r="B1556" s="3">
        <v>45261</v>
      </c>
      <c r="C1556" s="2" t="str">
        <f>VLOOKUP(MONTH(Tabela1[[#This Row],[Periodo]]),NUMMESES,2,FALSE)</f>
        <v>Dezembro</v>
      </c>
      <c r="D1556" s="2">
        <f>YEAR(Tabela1[[#This Row],[Periodo]])</f>
        <v>2023</v>
      </c>
      <c r="E1556" s="33">
        <f>(INDEX(TBBP[],MATCH(8,planoContas,0)+1,MATCH(Tabela1[[#This Row],[Periodo]],listaPeriodos,0)+1)/INDEX(TBBP[],MATCH("2.9",planoContas,0)+1,MATCH(Tabela1[[#This Row],[Periodo]],listaPeriodos,0)+1))</f>
        <v>0.14631708019241038</v>
      </c>
      <c r="F1556" s="16"/>
      <c r="G1556" s="16"/>
      <c r="H1556" s="34"/>
    </row>
    <row r="1557" spans="1:10" x14ac:dyDescent="0.3">
      <c r="A1557" t="s">
        <v>735</v>
      </c>
      <c r="B1557" s="3">
        <v>45627</v>
      </c>
      <c r="C1557" s="2" t="str">
        <f>VLOOKUP(MONTH(Tabela1[[#This Row],[Periodo]]),NUMMESES,2,FALSE)</f>
        <v>Dezembro</v>
      </c>
      <c r="D1557" s="2">
        <f>YEAR(Tabela1[[#This Row],[Periodo]])</f>
        <v>2024</v>
      </c>
      <c r="E1557" s="33">
        <f>(INDEX(TBBP[],MATCH(8,planoContas,0)+1,MATCH(Tabela1[[#This Row],[Periodo]],listaPeriodos,0)+1)/INDEX(TBBP[],MATCH("2.9",planoContas,0)+1,MATCH(Tabela1[[#This Row],[Periodo]],listaPeriodos,0)+1))</f>
        <v>0.12440659496917478</v>
      </c>
      <c r="F1557" s="16"/>
      <c r="G1557" s="16"/>
      <c r="H1557" s="34"/>
    </row>
    <row r="1558" spans="1:10" x14ac:dyDescent="0.3">
      <c r="A1558" t="s">
        <v>735</v>
      </c>
      <c r="B1558" s="3">
        <v>45992</v>
      </c>
      <c r="C1558" s="2" t="str">
        <f>VLOOKUP(MONTH(Tabela1[[#This Row],[Periodo]]),NUMMESES,2,FALSE)</f>
        <v>Dezembro</v>
      </c>
      <c r="D1558" s="2">
        <f>YEAR(Tabela1[[#This Row],[Periodo]])</f>
        <v>2025</v>
      </c>
      <c r="E1558" s="33">
        <f>(INDEX(TBBP[],MATCH(8,planoContas,0)+1,MATCH(Tabela1[[#This Row],[Periodo]],listaPeriodos,0)+1)/INDEX(TBBP[],MATCH("2.9",planoContas,0)+1,MATCH(Tabela1[[#This Row],[Periodo]],listaPeriodos,0)+1))</f>
        <v>0.132531560342627</v>
      </c>
      <c r="F1558" s="16"/>
      <c r="G1558" s="16"/>
      <c r="H1558" s="34"/>
    </row>
    <row r="1559" spans="1:10" x14ac:dyDescent="0.3">
      <c r="A1559" t="s">
        <v>735</v>
      </c>
      <c r="B1559" s="3">
        <v>45992</v>
      </c>
      <c r="C1559" s="2" t="str">
        <f>VLOOKUP(MONTH(Tabela1[[#This Row],[Periodo]]),NUMMESES,2,FALSE)</f>
        <v>Dezembro</v>
      </c>
      <c r="D1559" s="2">
        <f>YEAR(Tabela1[[#This Row],[Periodo]])</f>
        <v>2025</v>
      </c>
      <c r="E1559" s="33">
        <f>(INDEX(TBBP[],MATCH(8,planoContas,0)+1,MATCH(Tabela1[[#This Row],[Periodo]],listaPeriodos,0)+1)/INDEX(TBBP[],MATCH("2.9",planoContas,0)+1,MATCH(Tabela1[[#This Row],[Periodo]],listaPeriodos,0)+1))</f>
        <v>0.132531560342627</v>
      </c>
      <c r="F1559" s="16"/>
      <c r="G1559" s="16"/>
      <c r="H1559" s="34"/>
    </row>
    <row r="1560" spans="1:10" x14ac:dyDescent="0.3">
      <c r="B1560" s="3"/>
      <c r="C1560" s="2"/>
      <c r="D1560" s="2"/>
      <c r="E1560" s="33"/>
      <c r="F1560" s="34"/>
      <c r="G1560" s="34"/>
      <c r="H1560" s="34"/>
    </row>
    <row r="1561" spans="1:10" x14ac:dyDescent="0.3">
      <c r="A1561" t="s">
        <v>688</v>
      </c>
      <c r="B1561" s="3">
        <v>41609</v>
      </c>
      <c r="C1561" s="2" t="str">
        <f>VLOOKUP(MONTH(Tabela1[[#This Row],[Periodo]]),NUMMESES,2,FALSE)</f>
        <v>Dezembro</v>
      </c>
      <c r="D1561" s="2">
        <f>YEAR(Tabela1[[#This Row],[Periodo]])</f>
        <v>2013</v>
      </c>
      <c r="E1561" s="33">
        <f>(INDEX(TBBP[],MATCH(9,planoContas,0)+1,MATCH(Tabela1[[#This Row],[Periodo]],listaPeriodos,0))/INDEX(TBBP[],MATCH("3.1",planoContas,0)+1,MATCH(Tabela1[[#This Row],[Periodo]],listaPeriodos,0)))</f>
        <v>0.39009028107230537</v>
      </c>
      <c r="F1561" s="34"/>
      <c r="G1561" s="34"/>
      <c r="H1561" s="34"/>
    </row>
    <row r="1562" spans="1:10" x14ac:dyDescent="0.3">
      <c r="A1562" t="s">
        <v>688</v>
      </c>
      <c r="B1562" s="3">
        <v>41974</v>
      </c>
      <c r="C1562" s="2" t="str">
        <f>VLOOKUP(MONTH(Tabela1[[#This Row],[Periodo]]),NUMMESES,2,FALSE)</f>
        <v>Dezembro</v>
      </c>
      <c r="D1562" s="2">
        <f>YEAR(Tabela1[[#This Row],[Periodo]])</f>
        <v>2014</v>
      </c>
      <c r="E1562" s="33">
        <f>(INDEX(TBBP[],MATCH(9,planoContas,0)+1,MATCH(Tabela1[[#This Row],[Periodo]],listaPeriodos,0))/INDEX(TBBP[],MATCH("3.1",planoContas,0)+1,MATCH(Tabela1[[#This Row],[Periodo]],listaPeriodos,0)))</f>
        <v>0.32707179320348573</v>
      </c>
      <c r="F1562" s="34"/>
      <c r="G1562" s="34"/>
      <c r="H1562" s="34"/>
    </row>
    <row r="1563" spans="1:10" x14ac:dyDescent="0.3">
      <c r="A1563" t="s">
        <v>688</v>
      </c>
      <c r="B1563" s="3">
        <v>42339</v>
      </c>
      <c r="C1563" s="2" t="str">
        <f>VLOOKUP(MONTH(Tabela1[[#This Row],[Periodo]]),NUMMESES,2,FALSE)</f>
        <v>Dezembro</v>
      </c>
      <c r="D1563" s="2">
        <f>YEAR(Tabela1[[#This Row],[Periodo]])</f>
        <v>2015</v>
      </c>
      <c r="E1563" s="33">
        <f>(INDEX(TBBP[],MATCH(9,planoContas,0)+1,MATCH(Tabela1[[#This Row],[Periodo]],listaPeriodos,0))/INDEX(TBBP[],MATCH("3.1",planoContas,0)+1,MATCH(Tabela1[[#This Row],[Periodo]],listaPeriodos,0)))</f>
        <v>0.2975135483613397</v>
      </c>
      <c r="F1563" s="34"/>
      <c r="G1563" s="34"/>
      <c r="H1563" s="34"/>
    </row>
    <row r="1564" spans="1:10" x14ac:dyDescent="0.3">
      <c r="A1564" t="s">
        <v>688</v>
      </c>
      <c r="B1564" s="3">
        <v>42705</v>
      </c>
      <c r="C1564" s="2" t="str">
        <f>VLOOKUP(MONTH(Tabela1[[#This Row],[Periodo]]),NUMMESES,2,FALSE)</f>
        <v>Dezembro</v>
      </c>
      <c r="D1564" s="2">
        <f>YEAR(Tabela1[[#This Row],[Periodo]])</f>
        <v>2016</v>
      </c>
      <c r="E1564" s="33">
        <f>(INDEX(TBBP[],MATCH(9,planoContas,0)+1,MATCH(Tabela1[[#This Row],[Periodo]],listaPeriodos,0))/INDEX(TBBP[],MATCH("3.1",planoContas,0)+1,MATCH(Tabela1[[#This Row],[Periodo]],listaPeriodos,0)))</f>
        <v>0.22708613187782928</v>
      </c>
      <c r="F1564" s="34"/>
      <c r="G1564" s="34"/>
      <c r="H1564" s="34"/>
    </row>
    <row r="1565" spans="1:10" x14ac:dyDescent="0.3">
      <c r="A1565" t="s">
        <v>688</v>
      </c>
      <c r="B1565" s="3">
        <v>43070</v>
      </c>
      <c r="C1565" s="2" t="str">
        <f>VLOOKUP(MONTH(Tabela1[[#This Row],[Periodo]]),NUMMESES,2,FALSE)</f>
        <v>Dezembro</v>
      </c>
      <c r="D1565" s="2">
        <f>YEAR(Tabela1[[#This Row],[Periodo]])</f>
        <v>2017</v>
      </c>
      <c r="E1565" s="33">
        <f>(INDEX(TBBP[],MATCH(9,planoContas,0)+1,MATCH(Tabela1[[#This Row],[Periodo]],listaPeriodos,0))/INDEX(TBBP[],MATCH("3.1",planoContas,0)+1,MATCH(Tabela1[[#This Row],[Periodo]],listaPeriodos,0)))</f>
        <v>0.19180692088600215</v>
      </c>
      <c r="F1565" s="34"/>
      <c r="G1565" s="34"/>
      <c r="H1565" s="34"/>
    </row>
    <row r="1566" spans="1:10" x14ac:dyDescent="0.3">
      <c r="A1566" t="s">
        <v>688</v>
      </c>
      <c r="B1566" s="3">
        <v>43101</v>
      </c>
      <c r="C1566" s="2" t="str">
        <f>VLOOKUP(MONTH(Tabela1[[#This Row],[Periodo]]),NUMMESES,2,FALSE)</f>
        <v>Janeiro</v>
      </c>
      <c r="D1566" s="2">
        <f>YEAR(Tabela1[[#This Row],[Periodo]])</f>
        <v>2018</v>
      </c>
      <c r="E1566" s="33">
        <f>(INDEX(TBBP[],MATCH(9,planoContas,0)+1,MATCH(Tabela1[[#This Row],[Periodo]],listaPeriodos,0))/INDEX(TBBP[],MATCH("3.1",planoContas,0)+1,MATCH(Tabela1[[#This Row],[Periodo]],listaPeriodos,0)))</f>
        <v>0.2357782540613704</v>
      </c>
      <c r="F1566" s="34"/>
      <c r="G1566" s="34"/>
      <c r="H1566" s="34"/>
    </row>
    <row r="1567" spans="1:10" x14ac:dyDescent="0.3">
      <c r="A1567" t="s">
        <v>688</v>
      </c>
      <c r="B1567" s="3">
        <f t="shared" ref="B1567:B1663" si="18">DATE(YEAR(B1566),MONTH(B1566)+1,DAY(B1566))</f>
        <v>43132</v>
      </c>
      <c r="C1567" s="2" t="str">
        <f>VLOOKUP(MONTH(Tabela1[[#This Row],[Periodo]]),NUMMESES,2,FALSE)</f>
        <v>Fevereiro</v>
      </c>
      <c r="D1567" s="2">
        <f>YEAR(Tabela1[[#This Row],[Periodo]])</f>
        <v>2018</v>
      </c>
      <c r="E1567" s="33">
        <f>(INDEX(TBBP[],MATCH(9,planoContas,0)+1,MATCH(Tabela1[[#This Row],[Periodo]],listaPeriodos,0))/INDEX(TBBP[],MATCH("3.1",planoContas,0)+1,MATCH(Tabela1[[#This Row],[Periodo]],listaPeriodos,0)))</f>
        <v>0.2314034995685085</v>
      </c>
      <c r="F1567" s="34"/>
      <c r="G1567" s="34"/>
      <c r="H1567" s="34"/>
    </row>
    <row r="1568" spans="1:10" x14ac:dyDescent="0.3">
      <c r="A1568" t="s">
        <v>688</v>
      </c>
      <c r="B1568" s="3">
        <f t="shared" si="18"/>
        <v>43160</v>
      </c>
      <c r="C1568" s="2" t="str">
        <f>VLOOKUP(MONTH(Tabela1[[#This Row],[Periodo]]),NUMMESES,2,FALSE)</f>
        <v>Março</v>
      </c>
      <c r="D1568" s="2">
        <f>YEAR(Tabela1[[#This Row],[Periodo]])</f>
        <v>2018</v>
      </c>
      <c r="E1568" s="33">
        <f>(INDEX(TBBP[],MATCH(9,planoContas,0)+1,MATCH(Tabela1[[#This Row],[Periodo]],listaPeriodos,0))/INDEX(TBBP[],MATCH("3.1",planoContas,0)+1,MATCH(Tabela1[[#This Row],[Periodo]],listaPeriodos,0)))</f>
        <v>0.24838906619145035</v>
      </c>
      <c r="F1568" s="34"/>
      <c r="G1568" s="34"/>
      <c r="H1568" s="16"/>
      <c r="J1568" s="4"/>
    </row>
    <row r="1569" spans="1:8" x14ac:dyDescent="0.3">
      <c r="A1569" t="s">
        <v>688</v>
      </c>
      <c r="B1569" s="3">
        <f t="shared" si="18"/>
        <v>43191</v>
      </c>
      <c r="C1569" s="2" t="str">
        <f>VLOOKUP(MONTH(Tabela1[[#This Row],[Periodo]]),NUMMESES,2,FALSE)</f>
        <v>Abril</v>
      </c>
      <c r="D1569" s="2">
        <f>YEAR(Tabela1[[#This Row],[Periodo]])</f>
        <v>2018</v>
      </c>
      <c r="E1569" s="33">
        <f>(INDEX(TBBP[],MATCH(9,planoContas,0)+1,MATCH(Tabela1[[#This Row],[Periodo]],listaPeriodos,0))/INDEX(TBBP[],MATCH("3.1",planoContas,0)+1,MATCH(Tabela1[[#This Row],[Periodo]],listaPeriodos,0)))</f>
        <v>0.25181819187144355</v>
      </c>
      <c r="F1569" s="34"/>
      <c r="G1569" s="34"/>
      <c r="H1569" s="16"/>
    </row>
    <row r="1570" spans="1:8" x14ac:dyDescent="0.3">
      <c r="A1570" t="s">
        <v>688</v>
      </c>
      <c r="B1570" s="3">
        <f>DATE(YEAR(B1568),MONTH(B1568)+1,DAY(B1568))</f>
        <v>43191</v>
      </c>
      <c r="C1570" s="2" t="str">
        <f>VLOOKUP(MONTH(Tabela1[[#This Row],[Periodo]]),NUMMESES,2,FALSE)</f>
        <v>Abril</v>
      </c>
      <c r="D1570" s="2">
        <f>YEAR(Tabela1[[#This Row],[Periodo]])</f>
        <v>2018</v>
      </c>
      <c r="E1570" s="33">
        <f>(INDEX(TBBP[],MATCH(9,planoContas,0)+1,MATCH(Tabela1[[#This Row],[Periodo]],listaPeriodos,0))/INDEX(TBBP[],MATCH("3.1",planoContas,0)+1,MATCH(Tabela1[[#This Row],[Periodo]],listaPeriodos,0)))</f>
        <v>0.25181819187144355</v>
      </c>
      <c r="F1570" s="34"/>
      <c r="G1570" s="34"/>
      <c r="H1570" s="16"/>
    </row>
    <row r="1571" spans="1:8" x14ac:dyDescent="0.3">
      <c r="A1571" t="s">
        <v>688</v>
      </c>
      <c r="B1571" s="3">
        <f t="shared" si="18"/>
        <v>43221</v>
      </c>
      <c r="C1571" s="2" t="str">
        <f>VLOOKUP(MONTH(Tabela1[[#This Row],[Periodo]]),NUMMESES,2,FALSE)</f>
        <v>Maio</v>
      </c>
      <c r="D1571" s="2">
        <f>YEAR(Tabela1[[#This Row],[Periodo]])</f>
        <v>2018</v>
      </c>
      <c r="E1571" s="33">
        <f>(INDEX(TBBP[],MATCH(9,planoContas,0)+1,MATCH(Tabela1[[#This Row],[Periodo]],listaPeriodos,0))/INDEX(TBBP[],MATCH("3.1",planoContas,0)+1,MATCH(Tabela1[[#This Row],[Periodo]],listaPeriodos,0)))</f>
        <v>0.18212141086811123</v>
      </c>
      <c r="F1571" s="34"/>
      <c r="G1571" s="34"/>
      <c r="H1571" s="16"/>
    </row>
    <row r="1572" spans="1:8" x14ac:dyDescent="0.3">
      <c r="A1572" t="s">
        <v>688</v>
      </c>
      <c r="B1572" s="3">
        <f>DATE(YEAR(B1571),MONTH(B1571)+1,DAY(B1571))</f>
        <v>43252</v>
      </c>
      <c r="C1572" s="2" t="str">
        <f>VLOOKUP(MONTH(Tabela1[[#This Row],[Periodo]]),NUMMESES,2,FALSE)</f>
        <v>Junho</v>
      </c>
      <c r="D1572" s="2">
        <f>YEAR(Tabela1[[#This Row],[Periodo]])</f>
        <v>2018</v>
      </c>
      <c r="E1572" s="33">
        <f>(INDEX(TBBP[],MATCH(9,planoContas,0)+1,MATCH(Tabela1[[#This Row],[Periodo]],listaPeriodos,0))/INDEX(TBBP[],MATCH("3.1",planoContas,0)+1,MATCH(Tabela1[[#This Row],[Periodo]],listaPeriodos,0)))</f>
        <v>0.1290552316132425</v>
      </c>
      <c r="F1572" s="34"/>
      <c r="G1572" s="34"/>
      <c r="H1572" s="16"/>
    </row>
    <row r="1573" spans="1:8" x14ac:dyDescent="0.3">
      <c r="A1573" t="s">
        <v>688</v>
      </c>
      <c r="B1573" s="3">
        <f t="shared" si="18"/>
        <v>43282</v>
      </c>
      <c r="C1573" s="2" t="str">
        <f>VLOOKUP(MONTH(Tabela1[[#This Row],[Periodo]]),NUMMESES,2,FALSE)</f>
        <v>Julho</v>
      </c>
      <c r="D1573" s="2">
        <f>YEAR(Tabela1[[#This Row],[Periodo]])</f>
        <v>2018</v>
      </c>
      <c r="E1573" s="33">
        <f>(INDEX(TBBP[],MATCH(9,planoContas,0)+1,MATCH(Tabela1[[#This Row],[Periodo]],listaPeriodos,0))/INDEX(TBBP[],MATCH("3.1",planoContas,0)+1,MATCH(Tabela1[[#This Row],[Periodo]],listaPeriodos,0)))</f>
        <v>0.26542960054905052</v>
      </c>
      <c r="F1573" s="34"/>
      <c r="G1573" s="34"/>
      <c r="H1573" s="16"/>
    </row>
    <row r="1574" spans="1:8" x14ac:dyDescent="0.3">
      <c r="A1574" t="s">
        <v>688</v>
      </c>
      <c r="B1574" s="3">
        <f t="shared" si="18"/>
        <v>43313</v>
      </c>
      <c r="C1574" s="2" t="str">
        <f>VLOOKUP(MONTH(Tabela1[[#This Row],[Periodo]]),NUMMESES,2,FALSE)</f>
        <v>Agosto</v>
      </c>
      <c r="D1574" s="2">
        <f>YEAR(Tabela1[[#This Row],[Periodo]])</f>
        <v>2018</v>
      </c>
      <c r="E1574" s="33">
        <f>(INDEX(TBBP[],MATCH(9,planoContas,0)+1,MATCH(Tabela1[[#This Row],[Periodo]],listaPeriodos,0))/INDEX(TBBP[],MATCH("3.1",planoContas,0)+1,MATCH(Tabela1[[#This Row],[Periodo]],listaPeriodos,0)))</f>
        <v>0.22201567923858978</v>
      </c>
      <c r="F1574" s="34"/>
      <c r="G1574" s="34"/>
      <c r="H1574" s="34"/>
    </row>
    <row r="1575" spans="1:8" x14ac:dyDescent="0.3">
      <c r="A1575" t="s">
        <v>688</v>
      </c>
      <c r="B1575" s="3">
        <f t="shared" si="18"/>
        <v>43344</v>
      </c>
      <c r="C1575" s="2" t="str">
        <f>VLOOKUP(MONTH(Tabela1[[#This Row],[Periodo]]),NUMMESES,2,FALSE)</f>
        <v>Setembro</v>
      </c>
      <c r="D1575" s="2">
        <f>YEAR(Tabela1[[#This Row],[Periodo]])</f>
        <v>2018</v>
      </c>
      <c r="E1575" s="33">
        <f>(INDEX(TBBP[],MATCH(9,planoContas,0)+1,MATCH(Tabela1[[#This Row],[Periodo]],listaPeriodos,0))/INDEX(TBBP[],MATCH("3.1",planoContas,0)+1,MATCH(Tabela1[[#This Row],[Periodo]],listaPeriodos,0)))</f>
        <v>0.37355230935910083</v>
      </c>
      <c r="F1575" s="34"/>
      <c r="G1575" s="34"/>
      <c r="H1575" s="34"/>
    </row>
    <row r="1576" spans="1:8" x14ac:dyDescent="0.3">
      <c r="A1576" t="s">
        <v>688</v>
      </c>
      <c r="B1576" s="3">
        <f t="shared" si="18"/>
        <v>43374</v>
      </c>
      <c r="C1576" s="2" t="str">
        <f>VLOOKUP(MONTH(Tabela1[[#This Row],[Periodo]]),NUMMESES,2,FALSE)</f>
        <v>Outubro</v>
      </c>
      <c r="D1576" s="2">
        <f>YEAR(Tabela1[[#This Row],[Periodo]])</f>
        <v>2018</v>
      </c>
      <c r="E1576" s="33">
        <f>(INDEX(TBBP[],MATCH(9,planoContas,0)+1,MATCH(Tabela1[[#This Row],[Periodo]],listaPeriodos,0))/INDEX(TBBP[],MATCH("3.1",planoContas,0)+1,MATCH(Tabela1[[#This Row],[Periodo]],listaPeriodos,0)))</f>
        <v>0.24154111012779017</v>
      </c>
      <c r="F1576" s="34"/>
      <c r="G1576" s="34"/>
      <c r="H1576" s="34"/>
    </row>
    <row r="1577" spans="1:8" x14ac:dyDescent="0.3">
      <c r="A1577" t="s">
        <v>688</v>
      </c>
      <c r="B1577" s="3">
        <f t="shared" si="18"/>
        <v>43405</v>
      </c>
      <c r="C1577" s="2" t="str">
        <f>VLOOKUP(MONTH(Tabela1[[#This Row],[Periodo]]),NUMMESES,2,FALSE)</f>
        <v>Novembro</v>
      </c>
      <c r="D1577" s="2">
        <f>YEAR(Tabela1[[#This Row],[Periodo]])</f>
        <v>2018</v>
      </c>
      <c r="E1577" s="33">
        <f>(INDEX(TBBP[],MATCH(9,planoContas,0)+1,MATCH(Tabela1[[#This Row],[Periodo]],listaPeriodos,0))/INDEX(TBBP[],MATCH("3.1",planoContas,0)+1,MATCH(Tabela1[[#This Row],[Periodo]],listaPeriodos,0)))</f>
        <v>5.4599652937191157E-2</v>
      </c>
      <c r="F1577" s="34"/>
      <c r="G1577" s="34"/>
      <c r="H1577" s="34"/>
    </row>
    <row r="1578" spans="1:8" x14ac:dyDescent="0.3">
      <c r="A1578" t="s">
        <v>688</v>
      </c>
      <c r="B1578" s="3">
        <f t="shared" si="18"/>
        <v>43435</v>
      </c>
      <c r="C1578" s="2" t="str">
        <f>VLOOKUP(MONTH(Tabela1[[#This Row],[Periodo]]),NUMMESES,2,FALSE)</f>
        <v>Dezembro</v>
      </c>
      <c r="D1578" s="2">
        <f>YEAR(Tabela1[[#This Row],[Periodo]])</f>
        <v>2018</v>
      </c>
      <c r="E1578" s="33">
        <f>(INDEX(TBBP[],MATCH(9,planoContas,0)+1,MATCH(Tabela1[[#This Row],[Periodo]],listaPeriodos,0))/INDEX(TBBP[],MATCH("3.1",planoContas,0)+1,MATCH(Tabela1[[#This Row],[Periodo]],listaPeriodos,0)))</f>
        <v>0.23883593112741403</v>
      </c>
      <c r="F1578" s="34"/>
      <c r="G1578" s="34"/>
      <c r="H1578" s="34"/>
    </row>
    <row r="1579" spans="1:8" x14ac:dyDescent="0.3">
      <c r="A1579" t="s">
        <v>688</v>
      </c>
      <c r="B1579" s="3">
        <f t="shared" si="18"/>
        <v>43466</v>
      </c>
      <c r="C1579" s="2" t="str">
        <f>VLOOKUP(MONTH(Tabela1[[#This Row],[Periodo]]),NUMMESES,2,FALSE)</f>
        <v>Janeiro</v>
      </c>
      <c r="D1579" s="2">
        <f>YEAR(Tabela1[[#This Row],[Periodo]])</f>
        <v>2019</v>
      </c>
      <c r="E1579" s="33">
        <f>(INDEX(TBBP[],MATCH(9,planoContas,0)+1,MATCH(Tabela1[[#This Row],[Periodo]],listaPeriodos,0))/INDEX(TBBP[],MATCH("3.1",planoContas,0)+1,MATCH(Tabela1[[#This Row],[Periodo]],listaPeriodos,0)))</f>
        <v>0.13062797183774053</v>
      </c>
      <c r="F1579" s="34"/>
      <c r="G1579" s="34"/>
      <c r="H1579" s="34"/>
    </row>
    <row r="1580" spans="1:8" x14ac:dyDescent="0.3">
      <c r="A1580" t="s">
        <v>688</v>
      </c>
      <c r="B1580" s="3">
        <f t="shared" si="18"/>
        <v>43497</v>
      </c>
      <c r="C1580" s="2" t="str">
        <f>VLOOKUP(MONTH(Tabela1[[#This Row],[Periodo]]),NUMMESES,2,FALSE)</f>
        <v>Fevereiro</v>
      </c>
      <c r="D1580" s="2">
        <f>YEAR(Tabela1[[#This Row],[Periodo]])</f>
        <v>2019</v>
      </c>
      <c r="E1580" s="33">
        <f>(INDEX(TBBP[],MATCH(9,planoContas,0)+1,MATCH(Tabela1[[#This Row],[Periodo]],listaPeriodos,0))/INDEX(TBBP[],MATCH("3.1",planoContas,0)+1,MATCH(Tabela1[[#This Row],[Periodo]],listaPeriodos,0)))</f>
        <v>0.15169133386171368</v>
      </c>
      <c r="F1580" s="34"/>
      <c r="G1580" s="34"/>
      <c r="H1580" s="34"/>
    </row>
    <row r="1581" spans="1:8" x14ac:dyDescent="0.3">
      <c r="A1581" t="s">
        <v>688</v>
      </c>
      <c r="B1581" s="3">
        <f t="shared" si="18"/>
        <v>43525</v>
      </c>
      <c r="C1581" s="2" t="str">
        <f>VLOOKUP(MONTH(Tabela1[[#This Row],[Periodo]]),NUMMESES,2,FALSE)</f>
        <v>Março</v>
      </c>
      <c r="D1581" s="2">
        <f>YEAR(Tabela1[[#This Row],[Periodo]])</f>
        <v>2019</v>
      </c>
      <c r="E1581" s="33">
        <f>(INDEX(TBBP[],MATCH(9,planoContas,0)+1,MATCH(Tabela1[[#This Row],[Periodo]],listaPeriodos,0))/INDEX(TBBP[],MATCH("3.1",planoContas,0)+1,MATCH(Tabela1[[#This Row],[Periodo]],listaPeriodos,0)))</f>
        <v>0.19971096763841473</v>
      </c>
      <c r="F1581" s="34"/>
      <c r="G1581" s="34"/>
      <c r="H1581" s="34"/>
    </row>
    <row r="1582" spans="1:8" x14ac:dyDescent="0.3">
      <c r="A1582" t="s">
        <v>688</v>
      </c>
      <c r="B1582" s="3">
        <f t="shared" si="18"/>
        <v>43556</v>
      </c>
      <c r="C1582" s="2" t="str">
        <f>VLOOKUP(MONTH(Tabela1[[#This Row],[Periodo]]),NUMMESES,2,FALSE)</f>
        <v>Abril</v>
      </c>
      <c r="D1582" s="2">
        <f>YEAR(Tabela1[[#This Row],[Periodo]])</f>
        <v>2019</v>
      </c>
      <c r="E1582" s="33">
        <f>(INDEX(TBBP[],MATCH(9,planoContas,0)+1,MATCH(Tabela1[[#This Row],[Periodo]],listaPeriodos,0))/INDEX(TBBP[],MATCH("3.1",planoContas,0)+1,MATCH(Tabela1[[#This Row],[Periodo]],listaPeriodos,0)))</f>
        <v>0.25428242099522258</v>
      </c>
      <c r="F1582" s="34"/>
      <c r="G1582" s="34"/>
      <c r="H1582" s="34"/>
    </row>
    <row r="1583" spans="1:8" x14ac:dyDescent="0.3">
      <c r="A1583" t="s">
        <v>688</v>
      </c>
      <c r="B1583" s="3">
        <f t="shared" si="18"/>
        <v>43586</v>
      </c>
      <c r="C1583" s="2" t="str">
        <f>VLOOKUP(MONTH(Tabela1[[#This Row],[Periodo]]),NUMMESES,2,FALSE)</f>
        <v>Maio</v>
      </c>
      <c r="D1583" s="2">
        <f>YEAR(Tabela1[[#This Row],[Periodo]])</f>
        <v>2019</v>
      </c>
      <c r="E1583" s="33">
        <f>(INDEX(TBBP[],MATCH(9,planoContas,0)+1,MATCH(Tabela1[[#This Row],[Periodo]],listaPeriodos,0))/INDEX(TBBP[],MATCH("3.1",planoContas,0)+1,MATCH(Tabela1[[#This Row],[Periodo]],listaPeriodos,0)))</f>
        <v>0.24475552334606324</v>
      </c>
      <c r="F1583" s="34"/>
      <c r="G1583" s="34"/>
      <c r="H1583" s="34"/>
    </row>
    <row r="1584" spans="1:8" x14ac:dyDescent="0.3">
      <c r="A1584" t="s">
        <v>688</v>
      </c>
      <c r="B1584" s="3">
        <f t="shared" si="18"/>
        <v>43617</v>
      </c>
      <c r="C1584" s="2" t="str">
        <f>VLOOKUP(MONTH(Tabela1[[#This Row],[Periodo]]),NUMMESES,2,FALSE)</f>
        <v>Junho</v>
      </c>
      <c r="D1584" s="2">
        <f>YEAR(Tabela1[[#This Row],[Periodo]])</f>
        <v>2019</v>
      </c>
      <c r="E1584" s="33">
        <f>(INDEX(TBBP[],MATCH(9,planoContas,0)+1,MATCH(Tabela1[[#This Row],[Periodo]],listaPeriodos,0))/INDEX(TBBP[],MATCH("3.1",planoContas,0)+1,MATCH(Tabela1[[#This Row],[Periodo]],listaPeriodos,0)))</f>
        <v>8.7040088923789338E-2</v>
      </c>
      <c r="F1584" s="34"/>
      <c r="G1584" s="34"/>
      <c r="H1584" s="34"/>
    </row>
    <row r="1585" spans="1:8" x14ac:dyDescent="0.3">
      <c r="A1585" t="s">
        <v>688</v>
      </c>
      <c r="B1585" s="3">
        <f t="shared" si="18"/>
        <v>43647</v>
      </c>
      <c r="C1585" s="2" t="str">
        <f>VLOOKUP(MONTH(Tabela1[[#This Row],[Periodo]]),NUMMESES,2,FALSE)</f>
        <v>Julho</v>
      </c>
      <c r="D1585" s="2">
        <f>YEAR(Tabela1[[#This Row],[Periodo]])</f>
        <v>2019</v>
      </c>
      <c r="E1585" s="33">
        <f>(INDEX(TBBP[],MATCH(9,planoContas,0)+1,MATCH(Tabela1[[#This Row],[Periodo]],listaPeriodos,0))/INDEX(TBBP[],MATCH("3.1",planoContas,0)+1,MATCH(Tabela1[[#This Row],[Periodo]],listaPeriodos,0)))</f>
        <v>0.32814061373871573</v>
      </c>
      <c r="F1585" s="34"/>
      <c r="G1585" s="34"/>
      <c r="H1585" s="34"/>
    </row>
    <row r="1586" spans="1:8" x14ac:dyDescent="0.3">
      <c r="A1586" t="s">
        <v>688</v>
      </c>
      <c r="B1586" s="3">
        <f t="shared" si="18"/>
        <v>43678</v>
      </c>
      <c r="C1586" s="2" t="str">
        <f>VLOOKUP(MONTH(Tabela1[[#This Row],[Periodo]]),NUMMESES,2,FALSE)</f>
        <v>Agosto</v>
      </c>
      <c r="D1586" s="2">
        <f>YEAR(Tabela1[[#This Row],[Periodo]])</f>
        <v>2019</v>
      </c>
      <c r="E1586" s="33">
        <f>(INDEX(TBBP[],MATCH(9,planoContas,0)+1,MATCH(Tabela1[[#This Row],[Periodo]],listaPeriodos,0))/INDEX(TBBP[],MATCH("3.1",planoContas,0)+1,MATCH(Tabela1[[#This Row],[Periodo]],listaPeriodos,0)))</f>
        <v>0.22174055863904338</v>
      </c>
      <c r="F1586" s="34"/>
      <c r="G1586" s="34"/>
      <c r="H1586" s="34"/>
    </row>
    <row r="1587" spans="1:8" x14ac:dyDescent="0.3">
      <c r="A1587" t="s">
        <v>688</v>
      </c>
      <c r="B1587" s="3">
        <f t="shared" si="18"/>
        <v>43709</v>
      </c>
      <c r="C1587" s="2" t="str">
        <f>VLOOKUP(MONTH(Tabela1[[#This Row],[Periodo]]),NUMMESES,2,FALSE)</f>
        <v>Setembro</v>
      </c>
      <c r="D1587" s="2">
        <f>YEAR(Tabela1[[#This Row],[Periodo]])</f>
        <v>2019</v>
      </c>
      <c r="E1587" s="33">
        <f>(INDEX(TBBP[],MATCH(9,planoContas,0)+1,MATCH(Tabela1[[#This Row],[Periodo]],listaPeriodos,0))/INDEX(TBBP[],MATCH("3.1",planoContas,0)+1,MATCH(Tabela1[[#This Row],[Periodo]],listaPeriodos,0)))</f>
        <v>0.27019607426175601</v>
      </c>
      <c r="F1587" s="34"/>
      <c r="G1587" s="34"/>
      <c r="H1587" s="34"/>
    </row>
    <row r="1588" spans="1:8" x14ac:dyDescent="0.3">
      <c r="A1588" t="s">
        <v>688</v>
      </c>
      <c r="B1588" s="3">
        <f t="shared" si="18"/>
        <v>43739</v>
      </c>
      <c r="C1588" s="2" t="str">
        <f>VLOOKUP(MONTH(Tabela1[[#This Row],[Periodo]]),NUMMESES,2,FALSE)</f>
        <v>Outubro</v>
      </c>
      <c r="D1588" s="2">
        <f>YEAR(Tabela1[[#This Row],[Periodo]])</f>
        <v>2019</v>
      </c>
      <c r="E1588" s="33">
        <f>(INDEX(TBBP[],MATCH(9,planoContas,0)+1,MATCH(Tabela1[[#This Row],[Periodo]],listaPeriodos,0))/INDEX(TBBP[],MATCH("3.1",planoContas,0)+1,MATCH(Tabela1[[#This Row],[Periodo]],listaPeriodos,0)))</f>
        <v>0.28483649098244795</v>
      </c>
      <c r="F1588" s="34"/>
      <c r="G1588" s="34"/>
      <c r="H1588" s="34"/>
    </row>
    <row r="1589" spans="1:8" x14ac:dyDescent="0.3">
      <c r="A1589" t="s">
        <v>688</v>
      </c>
      <c r="B1589" s="3">
        <f t="shared" si="18"/>
        <v>43770</v>
      </c>
      <c r="C1589" s="2" t="str">
        <f>VLOOKUP(MONTH(Tabela1[[#This Row],[Periodo]]),NUMMESES,2,FALSE)</f>
        <v>Novembro</v>
      </c>
      <c r="D1589" s="2">
        <f>YEAR(Tabela1[[#This Row],[Periodo]])</f>
        <v>2019</v>
      </c>
      <c r="E1589" s="33">
        <f>(INDEX(TBBP[],MATCH(9,planoContas,0)+1,MATCH(Tabela1[[#This Row],[Periodo]],listaPeriodos,0))/INDEX(TBBP[],MATCH("3.1",planoContas,0)+1,MATCH(Tabela1[[#This Row],[Periodo]],listaPeriodos,0)))</f>
        <v>0.20301538714313677</v>
      </c>
      <c r="F1589" s="34"/>
      <c r="G1589" s="34"/>
      <c r="H1589" s="34"/>
    </row>
    <row r="1590" spans="1:8" x14ac:dyDescent="0.3">
      <c r="A1590" t="s">
        <v>688</v>
      </c>
      <c r="B1590" s="3">
        <f t="shared" si="18"/>
        <v>43800</v>
      </c>
      <c r="C1590" s="2" t="str">
        <f>VLOOKUP(MONTH(Tabela1[[#This Row],[Periodo]]),NUMMESES,2,FALSE)</f>
        <v>Dezembro</v>
      </c>
      <c r="D1590" s="2">
        <f>YEAR(Tabela1[[#This Row],[Periodo]])</f>
        <v>2019</v>
      </c>
      <c r="E1590" s="33">
        <f>(INDEX(TBBP[],MATCH(9,planoContas,0)+1,MATCH(Tabela1[[#This Row],[Periodo]],listaPeriodos,0))/INDEX(TBBP[],MATCH("3.1",planoContas,0)+1,MATCH(Tabela1[[#This Row],[Periodo]],listaPeriodos,0)))</f>
        <v>0.23995339274190264</v>
      </c>
      <c r="F1590" s="34"/>
      <c r="G1590" s="34"/>
      <c r="H1590" s="34"/>
    </row>
    <row r="1591" spans="1:8" x14ac:dyDescent="0.3">
      <c r="A1591" t="s">
        <v>688</v>
      </c>
      <c r="B1591" s="3">
        <f t="shared" si="18"/>
        <v>43831</v>
      </c>
      <c r="C1591" s="2" t="str">
        <f>VLOOKUP(MONTH(Tabela1[[#This Row],[Periodo]]),NUMMESES,2,FALSE)</f>
        <v>Janeiro</v>
      </c>
      <c r="D1591" s="2">
        <f>YEAR(Tabela1[[#This Row],[Periodo]])</f>
        <v>2020</v>
      </c>
      <c r="E1591" s="33">
        <f>(INDEX(TBBP[],MATCH(9,planoContas,0)+1,MATCH(Tabela1[[#This Row],[Periodo]],listaPeriodos,0))/INDEX(TBBP[],MATCH("3.1",planoContas,0)+1,MATCH(Tabela1[[#This Row],[Periodo]],listaPeriodos,0)))</f>
        <v>0.23292923534950133</v>
      </c>
      <c r="F1591" s="34"/>
      <c r="G1591" s="34"/>
      <c r="H1591" s="34"/>
    </row>
    <row r="1592" spans="1:8" x14ac:dyDescent="0.3">
      <c r="A1592" t="s">
        <v>688</v>
      </c>
      <c r="B1592" s="3">
        <f t="shared" si="18"/>
        <v>43862</v>
      </c>
      <c r="C1592" s="2" t="str">
        <f>VLOOKUP(MONTH(Tabela1[[#This Row],[Periodo]]),NUMMESES,2,FALSE)</f>
        <v>Fevereiro</v>
      </c>
      <c r="D1592" s="2">
        <f>YEAR(Tabela1[[#This Row],[Periodo]])</f>
        <v>2020</v>
      </c>
      <c r="E1592" s="33">
        <f>(INDEX(TBBP[],MATCH(9,planoContas,0)+1,MATCH(Tabela1[[#This Row],[Periodo]],listaPeriodos,0))/INDEX(TBBP[],MATCH("3.1",planoContas,0)+1,MATCH(Tabela1[[#This Row],[Periodo]],listaPeriodos,0)))</f>
        <v>0.17115974219040511</v>
      </c>
      <c r="F1592" s="34"/>
      <c r="G1592" s="34"/>
      <c r="H1592" s="34"/>
    </row>
    <row r="1593" spans="1:8" x14ac:dyDescent="0.3">
      <c r="A1593" t="s">
        <v>688</v>
      </c>
      <c r="B1593" s="3">
        <f t="shared" si="18"/>
        <v>43891</v>
      </c>
      <c r="C1593" s="2" t="str">
        <f>VLOOKUP(MONTH(Tabela1[[#This Row],[Periodo]]),NUMMESES,2,FALSE)</f>
        <v>Março</v>
      </c>
      <c r="D1593" s="2">
        <f>YEAR(Tabela1[[#This Row],[Periodo]])</f>
        <v>2020</v>
      </c>
      <c r="E1593" s="33">
        <f>(INDEX(TBBP[],MATCH(9,planoContas,0)+1,MATCH(Tabela1[[#This Row],[Periodo]],listaPeriodos,0))/INDEX(TBBP[],MATCH("3.1",planoContas,0)+1,MATCH(Tabela1[[#This Row],[Periodo]],listaPeriodos,0)))</f>
        <v>0.10880978439817339</v>
      </c>
      <c r="F1593" s="34"/>
      <c r="G1593" s="34"/>
      <c r="H1593" s="34"/>
    </row>
    <row r="1594" spans="1:8" x14ac:dyDescent="0.3">
      <c r="A1594" t="s">
        <v>688</v>
      </c>
      <c r="B1594" s="3">
        <f t="shared" si="18"/>
        <v>43922</v>
      </c>
      <c r="C1594" s="2" t="str">
        <f>VLOOKUP(MONTH(Tabela1[[#This Row],[Periodo]]),NUMMESES,2,FALSE)</f>
        <v>Abril</v>
      </c>
      <c r="D1594" s="2">
        <f>YEAR(Tabela1[[#This Row],[Periodo]])</f>
        <v>2020</v>
      </c>
      <c r="E1594" s="33">
        <f>(INDEX(TBBP[],MATCH(9,planoContas,0)+1,MATCH(Tabela1[[#This Row],[Periodo]],listaPeriodos,0))/INDEX(TBBP[],MATCH("3.1",planoContas,0)+1,MATCH(Tabela1[[#This Row],[Periodo]],listaPeriodos,0)))</f>
        <v>0.15993714503269232</v>
      </c>
      <c r="F1594" s="34"/>
      <c r="G1594" s="34"/>
      <c r="H1594" s="34"/>
    </row>
    <row r="1595" spans="1:8" x14ac:dyDescent="0.3">
      <c r="A1595" t="s">
        <v>688</v>
      </c>
      <c r="B1595" s="3">
        <f t="shared" si="18"/>
        <v>43952</v>
      </c>
      <c r="C1595" s="2" t="str">
        <f>VLOOKUP(MONTH(Tabela1[[#This Row],[Periodo]]),NUMMESES,2,FALSE)</f>
        <v>Maio</v>
      </c>
      <c r="D1595" s="2">
        <f>YEAR(Tabela1[[#This Row],[Periodo]])</f>
        <v>2020</v>
      </c>
      <c r="E1595" s="33">
        <f>(INDEX(TBBP[],MATCH(9,planoContas,0)+1,MATCH(Tabela1[[#This Row],[Periodo]],listaPeriodos,0))/INDEX(TBBP[],MATCH("3.1",planoContas,0)+1,MATCH(Tabela1[[#This Row],[Periodo]],listaPeriodos,0)))</f>
        <v>0.28583206450043241</v>
      </c>
      <c r="F1595" s="34"/>
      <c r="G1595" s="34"/>
      <c r="H1595" s="34"/>
    </row>
    <row r="1596" spans="1:8" x14ac:dyDescent="0.3">
      <c r="A1596" t="s">
        <v>688</v>
      </c>
      <c r="B1596" s="3">
        <f t="shared" si="18"/>
        <v>43983</v>
      </c>
      <c r="C1596" s="2" t="str">
        <f>VLOOKUP(MONTH(Tabela1[[#This Row],[Periodo]]),NUMMESES,2,FALSE)</f>
        <v>Junho</v>
      </c>
      <c r="D1596" s="2">
        <f>YEAR(Tabela1[[#This Row],[Periodo]])</f>
        <v>2020</v>
      </c>
      <c r="E1596" s="33">
        <f>(INDEX(TBBP[],MATCH(9,planoContas,0)+1,MATCH(Tabela1[[#This Row],[Periodo]],listaPeriodos,0))/INDEX(TBBP[],MATCH("3.1",planoContas,0)+1,MATCH(Tabela1[[#This Row],[Periodo]],listaPeriodos,0)))</f>
        <v>0.41349168345318504</v>
      </c>
      <c r="F1596" s="34"/>
      <c r="G1596" s="34"/>
      <c r="H1596" s="34"/>
    </row>
    <row r="1597" spans="1:8" x14ac:dyDescent="0.3">
      <c r="A1597" t="s">
        <v>688</v>
      </c>
      <c r="B1597" s="3">
        <f t="shared" si="18"/>
        <v>44013</v>
      </c>
      <c r="C1597" s="2" t="str">
        <f>VLOOKUP(MONTH(Tabela1[[#This Row],[Periodo]]),NUMMESES,2,FALSE)</f>
        <v>Julho</v>
      </c>
      <c r="D1597" s="2">
        <f>YEAR(Tabela1[[#This Row],[Periodo]])</f>
        <v>2020</v>
      </c>
      <c r="E1597" s="33">
        <f>(INDEX(TBBP[],MATCH(9,planoContas,0)+1,MATCH(Tabela1[[#This Row],[Periodo]],listaPeriodos,0))/INDEX(TBBP[],MATCH("3.1",planoContas,0)+1,MATCH(Tabela1[[#This Row],[Periodo]],listaPeriodos,0)))</f>
        <v>0.33461589269821718</v>
      </c>
      <c r="F1597" s="34"/>
      <c r="G1597" s="34"/>
      <c r="H1597" s="34"/>
    </row>
    <row r="1598" spans="1:8" x14ac:dyDescent="0.3">
      <c r="A1598" t="s">
        <v>688</v>
      </c>
      <c r="B1598" s="3">
        <f t="shared" si="18"/>
        <v>44044</v>
      </c>
      <c r="C1598" s="2" t="str">
        <f>VLOOKUP(MONTH(Tabela1[[#This Row],[Periodo]]),NUMMESES,2,FALSE)</f>
        <v>Agosto</v>
      </c>
      <c r="D1598" s="2">
        <f>YEAR(Tabela1[[#This Row],[Periodo]])</f>
        <v>2020</v>
      </c>
      <c r="E1598" s="33">
        <f>(INDEX(TBBP[],MATCH(9,planoContas,0)+1,MATCH(Tabela1[[#This Row],[Periodo]],listaPeriodos,0))/INDEX(TBBP[],MATCH("3.1",planoContas,0)+1,MATCH(Tabela1[[#This Row],[Periodo]],listaPeriodos,0)))</f>
        <v>0.35142120752541117</v>
      </c>
      <c r="F1598" s="34"/>
      <c r="G1598" s="34"/>
      <c r="H1598" s="34"/>
    </row>
    <row r="1599" spans="1:8" x14ac:dyDescent="0.3">
      <c r="A1599" t="s">
        <v>688</v>
      </c>
      <c r="B1599" s="3">
        <f t="shared" si="18"/>
        <v>44075</v>
      </c>
      <c r="C1599" s="2" t="str">
        <f>VLOOKUP(MONTH(Tabela1[[#This Row],[Periodo]]),NUMMESES,2,FALSE)</f>
        <v>Setembro</v>
      </c>
      <c r="D1599" s="2">
        <f>YEAR(Tabela1[[#This Row],[Periodo]])</f>
        <v>2020</v>
      </c>
      <c r="E1599" s="33">
        <f>(INDEX(TBBP[],MATCH(9,planoContas,0)+1,MATCH(Tabela1[[#This Row],[Periodo]],listaPeriodos,0))/INDEX(TBBP[],MATCH("3.1",planoContas,0)+1,MATCH(Tabela1[[#This Row],[Periodo]],listaPeriodos,0)))</f>
        <v>0.33090159916505929</v>
      </c>
      <c r="F1599" s="34"/>
      <c r="G1599" s="34"/>
      <c r="H1599" s="34"/>
    </row>
    <row r="1600" spans="1:8" x14ac:dyDescent="0.3">
      <c r="A1600" t="s">
        <v>688</v>
      </c>
      <c r="B1600" s="3">
        <f t="shared" si="18"/>
        <v>44105</v>
      </c>
      <c r="C1600" s="2" t="str">
        <f>VLOOKUP(MONTH(Tabela1[[#This Row],[Periodo]]),NUMMESES,2,FALSE)</f>
        <v>Outubro</v>
      </c>
      <c r="D1600" s="2">
        <f>YEAR(Tabela1[[#This Row],[Periodo]])</f>
        <v>2020</v>
      </c>
      <c r="E1600" s="33">
        <f>(INDEX(TBBP[],MATCH(9,planoContas,0)+1,MATCH(Tabela1[[#This Row],[Periodo]],listaPeriodos,0))/INDEX(TBBP[],MATCH("3.1",planoContas,0)+1,MATCH(Tabela1[[#This Row],[Periodo]],listaPeriodos,0)))</f>
        <v>0.34182632804094781</v>
      </c>
      <c r="F1600" s="34"/>
      <c r="G1600" s="34"/>
      <c r="H1600" s="34"/>
    </row>
    <row r="1601" spans="1:8" x14ac:dyDescent="0.3">
      <c r="A1601" t="s">
        <v>688</v>
      </c>
      <c r="B1601" s="3">
        <f t="shared" si="18"/>
        <v>44136</v>
      </c>
      <c r="C1601" s="2" t="str">
        <f>VLOOKUP(MONTH(Tabela1[[#This Row],[Periodo]]),NUMMESES,2,FALSE)</f>
        <v>Novembro</v>
      </c>
      <c r="D1601" s="2">
        <f>YEAR(Tabela1[[#This Row],[Periodo]])</f>
        <v>2020</v>
      </c>
      <c r="E1601" s="33">
        <f>(INDEX(TBBP[],MATCH(9,planoContas,0)+1,MATCH(Tabela1[[#This Row],[Periodo]],listaPeriodos,0))/INDEX(TBBP[],MATCH("3.1",planoContas,0)+1,MATCH(Tabela1[[#This Row],[Periodo]],listaPeriodos,0)))</f>
        <v>0.26173328511713417</v>
      </c>
      <c r="F1601" s="34"/>
      <c r="G1601" s="34"/>
      <c r="H1601" s="34"/>
    </row>
    <row r="1602" spans="1:8" x14ac:dyDescent="0.3">
      <c r="A1602" t="s">
        <v>688</v>
      </c>
      <c r="B1602" s="3">
        <f t="shared" si="18"/>
        <v>44166</v>
      </c>
      <c r="C1602" s="2" t="str">
        <f>VLOOKUP(MONTH(Tabela1[[#This Row],[Periodo]]),NUMMESES,2,FALSE)</f>
        <v>Dezembro</v>
      </c>
      <c r="D1602" s="2">
        <f>YEAR(Tabela1[[#This Row],[Periodo]])</f>
        <v>2020</v>
      </c>
      <c r="E1602" s="33">
        <f>(INDEX(TBBP[],MATCH(9,planoContas,0)+1,MATCH(Tabela1[[#This Row],[Periodo]],listaPeriodos,0))/INDEX(TBBP[],MATCH("3.1",planoContas,0)+1,MATCH(Tabela1[[#This Row],[Periodo]],listaPeriodos,0)))</f>
        <v>0.33375714800086381</v>
      </c>
      <c r="F1602" s="34"/>
      <c r="G1602" s="34"/>
      <c r="H1602" s="34"/>
    </row>
    <row r="1603" spans="1:8" x14ac:dyDescent="0.3">
      <c r="A1603" t="s">
        <v>688</v>
      </c>
      <c r="B1603" s="3">
        <f t="shared" si="18"/>
        <v>44197</v>
      </c>
      <c r="C1603" s="2" t="str">
        <f>VLOOKUP(MONTH(Tabela1[[#This Row],[Periodo]]),NUMMESES,2,FALSE)</f>
        <v>Janeiro</v>
      </c>
      <c r="D1603" s="2">
        <f>YEAR(Tabela1[[#This Row],[Periodo]])</f>
        <v>2021</v>
      </c>
      <c r="E1603" s="33">
        <f>(INDEX(TBBP[],MATCH(9,planoContas,0)+1,MATCH(Tabela1[[#This Row],[Periodo]],listaPeriodos,0))/INDEX(TBBP[],MATCH("3.1",planoContas,0)+1,MATCH(Tabela1[[#This Row],[Periodo]],listaPeriodos,0)))</f>
        <v>0.30467345352981673</v>
      </c>
      <c r="F1603" s="34"/>
      <c r="G1603" s="34"/>
      <c r="H1603" s="34"/>
    </row>
    <row r="1604" spans="1:8" x14ac:dyDescent="0.3">
      <c r="A1604" t="s">
        <v>688</v>
      </c>
      <c r="B1604" s="3">
        <f t="shared" si="18"/>
        <v>44228</v>
      </c>
      <c r="C1604" s="2" t="str">
        <f>VLOOKUP(MONTH(Tabela1[[#This Row],[Periodo]]),NUMMESES,2,FALSE)</f>
        <v>Fevereiro</v>
      </c>
      <c r="D1604" s="2">
        <f>YEAR(Tabela1[[#This Row],[Periodo]])</f>
        <v>2021</v>
      </c>
      <c r="E1604" s="33">
        <f>(INDEX(TBBP[],MATCH(9,planoContas,0)+1,MATCH(Tabela1[[#This Row],[Periodo]],listaPeriodos,0))/INDEX(TBBP[],MATCH("3.1",planoContas,0)+1,MATCH(Tabela1[[#This Row],[Periodo]],listaPeriodos,0)))</f>
        <v>0.2209612083730178</v>
      </c>
      <c r="F1604" s="34"/>
      <c r="G1604" s="34"/>
      <c r="H1604" s="34"/>
    </row>
    <row r="1605" spans="1:8" x14ac:dyDescent="0.3">
      <c r="A1605" t="s">
        <v>688</v>
      </c>
      <c r="B1605" s="3">
        <f t="shared" si="18"/>
        <v>44256</v>
      </c>
      <c r="C1605" s="2" t="str">
        <f>VLOOKUP(MONTH(Tabela1[[#This Row],[Periodo]]),NUMMESES,2,FALSE)</f>
        <v>Março</v>
      </c>
      <c r="D1605" s="2">
        <f>YEAR(Tabela1[[#This Row],[Periodo]])</f>
        <v>2021</v>
      </c>
      <c r="E1605" s="33">
        <f>(INDEX(TBBP[],MATCH(9,planoContas,0)+1,MATCH(Tabela1[[#This Row],[Periodo]],listaPeriodos,0))/INDEX(TBBP[],MATCH("3.1",planoContas,0)+1,MATCH(Tabela1[[#This Row],[Periodo]],listaPeriodos,0)))</f>
        <v>0.34371349374697657</v>
      </c>
      <c r="F1605" s="34"/>
      <c r="G1605" s="34"/>
      <c r="H1605" s="34"/>
    </row>
    <row r="1606" spans="1:8" x14ac:dyDescent="0.3">
      <c r="A1606" t="s">
        <v>688</v>
      </c>
      <c r="B1606" s="3">
        <f t="shared" si="18"/>
        <v>44287</v>
      </c>
      <c r="C1606" s="2" t="str">
        <f>VLOOKUP(MONTH(Tabela1[[#This Row],[Periodo]]),NUMMESES,2,FALSE)</f>
        <v>Abril</v>
      </c>
      <c r="D1606" s="2">
        <f>YEAR(Tabela1[[#This Row],[Periodo]])</f>
        <v>2021</v>
      </c>
      <c r="E1606" s="33">
        <f>(INDEX(TBBP[],MATCH(9,planoContas,0)+1,MATCH(Tabela1[[#This Row],[Periodo]],listaPeriodos,0))/INDEX(TBBP[],MATCH("3.1",planoContas,0)+1,MATCH(Tabela1[[#This Row],[Periodo]],listaPeriodos,0)))</f>
        <v>0.3878605425322274</v>
      </c>
      <c r="F1606" s="34"/>
      <c r="G1606" s="34"/>
      <c r="H1606" s="34"/>
    </row>
    <row r="1607" spans="1:8" x14ac:dyDescent="0.3">
      <c r="A1607" t="s">
        <v>688</v>
      </c>
      <c r="B1607" s="3">
        <f t="shared" si="18"/>
        <v>44317</v>
      </c>
      <c r="C1607" s="2" t="str">
        <f>VLOOKUP(MONTH(Tabela1[[#This Row],[Periodo]]),NUMMESES,2,FALSE)</f>
        <v>Maio</v>
      </c>
      <c r="D1607" s="2">
        <f>YEAR(Tabela1[[#This Row],[Periodo]])</f>
        <v>2021</v>
      </c>
      <c r="E1607" s="33">
        <f>(INDEX(TBBP[],MATCH(9,planoContas,0)+1,MATCH(Tabela1[[#This Row],[Periodo]],listaPeriodos,0))/INDEX(TBBP[],MATCH("3.1",planoContas,0)+1,MATCH(Tabela1[[#This Row],[Periodo]],listaPeriodos,0)))</f>
        <v>0.34098973966443447</v>
      </c>
      <c r="F1607" s="34"/>
      <c r="G1607" s="34"/>
      <c r="H1607" s="34"/>
    </row>
    <row r="1608" spans="1:8" x14ac:dyDescent="0.3">
      <c r="A1608" t="s">
        <v>688</v>
      </c>
      <c r="B1608" s="3">
        <f t="shared" si="18"/>
        <v>44348</v>
      </c>
      <c r="C1608" s="2" t="str">
        <f>VLOOKUP(MONTH(Tabela1[[#This Row],[Periodo]]),NUMMESES,2,FALSE)</f>
        <v>Junho</v>
      </c>
      <c r="D1608" s="2">
        <f>YEAR(Tabela1[[#This Row],[Periodo]])</f>
        <v>2021</v>
      </c>
      <c r="E1608" s="33">
        <f>(INDEX(TBBP[],MATCH(9,planoContas,0)+1,MATCH(Tabela1[[#This Row],[Periodo]],listaPeriodos,0))/INDEX(TBBP[],MATCH("3.1",planoContas,0)+1,MATCH(Tabela1[[#This Row],[Periodo]],listaPeriodos,0)))</f>
        <v>0.35233943977200982</v>
      </c>
      <c r="F1608" s="34"/>
      <c r="G1608" s="34"/>
      <c r="H1608" s="34"/>
    </row>
    <row r="1609" spans="1:8" x14ac:dyDescent="0.3">
      <c r="A1609" t="s">
        <v>688</v>
      </c>
      <c r="B1609" s="3">
        <f t="shared" si="18"/>
        <v>44378</v>
      </c>
      <c r="C1609" s="2" t="str">
        <f>VLOOKUP(MONTH(Tabela1[[#This Row],[Periodo]]),NUMMESES,2,FALSE)</f>
        <v>Julho</v>
      </c>
      <c r="D1609" s="2">
        <f>YEAR(Tabela1[[#This Row],[Periodo]])</f>
        <v>2021</v>
      </c>
      <c r="E1609" s="33">
        <f>(INDEX(TBBP[],MATCH(9,planoContas,0)+1,MATCH(Tabela1[[#This Row],[Periodo]],listaPeriodos,0))/INDEX(TBBP[],MATCH("3.1",planoContas,0)+1,MATCH(Tabela1[[#This Row],[Periodo]],listaPeriodos,0)))</f>
        <v>0.33402716311063774</v>
      </c>
      <c r="F1609" s="34"/>
      <c r="G1609" s="34"/>
      <c r="H1609" s="34"/>
    </row>
    <row r="1610" spans="1:8" x14ac:dyDescent="0.3">
      <c r="A1610" t="s">
        <v>688</v>
      </c>
      <c r="B1610" s="3">
        <f t="shared" si="18"/>
        <v>44409</v>
      </c>
      <c r="C1610" s="2" t="str">
        <f>VLOOKUP(MONTH(Tabela1[[#This Row],[Periodo]]),NUMMESES,2,FALSE)</f>
        <v>Agosto</v>
      </c>
      <c r="D1610" s="2">
        <f>YEAR(Tabela1[[#This Row],[Periodo]])</f>
        <v>2021</v>
      </c>
      <c r="E1610" s="33">
        <f>(INDEX(TBBP[],MATCH(9,planoContas,0)+1,MATCH(Tabela1[[#This Row],[Periodo]],listaPeriodos,0))/INDEX(TBBP[],MATCH("3.1",planoContas,0)+1,MATCH(Tabela1[[#This Row],[Periodo]],listaPeriodos,0)))</f>
        <v>0.35923989931818184</v>
      </c>
      <c r="F1610" s="34"/>
      <c r="G1610" s="34"/>
      <c r="H1610" s="34"/>
    </row>
    <row r="1611" spans="1:8" x14ac:dyDescent="0.3">
      <c r="A1611" t="s">
        <v>688</v>
      </c>
      <c r="B1611" s="3">
        <f t="shared" si="18"/>
        <v>44440</v>
      </c>
      <c r="C1611" s="2" t="str">
        <f>VLOOKUP(MONTH(Tabela1[[#This Row],[Periodo]]),NUMMESES,2,FALSE)</f>
        <v>Setembro</v>
      </c>
      <c r="D1611" s="2">
        <f>YEAR(Tabela1[[#This Row],[Periodo]])</f>
        <v>2021</v>
      </c>
      <c r="E1611" s="33">
        <f>(INDEX(TBBP[],MATCH(9,planoContas,0)+1,MATCH(Tabela1[[#This Row],[Periodo]],listaPeriodos,0))/INDEX(TBBP[],MATCH("3.1",planoContas,0)+1,MATCH(Tabela1[[#This Row],[Periodo]],listaPeriodos,0)))</f>
        <v>0.36952456219339458</v>
      </c>
      <c r="F1611" s="34"/>
      <c r="G1611" s="34"/>
      <c r="H1611" s="34"/>
    </row>
    <row r="1612" spans="1:8" x14ac:dyDescent="0.3">
      <c r="A1612" t="s">
        <v>688</v>
      </c>
      <c r="B1612" s="3">
        <f t="shared" si="18"/>
        <v>44470</v>
      </c>
      <c r="C1612" s="2" t="str">
        <f>VLOOKUP(MONTH(Tabela1[[#This Row],[Periodo]]),NUMMESES,2,FALSE)</f>
        <v>Outubro</v>
      </c>
      <c r="D1612" s="2">
        <f>YEAR(Tabela1[[#This Row],[Periodo]])</f>
        <v>2021</v>
      </c>
      <c r="E1612" s="33">
        <f>(INDEX(TBBP[],MATCH(9,planoContas,0)+1,MATCH(Tabela1[[#This Row],[Periodo]],listaPeriodos,0))/INDEX(TBBP[],MATCH("3.1",planoContas,0)+1,MATCH(Tabela1[[#This Row],[Periodo]],listaPeriodos,0)))</f>
        <v>0.18594770208062153</v>
      </c>
      <c r="F1612" s="34"/>
      <c r="G1612" s="34"/>
      <c r="H1612" s="34"/>
    </row>
    <row r="1613" spans="1:8" x14ac:dyDescent="0.3">
      <c r="A1613" t="s">
        <v>688</v>
      </c>
      <c r="B1613" s="3">
        <f t="shared" si="18"/>
        <v>44501</v>
      </c>
      <c r="C1613" s="2" t="str">
        <f>VLOOKUP(MONTH(Tabela1[[#This Row],[Periodo]]),NUMMESES,2,FALSE)</f>
        <v>Novembro</v>
      </c>
      <c r="D1613" s="2">
        <f>YEAR(Tabela1[[#This Row],[Periodo]])</f>
        <v>2021</v>
      </c>
      <c r="E1613" s="33">
        <f>(INDEX(TBBP[],MATCH(9,planoContas,0)+1,MATCH(Tabela1[[#This Row],[Periodo]],listaPeriodos,0))/INDEX(TBBP[],MATCH("3.1",planoContas,0)+1,MATCH(Tabela1[[#This Row],[Periodo]],listaPeriodos,0)))</f>
        <v>0.26348207606383334</v>
      </c>
      <c r="F1613" s="34"/>
      <c r="G1613" s="34"/>
      <c r="H1613" s="34"/>
    </row>
    <row r="1614" spans="1:8" x14ac:dyDescent="0.3">
      <c r="A1614" t="s">
        <v>688</v>
      </c>
      <c r="B1614" s="3">
        <f t="shared" si="18"/>
        <v>44531</v>
      </c>
      <c r="C1614" s="2" t="str">
        <f>VLOOKUP(MONTH(Tabela1[[#This Row],[Periodo]]),NUMMESES,2,FALSE)</f>
        <v>Dezembro</v>
      </c>
      <c r="D1614" s="2">
        <f>YEAR(Tabela1[[#This Row],[Periodo]])</f>
        <v>2021</v>
      </c>
      <c r="E1614" s="33">
        <f>(INDEX(TBBP[],MATCH(9,planoContas,0)+1,MATCH(Tabela1[[#This Row],[Periodo]],listaPeriodos,0))/INDEX(TBBP[],MATCH("3.1",planoContas,0)+1,MATCH(Tabela1[[#This Row],[Periodo]],listaPeriodos,0)))</f>
        <v>0.23235852465200432</v>
      </c>
      <c r="F1614" s="34"/>
      <c r="G1614" s="34"/>
      <c r="H1614" s="34"/>
    </row>
    <row r="1615" spans="1:8" x14ac:dyDescent="0.3">
      <c r="A1615" t="s">
        <v>688</v>
      </c>
      <c r="B1615" s="3">
        <f t="shared" si="18"/>
        <v>44562</v>
      </c>
      <c r="C1615" s="2" t="str">
        <f>VLOOKUP(MONTH(Tabela1[[#This Row],[Periodo]]),NUMMESES,2,FALSE)</f>
        <v>Janeiro</v>
      </c>
      <c r="D1615" s="2">
        <f>YEAR(Tabela1[[#This Row],[Periodo]])</f>
        <v>2022</v>
      </c>
      <c r="E1615" s="33">
        <f>(INDEX(TBBP[],MATCH(9,planoContas,0)+1,MATCH(Tabela1[[#This Row],[Periodo]],listaPeriodos,0))/INDEX(TBBP[],MATCH("3.1",planoContas,0)+1,MATCH(Tabela1[[#This Row],[Periodo]],listaPeriodos,0)))</f>
        <v>0.20314924961723071</v>
      </c>
      <c r="F1615" s="34"/>
      <c r="G1615" s="34"/>
      <c r="H1615" s="34"/>
    </row>
    <row r="1616" spans="1:8" x14ac:dyDescent="0.3">
      <c r="A1616" t="s">
        <v>688</v>
      </c>
      <c r="B1616" s="3">
        <f t="shared" si="18"/>
        <v>44593</v>
      </c>
      <c r="C1616" s="2" t="str">
        <f>VLOOKUP(MONTH(Tabela1[[#This Row],[Periodo]]),NUMMESES,2,FALSE)</f>
        <v>Fevereiro</v>
      </c>
      <c r="D1616" s="2">
        <f>YEAR(Tabela1[[#This Row],[Periodo]])</f>
        <v>2022</v>
      </c>
      <c r="E1616" s="33">
        <f>(INDEX(TBBP[],MATCH(9,planoContas,0)+1,MATCH(Tabela1[[#This Row],[Periodo]],listaPeriodos,0))/INDEX(TBBP[],MATCH("3.1",planoContas,0)+1,MATCH(Tabela1[[#This Row],[Periodo]],listaPeriodos,0)))</f>
        <v>0.21791220483933599</v>
      </c>
      <c r="F1616" s="34"/>
      <c r="G1616" s="34"/>
      <c r="H1616" s="34"/>
    </row>
    <row r="1617" spans="1:8" x14ac:dyDescent="0.3">
      <c r="A1617" t="s">
        <v>688</v>
      </c>
      <c r="B1617" s="3">
        <f t="shared" si="18"/>
        <v>44621</v>
      </c>
      <c r="C1617" s="2" t="str">
        <f>VLOOKUP(MONTH(Tabela1[[#This Row],[Periodo]]),NUMMESES,2,FALSE)</f>
        <v>Março</v>
      </c>
      <c r="D1617" s="2">
        <f>YEAR(Tabela1[[#This Row],[Periodo]])</f>
        <v>2022</v>
      </c>
      <c r="E1617" s="33">
        <f>(INDEX(TBBP[],MATCH(9,planoContas,0)+1,MATCH(Tabela1[[#This Row],[Periodo]],listaPeriodos,0))/INDEX(TBBP[],MATCH("3.1",planoContas,0)+1,MATCH(Tabela1[[#This Row],[Periodo]],listaPeriodos,0)))</f>
        <v>0.276699269586346</v>
      </c>
      <c r="F1617" s="34"/>
      <c r="G1617" s="34"/>
      <c r="H1617" s="34"/>
    </row>
    <row r="1618" spans="1:8" x14ac:dyDescent="0.3">
      <c r="A1618" t="s">
        <v>688</v>
      </c>
      <c r="B1618" s="3">
        <f t="shared" si="18"/>
        <v>44652</v>
      </c>
      <c r="C1618" s="2" t="str">
        <f>VLOOKUP(MONTH(Tabela1[[#This Row],[Periodo]]),NUMMESES,2,FALSE)</f>
        <v>Abril</v>
      </c>
      <c r="D1618" s="2">
        <f>YEAR(Tabela1[[#This Row],[Periodo]])</f>
        <v>2022</v>
      </c>
      <c r="E1618" s="33">
        <f>(INDEX(TBBP[],MATCH(9,planoContas,0)+1,MATCH(Tabela1[[#This Row],[Periodo]],listaPeriodos,0))/INDEX(TBBP[],MATCH("3.1",planoContas,0)+1,MATCH(Tabela1[[#This Row],[Periodo]],listaPeriodos,0)))</f>
        <v>0.32903380409233091</v>
      </c>
      <c r="F1618" s="34"/>
      <c r="G1618" s="34"/>
      <c r="H1618" s="34"/>
    </row>
    <row r="1619" spans="1:8" x14ac:dyDescent="0.3">
      <c r="A1619" t="s">
        <v>688</v>
      </c>
      <c r="B1619" s="3">
        <f t="shared" si="18"/>
        <v>44682</v>
      </c>
      <c r="C1619" s="2" t="str">
        <f>VLOOKUP(MONTH(Tabela1[[#This Row],[Periodo]]),NUMMESES,2,FALSE)</f>
        <v>Maio</v>
      </c>
      <c r="D1619" s="2">
        <f>YEAR(Tabela1[[#This Row],[Periodo]])</f>
        <v>2022</v>
      </c>
      <c r="E1619" s="33">
        <f>(INDEX(TBBP[],MATCH(9,planoContas,0)+1,MATCH(Tabela1[[#This Row],[Periodo]],listaPeriodos,0))/INDEX(TBBP[],MATCH("3.1",planoContas,0)+1,MATCH(Tabela1[[#This Row],[Periodo]],listaPeriodos,0)))</f>
        <v>0.2541337246924722</v>
      </c>
      <c r="F1619" s="34"/>
      <c r="G1619" s="34"/>
      <c r="H1619" s="34"/>
    </row>
    <row r="1620" spans="1:8" x14ac:dyDescent="0.3">
      <c r="A1620" t="s">
        <v>688</v>
      </c>
      <c r="B1620" s="3">
        <f t="shared" si="18"/>
        <v>44713</v>
      </c>
      <c r="C1620" s="2" t="str">
        <f>VLOOKUP(MONTH(Tabela1[[#This Row],[Periodo]]),NUMMESES,2,FALSE)</f>
        <v>Junho</v>
      </c>
      <c r="D1620" s="2">
        <f>YEAR(Tabela1[[#This Row],[Periodo]])</f>
        <v>2022</v>
      </c>
      <c r="E1620" s="33">
        <f>(INDEX(TBBP[],MATCH(9,planoContas,0)+1,MATCH(Tabela1[[#This Row],[Periodo]],listaPeriodos,0))/INDEX(TBBP[],MATCH("3.1",planoContas,0)+1,MATCH(Tabela1[[#This Row],[Periodo]],listaPeriodos,0)))</f>
        <v>0.27219782016857907</v>
      </c>
      <c r="F1620" s="34"/>
      <c r="G1620" s="34"/>
      <c r="H1620" s="34"/>
    </row>
    <row r="1621" spans="1:8" x14ac:dyDescent="0.3">
      <c r="A1621" t="s">
        <v>688</v>
      </c>
      <c r="B1621" s="3">
        <f t="shared" si="18"/>
        <v>44743</v>
      </c>
      <c r="C1621" s="2" t="str">
        <f>VLOOKUP(MONTH(Tabela1[[#This Row],[Periodo]]),NUMMESES,2,FALSE)</f>
        <v>Julho</v>
      </c>
      <c r="D1621" s="2">
        <f>YEAR(Tabela1[[#This Row],[Periodo]])</f>
        <v>2022</v>
      </c>
      <c r="E1621" s="33">
        <f>(INDEX(TBBP[],MATCH(9,planoContas,0)+1,MATCH(Tabela1[[#This Row],[Periodo]],listaPeriodos,0))/INDEX(TBBP[],MATCH("3.1",planoContas,0)+1,MATCH(Tabela1[[#This Row],[Periodo]],listaPeriodos,0)))</f>
        <v>0.2987627578599702</v>
      </c>
      <c r="F1621" s="34"/>
      <c r="G1621" s="34"/>
      <c r="H1621" s="34"/>
    </row>
    <row r="1622" spans="1:8" x14ac:dyDescent="0.3">
      <c r="A1622" t="s">
        <v>688</v>
      </c>
      <c r="B1622" s="3">
        <f t="shared" si="18"/>
        <v>44774</v>
      </c>
      <c r="C1622" s="2" t="str">
        <f>VLOOKUP(MONTH(Tabela1[[#This Row],[Periodo]]),NUMMESES,2,FALSE)</f>
        <v>Agosto</v>
      </c>
      <c r="D1622" s="2">
        <f>YEAR(Tabela1[[#This Row],[Periodo]])</f>
        <v>2022</v>
      </c>
      <c r="E1622" s="33">
        <f>(INDEX(TBBP[],MATCH(9,planoContas,0)+1,MATCH(Tabela1[[#This Row],[Periodo]],listaPeriodos,0))/INDEX(TBBP[],MATCH("3.1",planoContas,0)+1,MATCH(Tabela1[[#This Row],[Periodo]],listaPeriodos,0)))</f>
        <v>0.24659329514677214</v>
      </c>
      <c r="F1622" s="34"/>
      <c r="G1622" s="34"/>
      <c r="H1622" s="34"/>
    </row>
    <row r="1623" spans="1:8" x14ac:dyDescent="0.3">
      <c r="A1623" t="s">
        <v>688</v>
      </c>
      <c r="B1623" s="3">
        <f t="shared" si="18"/>
        <v>44805</v>
      </c>
      <c r="C1623" s="2" t="str">
        <f>VLOOKUP(MONTH(Tabela1[[#This Row],[Periodo]]),NUMMESES,2,FALSE)</f>
        <v>Setembro</v>
      </c>
      <c r="D1623" s="2">
        <f>YEAR(Tabela1[[#This Row],[Periodo]])</f>
        <v>2022</v>
      </c>
      <c r="E1623" s="33">
        <f>(INDEX(TBBP[],MATCH(9,planoContas,0)+1,MATCH(Tabela1[[#This Row],[Periodo]],listaPeriodos,0))/INDEX(TBBP[],MATCH("3.1",planoContas,0)+1,MATCH(Tabela1[[#This Row],[Periodo]],listaPeriodos,0)))</f>
        <v>0.28166502613131222</v>
      </c>
      <c r="F1623" s="34"/>
      <c r="G1623" s="34"/>
      <c r="H1623" s="34"/>
    </row>
    <row r="1624" spans="1:8" x14ac:dyDescent="0.3">
      <c r="A1624" t="s">
        <v>688</v>
      </c>
      <c r="B1624" s="3">
        <f t="shared" si="18"/>
        <v>44835</v>
      </c>
      <c r="C1624" s="2" t="str">
        <f>VLOOKUP(MONTH(Tabela1[[#This Row],[Periodo]]),NUMMESES,2,FALSE)</f>
        <v>Outubro</v>
      </c>
      <c r="D1624" s="2">
        <f>YEAR(Tabela1[[#This Row],[Periodo]])</f>
        <v>2022</v>
      </c>
      <c r="E1624" s="33">
        <f>(INDEX(TBBP[],MATCH(9,planoContas,0)+1,MATCH(Tabela1[[#This Row],[Periodo]],listaPeriodos,0))/INDEX(TBBP[],MATCH("3.1",planoContas,0)+1,MATCH(Tabela1[[#This Row],[Periodo]],listaPeriodos,0)))</f>
        <v>5.6824608460001841E-2</v>
      </c>
      <c r="F1624" s="34"/>
      <c r="G1624" s="34"/>
      <c r="H1624" s="34"/>
    </row>
    <row r="1625" spans="1:8" x14ac:dyDescent="0.3">
      <c r="A1625" t="s">
        <v>688</v>
      </c>
      <c r="B1625" s="3">
        <f t="shared" si="18"/>
        <v>44866</v>
      </c>
      <c r="C1625" s="2" t="str">
        <f>VLOOKUP(MONTH(Tabela1[[#This Row],[Periodo]]),NUMMESES,2,FALSE)</f>
        <v>Novembro</v>
      </c>
      <c r="D1625" s="2">
        <f>YEAR(Tabela1[[#This Row],[Periodo]])</f>
        <v>2022</v>
      </c>
      <c r="E1625" s="33">
        <f>(INDEX(TBBP[],MATCH(9,planoContas,0)+1,MATCH(Tabela1[[#This Row],[Periodo]],listaPeriodos,0))/INDEX(TBBP[],MATCH("3.1",planoContas,0)+1,MATCH(Tabela1[[#This Row],[Periodo]],listaPeriodos,0)))</f>
        <v>0.29860210331900955</v>
      </c>
      <c r="F1625" s="34"/>
      <c r="G1625" s="34"/>
      <c r="H1625" s="34"/>
    </row>
    <row r="1626" spans="1:8" x14ac:dyDescent="0.3">
      <c r="A1626" t="s">
        <v>688</v>
      </c>
      <c r="B1626" s="3">
        <f t="shared" si="18"/>
        <v>44896</v>
      </c>
      <c r="C1626" s="2" t="str">
        <f>VLOOKUP(MONTH(Tabela1[[#This Row],[Periodo]]),NUMMESES,2,FALSE)</f>
        <v>Dezembro</v>
      </c>
      <c r="D1626" s="2">
        <f>YEAR(Tabela1[[#This Row],[Periodo]])</f>
        <v>2022</v>
      </c>
      <c r="E1626" s="33">
        <f>(INDEX(TBBP[],MATCH(9,planoContas,0)+1,MATCH(Tabela1[[#This Row],[Periodo]],listaPeriodos,0))/INDEX(TBBP[],MATCH("3.1",planoContas,0)+1,MATCH(Tabela1[[#This Row],[Periodo]],listaPeriodos,0)))</f>
        <v>0.10345157638077045</v>
      </c>
      <c r="F1626" s="34"/>
      <c r="G1626" s="34"/>
      <c r="H1626" s="34"/>
    </row>
    <row r="1627" spans="1:8" x14ac:dyDescent="0.3">
      <c r="A1627" t="s">
        <v>688</v>
      </c>
      <c r="B1627" s="3">
        <f t="shared" si="18"/>
        <v>44927</v>
      </c>
      <c r="C1627" s="2" t="str">
        <f>VLOOKUP(MONTH(Tabela1[[#This Row],[Periodo]]),NUMMESES,2,FALSE)</f>
        <v>Janeiro</v>
      </c>
      <c r="D1627" s="2">
        <f>YEAR(Tabela1[[#This Row],[Periodo]])</f>
        <v>2023</v>
      </c>
      <c r="E1627" s="33">
        <f>(INDEX(TBBP[],MATCH(9,planoContas,0)+1,MATCH(Tabela1[[#This Row],[Periodo]],listaPeriodos,0))/INDEX(TBBP[],MATCH("3.1",planoContas,0)+1,MATCH(Tabela1[[#This Row],[Periodo]],listaPeriodos,0)))</f>
        <v>7.473535593085423E-2</v>
      </c>
      <c r="F1627" s="34"/>
      <c r="G1627" s="34"/>
      <c r="H1627" s="34"/>
    </row>
    <row r="1628" spans="1:8" x14ac:dyDescent="0.3">
      <c r="A1628" t="s">
        <v>688</v>
      </c>
      <c r="B1628" s="3">
        <f t="shared" si="18"/>
        <v>44958</v>
      </c>
      <c r="C1628" s="2" t="str">
        <f>VLOOKUP(MONTH(Tabela1[[#This Row],[Periodo]]),NUMMESES,2,FALSE)</f>
        <v>Fevereiro</v>
      </c>
      <c r="D1628" s="2">
        <f>YEAR(Tabela1[[#This Row],[Periodo]])</f>
        <v>2023</v>
      </c>
      <c r="E1628" s="33">
        <f>(INDEX(TBBP[],MATCH(9,planoContas,0)+1,MATCH(Tabela1[[#This Row],[Periodo]],listaPeriodos,0))/INDEX(TBBP[],MATCH("3.1",planoContas,0)+1,MATCH(Tabela1[[#This Row],[Periodo]],listaPeriodos,0)))</f>
        <v>2.4430776087680874E-2</v>
      </c>
      <c r="F1628" s="34"/>
      <c r="G1628" s="34"/>
      <c r="H1628" s="34"/>
    </row>
    <row r="1629" spans="1:8" x14ac:dyDescent="0.3">
      <c r="A1629" t="s">
        <v>688</v>
      </c>
      <c r="B1629" s="3">
        <f t="shared" si="18"/>
        <v>44986</v>
      </c>
      <c r="C1629" s="2" t="str">
        <f>VLOOKUP(MONTH(Tabela1[[#This Row],[Periodo]]),NUMMESES,2,FALSE)</f>
        <v>Março</v>
      </c>
      <c r="D1629" s="2">
        <f>YEAR(Tabela1[[#This Row],[Periodo]])</f>
        <v>2023</v>
      </c>
      <c r="E1629" s="33">
        <f>(INDEX(TBBP[],MATCH(9,planoContas,0)+1,MATCH(Tabela1[[#This Row],[Periodo]],listaPeriodos,0))/INDEX(TBBP[],MATCH("3.1",planoContas,0)+1,MATCH(Tabela1[[#This Row],[Periodo]],listaPeriodos,0)))</f>
        <v>0.19445504145609419</v>
      </c>
      <c r="F1629" s="34"/>
      <c r="G1629" s="34"/>
      <c r="H1629" s="34"/>
    </row>
    <row r="1630" spans="1:8" x14ac:dyDescent="0.3">
      <c r="A1630" t="s">
        <v>688</v>
      </c>
      <c r="B1630" s="3">
        <f t="shared" si="18"/>
        <v>45017</v>
      </c>
      <c r="C1630" s="2" t="str">
        <f>VLOOKUP(MONTH(Tabela1[[#This Row],[Periodo]]),NUMMESES,2,FALSE)</f>
        <v>Abril</v>
      </c>
      <c r="D1630" s="2">
        <f>YEAR(Tabela1[[#This Row],[Periodo]])</f>
        <v>2023</v>
      </c>
      <c r="E1630" s="33">
        <f>(INDEX(TBBP[],MATCH(9,planoContas,0)+1,MATCH(Tabela1[[#This Row],[Periodo]],listaPeriodos,0))/INDEX(TBBP[],MATCH("3.1",planoContas,0)+1,MATCH(Tabela1[[#This Row],[Periodo]],listaPeriodos,0)))</f>
        <v>0.23518698936103349</v>
      </c>
      <c r="F1630" s="34"/>
      <c r="G1630" s="34"/>
      <c r="H1630" s="34"/>
    </row>
    <row r="1631" spans="1:8" x14ac:dyDescent="0.3">
      <c r="A1631" t="s">
        <v>688</v>
      </c>
      <c r="B1631" s="3">
        <f t="shared" si="18"/>
        <v>45047</v>
      </c>
      <c r="C1631" s="2" t="str">
        <f>VLOOKUP(MONTH(Tabela1[[#This Row],[Periodo]]),NUMMESES,2,FALSE)</f>
        <v>Maio</v>
      </c>
      <c r="D1631" s="2">
        <f>YEAR(Tabela1[[#This Row],[Periodo]])</f>
        <v>2023</v>
      </c>
      <c r="E1631" s="33">
        <f>(INDEX(TBBP[],MATCH(9,planoContas,0)+1,MATCH(Tabela1[[#This Row],[Periodo]],listaPeriodos,0))/INDEX(TBBP[],MATCH("3.1",planoContas,0)+1,MATCH(Tabela1[[#This Row],[Periodo]],listaPeriodos,0)))</f>
        <v>0.29784787718509892</v>
      </c>
      <c r="F1631" s="34"/>
      <c r="G1631" s="34"/>
      <c r="H1631" s="34"/>
    </row>
    <row r="1632" spans="1:8" x14ac:dyDescent="0.3">
      <c r="A1632" t="s">
        <v>688</v>
      </c>
      <c r="B1632" s="3">
        <f t="shared" si="18"/>
        <v>45078</v>
      </c>
      <c r="C1632" s="2" t="str">
        <f>VLOOKUP(MONTH(Tabela1[[#This Row],[Periodo]]),NUMMESES,2,FALSE)</f>
        <v>Junho</v>
      </c>
      <c r="D1632" s="2">
        <f>YEAR(Tabela1[[#This Row],[Periodo]])</f>
        <v>2023</v>
      </c>
      <c r="E1632" s="33">
        <f>(INDEX(TBBP[],MATCH(9,planoContas,0)+1,MATCH(Tabela1[[#This Row],[Periodo]],listaPeriodos,0))/INDEX(TBBP[],MATCH("3.1",planoContas,0)+1,MATCH(Tabela1[[#This Row],[Periodo]],listaPeriodos,0)))</f>
        <v>0.28967185003592433</v>
      </c>
      <c r="F1632" s="34"/>
      <c r="G1632" s="34"/>
      <c r="H1632" s="34"/>
    </row>
    <row r="1633" spans="1:8" x14ac:dyDescent="0.3">
      <c r="A1633" t="s">
        <v>688</v>
      </c>
      <c r="B1633" s="3">
        <f t="shared" si="18"/>
        <v>45108</v>
      </c>
      <c r="C1633" s="2" t="str">
        <f>VLOOKUP(MONTH(Tabela1[[#This Row],[Periodo]]),NUMMESES,2,FALSE)</f>
        <v>Julho</v>
      </c>
      <c r="D1633" s="2">
        <f>YEAR(Tabela1[[#This Row],[Periodo]])</f>
        <v>2023</v>
      </c>
      <c r="E1633" s="33">
        <f>(INDEX(TBBP[],MATCH(9,planoContas,0)+1,MATCH(Tabela1[[#This Row],[Periodo]],listaPeriodos,0))/INDEX(TBBP[],MATCH("3.1",planoContas,0)+1,MATCH(Tabela1[[#This Row],[Periodo]],listaPeriodos,0)))</f>
        <v>8.6601170685653775E-2</v>
      </c>
      <c r="F1633" s="34"/>
      <c r="G1633" s="34"/>
      <c r="H1633" s="34"/>
    </row>
    <row r="1634" spans="1:8" x14ac:dyDescent="0.3">
      <c r="A1634" t="s">
        <v>688</v>
      </c>
      <c r="B1634" s="3">
        <f t="shared" si="18"/>
        <v>45139</v>
      </c>
      <c r="C1634" s="2" t="str">
        <f>VLOOKUP(MONTH(Tabela1[[#This Row],[Periodo]]),NUMMESES,2,FALSE)</f>
        <v>Agosto</v>
      </c>
      <c r="D1634" s="2">
        <f>YEAR(Tabela1[[#This Row],[Periodo]])</f>
        <v>2023</v>
      </c>
      <c r="E1634" s="33">
        <f>(INDEX(TBBP[],MATCH(9,planoContas,0)+1,MATCH(Tabela1[[#This Row],[Periodo]],listaPeriodos,0))/INDEX(TBBP[],MATCH("3.1",planoContas,0)+1,MATCH(Tabela1[[#This Row],[Periodo]],listaPeriodos,0)))</f>
        <v>0.20275539542722804</v>
      </c>
      <c r="F1634" s="34"/>
      <c r="G1634" s="34"/>
      <c r="H1634" s="34"/>
    </row>
    <row r="1635" spans="1:8" x14ac:dyDescent="0.3">
      <c r="A1635" t="s">
        <v>688</v>
      </c>
      <c r="B1635" s="3">
        <f t="shared" si="18"/>
        <v>45170</v>
      </c>
      <c r="C1635" s="2" t="str">
        <f>VLOOKUP(MONTH(Tabela1[[#This Row],[Periodo]]),NUMMESES,2,FALSE)</f>
        <v>Setembro</v>
      </c>
      <c r="D1635" s="2">
        <f>YEAR(Tabela1[[#This Row],[Periodo]])</f>
        <v>2023</v>
      </c>
      <c r="E1635" s="33">
        <f>(INDEX(TBBP[],MATCH(9,planoContas,0)+1,MATCH(Tabela1[[#This Row],[Periodo]],listaPeriodos,0))/INDEX(TBBP[],MATCH("3.1",planoContas,0)+1,MATCH(Tabela1[[#This Row],[Periodo]],listaPeriodos,0)))</f>
        <v>0.18491451831586891</v>
      </c>
      <c r="F1635" s="34"/>
      <c r="G1635" s="34"/>
      <c r="H1635" s="34"/>
    </row>
    <row r="1636" spans="1:8" x14ac:dyDescent="0.3">
      <c r="A1636" t="s">
        <v>688</v>
      </c>
      <c r="B1636" s="3">
        <f t="shared" si="18"/>
        <v>45200</v>
      </c>
      <c r="C1636" s="2" t="str">
        <f>VLOOKUP(MONTH(Tabela1[[#This Row],[Periodo]]),NUMMESES,2,FALSE)</f>
        <v>Outubro</v>
      </c>
      <c r="D1636" s="2">
        <f>YEAR(Tabela1[[#This Row],[Periodo]])</f>
        <v>2023</v>
      </c>
      <c r="E1636" s="33">
        <f>(INDEX(TBBP[],MATCH(9,planoContas,0)+1,MATCH(Tabela1[[#This Row],[Periodo]],listaPeriodos,0))/INDEX(TBBP[],MATCH("3.1",planoContas,0)+1,MATCH(Tabela1[[#This Row],[Periodo]],listaPeriodos,0)))</f>
        <v>0.23934826943231621</v>
      </c>
      <c r="F1636" s="34"/>
      <c r="G1636" s="34"/>
      <c r="H1636" s="34"/>
    </row>
    <row r="1637" spans="1:8" x14ac:dyDescent="0.3">
      <c r="A1637" t="s">
        <v>688</v>
      </c>
      <c r="B1637" s="3">
        <f t="shared" si="18"/>
        <v>45231</v>
      </c>
      <c r="C1637" s="2" t="str">
        <f>VLOOKUP(MONTH(Tabela1[[#This Row],[Periodo]]),NUMMESES,2,FALSE)</f>
        <v>Novembro</v>
      </c>
      <c r="D1637" s="2">
        <f>YEAR(Tabela1[[#This Row],[Periodo]])</f>
        <v>2023</v>
      </c>
      <c r="E1637" s="33">
        <f>(INDEX(TBBP[],MATCH(9,planoContas,0)+1,MATCH(Tabela1[[#This Row],[Periodo]],listaPeriodos,0))/INDEX(TBBP[],MATCH("3.1",planoContas,0)+1,MATCH(Tabela1[[#This Row],[Periodo]],listaPeriodos,0)))</f>
        <v>6.6776069233938529E-2</v>
      </c>
      <c r="F1637" s="34"/>
      <c r="G1637" s="34"/>
      <c r="H1637" s="34"/>
    </row>
    <row r="1638" spans="1:8" x14ac:dyDescent="0.3">
      <c r="A1638" t="s">
        <v>688</v>
      </c>
      <c r="B1638" s="3">
        <f t="shared" si="18"/>
        <v>45261</v>
      </c>
      <c r="C1638" s="2" t="str">
        <f>VLOOKUP(MONTH(Tabela1[[#This Row],[Periodo]]),NUMMESES,2,FALSE)</f>
        <v>Dezembro</v>
      </c>
      <c r="D1638" s="2">
        <f>YEAR(Tabela1[[#This Row],[Periodo]])</f>
        <v>2023</v>
      </c>
      <c r="E1638" s="33">
        <f>(INDEX(TBBP[],MATCH(9,planoContas,0)+1,MATCH(Tabela1[[#This Row],[Periodo]],listaPeriodos,0))/INDEX(TBBP[],MATCH("3.1",planoContas,0)+1,MATCH(Tabela1[[#This Row],[Periodo]],listaPeriodos,0)))</f>
        <v>0.29616342626070846</v>
      </c>
      <c r="F1638" s="34"/>
      <c r="G1638" s="34"/>
      <c r="H1638" s="34"/>
    </row>
    <row r="1639" spans="1:8" x14ac:dyDescent="0.3">
      <c r="A1639" t="s">
        <v>688</v>
      </c>
      <c r="B1639" s="3">
        <f t="shared" si="18"/>
        <v>45292</v>
      </c>
      <c r="C1639" s="2" t="str">
        <f>VLOOKUP(MONTH(Tabela1[[#This Row],[Periodo]]),NUMMESES,2,FALSE)</f>
        <v>Janeiro</v>
      </c>
      <c r="D1639" s="2">
        <f>YEAR(Tabela1[[#This Row],[Periodo]])</f>
        <v>2024</v>
      </c>
      <c r="E1639" s="33">
        <f>(INDEX(TBBP[],MATCH(9,planoContas,0)+1,MATCH(Tabela1[[#This Row],[Periodo]],listaPeriodos,0))/INDEX(TBBP[],MATCH("3.1",planoContas,0)+1,MATCH(Tabela1[[#This Row],[Periodo]],listaPeriodos,0)))</f>
        <v>0.11717771058020307</v>
      </c>
      <c r="F1639" s="34"/>
      <c r="G1639" s="34"/>
      <c r="H1639" s="34"/>
    </row>
    <row r="1640" spans="1:8" x14ac:dyDescent="0.3">
      <c r="A1640" t="s">
        <v>688</v>
      </c>
      <c r="B1640" s="3">
        <f t="shared" si="18"/>
        <v>45323</v>
      </c>
      <c r="C1640" s="2" t="str">
        <f>VLOOKUP(MONTH(Tabela1[[#This Row],[Periodo]]),NUMMESES,2,FALSE)</f>
        <v>Fevereiro</v>
      </c>
      <c r="D1640" s="2">
        <f>YEAR(Tabela1[[#This Row],[Periodo]])</f>
        <v>2024</v>
      </c>
      <c r="E1640" s="33">
        <f>(INDEX(TBBP[],MATCH(9,planoContas,0)+1,MATCH(Tabela1[[#This Row],[Periodo]],listaPeriodos,0))/INDEX(TBBP[],MATCH("3.1",planoContas,0)+1,MATCH(Tabela1[[#This Row],[Periodo]],listaPeriodos,0)))</f>
        <v>0.21061536053410995</v>
      </c>
      <c r="F1640" s="34"/>
      <c r="G1640" s="34"/>
      <c r="H1640" s="34"/>
    </row>
    <row r="1641" spans="1:8" x14ac:dyDescent="0.3">
      <c r="A1641" t="s">
        <v>688</v>
      </c>
      <c r="B1641" s="3">
        <f t="shared" si="18"/>
        <v>45352</v>
      </c>
      <c r="C1641" s="2" t="str">
        <f>VLOOKUP(MONTH(Tabela1[[#This Row],[Periodo]]),NUMMESES,2,FALSE)</f>
        <v>Março</v>
      </c>
      <c r="D1641" s="2">
        <f>YEAR(Tabela1[[#This Row],[Periodo]])</f>
        <v>2024</v>
      </c>
      <c r="E1641" s="33">
        <f>(INDEX(TBBP[],MATCH(9,planoContas,0)+1,MATCH(Tabela1[[#This Row],[Periodo]],listaPeriodos,0))/INDEX(TBBP[],MATCH("3.1",planoContas,0)+1,MATCH(Tabela1[[#This Row],[Periodo]],listaPeriodos,0)))</f>
        <v>0.16643807440276764</v>
      </c>
      <c r="F1641" s="34"/>
      <c r="G1641" s="34"/>
      <c r="H1641" s="34"/>
    </row>
    <row r="1642" spans="1:8" x14ac:dyDescent="0.3">
      <c r="A1642" t="s">
        <v>688</v>
      </c>
      <c r="B1642" s="3">
        <f t="shared" si="18"/>
        <v>45383</v>
      </c>
      <c r="C1642" s="2" t="str">
        <f>VLOOKUP(MONTH(Tabela1[[#This Row],[Periodo]]),NUMMESES,2,FALSE)</f>
        <v>Abril</v>
      </c>
      <c r="D1642" s="2">
        <f>YEAR(Tabela1[[#This Row],[Periodo]])</f>
        <v>2024</v>
      </c>
      <c r="E1642" s="33">
        <f>(INDEX(TBBP[],MATCH(9,planoContas,0)+1,MATCH(Tabela1[[#This Row],[Periodo]],listaPeriodos,0))/INDEX(TBBP[],MATCH("3.1",planoContas,0)+1,MATCH(Tabela1[[#This Row],[Periodo]],listaPeriodos,0)))</f>
        <v>0.26946038237458037</v>
      </c>
      <c r="F1642" s="34"/>
      <c r="G1642" s="34"/>
      <c r="H1642" s="34"/>
    </row>
    <row r="1643" spans="1:8" x14ac:dyDescent="0.3">
      <c r="A1643" t="s">
        <v>688</v>
      </c>
      <c r="B1643" s="3">
        <f t="shared" si="18"/>
        <v>45413</v>
      </c>
      <c r="C1643" s="2" t="str">
        <f>VLOOKUP(MONTH(Tabela1[[#This Row],[Periodo]]),NUMMESES,2,FALSE)</f>
        <v>Maio</v>
      </c>
      <c r="D1643" s="2">
        <f>YEAR(Tabela1[[#This Row],[Periodo]])</f>
        <v>2024</v>
      </c>
      <c r="E1643" s="33">
        <f>(INDEX(TBBP[],MATCH(9,planoContas,0)+1,MATCH(Tabela1[[#This Row],[Periodo]],listaPeriodos,0))/INDEX(TBBP[],MATCH("3.1",planoContas,0)+1,MATCH(Tabela1[[#This Row],[Periodo]],listaPeriodos,0)))</f>
        <v>0.24686593905114815</v>
      </c>
      <c r="F1643" s="34"/>
      <c r="G1643" s="34"/>
      <c r="H1643" s="34"/>
    </row>
    <row r="1644" spans="1:8" x14ac:dyDescent="0.3">
      <c r="A1644" t="s">
        <v>688</v>
      </c>
      <c r="B1644" s="3">
        <f t="shared" si="18"/>
        <v>45444</v>
      </c>
      <c r="C1644" s="2" t="str">
        <f>VLOOKUP(MONTH(Tabela1[[#This Row],[Periodo]]),NUMMESES,2,FALSE)</f>
        <v>Junho</v>
      </c>
      <c r="D1644" s="2">
        <f>YEAR(Tabela1[[#This Row],[Periodo]])</f>
        <v>2024</v>
      </c>
      <c r="E1644" s="33">
        <f>(INDEX(TBBP[],MATCH(9,planoContas,0)+1,MATCH(Tabela1[[#This Row],[Periodo]],listaPeriodos,0))/INDEX(TBBP[],MATCH("3.1",planoContas,0)+1,MATCH(Tabela1[[#This Row],[Periodo]],listaPeriodos,0)))</f>
        <v>0.23783550505725798</v>
      </c>
      <c r="F1644" s="34"/>
      <c r="G1644" s="34"/>
      <c r="H1644" s="34"/>
    </row>
    <row r="1645" spans="1:8" x14ac:dyDescent="0.3">
      <c r="A1645" t="s">
        <v>688</v>
      </c>
      <c r="B1645" s="3">
        <f t="shared" si="18"/>
        <v>45474</v>
      </c>
      <c r="C1645" s="2" t="str">
        <f>VLOOKUP(MONTH(Tabela1[[#This Row],[Periodo]]),NUMMESES,2,FALSE)</f>
        <v>Julho</v>
      </c>
      <c r="D1645" s="2">
        <f>YEAR(Tabela1[[#This Row],[Periodo]])</f>
        <v>2024</v>
      </c>
      <c r="E1645" s="33">
        <f>(INDEX(TBBP[],MATCH(9,planoContas,0)+1,MATCH(Tabela1[[#This Row],[Periodo]],listaPeriodos,0))/INDEX(TBBP[],MATCH("3.1",planoContas,0)+1,MATCH(Tabela1[[#This Row],[Periodo]],listaPeriodos,0)))</f>
        <v>0.15249509819150403</v>
      </c>
      <c r="F1645" s="34"/>
      <c r="G1645" s="34"/>
      <c r="H1645" s="34"/>
    </row>
    <row r="1646" spans="1:8" x14ac:dyDescent="0.3">
      <c r="A1646" t="s">
        <v>688</v>
      </c>
      <c r="B1646" s="3">
        <f t="shared" si="18"/>
        <v>45505</v>
      </c>
      <c r="C1646" s="2" t="str">
        <f>VLOOKUP(MONTH(Tabela1[[#This Row],[Periodo]]),NUMMESES,2,FALSE)</f>
        <v>Agosto</v>
      </c>
      <c r="D1646" s="2">
        <f>YEAR(Tabela1[[#This Row],[Periodo]])</f>
        <v>2024</v>
      </c>
      <c r="E1646" s="33">
        <f>(INDEX(TBBP[],MATCH(9,planoContas,0)+1,MATCH(Tabela1[[#This Row],[Periodo]],listaPeriodos,0))/INDEX(TBBP[],MATCH("3.1",planoContas,0)+1,MATCH(Tabela1[[#This Row],[Periodo]],listaPeriodos,0)))</f>
        <v>5.6259983799424894E-2</v>
      </c>
      <c r="F1646" s="34"/>
      <c r="G1646" s="34"/>
      <c r="H1646" s="34"/>
    </row>
    <row r="1647" spans="1:8" x14ac:dyDescent="0.3">
      <c r="A1647" t="s">
        <v>688</v>
      </c>
      <c r="B1647" s="3">
        <f t="shared" si="18"/>
        <v>45536</v>
      </c>
      <c r="C1647" s="2" t="str">
        <f>VLOOKUP(MONTH(Tabela1[[#This Row],[Periodo]]),NUMMESES,2,FALSE)</f>
        <v>Setembro</v>
      </c>
      <c r="D1647" s="2">
        <f>YEAR(Tabela1[[#This Row],[Periodo]])</f>
        <v>2024</v>
      </c>
      <c r="E1647" s="33">
        <f>(INDEX(TBBP[],MATCH(9,planoContas,0)+1,MATCH(Tabela1[[#This Row],[Periodo]],listaPeriodos,0))/INDEX(TBBP[],MATCH("3.1",planoContas,0)+1,MATCH(Tabela1[[#This Row],[Periodo]],listaPeriodos,0)))</f>
        <v>0.17039588908220363</v>
      </c>
      <c r="F1647" s="34"/>
      <c r="G1647" s="34"/>
      <c r="H1647" s="34"/>
    </row>
    <row r="1648" spans="1:8" x14ac:dyDescent="0.3">
      <c r="A1648" t="s">
        <v>688</v>
      </c>
      <c r="B1648" s="3">
        <f t="shared" si="18"/>
        <v>45566</v>
      </c>
      <c r="C1648" s="2" t="str">
        <f>VLOOKUP(MONTH(Tabela1[[#This Row],[Periodo]]),NUMMESES,2,FALSE)</f>
        <v>Outubro</v>
      </c>
      <c r="D1648" s="2">
        <f>YEAR(Tabela1[[#This Row],[Periodo]])</f>
        <v>2024</v>
      </c>
      <c r="E1648" s="33">
        <f>(INDEX(TBBP[],MATCH(9,planoContas,0)+1,MATCH(Tabela1[[#This Row],[Periodo]],listaPeriodos,0))/INDEX(TBBP[],MATCH("3.1",planoContas,0)+1,MATCH(Tabela1[[#This Row],[Periodo]],listaPeriodos,0)))</f>
        <v>0.13728602764400807</v>
      </c>
      <c r="F1648" s="34"/>
      <c r="G1648" s="34"/>
      <c r="H1648" s="34"/>
    </row>
    <row r="1649" spans="1:8" x14ac:dyDescent="0.3">
      <c r="A1649" t="s">
        <v>688</v>
      </c>
      <c r="B1649" s="3">
        <f t="shared" si="18"/>
        <v>45597</v>
      </c>
      <c r="C1649" s="2" t="str">
        <f>VLOOKUP(MONTH(Tabela1[[#This Row],[Periodo]]),NUMMESES,2,FALSE)</f>
        <v>Novembro</v>
      </c>
      <c r="D1649" s="2">
        <f>YEAR(Tabela1[[#This Row],[Periodo]])</f>
        <v>2024</v>
      </c>
      <c r="E1649" s="33">
        <f>(INDEX(TBBP[],MATCH(9,planoContas,0)+1,MATCH(Tabela1[[#This Row],[Periodo]],listaPeriodos,0))/INDEX(TBBP[],MATCH("3.1",planoContas,0)+1,MATCH(Tabela1[[#This Row],[Periodo]],listaPeriodos,0)))</f>
        <v>3.6361110538281761E-2</v>
      </c>
      <c r="F1649" s="34"/>
      <c r="G1649" s="34"/>
      <c r="H1649" s="34"/>
    </row>
    <row r="1650" spans="1:8" x14ac:dyDescent="0.3">
      <c r="A1650" t="s">
        <v>688</v>
      </c>
      <c r="B1650" s="3">
        <f t="shared" si="18"/>
        <v>45627</v>
      </c>
      <c r="C1650" s="2" t="str">
        <f>VLOOKUP(MONTH(Tabela1[[#This Row],[Periodo]]),NUMMESES,2,FALSE)</f>
        <v>Dezembro</v>
      </c>
      <c r="D1650" s="2">
        <f>YEAR(Tabela1[[#This Row],[Periodo]])</f>
        <v>2024</v>
      </c>
      <c r="E1650" s="33">
        <f>(INDEX(TBBP[],MATCH(9,planoContas,0)+1,MATCH(Tabela1[[#This Row],[Periodo]],listaPeriodos,0))/INDEX(TBBP[],MATCH("3.1",planoContas,0)+1,MATCH(Tabela1[[#This Row],[Periodo]],listaPeriodos,0)))</f>
        <v>0.26613040968054869</v>
      </c>
      <c r="F1650" s="34"/>
      <c r="G1650" s="34"/>
      <c r="H1650" s="34"/>
    </row>
    <row r="1651" spans="1:8" x14ac:dyDescent="0.3">
      <c r="A1651" t="s">
        <v>688</v>
      </c>
      <c r="B1651" s="3">
        <f t="shared" si="18"/>
        <v>45658</v>
      </c>
      <c r="C1651" s="2" t="str">
        <f>VLOOKUP(MONTH(Tabela1[[#This Row],[Periodo]]),NUMMESES,2,FALSE)</f>
        <v>Janeiro</v>
      </c>
      <c r="D1651" s="2">
        <f>YEAR(Tabela1[[#This Row],[Periodo]])</f>
        <v>2025</v>
      </c>
      <c r="E1651" s="33">
        <f>(INDEX(TBBP[],MATCH(9,planoContas,0)+1,MATCH(Tabela1[[#This Row],[Periodo]],listaPeriodos,0))/INDEX(TBBP[],MATCH("3.1",planoContas,0)+1,MATCH(Tabela1[[#This Row],[Periodo]],listaPeriodos,0)))</f>
        <v>9.9396572976203273E-2</v>
      </c>
      <c r="F1651" s="34"/>
      <c r="G1651" s="34"/>
      <c r="H1651" s="34"/>
    </row>
    <row r="1652" spans="1:8" x14ac:dyDescent="0.3">
      <c r="A1652" t="s">
        <v>688</v>
      </c>
      <c r="B1652" s="3">
        <f t="shared" si="18"/>
        <v>45689</v>
      </c>
      <c r="C1652" s="2" t="str">
        <f>VLOOKUP(MONTH(Tabela1[[#This Row],[Periodo]]),NUMMESES,2,FALSE)</f>
        <v>Fevereiro</v>
      </c>
      <c r="D1652" s="2">
        <f>YEAR(Tabela1[[#This Row],[Periodo]])</f>
        <v>2025</v>
      </c>
      <c r="E1652" s="33">
        <f>(INDEX(TBBP[],MATCH(9,planoContas,0)+1,MATCH(Tabela1[[#This Row],[Periodo]],listaPeriodos,0))/INDEX(TBBP[],MATCH("3.1",planoContas,0)+1,MATCH(Tabela1[[#This Row],[Periodo]],listaPeriodos,0)))</f>
        <v>0.14782002176156447</v>
      </c>
      <c r="F1652" s="34"/>
      <c r="G1652" s="34"/>
      <c r="H1652" s="34"/>
    </row>
    <row r="1653" spans="1:8" x14ac:dyDescent="0.3">
      <c r="A1653" t="s">
        <v>688</v>
      </c>
      <c r="B1653" s="3">
        <f t="shared" si="18"/>
        <v>45717</v>
      </c>
      <c r="C1653" s="2" t="str">
        <f>VLOOKUP(MONTH(Tabela1[[#This Row],[Periodo]]),NUMMESES,2,FALSE)</f>
        <v>Março</v>
      </c>
      <c r="D1653" s="2">
        <f>YEAR(Tabela1[[#This Row],[Periodo]])</f>
        <v>2025</v>
      </c>
      <c r="E1653" s="33">
        <f>(INDEX(TBBP[],MATCH(9,planoContas,0)+1,MATCH(Tabela1[[#This Row],[Periodo]],listaPeriodos,0))/INDEX(TBBP[],MATCH("3.1",planoContas,0)+1,MATCH(Tabela1[[#This Row],[Periodo]],listaPeriodos,0)))</f>
        <v>0.18556135799895715</v>
      </c>
      <c r="F1653" s="34"/>
      <c r="G1653" s="34"/>
      <c r="H1653" s="34"/>
    </row>
    <row r="1654" spans="1:8" x14ac:dyDescent="0.3">
      <c r="A1654" t="s">
        <v>688</v>
      </c>
      <c r="B1654" s="3">
        <f t="shared" si="18"/>
        <v>45748</v>
      </c>
      <c r="C1654" s="2" t="str">
        <f>VLOOKUP(MONTH(Tabela1[[#This Row],[Periodo]]),NUMMESES,2,FALSE)</f>
        <v>Abril</v>
      </c>
      <c r="D1654" s="2">
        <f>YEAR(Tabela1[[#This Row],[Periodo]])</f>
        <v>2025</v>
      </c>
      <c r="E1654" s="33">
        <f>(INDEX(TBBP[],MATCH(9,planoContas,0)+1,MATCH(Tabela1[[#This Row],[Periodo]],listaPeriodos,0))/INDEX(TBBP[],MATCH("3.1",planoContas,0)+1,MATCH(Tabela1[[#This Row],[Periodo]],listaPeriodos,0)))</f>
        <v>0.22429639854442365</v>
      </c>
      <c r="F1654" s="34"/>
      <c r="G1654" s="34"/>
      <c r="H1654" s="34"/>
    </row>
    <row r="1655" spans="1:8" x14ac:dyDescent="0.3">
      <c r="A1655" t="s">
        <v>688</v>
      </c>
      <c r="B1655" s="3">
        <f t="shared" si="18"/>
        <v>45778</v>
      </c>
      <c r="C1655" s="2" t="str">
        <f>VLOOKUP(MONTH(Tabela1[[#This Row],[Periodo]]),NUMMESES,2,FALSE)</f>
        <v>Maio</v>
      </c>
      <c r="D1655" s="2">
        <f>YEAR(Tabela1[[#This Row],[Periodo]])</f>
        <v>2025</v>
      </c>
      <c r="E1655" s="33">
        <f>(INDEX(TBBP[],MATCH(9,planoContas,0)+1,MATCH(Tabela1[[#This Row],[Periodo]],listaPeriodos,0))/INDEX(TBBP[],MATCH("3.1",planoContas,0)+1,MATCH(Tabela1[[#This Row],[Periodo]],listaPeriodos,0)))</f>
        <v>0.18984207061145453</v>
      </c>
      <c r="F1655" s="34"/>
      <c r="G1655" s="34"/>
      <c r="H1655" s="34"/>
    </row>
    <row r="1656" spans="1:8" x14ac:dyDescent="0.3">
      <c r="A1656" t="s">
        <v>688</v>
      </c>
      <c r="B1656" s="3">
        <f t="shared" si="18"/>
        <v>45809</v>
      </c>
      <c r="C1656" s="2" t="str">
        <f>VLOOKUP(MONTH(Tabela1[[#This Row],[Periodo]]),NUMMESES,2,FALSE)</f>
        <v>Junho</v>
      </c>
      <c r="D1656" s="2">
        <f>YEAR(Tabela1[[#This Row],[Periodo]])</f>
        <v>2025</v>
      </c>
      <c r="E1656" s="33">
        <f>(INDEX(TBBP[],MATCH(9,planoContas,0)+1,MATCH(Tabela1[[#This Row],[Periodo]],listaPeriodos,0))/INDEX(TBBP[],MATCH("3.1",planoContas,0)+1,MATCH(Tabela1[[#This Row],[Periodo]],listaPeriodos,0)))</f>
        <v>-0.11261533332561117</v>
      </c>
      <c r="F1656" s="34"/>
      <c r="G1656" s="34"/>
      <c r="H1656" s="34"/>
    </row>
    <row r="1657" spans="1:8" x14ac:dyDescent="0.3">
      <c r="A1657" t="s">
        <v>688</v>
      </c>
      <c r="B1657" s="3">
        <f t="shared" si="18"/>
        <v>45839</v>
      </c>
      <c r="C1657" s="2" t="str">
        <f>VLOOKUP(MONTH(Tabela1[[#This Row],[Periodo]]),NUMMESES,2,FALSE)</f>
        <v>Julho</v>
      </c>
      <c r="D1657" s="2">
        <f>YEAR(Tabela1[[#This Row],[Periodo]])</f>
        <v>2025</v>
      </c>
      <c r="E1657" s="33">
        <f>(INDEX(TBBP[],MATCH(9,planoContas,0)+1,MATCH(Tabela1[[#This Row],[Periodo]],listaPeriodos,0))/INDEX(TBBP[],MATCH("3.1",planoContas,0)+1,MATCH(Tabela1[[#This Row],[Periodo]],listaPeriodos,0)))</f>
        <v>0.10959739688340106</v>
      </c>
      <c r="F1657" s="34"/>
      <c r="G1657" s="34"/>
      <c r="H1657" s="34"/>
    </row>
    <row r="1658" spans="1:8" x14ac:dyDescent="0.3">
      <c r="A1658" t="s">
        <v>688</v>
      </c>
      <c r="B1658" s="3">
        <f t="shared" si="18"/>
        <v>45870</v>
      </c>
      <c r="C1658" s="2" t="str">
        <f>VLOOKUP(MONTH(Tabela1[[#This Row],[Periodo]]),NUMMESES,2,FALSE)</f>
        <v>Agosto</v>
      </c>
      <c r="D1658" s="2">
        <f>YEAR(Tabela1[[#This Row],[Periodo]])</f>
        <v>2025</v>
      </c>
      <c r="E1658" s="33">
        <f>(INDEX(TBBP[],MATCH(9,planoContas,0)+1,MATCH(Tabela1[[#This Row],[Periodo]],listaPeriodos,0))/INDEX(TBBP[],MATCH("3.1",planoContas,0)+1,MATCH(Tabela1[[#This Row],[Periodo]],listaPeriodos,0)))</f>
        <v>0.12854782512117005</v>
      </c>
      <c r="F1658" s="34"/>
      <c r="G1658" s="34"/>
      <c r="H1658" s="34"/>
    </row>
    <row r="1659" spans="1:8" x14ac:dyDescent="0.3">
      <c r="A1659" t="s">
        <v>688</v>
      </c>
      <c r="B1659" s="3">
        <f t="shared" si="18"/>
        <v>45901</v>
      </c>
      <c r="C1659" s="2" t="str">
        <f>VLOOKUP(MONTH(Tabela1[[#This Row],[Periodo]]),NUMMESES,2,FALSE)</f>
        <v>Setembro</v>
      </c>
      <c r="D1659" s="2">
        <f>YEAR(Tabela1[[#This Row],[Periodo]])</f>
        <v>2025</v>
      </c>
      <c r="E1659" s="33">
        <f>(INDEX(TBBP[],MATCH(9,planoContas,0)+1,MATCH(Tabela1[[#This Row],[Periodo]],listaPeriodos,0))/INDEX(TBBP[],MATCH("3.1",planoContas,0)+1,MATCH(Tabela1[[#This Row],[Periodo]],listaPeriodos,0)))</f>
        <v>2.1977090753210755E-2</v>
      </c>
      <c r="F1659" s="34"/>
      <c r="G1659" s="34"/>
      <c r="H1659" s="34"/>
    </row>
    <row r="1660" spans="1:8" x14ac:dyDescent="0.3">
      <c r="A1660" t="s">
        <v>688</v>
      </c>
      <c r="B1660" s="3">
        <f t="shared" si="18"/>
        <v>45931</v>
      </c>
      <c r="C1660" s="2" t="str">
        <f>VLOOKUP(MONTH(Tabela1[[#This Row],[Periodo]]),NUMMESES,2,FALSE)</f>
        <v>Outubro</v>
      </c>
      <c r="D1660" s="2">
        <f>YEAR(Tabela1[[#This Row],[Periodo]])</f>
        <v>2025</v>
      </c>
      <c r="E1660" s="33">
        <f>(INDEX(TBBP[],MATCH(9,planoContas,0)+1,MATCH(Tabela1[[#This Row],[Periodo]],listaPeriodos,0))/INDEX(TBBP[],MATCH("3.1",planoContas,0)+1,MATCH(Tabela1[[#This Row],[Periodo]],listaPeriodos,0)))</f>
        <v>0.11276779720289265</v>
      </c>
      <c r="F1660" s="34"/>
      <c r="G1660" s="34"/>
      <c r="H1660" s="34"/>
    </row>
    <row r="1661" spans="1:8" x14ac:dyDescent="0.3">
      <c r="A1661" t="s">
        <v>688</v>
      </c>
      <c r="B1661" s="3">
        <f t="shared" si="18"/>
        <v>45962</v>
      </c>
      <c r="C1661" s="2" t="str">
        <f>VLOOKUP(MONTH(Tabela1[[#This Row],[Periodo]]),NUMMESES,2,FALSE)</f>
        <v>Novembro</v>
      </c>
      <c r="D1661" s="2">
        <f>YEAR(Tabela1[[#This Row],[Periodo]])</f>
        <v>2025</v>
      </c>
      <c r="E1661" s="33">
        <f>(INDEX(TBBP[],MATCH(9,planoContas,0)+1,MATCH(Tabela1[[#This Row],[Periodo]],listaPeriodos,0))/INDEX(TBBP[],MATCH("3.1",planoContas,0)+1,MATCH(Tabela1[[#This Row],[Periodo]],listaPeriodos,0)))</f>
        <v>0.10222387048204497</v>
      </c>
      <c r="F1661" s="34"/>
      <c r="G1661" s="34"/>
      <c r="H1661" s="34"/>
    </row>
    <row r="1662" spans="1:8" x14ac:dyDescent="0.3">
      <c r="A1662" t="s">
        <v>688</v>
      </c>
      <c r="B1662" s="3">
        <f t="shared" si="18"/>
        <v>45992</v>
      </c>
      <c r="C1662" s="2" t="str">
        <f>VLOOKUP(MONTH(Tabela1[[#This Row],[Periodo]]),NUMMESES,2,FALSE)</f>
        <v>Dezembro</v>
      </c>
      <c r="D1662" s="2">
        <f>YEAR(Tabela1[[#This Row],[Periodo]])</f>
        <v>2025</v>
      </c>
      <c r="E1662" s="33">
        <f>(INDEX(TBBP[],MATCH(9,planoContas,0)+1,MATCH(Tabela1[[#This Row],[Periodo]],listaPeriodos,0))/INDEX(TBBP[],MATCH("3.1",planoContas,0)+1,MATCH(Tabela1[[#This Row],[Periodo]],listaPeriodos,0)))</f>
        <v>-5.38553098002683E-3</v>
      </c>
      <c r="F1662" s="34"/>
      <c r="G1662" s="34"/>
      <c r="H1662" s="34"/>
    </row>
    <row r="1663" spans="1:8" x14ac:dyDescent="0.3">
      <c r="A1663" t="s">
        <v>688</v>
      </c>
      <c r="B1663" s="3">
        <f t="shared" si="18"/>
        <v>46023</v>
      </c>
      <c r="C1663" s="2" t="str">
        <f>VLOOKUP(MONTH(Tabela1[[#This Row],[Periodo]]),NUMMESES,2,FALSE)</f>
        <v>Janeiro</v>
      </c>
      <c r="D1663" s="2">
        <f>YEAR(Tabela1[[#This Row],[Periodo]])</f>
        <v>2026</v>
      </c>
      <c r="E1663" s="33">
        <f>(INDEX(TBBP[],MATCH(9,planoContas,0)+1,MATCH(Tabela1[[#This Row],[Periodo]],listaPeriodos,0))/INDEX(TBBP[],MATCH("3.1",planoContas,0)+1,MATCH(Tabela1[[#This Row],[Periodo]],listaPeriodos,0)))</f>
        <v>0.13320191234582773</v>
      </c>
      <c r="F1663" s="34"/>
      <c r="G1663" s="34"/>
      <c r="H1663" s="34"/>
    </row>
    <row r="1664" spans="1:8" x14ac:dyDescent="0.3">
      <c r="B1664" s="3"/>
      <c r="C1664" s="2"/>
      <c r="D1664" s="2"/>
      <c r="E1664" s="33"/>
      <c r="F1664" s="34"/>
      <c r="G1664" s="34"/>
      <c r="H1664" s="34"/>
    </row>
    <row r="1665" spans="1:8" x14ac:dyDescent="0.3">
      <c r="A1665" t="s">
        <v>689</v>
      </c>
      <c r="B1665" s="3">
        <v>41609</v>
      </c>
      <c r="C1665" s="2" t="str">
        <f>VLOOKUP(MONTH(Tabela1[[#This Row],[Periodo]]),NUMMESES,2,FALSE)</f>
        <v>Dezembro</v>
      </c>
      <c r="D1665" s="2">
        <f>YEAR(Tabela1[[#This Row],[Periodo]])</f>
        <v>2013</v>
      </c>
      <c r="E1665" s="42" t="e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#DIV/0!</v>
      </c>
      <c r="F1665" s="34"/>
      <c r="G1665" s="34"/>
      <c r="H1665" s="34"/>
    </row>
    <row r="1666" spans="1:8" x14ac:dyDescent="0.3">
      <c r="A1666" t="s">
        <v>689</v>
      </c>
      <c r="B1666" s="3">
        <v>41974</v>
      </c>
      <c r="C1666" s="2" t="str">
        <f>VLOOKUP(MONTH(Tabela1[[#This Row],[Periodo]]),NUMMESES,2,FALSE)</f>
        <v>Dezembro</v>
      </c>
      <c r="D1666" s="2">
        <f>YEAR(Tabela1[[#This Row],[Periodo]])</f>
        <v>2014</v>
      </c>
      <c r="E1666" s="42" t="e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#DIV/0!</v>
      </c>
      <c r="F1666" s="34"/>
      <c r="G1666" s="34"/>
      <c r="H1666" s="34"/>
    </row>
    <row r="1667" spans="1:8" x14ac:dyDescent="0.3">
      <c r="A1667" t="s">
        <v>689</v>
      </c>
      <c r="B1667" s="3">
        <v>42339</v>
      </c>
      <c r="C1667" s="2" t="str">
        <f>VLOOKUP(MONTH(Tabela1[[#This Row],[Periodo]]),NUMMESES,2,FALSE)</f>
        <v>Dezembro</v>
      </c>
      <c r="D1667" s="2">
        <f>YEAR(Tabela1[[#This Row],[Periodo]])</f>
        <v>2015</v>
      </c>
      <c r="E1667" s="42" t="e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#DIV/0!</v>
      </c>
      <c r="F1667" s="34"/>
      <c r="G1667" s="34"/>
      <c r="H1667" s="34"/>
    </row>
    <row r="1668" spans="1:8" x14ac:dyDescent="0.3">
      <c r="A1668" t="s">
        <v>689</v>
      </c>
      <c r="B1668" s="3">
        <v>42705</v>
      </c>
      <c r="C1668" s="2" t="str">
        <f>VLOOKUP(MONTH(Tabela1[[#This Row],[Periodo]]),NUMMESES,2,FALSE)</f>
        <v>Dezembro</v>
      </c>
      <c r="D1668" s="2">
        <f>YEAR(Tabela1[[#This Row],[Periodo]])</f>
        <v>2016</v>
      </c>
      <c r="E1668" s="42" t="e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#DIV/0!</v>
      </c>
      <c r="F1668" s="34"/>
      <c r="G1668" s="34"/>
      <c r="H1668" s="34"/>
    </row>
    <row r="1669" spans="1:8" x14ac:dyDescent="0.3">
      <c r="A1669" t="s">
        <v>689</v>
      </c>
      <c r="B1669" s="3">
        <v>43070</v>
      </c>
      <c r="C1669" s="2" t="str">
        <f>VLOOKUP(MONTH(Tabela1[[#This Row],[Periodo]]),NUMMESES,2,FALSE)</f>
        <v>Dezembro</v>
      </c>
      <c r="D1669" s="2">
        <f>YEAR(Tabela1[[#This Row],[Periodo]])</f>
        <v>2017</v>
      </c>
      <c r="E166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27.750622768986879</v>
      </c>
      <c r="F1669" s="34"/>
      <c r="G1669" s="34"/>
      <c r="H1669" s="34"/>
    </row>
    <row r="1670" spans="1:8" x14ac:dyDescent="0.3">
      <c r="A1670" t="s">
        <v>689</v>
      </c>
      <c r="B1670" s="3">
        <v>43101</v>
      </c>
      <c r="C1670" s="2" t="str">
        <f>VLOOKUP(MONTH(Tabela1[[#This Row],[Periodo]]),NUMMESES,2,FALSE)</f>
        <v>Janeiro</v>
      </c>
      <c r="D1670" s="2">
        <f>YEAR(Tabela1[[#This Row],[Periodo]])</f>
        <v>2018</v>
      </c>
      <c r="E167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428.12504791192634</v>
      </c>
      <c r="F1670" s="34"/>
      <c r="G1670" s="34"/>
      <c r="H1670" s="34"/>
    </row>
    <row r="1671" spans="1:8" x14ac:dyDescent="0.3">
      <c r="A1671" t="s">
        <v>689</v>
      </c>
      <c r="B1671" s="3">
        <f t="shared" ref="B1671:B1766" si="19">DATE(YEAR(B1670),MONTH(B1670)+1,DAY(B1670))</f>
        <v>43132</v>
      </c>
      <c r="C1671" s="2" t="str">
        <f>VLOOKUP(MONTH(Tabela1[[#This Row],[Periodo]]),NUMMESES,2,FALSE)</f>
        <v>Fevereiro</v>
      </c>
      <c r="D1671" s="2">
        <f>YEAR(Tabela1[[#This Row],[Periodo]])</f>
        <v>2018</v>
      </c>
      <c r="E167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343.57283457079001</v>
      </c>
      <c r="F1671" s="34"/>
      <c r="G1671" s="34"/>
      <c r="H1671" s="34"/>
    </row>
    <row r="1672" spans="1:8" x14ac:dyDescent="0.3">
      <c r="A1672" t="s">
        <v>689</v>
      </c>
      <c r="B1672" s="3">
        <f t="shared" si="19"/>
        <v>43160</v>
      </c>
      <c r="C1672" s="2" t="str">
        <f>VLOOKUP(MONTH(Tabela1[[#This Row],[Periodo]]),NUMMESES,2,FALSE)</f>
        <v>Março</v>
      </c>
      <c r="D1672" s="2">
        <f>YEAR(Tabela1[[#This Row],[Periodo]])</f>
        <v>2018</v>
      </c>
      <c r="E167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206.81030396622072</v>
      </c>
      <c r="F1672" s="34"/>
      <c r="G1672" s="34"/>
      <c r="H1672" s="34"/>
    </row>
    <row r="1673" spans="1:8" x14ac:dyDescent="0.3">
      <c r="A1673" t="s">
        <v>689</v>
      </c>
      <c r="B1673" s="3">
        <f t="shared" si="19"/>
        <v>43191</v>
      </c>
      <c r="C1673" s="2" t="str">
        <f>VLOOKUP(MONTH(Tabela1[[#This Row],[Periodo]]),NUMMESES,2,FALSE)</f>
        <v>Abril</v>
      </c>
      <c r="D1673" s="2">
        <f>YEAR(Tabela1[[#This Row],[Periodo]])</f>
        <v>2018</v>
      </c>
      <c r="E167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226.35976588066563</v>
      </c>
      <c r="F1673" s="34"/>
      <c r="G1673" s="34"/>
      <c r="H1673" s="34"/>
    </row>
    <row r="1674" spans="1:8" x14ac:dyDescent="0.3">
      <c r="A1674" t="s">
        <v>689</v>
      </c>
      <c r="B1674" s="3">
        <f t="shared" si="19"/>
        <v>43221</v>
      </c>
      <c r="C1674" s="2" t="str">
        <f>VLOOKUP(MONTH(Tabela1[[#This Row],[Periodo]]),NUMMESES,2,FALSE)</f>
        <v>Maio</v>
      </c>
      <c r="D1674" s="2">
        <f>YEAR(Tabela1[[#This Row],[Periodo]])</f>
        <v>2018</v>
      </c>
      <c r="E167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517.21192380146294</v>
      </c>
      <c r="F1674" s="34"/>
      <c r="G1674" s="34"/>
      <c r="H1674" s="34"/>
    </row>
    <row r="1675" spans="1:8" x14ac:dyDescent="0.3">
      <c r="A1675" t="s">
        <v>689</v>
      </c>
      <c r="B1675" s="3">
        <f t="shared" si="19"/>
        <v>43252</v>
      </c>
      <c r="C1675" s="2" t="str">
        <f>VLOOKUP(MONTH(Tabela1[[#This Row],[Periodo]]),NUMMESES,2,FALSE)</f>
        <v>Junho</v>
      </c>
      <c r="D1675" s="2">
        <f>YEAR(Tabela1[[#This Row],[Periodo]])</f>
        <v>2018</v>
      </c>
      <c r="E167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232.63179661355048</v>
      </c>
      <c r="F1675" s="34"/>
      <c r="G1675" s="34"/>
      <c r="H1675" s="34"/>
    </row>
    <row r="1676" spans="1:8" x14ac:dyDescent="0.3">
      <c r="A1676" t="s">
        <v>689</v>
      </c>
      <c r="B1676" s="3">
        <f t="shared" si="19"/>
        <v>43282</v>
      </c>
      <c r="C1676" s="2" t="str">
        <f>VLOOKUP(MONTH(Tabela1[[#This Row],[Periodo]]),NUMMESES,2,FALSE)</f>
        <v>Julho</v>
      </c>
      <c r="D1676" s="2">
        <f>YEAR(Tabela1[[#This Row],[Periodo]])</f>
        <v>2018</v>
      </c>
      <c r="E167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134.53564147147216</v>
      </c>
      <c r="F1676" s="34"/>
      <c r="G1676" s="34"/>
      <c r="H1676" s="34"/>
    </row>
    <row r="1677" spans="1:8" x14ac:dyDescent="0.3">
      <c r="A1677" t="s">
        <v>689</v>
      </c>
      <c r="B1677" s="3">
        <f t="shared" si="19"/>
        <v>43313</v>
      </c>
      <c r="C1677" s="2" t="str">
        <f>VLOOKUP(MONTH(Tabela1[[#This Row],[Periodo]]),NUMMESES,2,FALSE)</f>
        <v>Agosto</v>
      </c>
      <c r="D1677" s="2">
        <f>YEAR(Tabela1[[#This Row],[Periodo]])</f>
        <v>2018</v>
      </c>
      <c r="E167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173.98236187748788</v>
      </c>
      <c r="F1677" s="34"/>
      <c r="G1677" s="34"/>
      <c r="H1677" s="34"/>
    </row>
    <row r="1678" spans="1:8" x14ac:dyDescent="0.3">
      <c r="A1678" t="s">
        <v>689</v>
      </c>
      <c r="B1678" s="3">
        <f t="shared" si="19"/>
        <v>43344</v>
      </c>
      <c r="C1678" s="2" t="str">
        <f>VLOOKUP(MONTH(Tabela1[[#This Row],[Periodo]]),NUMMESES,2,FALSE)</f>
        <v>Setembro</v>
      </c>
      <c r="D1678" s="2">
        <f>YEAR(Tabela1[[#This Row],[Periodo]])</f>
        <v>2018</v>
      </c>
      <c r="E167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153.15666523646615</v>
      </c>
      <c r="F1678" s="34"/>
      <c r="G1678" s="34"/>
      <c r="H1678" s="34"/>
    </row>
    <row r="1679" spans="1:8" x14ac:dyDescent="0.3">
      <c r="A1679" t="s">
        <v>689</v>
      </c>
      <c r="B1679" s="3">
        <f t="shared" si="19"/>
        <v>43374</v>
      </c>
      <c r="C1679" s="2" t="str">
        <f>VLOOKUP(MONTH(Tabela1[[#This Row],[Periodo]]),NUMMESES,2,FALSE)</f>
        <v>Outubro</v>
      </c>
      <c r="D1679" s="2">
        <f>YEAR(Tabela1[[#This Row],[Periodo]])</f>
        <v>2018</v>
      </c>
      <c r="E167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167.55585846177047</v>
      </c>
      <c r="F1679" s="34"/>
      <c r="G1679" s="34"/>
      <c r="H1679" s="34"/>
    </row>
    <row r="1680" spans="1:8" x14ac:dyDescent="0.3">
      <c r="A1680" t="s">
        <v>689</v>
      </c>
      <c r="B1680" s="3">
        <f t="shared" si="19"/>
        <v>43405</v>
      </c>
      <c r="C1680" s="2" t="str">
        <f>VLOOKUP(MONTH(Tabela1[[#This Row],[Periodo]]),NUMMESES,2,FALSE)</f>
        <v>Novembro</v>
      </c>
      <c r="D1680" s="2">
        <f>YEAR(Tabela1[[#This Row],[Periodo]])</f>
        <v>2018</v>
      </c>
      <c r="E168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264.45708858719757</v>
      </c>
      <c r="F1680" s="34"/>
      <c r="G1680" s="34"/>
      <c r="H1680" s="34"/>
    </row>
    <row r="1681" spans="1:8" x14ac:dyDescent="0.3">
      <c r="A1681" t="s">
        <v>689</v>
      </c>
      <c r="B1681" s="3">
        <f t="shared" si="19"/>
        <v>43435</v>
      </c>
      <c r="C1681" s="2" t="str">
        <f>VLOOKUP(MONTH(Tabela1[[#This Row],[Periodo]]),NUMMESES,2,FALSE)</f>
        <v>Dezembro</v>
      </c>
      <c r="D1681" s="2">
        <f>YEAR(Tabela1[[#This Row],[Periodo]])</f>
        <v>2018</v>
      </c>
      <c r="E168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448.83983105794783</v>
      </c>
      <c r="F1681" s="34"/>
      <c r="G1681" s="34"/>
      <c r="H1681" s="34"/>
    </row>
    <row r="1682" spans="1:8" x14ac:dyDescent="0.3">
      <c r="A1682" t="s">
        <v>689</v>
      </c>
      <c r="B1682" s="3">
        <f t="shared" si="19"/>
        <v>43466</v>
      </c>
      <c r="C1682" s="2" t="str">
        <f>VLOOKUP(MONTH(Tabela1[[#This Row],[Periodo]]),NUMMESES,2,FALSE)</f>
        <v>Janeiro</v>
      </c>
      <c r="D1682" s="2">
        <f>YEAR(Tabela1[[#This Row],[Periodo]])</f>
        <v>2019</v>
      </c>
      <c r="E168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188.05281541497069</v>
      </c>
      <c r="F1682" s="34"/>
      <c r="G1682" s="34"/>
      <c r="H1682" s="34"/>
    </row>
    <row r="1683" spans="1:8" x14ac:dyDescent="0.3">
      <c r="A1683" t="s">
        <v>689</v>
      </c>
      <c r="B1683" s="3">
        <f t="shared" si="19"/>
        <v>43497</v>
      </c>
      <c r="C1683" s="2" t="str">
        <f>VLOOKUP(MONTH(Tabela1[[#This Row],[Periodo]]),NUMMESES,2,FALSE)</f>
        <v>Fevereiro</v>
      </c>
      <c r="D1683" s="2">
        <f>YEAR(Tabela1[[#This Row],[Periodo]])</f>
        <v>2019</v>
      </c>
      <c r="E168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225.81516634336938</v>
      </c>
      <c r="F1683" s="34"/>
      <c r="G1683" s="34"/>
      <c r="H1683" s="34"/>
    </row>
    <row r="1684" spans="1:8" x14ac:dyDescent="0.3">
      <c r="A1684" t="s">
        <v>689</v>
      </c>
      <c r="B1684" s="3">
        <f t="shared" si="19"/>
        <v>43525</v>
      </c>
      <c r="C1684" s="2" t="str">
        <f>VLOOKUP(MONTH(Tabela1[[#This Row],[Periodo]]),NUMMESES,2,FALSE)</f>
        <v>Março</v>
      </c>
      <c r="D1684" s="2">
        <f>YEAR(Tabela1[[#This Row],[Periodo]])</f>
        <v>2019</v>
      </c>
      <c r="E168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193.61666456462189</v>
      </c>
      <c r="F1684" s="34"/>
      <c r="G1684" s="34"/>
      <c r="H1684" s="34"/>
    </row>
    <row r="1685" spans="1:8" x14ac:dyDescent="0.3">
      <c r="A1685" t="s">
        <v>689</v>
      </c>
      <c r="B1685" s="3">
        <f t="shared" si="19"/>
        <v>43556</v>
      </c>
      <c r="C1685" s="2" t="str">
        <f>VLOOKUP(MONTH(Tabela1[[#This Row],[Periodo]]),NUMMESES,2,FALSE)</f>
        <v>Abril</v>
      </c>
      <c r="D1685" s="2">
        <f>YEAR(Tabela1[[#This Row],[Periodo]])</f>
        <v>2019</v>
      </c>
      <c r="E168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183.76093684559291</v>
      </c>
      <c r="F1685" s="34"/>
      <c r="G1685" s="34"/>
      <c r="H1685" s="34"/>
    </row>
    <row r="1686" spans="1:8" x14ac:dyDescent="0.3">
      <c r="A1686" t="s">
        <v>689</v>
      </c>
      <c r="B1686" s="3">
        <f t="shared" si="19"/>
        <v>43586</v>
      </c>
      <c r="C1686" s="2" t="str">
        <f>VLOOKUP(MONTH(Tabela1[[#This Row],[Periodo]]),NUMMESES,2,FALSE)</f>
        <v>Maio</v>
      </c>
      <c r="D1686" s="2">
        <f>YEAR(Tabela1[[#This Row],[Periodo]])</f>
        <v>2019</v>
      </c>
      <c r="E168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193.72274483863458</v>
      </c>
      <c r="F1686" s="34"/>
      <c r="G1686" s="34"/>
      <c r="H1686" s="34"/>
    </row>
    <row r="1687" spans="1:8" x14ac:dyDescent="0.3">
      <c r="A1687" t="s">
        <v>689</v>
      </c>
      <c r="B1687" s="3">
        <f t="shared" si="19"/>
        <v>43617</v>
      </c>
      <c r="C1687" s="2" t="str">
        <f>VLOOKUP(MONTH(Tabela1[[#This Row],[Periodo]]),NUMMESES,2,FALSE)</f>
        <v>Junho</v>
      </c>
      <c r="D1687" s="2">
        <f>YEAR(Tabela1[[#This Row],[Periodo]])</f>
        <v>2019</v>
      </c>
      <c r="E168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271.24490736645362</v>
      </c>
      <c r="F1687" s="34"/>
      <c r="G1687" s="34"/>
      <c r="H1687" s="34"/>
    </row>
    <row r="1688" spans="1:8" x14ac:dyDescent="0.3">
      <c r="A1688" t="s">
        <v>689</v>
      </c>
      <c r="B1688" s="3">
        <f t="shared" si="19"/>
        <v>43647</v>
      </c>
      <c r="C1688" s="2" t="str">
        <f>VLOOKUP(MONTH(Tabela1[[#This Row],[Periodo]]),NUMMESES,2,FALSE)</f>
        <v>Julho</v>
      </c>
      <c r="D1688" s="2">
        <f>YEAR(Tabela1[[#This Row],[Periodo]])</f>
        <v>2019</v>
      </c>
      <c r="E168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270.65650567524426</v>
      </c>
      <c r="F1688" s="34"/>
      <c r="G1688" s="34"/>
      <c r="H1688" s="34"/>
    </row>
    <row r="1689" spans="1:8" x14ac:dyDescent="0.3">
      <c r="A1689" t="s">
        <v>689</v>
      </c>
      <c r="B1689" s="3">
        <f t="shared" si="19"/>
        <v>43678</v>
      </c>
      <c r="C1689" s="2" t="str">
        <f>VLOOKUP(MONTH(Tabela1[[#This Row],[Periodo]]),NUMMESES,2,FALSE)</f>
        <v>Agosto</v>
      </c>
      <c r="D1689" s="2">
        <f>YEAR(Tabela1[[#This Row],[Periodo]])</f>
        <v>2019</v>
      </c>
      <c r="E168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229.4694158471724</v>
      </c>
      <c r="F1689" s="34"/>
      <c r="G1689" s="34"/>
      <c r="H1689" s="34"/>
    </row>
    <row r="1690" spans="1:8" x14ac:dyDescent="0.3">
      <c r="A1690" t="s">
        <v>689</v>
      </c>
      <c r="B1690" s="3">
        <f t="shared" si="19"/>
        <v>43709</v>
      </c>
      <c r="C1690" s="2" t="str">
        <f>VLOOKUP(MONTH(Tabela1[[#This Row],[Periodo]]),NUMMESES,2,FALSE)</f>
        <v>Setembro</v>
      </c>
      <c r="D1690" s="2">
        <f>YEAR(Tabela1[[#This Row],[Periodo]])</f>
        <v>2019</v>
      </c>
      <c r="E169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144.53581126960583</v>
      </c>
      <c r="F1690" s="34"/>
      <c r="G1690" s="34"/>
      <c r="H1690" s="34"/>
    </row>
    <row r="1691" spans="1:8" x14ac:dyDescent="0.3">
      <c r="A1691" t="s">
        <v>689</v>
      </c>
      <c r="B1691" s="3">
        <f t="shared" si="19"/>
        <v>43739</v>
      </c>
      <c r="C1691" s="2" t="str">
        <f>VLOOKUP(MONTH(Tabela1[[#This Row],[Periodo]]),NUMMESES,2,FALSE)</f>
        <v>Outubro</v>
      </c>
      <c r="D1691" s="2">
        <f>YEAR(Tabela1[[#This Row],[Periodo]])</f>
        <v>2019</v>
      </c>
      <c r="E169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137.78541690732877</v>
      </c>
      <c r="F1691" s="34"/>
      <c r="G1691" s="34"/>
      <c r="H1691" s="34"/>
    </row>
    <row r="1692" spans="1:8" x14ac:dyDescent="0.3">
      <c r="A1692" t="s">
        <v>689</v>
      </c>
      <c r="B1692" s="3">
        <f t="shared" si="19"/>
        <v>43770</v>
      </c>
      <c r="C1692" s="2" t="str">
        <f>VLOOKUP(MONTH(Tabela1[[#This Row],[Periodo]]),NUMMESES,2,FALSE)</f>
        <v>Novembro</v>
      </c>
      <c r="D1692" s="2">
        <f>YEAR(Tabela1[[#This Row],[Periodo]])</f>
        <v>2019</v>
      </c>
      <c r="E169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201.5415764609541</v>
      </c>
      <c r="F1692" s="34"/>
      <c r="G1692" s="34"/>
      <c r="H1692" s="34"/>
    </row>
    <row r="1693" spans="1:8" x14ac:dyDescent="0.3">
      <c r="A1693" t="s">
        <v>689</v>
      </c>
      <c r="B1693" s="3">
        <f t="shared" si="19"/>
        <v>43800</v>
      </c>
      <c r="C1693" s="2" t="str">
        <f>VLOOKUP(MONTH(Tabela1[[#This Row],[Periodo]]),NUMMESES,2,FALSE)</f>
        <v>Dezembro</v>
      </c>
      <c r="D1693" s="2">
        <f>YEAR(Tabela1[[#This Row],[Periodo]])</f>
        <v>2019</v>
      </c>
      <c r="E169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287.27762739794559</v>
      </c>
      <c r="F1693" s="34"/>
      <c r="G1693" s="34"/>
      <c r="H1693" s="34"/>
    </row>
    <row r="1694" spans="1:8" x14ac:dyDescent="0.3">
      <c r="A1694" t="s">
        <v>689</v>
      </c>
      <c r="B1694" s="3">
        <f t="shared" si="19"/>
        <v>43831</v>
      </c>
      <c r="C1694" s="2" t="str">
        <f>VLOOKUP(MONTH(Tabela1[[#This Row],[Periodo]]),NUMMESES,2,FALSE)</f>
        <v>Janeiro</v>
      </c>
      <c r="D1694" s="2">
        <f>YEAR(Tabela1[[#This Row],[Periodo]])</f>
        <v>2020</v>
      </c>
      <c r="E169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192.30463148023043</v>
      </c>
      <c r="F1694" s="34"/>
      <c r="G1694" s="34"/>
      <c r="H1694" s="34"/>
    </row>
    <row r="1695" spans="1:8" x14ac:dyDescent="0.3">
      <c r="A1695" t="s">
        <v>689</v>
      </c>
      <c r="B1695" s="3">
        <f t="shared" si="19"/>
        <v>43862</v>
      </c>
      <c r="C1695" s="2" t="str">
        <f>VLOOKUP(MONTH(Tabela1[[#This Row],[Periodo]]),NUMMESES,2,FALSE)</f>
        <v>Fevereiro</v>
      </c>
      <c r="D1695" s="2">
        <f>YEAR(Tabela1[[#This Row],[Periodo]])</f>
        <v>2020</v>
      </c>
      <c r="E169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303.9760553462412</v>
      </c>
      <c r="F1695" s="34"/>
      <c r="G1695" s="34"/>
      <c r="H1695" s="34"/>
    </row>
    <row r="1696" spans="1:8" x14ac:dyDescent="0.3">
      <c r="A1696" t="s">
        <v>689</v>
      </c>
      <c r="B1696" s="3">
        <f t="shared" si="19"/>
        <v>43891</v>
      </c>
      <c r="C1696" s="2" t="str">
        <f>VLOOKUP(MONTH(Tabela1[[#This Row],[Periodo]]),NUMMESES,2,FALSE)</f>
        <v>Março</v>
      </c>
      <c r="D1696" s="2">
        <f>YEAR(Tabela1[[#This Row],[Periodo]])</f>
        <v>2020</v>
      </c>
      <c r="E169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386.27990524104837</v>
      </c>
      <c r="F1696" s="34"/>
      <c r="G1696" s="34"/>
      <c r="H1696" s="34"/>
    </row>
    <row r="1697" spans="1:8" x14ac:dyDescent="0.3">
      <c r="A1697" t="s">
        <v>689</v>
      </c>
      <c r="B1697" s="3">
        <f t="shared" si="19"/>
        <v>43922</v>
      </c>
      <c r="C1697" s="2" t="str">
        <f>VLOOKUP(MONTH(Tabela1[[#This Row],[Periodo]]),NUMMESES,2,FALSE)</f>
        <v>Abril</v>
      </c>
      <c r="D1697" s="2">
        <f>YEAR(Tabela1[[#This Row],[Periodo]])</f>
        <v>2020</v>
      </c>
      <c r="E169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388.53099585535716</v>
      </c>
      <c r="F1697" s="34"/>
      <c r="G1697" s="34"/>
      <c r="H1697" s="34"/>
    </row>
    <row r="1698" spans="1:8" x14ac:dyDescent="0.3">
      <c r="A1698" t="s">
        <v>689</v>
      </c>
      <c r="B1698" s="3">
        <f t="shared" si="19"/>
        <v>43952</v>
      </c>
      <c r="C1698" s="2" t="str">
        <f>VLOOKUP(MONTH(Tabela1[[#This Row],[Periodo]]),NUMMESES,2,FALSE)</f>
        <v>Maio</v>
      </c>
      <c r="D1698" s="2">
        <f>YEAR(Tabela1[[#This Row],[Periodo]])</f>
        <v>2020</v>
      </c>
      <c r="E169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281.97634522260444</v>
      </c>
      <c r="F1698" s="34"/>
      <c r="G1698" s="34"/>
      <c r="H1698" s="34"/>
    </row>
    <row r="1699" spans="1:8" x14ac:dyDescent="0.3">
      <c r="A1699" t="s">
        <v>689</v>
      </c>
      <c r="B1699" s="3">
        <f t="shared" si="19"/>
        <v>43983</v>
      </c>
      <c r="C1699" s="2" t="str">
        <f>VLOOKUP(MONTH(Tabela1[[#This Row],[Periodo]]),NUMMESES,2,FALSE)</f>
        <v>Junho</v>
      </c>
      <c r="D1699" s="2">
        <f>YEAR(Tabela1[[#This Row],[Periodo]])</f>
        <v>2020</v>
      </c>
      <c r="E169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188.90797742141399</v>
      </c>
      <c r="F1699" s="34"/>
      <c r="G1699" s="34"/>
      <c r="H1699" s="34"/>
    </row>
    <row r="1700" spans="1:8" x14ac:dyDescent="0.3">
      <c r="A1700" t="s">
        <v>689</v>
      </c>
      <c r="B1700" s="3">
        <f t="shared" si="19"/>
        <v>44013</v>
      </c>
      <c r="C1700" s="2" t="str">
        <f>VLOOKUP(MONTH(Tabela1[[#This Row],[Periodo]]),NUMMESES,2,FALSE)</f>
        <v>Julho</v>
      </c>
      <c r="D1700" s="2">
        <f>YEAR(Tabela1[[#This Row],[Periodo]])</f>
        <v>2020</v>
      </c>
      <c r="E170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151.81465123491424</v>
      </c>
      <c r="F1700" s="34"/>
      <c r="G1700" s="34"/>
      <c r="H1700" s="34"/>
    </row>
    <row r="1701" spans="1:8" x14ac:dyDescent="0.3">
      <c r="A1701" t="s">
        <v>689</v>
      </c>
      <c r="B1701" s="3">
        <f t="shared" si="19"/>
        <v>44044</v>
      </c>
      <c r="C1701" s="2" t="str">
        <f>VLOOKUP(MONTH(Tabela1[[#This Row],[Periodo]]),NUMMESES,2,FALSE)</f>
        <v>Agosto</v>
      </c>
      <c r="D1701" s="2">
        <f>YEAR(Tabela1[[#This Row],[Periodo]])</f>
        <v>2020</v>
      </c>
      <c r="E170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134.1984047902194</v>
      </c>
      <c r="F1701" s="34"/>
      <c r="G1701" s="34"/>
      <c r="H1701" s="34"/>
    </row>
    <row r="1702" spans="1:8" x14ac:dyDescent="0.3">
      <c r="A1702" t="s">
        <v>689</v>
      </c>
      <c r="B1702" s="3">
        <f t="shared" si="19"/>
        <v>44075</v>
      </c>
      <c r="C1702" s="2" t="str">
        <f>VLOOKUP(MONTH(Tabela1[[#This Row],[Periodo]]),NUMMESES,2,FALSE)</f>
        <v>Setembro</v>
      </c>
      <c r="D1702" s="2">
        <f>YEAR(Tabela1[[#This Row],[Periodo]])</f>
        <v>2020</v>
      </c>
      <c r="E170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133.00175698411138</v>
      </c>
      <c r="F1702" s="34"/>
      <c r="G1702" s="34"/>
      <c r="H1702" s="34"/>
    </row>
    <row r="1703" spans="1:8" x14ac:dyDescent="0.3">
      <c r="A1703" t="s">
        <v>689</v>
      </c>
      <c r="B1703" s="3">
        <f t="shared" si="19"/>
        <v>44105</v>
      </c>
      <c r="C1703" s="2" t="str">
        <f>VLOOKUP(MONTH(Tabela1[[#This Row],[Periodo]]),NUMMESES,2,FALSE)</f>
        <v>Outubro</v>
      </c>
      <c r="D1703" s="2">
        <f>YEAR(Tabela1[[#This Row],[Periodo]])</f>
        <v>2020</v>
      </c>
      <c r="E170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106.08562975026391</v>
      </c>
      <c r="F1703" s="34"/>
      <c r="G1703" s="34"/>
      <c r="H1703" s="34"/>
    </row>
    <row r="1704" spans="1:8" x14ac:dyDescent="0.3">
      <c r="A1704" t="s">
        <v>689</v>
      </c>
      <c r="B1704" s="3">
        <f t="shared" si="19"/>
        <v>44136</v>
      </c>
      <c r="C1704" s="2" t="str">
        <f>VLOOKUP(MONTH(Tabela1[[#This Row],[Periodo]]),NUMMESES,2,FALSE)</f>
        <v>Novembro</v>
      </c>
      <c r="D1704" s="2">
        <f>YEAR(Tabela1[[#This Row],[Periodo]])</f>
        <v>2020</v>
      </c>
      <c r="E170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137.73787741785785</v>
      </c>
      <c r="F1704" s="34"/>
      <c r="G1704" s="34"/>
      <c r="H1704" s="34"/>
    </row>
    <row r="1705" spans="1:8" x14ac:dyDescent="0.3">
      <c r="A1705" t="s">
        <v>689</v>
      </c>
      <c r="B1705" s="3">
        <f t="shared" si="19"/>
        <v>44166</v>
      </c>
      <c r="C1705" s="2" t="str">
        <f>VLOOKUP(MONTH(Tabela1[[#This Row],[Periodo]]),NUMMESES,2,FALSE)</f>
        <v>Dezembro</v>
      </c>
      <c r="D1705" s="2">
        <f>YEAR(Tabela1[[#This Row],[Periodo]])</f>
        <v>2020</v>
      </c>
      <c r="E170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150.68216636102977</v>
      </c>
      <c r="F1705" s="34"/>
      <c r="G1705" s="34"/>
      <c r="H1705" s="34"/>
    </row>
    <row r="1706" spans="1:8" x14ac:dyDescent="0.3">
      <c r="A1706" t="s">
        <v>689</v>
      </c>
      <c r="B1706" s="3">
        <f t="shared" si="19"/>
        <v>44197</v>
      </c>
      <c r="C1706" s="2" t="str">
        <f>VLOOKUP(MONTH(Tabela1[[#This Row],[Periodo]]),NUMMESES,2,FALSE)</f>
        <v>Janeiro</v>
      </c>
      <c r="D1706" s="2">
        <f>YEAR(Tabela1[[#This Row],[Periodo]])</f>
        <v>2021</v>
      </c>
      <c r="E170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150.08671441955164</v>
      </c>
      <c r="F1706" s="34"/>
      <c r="G1706" s="34"/>
      <c r="H1706" s="34"/>
    </row>
    <row r="1707" spans="1:8" x14ac:dyDescent="0.3">
      <c r="A1707" t="s">
        <v>689</v>
      </c>
      <c r="B1707" s="3">
        <f t="shared" si="19"/>
        <v>44228</v>
      </c>
      <c r="C1707" s="2" t="str">
        <f>VLOOKUP(MONTH(Tabela1[[#This Row],[Periodo]]),NUMMESES,2,FALSE)</f>
        <v>Fevereiro</v>
      </c>
      <c r="D1707" s="2">
        <f>YEAR(Tabela1[[#This Row],[Periodo]])</f>
        <v>2021</v>
      </c>
      <c r="E170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164.59115305095406</v>
      </c>
      <c r="F1707" s="34"/>
      <c r="G1707" s="34"/>
      <c r="H1707" s="34"/>
    </row>
    <row r="1708" spans="1:8" x14ac:dyDescent="0.3">
      <c r="A1708" t="s">
        <v>689</v>
      </c>
      <c r="B1708" s="3">
        <f t="shared" si="19"/>
        <v>44256</v>
      </c>
      <c r="C1708" s="2" t="str">
        <f>VLOOKUP(MONTH(Tabela1[[#This Row],[Periodo]]),NUMMESES,2,FALSE)</f>
        <v>Março</v>
      </c>
      <c r="D1708" s="2">
        <f>YEAR(Tabela1[[#This Row],[Periodo]])</f>
        <v>2021</v>
      </c>
      <c r="E170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154.72880256189711</v>
      </c>
      <c r="F1708" s="34"/>
      <c r="G1708" s="34"/>
      <c r="H1708" s="34"/>
    </row>
    <row r="1709" spans="1:8" x14ac:dyDescent="0.3">
      <c r="A1709" t="s">
        <v>689</v>
      </c>
      <c r="B1709" s="3">
        <f t="shared" si="19"/>
        <v>44287</v>
      </c>
      <c r="C1709" s="2" t="str">
        <f>VLOOKUP(MONTH(Tabela1[[#This Row],[Periodo]]),NUMMESES,2,FALSE)</f>
        <v>Abril</v>
      </c>
      <c r="D1709" s="2">
        <f>YEAR(Tabela1[[#This Row],[Periodo]])</f>
        <v>2021</v>
      </c>
      <c r="E170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154.62051582486862</v>
      </c>
      <c r="F1709" s="34"/>
      <c r="G1709" s="34"/>
      <c r="H1709" s="34"/>
    </row>
    <row r="1710" spans="1:8" x14ac:dyDescent="0.3">
      <c r="A1710" t="s">
        <v>689</v>
      </c>
      <c r="B1710" s="3">
        <f t="shared" si="19"/>
        <v>44317</v>
      </c>
      <c r="C1710" s="2" t="str">
        <f>VLOOKUP(MONTH(Tabela1[[#This Row],[Periodo]]),NUMMESES,2,FALSE)</f>
        <v>Maio</v>
      </c>
      <c r="D1710" s="2">
        <f>YEAR(Tabela1[[#This Row],[Periodo]])</f>
        <v>2021</v>
      </c>
      <c r="E171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116.18904504780981</v>
      </c>
      <c r="F1710" s="34"/>
      <c r="G1710" s="34"/>
      <c r="H1710" s="34"/>
    </row>
    <row r="1711" spans="1:8" x14ac:dyDescent="0.3">
      <c r="A1711" t="s">
        <v>689</v>
      </c>
      <c r="B1711" s="3">
        <f t="shared" si="19"/>
        <v>44348</v>
      </c>
      <c r="C1711" s="2" t="str">
        <f>VLOOKUP(MONTH(Tabela1[[#This Row],[Periodo]]),NUMMESES,2,FALSE)</f>
        <v>Junho</v>
      </c>
      <c r="D1711" s="2">
        <f>YEAR(Tabela1[[#This Row],[Periodo]])</f>
        <v>2021</v>
      </c>
      <c r="E171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106.48871139439787</v>
      </c>
      <c r="F1711" s="34"/>
      <c r="G1711" s="34"/>
      <c r="H1711" s="34"/>
    </row>
    <row r="1712" spans="1:8" x14ac:dyDescent="0.3">
      <c r="A1712" t="s">
        <v>689</v>
      </c>
      <c r="B1712" s="3">
        <f t="shared" si="19"/>
        <v>44378</v>
      </c>
      <c r="C1712" s="2" t="str">
        <f>VLOOKUP(MONTH(Tabela1[[#This Row],[Periodo]]),NUMMESES,2,FALSE)</f>
        <v>Julho</v>
      </c>
      <c r="D1712" s="2">
        <f>YEAR(Tabela1[[#This Row],[Periodo]])</f>
        <v>2021</v>
      </c>
      <c r="E171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96.010860517965114</v>
      </c>
      <c r="F1712" s="34"/>
      <c r="G1712" s="34"/>
      <c r="H1712" s="34"/>
    </row>
    <row r="1713" spans="1:8" x14ac:dyDescent="0.3">
      <c r="A1713" t="s">
        <v>689</v>
      </c>
      <c r="B1713" s="3">
        <f t="shared" si="19"/>
        <v>44409</v>
      </c>
      <c r="C1713" s="2" t="str">
        <f>VLOOKUP(MONTH(Tabela1[[#This Row],[Periodo]]),NUMMESES,2,FALSE)</f>
        <v>Agosto</v>
      </c>
      <c r="D1713" s="2">
        <f>YEAR(Tabela1[[#This Row],[Periodo]])</f>
        <v>2021</v>
      </c>
      <c r="E171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119.86636129333641</v>
      </c>
      <c r="F1713" s="34"/>
      <c r="G1713" s="34"/>
      <c r="H1713" s="34"/>
    </row>
    <row r="1714" spans="1:8" x14ac:dyDescent="0.3">
      <c r="A1714" t="s">
        <v>689</v>
      </c>
      <c r="B1714" s="3">
        <f t="shared" si="19"/>
        <v>44440</v>
      </c>
      <c r="C1714" s="2" t="str">
        <f>VLOOKUP(MONTH(Tabela1[[#This Row],[Periodo]]),NUMMESES,2,FALSE)</f>
        <v>Setembro</v>
      </c>
      <c r="D1714" s="2">
        <f>YEAR(Tabela1[[#This Row],[Periodo]])</f>
        <v>2021</v>
      </c>
      <c r="E171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139.25113091759636</v>
      </c>
      <c r="F1714" s="34"/>
      <c r="G1714" s="34"/>
      <c r="H1714" s="34"/>
    </row>
    <row r="1715" spans="1:8" x14ac:dyDescent="0.3">
      <c r="A1715" t="s">
        <v>689</v>
      </c>
      <c r="B1715" s="3">
        <f t="shared" si="19"/>
        <v>44470</v>
      </c>
      <c r="C1715" s="2" t="str">
        <f>VLOOKUP(MONTH(Tabela1[[#This Row],[Periodo]]),NUMMESES,2,FALSE)</f>
        <v>Outubro</v>
      </c>
      <c r="D1715" s="2">
        <f>YEAR(Tabela1[[#This Row],[Periodo]])</f>
        <v>2021</v>
      </c>
      <c r="E171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139.35458684072469</v>
      </c>
      <c r="F1715" s="34"/>
      <c r="G1715" s="34"/>
      <c r="H1715" s="34"/>
    </row>
    <row r="1716" spans="1:8" x14ac:dyDescent="0.3">
      <c r="A1716" t="s">
        <v>689</v>
      </c>
      <c r="B1716" s="3">
        <f t="shared" si="19"/>
        <v>44501</v>
      </c>
      <c r="C1716" s="2" t="str">
        <f>VLOOKUP(MONTH(Tabela1[[#This Row],[Periodo]]),NUMMESES,2,FALSE)</f>
        <v>Novembro</v>
      </c>
      <c r="D1716" s="2">
        <f>YEAR(Tabela1[[#This Row],[Periodo]])</f>
        <v>2021</v>
      </c>
      <c r="E171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214.7681960068555</v>
      </c>
      <c r="F1716" s="34"/>
      <c r="G1716" s="34"/>
      <c r="H1716" s="34"/>
    </row>
    <row r="1717" spans="1:8" x14ac:dyDescent="0.3">
      <c r="A1717" t="s">
        <v>689</v>
      </c>
      <c r="B1717" s="3">
        <f t="shared" si="19"/>
        <v>44531</v>
      </c>
      <c r="C1717" s="2" t="str">
        <f>VLOOKUP(MONTH(Tabela1[[#This Row],[Periodo]]),NUMMESES,2,FALSE)</f>
        <v>Dezembro</v>
      </c>
      <c r="D1717" s="2">
        <f>YEAR(Tabela1[[#This Row],[Periodo]])</f>
        <v>2021</v>
      </c>
      <c r="E171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183.50437868853527</v>
      </c>
      <c r="F1717" s="34"/>
      <c r="G1717" s="34"/>
      <c r="H1717" s="34"/>
    </row>
    <row r="1718" spans="1:8" x14ac:dyDescent="0.3">
      <c r="A1718" t="s">
        <v>689</v>
      </c>
      <c r="B1718" s="3">
        <f t="shared" si="19"/>
        <v>44562</v>
      </c>
      <c r="C1718" s="2" t="str">
        <f>VLOOKUP(MONTH(Tabela1[[#This Row],[Periodo]]),NUMMESES,2,FALSE)</f>
        <v>Janeiro</v>
      </c>
      <c r="D1718" s="2">
        <f>YEAR(Tabela1[[#This Row],[Periodo]])</f>
        <v>2022</v>
      </c>
      <c r="E171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215.20453246019616</v>
      </c>
      <c r="F1718" s="34"/>
      <c r="G1718" s="34"/>
      <c r="H1718" s="34"/>
    </row>
    <row r="1719" spans="1:8" x14ac:dyDescent="0.3">
      <c r="A1719" t="s">
        <v>689</v>
      </c>
      <c r="B1719" s="3">
        <f t="shared" si="19"/>
        <v>44593</v>
      </c>
      <c r="C1719" s="2" t="str">
        <f>VLOOKUP(MONTH(Tabela1[[#This Row],[Periodo]]),NUMMESES,2,FALSE)</f>
        <v>Fevereiro</v>
      </c>
      <c r="D1719" s="2">
        <f>YEAR(Tabela1[[#This Row],[Periodo]])</f>
        <v>2022</v>
      </c>
      <c r="E171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200.3208812920183</v>
      </c>
      <c r="F1719" s="34"/>
      <c r="G1719" s="34"/>
      <c r="H1719" s="34"/>
    </row>
    <row r="1720" spans="1:8" x14ac:dyDescent="0.3">
      <c r="A1720" t="s">
        <v>689</v>
      </c>
      <c r="B1720" s="3">
        <f t="shared" si="19"/>
        <v>44621</v>
      </c>
      <c r="C1720" s="2" t="str">
        <f>VLOOKUP(MONTH(Tabela1[[#This Row],[Periodo]]),NUMMESES,2,FALSE)</f>
        <v>Março</v>
      </c>
      <c r="D1720" s="2">
        <f>YEAR(Tabela1[[#This Row],[Periodo]])</f>
        <v>2022</v>
      </c>
      <c r="E172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95.841889430874261</v>
      </c>
      <c r="F1720" s="34"/>
      <c r="G1720" s="34"/>
      <c r="H1720" s="34"/>
    </row>
    <row r="1721" spans="1:8" x14ac:dyDescent="0.3">
      <c r="A1721" t="s">
        <v>689</v>
      </c>
      <c r="B1721" s="3">
        <f t="shared" si="19"/>
        <v>44652</v>
      </c>
      <c r="C1721" s="2" t="str">
        <f>VLOOKUP(MONTH(Tabela1[[#This Row],[Periodo]]),NUMMESES,2,FALSE)</f>
        <v>Abril</v>
      </c>
      <c r="D1721" s="2">
        <f>YEAR(Tabela1[[#This Row],[Periodo]])</f>
        <v>2022</v>
      </c>
      <c r="E172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173.19497616570169</v>
      </c>
      <c r="F1721" s="34"/>
      <c r="G1721" s="34"/>
      <c r="H1721" s="34"/>
    </row>
    <row r="1722" spans="1:8" x14ac:dyDescent="0.3">
      <c r="A1722" t="s">
        <v>689</v>
      </c>
      <c r="B1722" s="3">
        <f t="shared" si="19"/>
        <v>44682</v>
      </c>
      <c r="C1722" s="2" t="str">
        <f>VLOOKUP(MONTH(Tabela1[[#This Row],[Periodo]]),NUMMESES,2,FALSE)</f>
        <v>Maio</v>
      </c>
      <c r="D1722" s="2">
        <f>YEAR(Tabela1[[#This Row],[Periodo]])</f>
        <v>2022</v>
      </c>
      <c r="E172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140.7972015957051</v>
      </c>
      <c r="F1722" s="34"/>
      <c r="G1722" s="34"/>
      <c r="H1722" s="34"/>
    </row>
    <row r="1723" spans="1:8" x14ac:dyDescent="0.3">
      <c r="A1723" t="s">
        <v>689</v>
      </c>
      <c r="B1723" s="3">
        <f t="shared" si="19"/>
        <v>44713</v>
      </c>
      <c r="C1723" s="2" t="str">
        <f>VLOOKUP(MONTH(Tabela1[[#This Row],[Periodo]]),NUMMESES,2,FALSE)</f>
        <v>Junho</v>
      </c>
      <c r="D1723" s="2">
        <f>YEAR(Tabela1[[#This Row],[Periodo]])</f>
        <v>2022</v>
      </c>
      <c r="E172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147.77926548298257</v>
      </c>
      <c r="F1723" s="34"/>
      <c r="G1723" s="34"/>
      <c r="H1723" s="34"/>
    </row>
    <row r="1724" spans="1:8" x14ac:dyDescent="0.3">
      <c r="A1724" t="s">
        <v>689</v>
      </c>
      <c r="B1724" s="3">
        <f t="shared" si="19"/>
        <v>44743</v>
      </c>
      <c r="C1724" s="2" t="str">
        <f>VLOOKUP(MONTH(Tabela1[[#This Row],[Periodo]]),NUMMESES,2,FALSE)</f>
        <v>Julho</v>
      </c>
      <c r="D1724" s="2">
        <f>YEAR(Tabela1[[#This Row],[Periodo]])</f>
        <v>2022</v>
      </c>
      <c r="E172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183.79019907792178</v>
      </c>
      <c r="F1724" s="34"/>
      <c r="G1724" s="34"/>
      <c r="H1724" s="34"/>
    </row>
    <row r="1725" spans="1:8" x14ac:dyDescent="0.3">
      <c r="A1725" t="s">
        <v>689</v>
      </c>
      <c r="B1725" s="3">
        <f t="shared" si="19"/>
        <v>44774</v>
      </c>
      <c r="C1725" s="2" t="str">
        <f>VLOOKUP(MONTH(Tabela1[[#This Row],[Periodo]]),NUMMESES,2,FALSE)</f>
        <v>Agosto</v>
      </c>
      <c r="D1725" s="2">
        <f>YEAR(Tabela1[[#This Row],[Periodo]])</f>
        <v>2022</v>
      </c>
      <c r="E172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157.25060499758487</v>
      </c>
      <c r="F1725" s="34"/>
      <c r="G1725" s="34"/>
      <c r="H1725" s="34"/>
    </row>
    <row r="1726" spans="1:8" x14ac:dyDescent="0.3">
      <c r="A1726" t="s">
        <v>689</v>
      </c>
      <c r="B1726" s="3">
        <f t="shared" si="19"/>
        <v>44805</v>
      </c>
      <c r="C1726" s="2" t="str">
        <f>VLOOKUP(MONTH(Tabela1[[#This Row],[Periodo]]),NUMMESES,2,FALSE)</f>
        <v>Setembro</v>
      </c>
      <c r="D1726" s="2">
        <f>YEAR(Tabela1[[#This Row],[Periodo]])</f>
        <v>2022</v>
      </c>
      <c r="E172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187.35000709882581</v>
      </c>
      <c r="F1726" s="34"/>
      <c r="G1726" s="34"/>
      <c r="H1726" s="34"/>
    </row>
    <row r="1727" spans="1:8" x14ac:dyDescent="0.3">
      <c r="A1727" t="s">
        <v>689</v>
      </c>
      <c r="B1727" s="3">
        <f t="shared" si="19"/>
        <v>44835</v>
      </c>
      <c r="C1727" s="2" t="str">
        <f>VLOOKUP(MONTH(Tabela1[[#This Row],[Periodo]]),NUMMESES,2,FALSE)</f>
        <v>Outubro</v>
      </c>
      <c r="D1727" s="2">
        <f>YEAR(Tabela1[[#This Row],[Periodo]])</f>
        <v>2022</v>
      </c>
      <c r="E172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234.88288482551738</v>
      </c>
      <c r="F1727" s="34"/>
      <c r="G1727" s="34"/>
      <c r="H1727" s="34"/>
    </row>
    <row r="1728" spans="1:8" x14ac:dyDescent="0.3">
      <c r="A1728" t="s">
        <v>689</v>
      </c>
      <c r="B1728" s="3">
        <f t="shared" si="19"/>
        <v>44866</v>
      </c>
      <c r="C1728" s="2" t="str">
        <f>VLOOKUP(MONTH(Tabela1[[#This Row],[Periodo]]),NUMMESES,2,FALSE)</f>
        <v>Novembro</v>
      </c>
      <c r="D1728" s="2">
        <f>YEAR(Tabela1[[#This Row],[Periodo]])</f>
        <v>2022</v>
      </c>
      <c r="E172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226.77164879665099</v>
      </c>
      <c r="F1728" s="34"/>
      <c r="G1728" s="34"/>
      <c r="H1728" s="34"/>
    </row>
    <row r="1729" spans="1:8" x14ac:dyDescent="0.3">
      <c r="A1729" t="s">
        <v>689</v>
      </c>
      <c r="B1729" s="3">
        <f t="shared" si="19"/>
        <v>44896</v>
      </c>
      <c r="C1729" s="2" t="str">
        <f>VLOOKUP(MONTH(Tabela1[[#This Row],[Periodo]]),NUMMESES,2,FALSE)</f>
        <v>Dezembro</v>
      </c>
      <c r="D1729" s="2">
        <f>YEAR(Tabela1[[#This Row],[Periodo]])</f>
        <v>2022</v>
      </c>
      <c r="E172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214.81638982856816</v>
      </c>
      <c r="F1729" s="34"/>
      <c r="G1729" s="34"/>
      <c r="H1729" s="34"/>
    </row>
    <row r="1730" spans="1:8" x14ac:dyDescent="0.3">
      <c r="A1730" t="s">
        <v>689</v>
      </c>
      <c r="B1730" s="3">
        <f t="shared" si="19"/>
        <v>44927</v>
      </c>
      <c r="C1730" s="2" t="str">
        <f>VLOOKUP(MONTH(Tabela1[[#This Row],[Periodo]]),NUMMESES,2,FALSE)</f>
        <v>Janeiro</v>
      </c>
      <c r="D1730" s="2">
        <f>YEAR(Tabela1[[#This Row],[Periodo]])</f>
        <v>2023</v>
      </c>
      <c r="E173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340.09030787519509</v>
      </c>
      <c r="F1730" s="34"/>
      <c r="G1730" s="34"/>
      <c r="H1730" s="34"/>
    </row>
    <row r="1731" spans="1:8" x14ac:dyDescent="0.3">
      <c r="A1731" t="s">
        <v>689</v>
      </c>
      <c r="B1731" s="3">
        <f t="shared" si="19"/>
        <v>44958</v>
      </c>
      <c r="C1731" s="2" t="str">
        <f>VLOOKUP(MONTH(Tabela1[[#This Row],[Periodo]]),NUMMESES,2,FALSE)</f>
        <v>Fevereiro</v>
      </c>
      <c r="D1731" s="2">
        <f>YEAR(Tabela1[[#This Row],[Periodo]])</f>
        <v>2023</v>
      </c>
      <c r="E173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257.36638085651083</v>
      </c>
      <c r="F1731" s="34"/>
      <c r="G1731" s="34"/>
      <c r="H1731" s="34"/>
    </row>
    <row r="1732" spans="1:8" x14ac:dyDescent="0.3">
      <c r="A1732" t="s">
        <v>689</v>
      </c>
      <c r="B1732" s="3">
        <f t="shared" si="19"/>
        <v>44986</v>
      </c>
      <c r="C1732" s="2" t="str">
        <f>VLOOKUP(MONTH(Tabela1[[#This Row],[Periodo]]),NUMMESES,2,FALSE)</f>
        <v>Março</v>
      </c>
      <c r="D1732" s="2">
        <f>YEAR(Tabela1[[#This Row],[Periodo]])</f>
        <v>2023</v>
      </c>
      <c r="E173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253.07481168842176</v>
      </c>
      <c r="F1732" s="34"/>
      <c r="G1732" s="34"/>
      <c r="H1732" s="34"/>
    </row>
    <row r="1733" spans="1:8" x14ac:dyDescent="0.3">
      <c r="A1733" t="s">
        <v>689</v>
      </c>
      <c r="B1733" s="3">
        <f t="shared" si="19"/>
        <v>45017</v>
      </c>
      <c r="C1733" s="2" t="str">
        <f>VLOOKUP(MONTH(Tabela1[[#This Row],[Periodo]]),NUMMESES,2,FALSE)</f>
        <v>Abril</v>
      </c>
      <c r="D1733" s="2">
        <f>YEAR(Tabela1[[#This Row],[Periodo]])</f>
        <v>2023</v>
      </c>
      <c r="E173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291.71371854340072</v>
      </c>
      <c r="F1733" s="34"/>
      <c r="G1733" s="34"/>
      <c r="H1733" s="34"/>
    </row>
    <row r="1734" spans="1:8" x14ac:dyDescent="0.3">
      <c r="A1734" t="s">
        <v>689</v>
      </c>
      <c r="B1734" s="3">
        <f t="shared" si="19"/>
        <v>45047</v>
      </c>
      <c r="C1734" s="2" t="str">
        <f>VLOOKUP(MONTH(Tabela1[[#This Row],[Periodo]]),NUMMESES,2,FALSE)</f>
        <v>Maio</v>
      </c>
      <c r="D1734" s="2">
        <f>YEAR(Tabela1[[#This Row],[Periodo]])</f>
        <v>2023</v>
      </c>
      <c r="E173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158.03390809190444</v>
      </c>
      <c r="F1734" s="34"/>
      <c r="G1734" s="34"/>
      <c r="H1734" s="34"/>
    </row>
    <row r="1735" spans="1:8" x14ac:dyDescent="0.3">
      <c r="A1735" t="s">
        <v>689</v>
      </c>
      <c r="B1735" s="3">
        <f t="shared" si="19"/>
        <v>45078</v>
      </c>
      <c r="C1735" s="2" t="str">
        <f>VLOOKUP(MONTH(Tabela1[[#This Row],[Periodo]]),NUMMESES,2,FALSE)</f>
        <v>Junho</v>
      </c>
      <c r="D1735" s="2">
        <f>YEAR(Tabela1[[#This Row],[Periodo]])</f>
        <v>2023</v>
      </c>
      <c r="E173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173.06881717663433</v>
      </c>
      <c r="F1735" s="34"/>
      <c r="G1735" s="34"/>
      <c r="H1735" s="34"/>
    </row>
    <row r="1736" spans="1:8" x14ac:dyDescent="0.3">
      <c r="A1736" t="s">
        <v>689</v>
      </c>
      <c r="B1736" s="3">
        <f t="shared" si="19"/>
        <v>45108</v>
      </c>
      <c r="C1736" s="2" t="str">
        <f>VLOOKUP(MONTH(Tabela1[[#This Row],[Periodo]]),NUMMESES,2,FALSE)</f>
        <v>Julho</v>
      </c>
      <c r="D1736" s="2">
        <f>YEAR(Tabela1[[#This Row],[Periodo]])</f>
        <v>2023</v>
      </c>
      <c r="E173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302.67634711096377</v>
      </c>
      <c r="F1736" s="34"/>
      <c r="G1736" s="34"/>
      <c r="H1736" s="34"/>
    </row>
    <row r="1737" spans="1:8" x14ac:dyDescent="0.3">
      <c r="A1737" t="s">
        <v>689</v>
      </c>
      <c r="B1737" s="3">
        <f t="shared" si="19"/>
        <v>45139</v>
      </c>
      <c r="C1737" s="2" t="str">
        <f>VLOOKUP(MONTH(Tabela1[[#This Row],[Periodo]]),NUMMESES,2,FALSE)</f>
        <v>Agosto</v>
      </c>
      <c r="D1737" s="2">
        <f>YEAR(Tabela1[[#This Row],[Periodo]])</f>
        <v>2023</v>
      </c>
      <c r="E173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179.63448473717511</v>
      </c>
      <c r="F1737" s="34"/>
      <c r="G1737" s="34"/>
      <c r="H1737" s="34"/>
    </row>
    <row r="1738" spans="1:8" x14ac:dyDescent="0.3">
      <c r="A1738" t="s">
        <v>689</v>
      </c>
      <c r="B1738" s="3">
        <f t="shared" si="19"/>
        <v>45170</v>
      </c>
      <c r="C1738" s="2" t="str">
        <f>VLOOKUP(MONTH(Tabela1[[#This Row],[Periodo]]),NUMMESES,2,FALSE)</f>
        <v>Setembro</v>
      </c>
      <c r="D1738" s="2">
        <f>YEAR(Tabela1[[#This Row],[Periodo]])</f>
        <v>2023</v>
      </c>
      <c r="E173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208.33301597067751</v>
      </c>
      <c r="F1738" s="34"/>
      <c r="G1738" s="34"/>
      <c r="H1738" s="34"/>
    </row>
    <row r="1739" spans="1:8" x14ac:dyDescent="0.3">
      <c r="A1739" t="s">
        <v>689</v>
      </c>
      <c r="B1739" s="3">
        <f t="shared" si="19"/>
        <v>45200</v>
      </c>
      <c r="C1739" s="2" t="str">
        <f>VLOOKUP(MONTH(Tabela1[[#This Row],[Periodo]]),NUMMESES,2,FALSE)</f>
        <v>Outubro</v>
      </c>
      <c r="D1739" s="2">
        <f>YEAR(Tabela1[[#This Row],[Periodo]])</f>
        <v>2023</v>
      </c>
      <c r="E173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172.67449219948864</v>
      </c>
      <c r="F1739" s="34"/>
      <c r="G1739" s="34"/>
      <c r="H1739" s="34"/>
    </row>
    <row r="1740" spans="1:8" x14ac:dyDescent="0.3">
      <c r="A1740" t="s">
        <v>689</v>
      </c>
      <c r="B1740" s="3">
        <f t="shared" si="19"/>
        <v>45231</v>
      </c>
      <c r="C1740" s="2" t="str">
        <f>VLOOKUP(MONTH(Tabela1[[#This Row],[Periodo]]),NUMMESES,2,FALSE)</f>
        <v>Novembro</v>
      </c>
      <c r="D1740" s="2">
        <f>YEAR(Tabela1[[#This Row],[Periodo]])</f>
        <v>2023</v>
      </c>
      <c r="E174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253.45918732771852</v>
      </c>
      <c r="F1740" s="34"/>
      <c r="G1740" s="34"/>
      <c r="H1740" s="34"/>
    </row>
    <row r="1741" spans="1:8" x14ac:dyDescent="0.3">
      <c r="A1741" t="s">
        <v>689</v>
      </c>
      <c r="B1741" s="3">
        <f t="shared" si="19"/>
        <v>45261</v>
      </c>
      <c r="C1741" s="2" t="str">
        <f>VLOOKUP(MONTH(Tabela1[[#This Row],[Periodo]]),NUMMESES,2,FALSE)</f>
        <v>Dezembro</v>
      </c>
      <c r="D1741" s="2">
        <f>YEAR(Tabela1[[#This Row],[Periodo]])</f>
        <v>2023</v>
      </c>
      <c r="E174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217.40240582338106</v>
      </c>
      <c r="F1741" s="34"/>
      <c r="G1741" s="34"/>
      <c r="H1741" s="34"/>
    </row>
    <row r="1742" spans="1:8" x14ac:dyDescent="0.3">
      <c r="A1742" t="s">
        <v>689</v>
      </c>
      <c r="B1742" s="3">
        <f t="shared" si="19"/>
        <v>45292</v>
      </c>
      <c r="C1742" s="2" t="str">
        <f>VLOOKUP(MONTH(Tabela1[[#This Row],[Periodo]]),NUMMESES,2,FALSE)</f>
        <v>Janeiro</v>
      </c>
      <c r="D1742" s="2">
        <f>YEAR(Tabela1[[#This Row],[Periodo]])</f>
        <v>2024</v>
      </c>
      <c r="E174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229.70741219123713</v>
      </c>
      <c r="F1742" s="34"/>
      <c r="G1742" s="34"/>
      <c r="H1742" s="34"/>
    </row>
    <row r="1743" spans="1:8" x14ac:dyDescent="0.3">
      <c r="A1743" t="s">
        <v>689</v>
      </c>
      <c r="B1743" s="3">
        <f t="shared" si="19"/>
        <v>45323</v>
      </c>
      <c r="C1743" s="2" t="str">
        <f>VLOOKUP(MONTH(Tabela1[[#This Row],[Periodo]]),NUMMESES,2,FALSE)</f>
        <v>Fevereiro</v>
      </c>
      <c r="D1743" s="2">
        <f>YEAR(Tabela1[[#This Row],[Periodo]])</f>
        <v>2024</v>
      </c>
      <c r="E174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223.28953973973597</v>
      </c>
      <c r="F1743" s="34"/>
      <c r="G1743" s="34"/>
      <c r="H1743" s="34"/>
    </row>
    <row r="1744" spans="1:8" x14ac:dyDescent="0.3">
      <c r="A1744" t="s">
        <v>689</v>
      </c>
      <c r="B1744" s="3">
        <f t="shared" si="19"/>
        <v>45352</v>
      </c>
      <c r="C1744" s="2" t="str">
        <f>VLOOKUP(MONTH(Tabela1[[#This Row],[Periodo]]),NUMMESES,2,FALSE)</f>
        <v>Março</v>
      </c>
      <c r="D1744" s="2">
        <f>YEAR(Tabela1[[#This Row],[Periodo]])</f>
        <v>2024</v>
      </c>
      <c r="E174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214.83850437584789</v>
      </c>
      <c r="F1744" s="34"/>
      <c r="G1744" s="34"/>
      <c r="H1744" s="34"/>
    </row>
    <row r="1745" spans="1:8" x14ac:dyDescent="0.3">
      <c r="A1745" t="s">
        <v>689</v>
      </c>
      <c r="B1745" s="3">
        <f t="shared" si="19"/>
        <v>45383</v>
      </c>
      <c r="C1745" s="2" t="str">
        <f>VLOOKUP(MONTH(Tabela1[[#This Row],[Periodo]]),NUMMESES,2,FALSE)</f>
        <v>Abril</v>
      </c>
      <c r="D1745" s="2">
        <f>YEAR(Tabela1[[#This Row],[Periodo]])</f>
        <v>2024</v>
      </c>
      <c r="E174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168.62662474475277</v>
      </c>
      <c r="F1745" s="34"/>
      <c r="G1745" s="34"/>
      <c r="H1745" s="34"/>
    </row>
    <row r="1746" spans="1:8" x14ac:dyDescent="0.3">
      <c r="A1746" t="s">
        <v>689</v>
      </c>
      <c r="B1746" s="3">
        <f t="shared" si="19"/>
        <v>45413</v>
      </c>
      <c r="C1746" s="2" t="str">
        <f>VLOOKUP(MONTH(Tabela1[[#This Row],[Periodo]]),NUMMESES,2,FALSE)</f>
        <v>Maio</v>
      </c>
      <c r="D1746" s="2">
        <f>YEAR(Tabela1[[#This Row],[Periodo]])</f>
        <v>2024</v>
      </c>
      <c r="E174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154.03519322229494</v>
      </c>
      <c r="F1746" s="34"/>
      <c r="G1746" s="34"/>
      <c r="H1746" s="34"/>
    </row>
    <row r="1747" spans="1:8" x14ac:dyDescent="0.3">
      <c r="A1747" t="s">
        <v>689</v>
      </c>
      <c r="B1747" s="3">
        <f t="shared" si="19"/>
        <v>45444</v>
      </c>
      <c r="C1747" s="2" t="str">
        <f>VLOOKUP(MONTH(Tabela1[[#This Row],[Periodo]]),NUMMESES,2,FALSE)</f>
        <v>Junho</v>
      </c>
      <c r="D1747" s="2">
        <f>YEAR(Tabela1[[#This Row],[Periodo]])</f>
        <v>2024</v>
      </c>
      <c r="E174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172.57961871692893</v>
      </c>
      <c r="F1747" s="34"/>
      <c r="G1747" s="34"/>
      <c r="H1747" s="34"/>
    </row>
    <row r="1748" spans="1:8" x14ac:dyDescent="0.3">
      <c r="A1748" t="s">
        <v>689</v>
      </c>
      <c r="B1748" s="3">
        <f t="shared" si="19"/>
        <v>45474</v>
      </c>
      <c r="C1748" s="2" t="str">
        <f>VLOOKUP(MONTH(Tabela1[[#This Row],[Periodo]]),NUMMESES,2,FALSE)</f>
        <v>Julho</v>
      </c>
      <c r="D1748" s="2">
        <f>YEAR(Tabela1[[#This Row],[Periodo]])</f>
        <v>2024</v>
      </c>
      <c r="E174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123.48028797249695</v>
      </c>
      <c r="F1748" s="34"/>
      <c r="G1748" s="34"/>
      <c r="H1748" s="34"/>
    </row>
    <row r="1749" spans="1:8" x14ac:dyDescent="0.3">
      <c r="A1749" t="s">
        <v>689</v>
      </c>
      <c r="B1749" s="3">
        <f t="shared" si="19"/>
        <v>45505</v>
      </c>
      <c r="C1749" s="2" t="str">
        <f>VLOOKUP(MONTH(Tabela1[[#This Row],[Periodo]]),NUMMESES,2,FALSE)</f>
        <v>Agosto</v>
      </c>
      <c r="D1749" s="2">
        <f>YEAR(Tabela1[[#This Row],[Periodo]])</f>
        <v>2024</v>
      </c>
      <c r="E174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167.65423931112346</v>
      </c>
      <c r="F1749" s="34"/>
      <c r="G1749" s="34"/>
      <c r="H1749" s="34"/>
    </row>
    <row r="1750" spans="1:8" x14ac:dyDescent="0.3">
      <c r="A1750" t="s">
        <v>689</v>
      </c>
      <c r="B1750" s="3">
        <f t="shared" si="19"/>
        <v>45536</v>
      </c>
      <c r="C1750" s="2" t="str">
        <f>VLOOKUP(MONTH(Tabela1[[#This Row],[Periodo]]),NUMMESES,2,FALSE)</f>
        <v>Setembro</v>
      </c>
      <c r="D1750" s="2">
        <f>YEAR(Tabela1[[#This Row],[Periodo]])</f>
        <v>2024</v>
      </c>
      <c r="E175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166.84410229075831</v>
      </c>
      <c r="F1750" s="34"/>
      <c r="G1750" s="34"/>
      <c r="H1750" s="34"/>
    </row>
    <row r="1751" spans="1:8" x14ac:dyDescent="0.3">
      <c r="A1751" t="s">
        <v>689</v>
      </c>
      <c r="B1751" s="3">
        <f t="shared" si="19"/>
        <v>45566</v>
      </c>
      <c r="C1751" s="2" t="str">
        <f>VLOOKUP(MONTH(Tabela1[[#This Row],[Periodo]]),NUMMESES,2,FALSE)</f>
        <v>Outubro</v>
      </c>
      <c r="D1751" s="2">
        <f>YEAR(Tabela1[[#This Row],[Periodo]])</f>
        <v>2024</v>
      </c>
      <c r="E175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152.48856393346452</v>
      </c>
      <c r="F1751" s="34"/>
      <c r="G1751" s="34"/>
      <c r="H1751" s="34"/>
    </row>
    <row r="1752" spans="1:8" x14ac:dyDescent="0.3">
      <c r="A1752" t="s">
        <v>689</v>
      </c>
      <c r="B1752" s="3">
        <f t="shared" si="19"/>
        <v>45597</v>
      </c>
      <c r="C1752" s="2" t="str">
        <f>VLOOKUP(MONTH(Tabela1[[#This Row],[Periodo]]),NUMMESES,2,FALSE)</f>
        <v>Novembro</v>
      </c>
      <c r="D1752" s="2">
        <f>YEAR(Tabela1[[#This Row],[Periodo]])</f>
        <v>2024</v>
      </c>
      <c r="E175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207.55249790844601</v>
      </c>
      <c r="F1752" s="34"/>
      <c r="G1752" s="34"/>
      <c r="H1752" s="34"/>
    </row>
    <row r="1753" spans="1:8" x14ac:dyDescent="0.3">
      <c r="A1753" t="s">
        <v>689</v>
      </c>
      <c r="B1753" s="3">
        <f t="shared" si="19"/>
        <v>45627</v>
      </c>
      <c r="C1753" s="2" t="str">
        <f>VLOOKUP(MONTH(Tabela1[[#This Row],[Periodo]]),NUMMESES,2,FALSE)</f>
        <v>Dezembro</v>
      </c>
      <c r="D1753" s="2">
        <f>YEAR(Tabela1[[#This Row],[Periodo]])</f>
        <v>2024</v>
      </c>
      <c r="E175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143.19190552853121</v>
      </c>
      <c r="F1753" s="34"/>
      <c r="G1753" s="34"/>
      <c r="H1753" s="34"/>
    </row>
    <row r="1754" spans="1:8" x14ac:dyDescent="0.3">
      <c r="A1754" t="s">
        <v>689</v>
      </c>
      <c r="B1754" s="3">
        <f t="shared" si="19"/>
        <v>45658</v>
      </c>
      <c r="C1754" s="2" t="str">
        <f>VLOOKUP(MONTH(Tabela1[[#This Row],[Periodo]]),NUMMESES,2,FALSE)</f>
        <v>Janeiro</v>
      </c>
      <c r="D1754" s="2">
        <f>YEAR(Tabela1[[#This Row],[Periodo]])</f>
        <v>2025</v>
      </c>
      <c r="E175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244.79698283291395</v>
      </c>
      <c r="F1754" s="34"/>
      <c r="G1754" s="34"/>
      <c r="H1754" s="34"/>
    </row>
    <row r="1755" spans="1:8" x14ac:dyDescent="0.3">
      <c r="A1755" t="s">
        <v>689</v>
      </c>
      <c r="B1755" s="3">
        <f t="shared" si="19"/>
        <v>45689</v>
      </c>
      <c r="C1755" s="2" t="str">
        <f>VLOOKUP(MONTH(Tabela1[[#This Row],[Periodo]]),NUMMESES,2,FALSE)</f>
        <v>Fevereiro</v>
      </c>
      <c r="D1755" s="2">
        <f>YEAR(Tabela1[[#This Row],[Periodo]])</f>
        <v>2025</v>
      </c>
      <c r="E175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221.2851436539631</v>
      </c>
      <c r="F1755" s="34"/>
      <c r="G1755" s="34"/>
      <c r="H1755" s="34"/>
    </row>
    <row r="1756" spans="1:8" x14ac:dyDescent="0.3">
      <c r="A1756" t="s">
        <v>689</v>
      </c>
      <c r="B1756" s="3">
        <f t="shared" si="19"/>
        <v>45717</v>
      </c>
      <c r="C1756" s="2" t="str">
        <f>VLOOKUP(MONTH(Tabela1[[#This Row],[Periodo]]),NUMMESES,2,FALSE)</f>
        <v>Março</v>
      </c>
      <c r="D1756" s="2">
        <f>YEAR(Tabela1[[#This Row],[Periodo]])</f>
        <v>2025</v>
      </c>
      <c r="E175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207.78320448960744</v>
      </c>
      <c r="F1756" s="34"/>
      <c r="G1756" s="34"/>
      <c r="H1756" s="34"/>
    </row>
    <row r="1757" spans="1:8" x14ac:dyDescent="0.3">
      <c r="A1757" t="s">
        <v>689</v>
      </c>
      <c r="B1757" s="3">
        <f t="shared" si="19"/>
        <v>45748</v>
      </c>
      <c r="C1757" s="2" t="str">
        <f>VLOOKUP(MONTH(Tabela1[[#This Row],[Periodo]]),NUMMESES,2,FALSE)</f>
        <v>Abril</v>
      </c>
      <c r="D1757" s="2">
        <f>YEAR(Tabela1[[#This Row],[Periodo]])</f>
        <v>2025</v>
      </c>
      <c r="E1757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116.72169346461227</v>
      </c>
      <c r="F1757" s="34"/>
      <c r="G1757" s="34"/>
      <c r="H1757" s="34"/>
    </row>
    <row r="1758" spans="1:8" x14ac:dyDescent="0.3">
      <c r="A1758" t="s">
        <v>689</v>
      </c>
      <c r="B1758" s="3">
        <f t="shared" si="19"/>
        <v>45778</v>
      </c>
      <c r="C1758" s="2" t="str">
        <f>VLOOKUP(MONTH(Tabela1[[#This Row],[Periodo]]),NUMMESES,2,FALSE)</f>
        <v>Maio</v>
      </c>
      <c r="D1758" s="2">
        <f>YEAR(Tabela1[[#This Row],[Periodo]])</f>
        <v>2025</v>
      </c>
      <c r="E1758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91.590536410445793</v>
      </c>
      <c r="F1758" s="34"/>
      <c r="G1758" s="34"/>
      <c r="H1758" s="34"/>
    </row>
    <row r="1759" spans="1:8" x14ac:dyDescent="0.3">
      <c r="A1759" t="s">
        <v>689</v>
      </c>
      <c r="B1759" s="3">
        <f t="shared" si="19"/>
        <v>45809</v>
      </c>
      <c r="C1759" s="2" t="str">
        <f>VLOOKUP(MONTH(Tabela1[[#This Row],[Periodo]]),NUMMESES,2,FALSE)</f>
        <v>Junho</v>
      </c>
      <c r="D1759" s="2">
        <f>YEAR(Tabela1[[#This Row],[Periodo]])</f>
        <v>2025</v>
      </c>
      <c r="E1759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193.20263823142335</v>
      </c>
      <c r="F1759" s="34"/>
      <c r="G1759" s="34"/>
      <c r="H1759" s="34"/>
    </row>
    <row r="1760" spans="1:8" x14ac:dyDescent="0.3">
      <c r="A1760" t="s">
        <v>689</v>
      </c>
      <c r="B1760" s="3">
        <f t="shared" si="19"/>
        <v>45839</v>
      </c>
      <c r="C1760" s="2" t="str">
        <f>VLOOKUP(MONTH(Tabela1[[#This Row],[Periodo]]),NUMMESES,2,FALSE)</f>
        <v>Julho</v>
      </c>
      <c r="D1760" s="2">
        <f>YEAR(Tabela1[[#This Row],[Periodo]])</f>
        <v>2025</v>
      </c>
      <c r="E1760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194.92226415148011</v>
      </c>
      <c r="F1760" s="34"/>
      <c r="G1760" s="34"/>
      <c r="H1760" s="34"/>
    </row>
    <row r="1761" spans="1:8" x14ac:dyDescent="0.3">
      <c r="A1761" t="s">
        <v>689</v>
      </c>
      <c r="B1761" s="3">
        <f t="shared" si="19"/>
        <v>45870</v>
      </c>
      <c r="C1761" s="2" t="str">
        <f>VLOOKUP(MONTH(Tabela1[[#This Row],[Periodo]]),NUMMESES,2,FALSE)</f>
        <v>Agosto</v>
      </c>
      <c r="D1761" s="2">
        <f>YEAR(Tabela1[[#This Row],[Periodo]])</f>
        <v>2025</v>
      </c>
      <c r="E1761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186.36448654710159</v>
      </c>
      <c r="F1761" s="34"/>
      <c r="G1761" s="34"/>
      <c r="H1761" s="34"/>
    </row>
    <row r="1762" spans="1:8" x14ac:dyDescent="0.3">
      <c r="A1762" t="s">
        <v>689</v>
      </c>
      <c r="B1762" s="3">
        <f t="shared" si="19"/>
        <v>45901</v>
      </c>
      <c r="C1762" s="2" t="str">
        <f>VLOOKUP(MONTH(Tabela1[[#This Row],[Periodo]]),NUMMESES,2,FALSE)</f>
        <v>Setembro</v>
      </c>
      <c r="D1762" s="2">
        <f>YEAR(Tabela1[[#This Row],[Periodo]])</f>
        <v>2025</v>
      </c>
      <c r="E1762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183.82636197750585</v>
      </c>
      <c r="F1762" s="34"/>
      <c r="G1762" s="34"/>
      <c r="H1762" s="34"/>
    </row>
    <row r="1763" spans="1:8" x14ac:dyDescent="0.3">
      <c r="A1763" t="s">
        <v>689</v>
      </c>
      <c r="B1763" s="3">
        <f t="shared" si="19"/>
        <v>45931</v>
      </c>
      <c r="C1763" s="2" t="str">
        <f>VLOOKUP(MONTH(Tabela1[[#This Row],[Periodo]]),NUMMESES,2,FALSE)</f>
        <v>Outubro</v>
      </c>
      <c r="D1763" s="2">
        <f>YEAR(Tabela1[[#This Row],[Periodo]])</f>
        <v>2025</v>
      </c>
      <c r="E1763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198.29627255884213</v>
      </c>
      <c r="F1763" s="34"/>
      <c r="G1763" s="34"/>
      <c r="H1763" s="34"/>
    </row>
    <row r="1764" spans="1:8" x14ac:dyDescent="0.3">
      <c r="A1764" t="s">
        <v>689</v>
      </c>
      <c r="B1764" s="3">
        <f t="shared" si="19"/>
        <v>45962</v>
      </c>
      <c r="C1764" s="2" t="str">
        <f>VLOOKUP(MONTH(Tabela1[[#This Row],[Periodo]]),NUMMESES,2,FALSE)</f>
        <v>Novembro</v>
      </c>
      <c r="D1764" s="2">
        <f>YEAR(Tabela1[[#This Row],[Periodo]])</f>
        <v>2025</v>
      </c>
      <c r="E1764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156.0167815662918</v>
      </c>
      <c r="F1764" s="34"/>
      <c r="G1764" s="34"/>
      <c r="H1764" s="34"/>
    </row>
    <row r="1765" spans="1:8" x14ac:dyDescent="0.3">
      <c r="A1765" t="s">
        <v>689</v>
      </c>
      <c r="B1765" s="3">
        <f t="shared" si="19"/>
        <v>45992</v>
      </c>
      <c r="C1765" s="2" t="str">
        <f>VLOOKUP(MONTH(Tabela1[[#This Row],[Periodo]]),NUMMESES,2,FALSE)</f>
        <v>Dezembro</v>
      </c>
      <c r="D1765" s="2">
        <f>YEAR(Tabela1[[#This Row],[Periodo]])</f>
        <v>2025</v>
      </c>
      <c r="E1765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237.58665456212302</v>
      </c>
      <c r="F1765" s="34"/>
      <c r="G1765" s="34"/>
      <c r="H1765" s="34"/>
    </row>
    <row r="1766" spans="1:8" x14ac:dyDescent="0.3">
      <c r="A1766" t="s">
        <v>689</v>
      </c>
      <c r="B1766" s="3">
        <f t="shared" si="19"/>
        <v>46023</v>
      </c>
      <c r="C1766" s="2" t="str">
        <f>VLOOKUP(MONTH(Tabela1[[#This Row],[Periodo]]),NUMMESES,2,FALSE)</f>
        <v>Janeiro</v>
      </c>
      <c r="D1766" s="2">
        <f>YEAR(Tabela1[[#This Row],[Periodo]])</f>
        <v>2026</v>
      </c>
      <c r="E1766" s="42">
        <f>(INDEX(TBBP[],MATCH("1.1.1.6",planoContas,0)+1,MATCH(Tabela1[[#This Row],[Periodo]],listaPeriodos,0))/((INDEX(TBBP[],MATCH("4.1.1.1.20",planoContas,0)+1,MATCH(Tabela1[[#This Row],[Periodo]],listaPeriodos,0)))+INDEX(TBBP[],MATCH("4.1.1.1.13",planoContas,0)+1,MATCH(Tabela1[[#This Row],[Periodo]],listaPeriodos,0))))*-30</f>
        <v>177.59355312334506</v>
      </c>
      <c r="F1766" s="34"/>
      <c r="G1766" s="34"/>
      <c r="H1766" s="34"/>
    </row>
    <row r="1767" spans="1:8" x14ac:dyDescent="0.3">
      <c r="B1767" s="3"/>
      <c r="C1767" s="2"/>
      <c r="D1767" s="2"/>
      <c r="E1767" s="42"/>
      <c r="F1767" s="34"/>
      <c r="G1767" s="34"/>
      <c r="H1767" s="34"/>
    </row>
    <row r="1768" spans="1:8" x14ac:dyDescent="0.3">
      <c r="A1768" t="s">
        <v>690</v>
      </c>
      <c r="B1768" s="3">
        <v>41609</v>
      </c>
      <c r="C1768" s="2" t="str">
        <f>VLOOKUP(MONTH(Tabela1[[#This Row],[Periodo]]),NUMMESES,2,FALSE)</f>
        <v>Dezembro</v>
      </c>
      <c r="D1768" s="2">
        <f>YEAR(Tabela1[[#This Row],[Periodo]])</f>
        <v>2013</v>
      </c>
      <c r="E1768" s="42">
        <f>(INDEX(TBBP[],MATCH("1.1.1.3.01",planoContas,0)+1,MATCH(Tabela1[[#This Row],[Periodo]],listaPeriodos,0))/(INDEX(TBBP[],MATCH("3.1.1.1.01",planoContas,0)+1,MATCH(Tabela1[[#This Row],[Periodo]],listaPeriodos,0))))*30</f>
        <v>3.8451022327014579</v>
      </c>
      <c r="F1768" s="34"/>
      <c r="G1768" s="34"/>
      <c r="H1768" s="34"/>
    </row>
    <row r="1769" spans="1:8" x14ac:dyDescent="0.3">
      <c r="A1769" t="s">
        <v>690</v>
      </c>
      <c r="B1769" s="3">
        <v>41974</v>
      </c>
      <c r="C1769" s="2" t="str">
        <f>VLOOKUP(MONTH(Tabela1[[#This Row],[Periodo]]),NUMMESES,2,FALSE)</f>
        <v>Dezembro</v>
      </c>
      <c r="D1769" s="2">
        <f>YEAR(Tabela1[[#This Row],[Periodo]])</f>
        <v>2014</v>
      </c>
      <c r="E1769" s="42">
        <f>(INDEX(TBBP[],MATCH("1.1.1.3.01",planoContas,0)+1,MATCH(Tabela1[[#This Row],[Periodo]],listaPeriodos,0))/(INDEX(TBBP[],MATCH("3.1.1.1.01",planoContas,0)+1,MATCH(Tabela1[[#This Row],[Periodo]],listaPeriodos,0))))*30</f>
        <v>5.0056274419354558</v>
      </c>
      <c r="F1769" s="34"/>
      <c r="G1769" s="34"/>
      <c r="H1769" s="34"/>
    </row>
    <row r="1770" spans="1:8" x14ac:dyDescent="0.3">
      <c r="A1770" t="s">
        <v>690</v>
      </c>
      <c r="B1770" s="3">
        <v>42339</v>
      </c>
      <c r="C1770" s="2" t="str">
        <f>VLOOKUP(MONTH(Tabela1[[#This Row],[Periodo]]),NUMMESES,2,FALSE)</f>
        <v>Dezembro</v>
      </c>
      <c r="D1770" s="2">
        <f>YEAR(Tabela1[[#This Row],[Periodo]])</f>
        <v>2015</v>
      </c>
      <c r="E1770" s="42">
        <f>(INDEX(TBBP[],MATCH("1.1.1.3.01",planoContas,0)+1,MATCH(Tabela1[[#This Row],[Periodo]],listaPeriodos,0))/(INDEX(TBBP[],MATCH("3.1.1.1.01",planoContas,0)+1,MATCH(Tabela1[[#This Row],[Periodo]],listaPeriodos,0))))*30</f>
        <v>5.0546612084980014</v>
      </c>
      <c r="F1770" s="34"/>
      <c r="G1770" s="34"/>
      <c r="H1770" s="34"/>
    </row>
    <row r="1771" spans="1:8" x14ac:dyDescent="0.3">
      <c r="A1771" t="s">
        <v>690</v>
      </c>
      <c r="B1771" s="3">
        <v>42705</v>
      </c>
      <c r="C1771" s="2" t="str">
        <f>VLOOKUP(MONTH(Tabela1[[#This Row],[Periodo]]),NUMMESES,2,FALSE)</f>
        <v>Dezembro</v>
      </c>
      <c r="D1771" s="2">
        <f>YEAR(Tabela1[[#This Row],[Periodo]])</f>
        <v>2016</v>
      </c>
      <c r="E1771" s="42">
        <f>(INDEX(TBBP[],MATCH("1.1.1.3.01",planoContas,0)+1,MATCH(Tabela1[[#This Row],[Periodo]],listaPeriodos,0))/(INDEX(TBBP[],MATCH("3.1.1.1.01",planoContas,0)+1,MATCH(Tabela1[[#This Row],[Periodo]],listaPeriodos,0))))*30</f>
        <v>6.2088203530241479</v>
      </c>
      <c r="F1771" s="34"/>
      <c r="G1771" s="34"/>
      <c r="H1771" s="34"/>
    </row>
    <row r="1772" spans="1:8" x14ac:dyDescent="0.3">
      <c r="A1772" t="s">
        <v>690</v>
      </c>
      <c r="B1772" s="3">
        <v>43070</v>
      </c>
      <c r="C1772" s="2" t="str">
        <f>VLOOKUP(MONTH(Tabela1[[#This Row],[Periodo]]),NUMMESES,2,FALSE)</f>
        <v>Dezembro</v>
      </c>
      <c r="D1772" s="2">
        <f>YEAR(Tabela1[[#This Row],[Periodo]])</f>
        <v>2017</v>
      </c>
      <c r="E1772" s="42">
        <f>(INDEX(TBBP[],MATCH("1.1.1.3.01",planoContas,0)+1,MATCH(Tabela1[[#This Row],[Periodo]],listaPeriodos,0))/(INDEX(TBBP[],MATCH("3.1.1.1.01",planoContas,0)+1,MATCH(Tabela1[[#This Row],[Periodo]],listaPeriodos,0))))*30</f>
        <v>5.7376194430621235</v>
      </c>
      <c r="F1772" s="34"/>
      <c r="G1772" s="34"/>
      <c r="H1772" s="34"/>
    </row>
    <row r="1773" spans="1:8" x14ac:dyDescent="0.3">
      <c r="A1773" t="s">
        <v>690</v>
      </c>
      <c r="B1773" s="3">
        <v>43101</v>
      </c>
      <c r="C1773" s="2" t="str">
        <f>VLOOKUP(MONTH(Tabela1[[#This Row],[Periodo]]),NUMMESES,2,FALSE)</f>
        <v>Janeiro</v>
      </c>
      <c r="D1773" s="2">
        <f>YEAR(Tabela1[[#This Row],[Periodo]])</f>
        <v>2018</v>
      </c>
      <c r="E1773" s="42">
        <f>(INDEX(TBBP[],MATCH("1.1.1.3.01",planoContas,0)+1,MATCH(Tabela1[[#This Row],[Periodo]],listaPeriodos,0))/(INDEX(TBBP[],MATCH("3.1.1.1.01",planoContas,0)+1,MATCH(Tabela1[[#This Row],[Periodo]],listaPeriodos,0))))*30</f>
        <v>84.083181311102749</v>
      </c>
      <c r="F1773" s="34"/>
      <c r="G1773" s="34"/>
      <c r="H1773" s="34"/>
    </row>
    <row r="1774" spans="1:8" x14ac:dyDescent="0.3">
      <c r="A1774" t="s">
        <v>690</v>
      </c>
      <c r="B1774" s="3">
        <f t="shared" ref="B1774:B1869" si="20">DATE(YEAR(B1773),MONTH(B1773)+1,DAY(B1773))</f>
        <v>43132</v>
      </c>
      <c r="C1774" s="2" t="str">
        <f>VLOOKUP(MONTH(Tabela1[[#This Row],[Periodo]]),NUMMESES,2,FALSE)</f>
        <v>Fevereiro</v>
      </c>
      <c r="D1774" s="2">
        <f>YEAR(Tabela1[[#This Row],[Periodo]])</f>
        <v>2018</v>
      </c>
      <c r="E1774" s="42">
        <f>(INDEX(TBBP[],MATCH("1.1.1.3.01",planoContas,0)+1,MATCH(Tabela1[[#This Row],[Periodo]],listaPeriodos,0))/(INDEX(TBBP[],MATCH("3.1.1.1.01",planoContas,0)+1,MATCH(Tabela1[[#This Row],[Periodo]],listaPeriodos,0))))*30</f>
        <v>74.994321399948547</v>
      </c>
      <c r="F1774" s="34"/>
      <c r="G1774" s="34"/>
      <c r="H1774" s="34"/>
    </row>
    <row r="1775" spans="1:8" x14ac:dyDescent="0.3">
      <c r="A1775" t="s">
        <v>690</v>
      </c>
      <c r="B1775" s="3">
        <f t="shared" si="20"/>
        <v>43160</v>
      </c>
      <c r="C1775" s="2" t="str">
        <f>VLOOKUP(MONTH(Tabela1[[#This Row],[Periodo]]),NUMMESES,2,FALSE)</f>
        <v>Março</v>
      </c>
      <c r="D1775" s="2">
        <f>YEAR(Tabela1[[#This Row],[Periodo]])</f>
        <v>2018</v>
      </c>
      <c r="E1775" s="42">
        <f>(INDEX(TBBP[],MATCH("1.1.1.3.01",planoContas,0)+1,MATCH(Tabela1[[#This Row],[Periodo]],listaPeriodos,0))/(INDEX(TBBP[],MATCH("3.1.1.1.01",planoContas,0)+1,MATCH(Tabela1[[#This Row],[Periodo]],listaPeriodos,0))))*30</f>
        <v>61.639309687353801</v>
      </c>
      <c r="F1775" s="34"/>
      <c r="G1775" s="34"/>
      <c r="H1775" s="34"/>
    </row>
    <row r="1776" spans="1:8" x14ac:dyDescent="0.3">
      <c r="A1776" t="s">
        <v>690</v>
      </c>
      <c r="B1776" s="3">
        <f t="shared" si="20"/>
        <v>43191</v>
      </c>
      <c r="C1776" s="2" t="str">
        <f>VLOOKUP(MONTH(Tabela1[[#This Row],[Periodo]]),NUMMESES,2,FALSE)</f>
        <v>Abril</v>
      </c>
      <c r="D1776" s="2">
        <f>YEAR(Tabela1[[#This Row],[Periodo]])</f>
        <v>2018</v>
      </c>
      <c r="E1776" s="42">
        <f>(INDEX(TBBP[],MATCH("1.1.1.3.01",planoContas,0)+1,MATCH(Tabela1[[#This Row],[Periodo]],listaPeriodos,0))/(INDEX(TBBP[],MATCH("3.1.1.1.01",planoContas,0)+1,MATCH(Tabela1[[#This Row],[Periodo]],listaPeriodos,0))))*30</f>
        <v>71.087128367262949</v>
      </c>
      <c r="F1776" s="34"/>
      <c r="G1776" s="34"/>
      <c r="H1776" s="34"/>
    </row>
    <row r="1777" spans="1:8" x14ac:dyDescent="0.3">
      <c r="A1777" t="s">
        <v>690</v>
      </c>
      <c r="B1777" s="3">
        <f t="shared" si="20"/>
        <v>43221</v>
      </c>
      <c r="C1777" s="2" t="str">
        <f>VLOOKUP(MONTH(Tabela1[[#This Row],[Periodo]]),NUMMESES,2,FALSE)</f>
        <v>Maio</v>
      </c>
      <c r="D1777" s="2">
        <f>YEAR(Tabela1[[#This Row],[Periodo]])</f>
        <v>2018</v>
      </c>
      <c r="E1777" s="42">
        <f>(INDEX(TBBP[],MATCH("1.1.1.3.01",planoContas,0)+1,MATCH(Tabela1[[#This Row],[Periodo]],listaPeriodos,0))/(INDEX(TBBP[],MATCH("3.1.1.1.01",planoContas,0)+1,MATCH(Tabela1[[#This Row],[Periodo]],listaPeriodos,0))))*30</f>
        <v>111.42560671021408</v>
      </c>
      <c r="F1777" s="34"/>
      <c r="G1777" s="34"/>
      <c r="H1777" s="34"/>
    </row>
    <row r="1778" spans="1:8" x14ac:dyDescent="0.3">
      <c r="A1778" t="s">
        <v>690</v>
      </c>
      <c r="B1778" s="3">
        <f t="shared" si="20"/>
        <v>43252</v>
      </c>
      <c r="C1778" s="2" t="str">
        <f>VLOOKUP(MONTH(Tabela1[[#This Row],[Periodo]]),NUMMESES,2,FALSE)</f>
        <v>Junho</v>
      </c>
      <c r="D1778" s="2">
        <f>YEAR(Tabela1[[#This Row],[Periodo]])</f>
        <v>2018</v>
      </c>
      <c r="E1778" s="42">
        <f>(INDEX(TBBP[],MATCH("1.1.1.3.01",planoContas,0)+1,MATCH(Tabela1[[#This Row],[Periodo]],listaPeriodos,0))/(INDEX(TBBP[],MATCH("3.1.1.1.01",planoContas,0)+1,MATCH(Tabela1[[#This Row],[Periodo]],listaPeriodos,0))))*30</f>
        <v>75.434459595169798</v>
      </c>
      <c r="F1778" s="34"/>
      <c r="G1778" s="34"/>
      <c r="H1778" s="34"/>
    </row>
    <row r="1779" spans="1:8" x14ac:dyDescent="0.3">
      <c r="A1779" t="s">
        <v>690</v>
      </c>
      <c r="B1779" s="3">
        <f t="shared" si="20"/>
        <v>43282</v>
      </c>
      <c r="C1779" s="2" t="str">
        <f>VLOOKUP(MONTH(Tabela1[[#This Row],[Periodo]]),NUMMESES,2,FALSE)</f>
        <v>Julho</v>
      </c>
      <c r="D1779" s="2">
        <f>YEAR(Tabela1[[#This Row],[Periodo]])</f>
        <v>2018</v>
      </c>
      <c r="E1779" s="42">
        <f>(INDEX(TBBP[],MATCH("1.1.1.3.01",planoContas,0)+1,MATCH(Tabela1[[#This Row],[Periodo]],listaPeriodos,0))/(INDEX(TBBP[],MATCH("3.1.1.1.01",planoContas,0)+1,MATCH(Tabela1[[#This Row],[Periodo]],listaPeriodos,0))))*30</f>
        <v>53.677025269583794</v>
      </c>
      <c r="F1779" s="34"/>
      <c r="G1779" s="34"/>
      <c r="H1779" s="34"/>
    </row>
    <row r="1780" spans="1:8" x14ac:dyDescent="0.3">
      <c r="A1780" t="s">
        <v>690</v>
      </c>
      <c r="B1780" s="3">
        <f t="shared" si="20"/>
        <v>43313</v>
      </c>
      <c r="C1780" s="2" t="str">
        <f>VLOOKUP(MONTH(Tabela1[[#This Row],[Periodo]]),NUMMESES,2,FALSE)</f>
        <v>Agosto</v>
      </c>
      <c r="D1780" s="2">
        <f>YEAR(Tabela1[[#This Row],[Periodo]])</f>
        <v>2018</v>
      </c>
      <c r="E1780" s="42">
        <f>(INDEX(TBBP[],MATCH("1.1.1.3.01",planoContas,0)+1,MATCH(Tabela1[[#This Row],[Periodo]],listaPeriodos,0))/(INDEX(TBBP[],MATCH("3.1.1.1.01",planoContas,0)+1,MATCH(Tabela1[[#This Row],[Periodo]],listaPeriodos,0))))*30</f>
        <v>75.672042125476437</v>
      </c>
      <c r="F1780" s="34"/>
      <c r="G1780" s="34"/>
      <c r="H1780" s="34"/>
    </row>
    <row r="1781" spans="1:8" x14ac:dyDescent="0.3">
      <c r="A1781" t="s">
        <v>690</v>
      </c>
      <c r="B1781" s="3">
        <f t="shared" si="20"/>
        <v>43344</v>
      </c>
      <c r="C1781" s="2" t="str">
        <f>VLOOKUP(MONTH(Tabela1[[#This Row],[Periodo]]),NUMMESES,2,FALSE)</f>
        <v>Setembro</v>
      </c>
      <c r="D1781" s="2">
        <f>YEAR(Tabela1[[#This Row],[Periodo]])</f>
        <v>2018</v>
      </c>
      <c r="E1781" s="42">
        <f>(INDEX(TBBP[],MATCH("1.1.1.3.01",planoContas,0)+1,MATCH(Tabela1[[#This Row],[Periodo]],listaPeriodos,0))/(INDEX(TBBP[],MATCH("3.1.1.1.01",planoContas,0)+1,MATCH(Tabela1[[#This Row],[Periodo]],listaPeriodos,0))))*30</f>
        <v>60.94476511128893</v>
      </c>
      <c r="F1781" s="34"/>
      <c r="G1781" s="34"/>
      <c r="H1781" s="34"/>
    </row>
    <row r="1782" spans="1:8" x14ac:dyDescent="0.3">
      <c r="A1782" t="s">
        <v>690</v>
      </c>
      <c r="B1782" s="3">
        <f t="shared" si="20"/>
        <v>43374</v>
      </c>
      <c r="C1782" s="2" t="str">
        <f>VLOOKUP(MONTH(Tabela1[[#This Row],[Periodo]]),NUMMESES,2,FALSE)</f>
        <v>Outubro</v>
      </c>
      <c r="D1782" s="2">
        <f>YEAR(Tabela1[[#This Row],[Periodo]])</f>
        <v>2018</v>
      </c>
      <c r="E1782" s="42">
        <f>(INDEX(TBBP[],MATCH("1.1.1.3.01",planoContas,0)+1,MATCH(Tabela1[[#This Row],[Periodo]],listaPeriodos,0))/(INDEX(TBBP[],MATCH("3.1.1.1.01",planoContas,0)+1,MATCH(Tabela1[[#This Row],[Periodo]],listaPeriodos,0))))*30</f>
        <v>77.205224117947139</v>
      </c>
      <c r="F1782" s="34"/>
      <c r="G1782" s="34"/>
      <c r="H1782" s="34"/>
    </row>
    <row r="1783" spans="1:8" x14ac:dyDescent="0.3">
      <c r="A1783" t="s">
        <v>690</v>
      </c>
      <c r="B1783" s="3">
        <f t="shared" si="20"/>
        <v>43405</v>
      </c>
      <c r="C1783" s="2" t="str">
        <f>VLOOKUP(MONTH(Tabela1[[#This Row],[Periodo]]),NUMMESES,2,FALSE)</f>
        <v>Novembro</v>
      </c>
      <c r="D1783" s="2">
        <f>YEAR(Tabela1[[#This Row],[Periodo]])</f>
        <v>2018</v>
      </c>
      <c r="E1783" s="42">
        <f>(INDEX(TBBP[],MATCH("1.1.1.3.01",planoContas,0)+1,MATCH(Tabela1[[#This Row],[Periodo]],listaPeriodos,0))/(INDEX(TBBP[],MATCH("3.1.1.1.01",planoContas,0)+1,MATCH(Tabela1[[#This Row],[Periodo]],listaPeriodos,0))))*30</f>
        <v>123.06838399038385</v>
      </c>
      <c r="F1783" s="34"/>
      <c r="G1783" s="34"/>
      <c r="H1783" s="34"/>
    </row>
    <row r="1784" spans="1:8" x14ac:dyDescent="0.3">
      <c r="A1784" t="s">
        <v>690</v>
      </c>
      <c r="B1784" s="3">
        <f t="shared" si="20"/>
        <v>43435</v>
      </c>
      <c r="C1784" s="2" t="str">
        <f>VLOOKUP(MONTH(Tabela1[[#This Row],[Periodo]]),NUMMESES,2,FALSE)</f>
        <v>Dezembro</v>
      </c>
      <c r="D1784" s="2">
        <f>YEAR(Tabela1[[#This Row],[Periodo]])</f>
        <v>2018</v>
      </c>
      <c r="E1784" s="42">
        <f>(INDEX(TBBP[],MATCH("1.1.1.3.01",planoContas,0)+1,MATCH(Tabela1[[#This Row],[Periodo]],listaPeriodos,0))/(INDEX(TBBP[],MATCH("3.1.1.1.01",planoContas,0)+1,MATCH(Tabela1[[#This Row],[Periodo]],listaPeriodos,0))))*30</f>
        <v>134.89994114320447</v>
      </c>
      <c r="F1784" s="34"/>
      <c r="G1784" s="34"/>
      <c r="H1784" s="34"/>
    </row>
    <row r="1785" spans="1:8" x14ac:dyDescent="0.3">
      <c r="A1785" t="s">
        <v>690</v>
      </c>
      <c r="B1785" s="3">
        <f t="shared" si="20"/>
        <v>43466</v>
      </c>
      <c r="C1785" s="2" t="str">
        <f>VLOOKUP(MONTH(Tabela1[[#This Row],[Periodo]]),NUMMESES,2,FALSE)</f>
        <v>Janeiro</v>
      </c>
      <c r="D1785" s="2">
        <f>YEAR(Tabela1[[#This Row],[Periodo]])</f>
        <v>2019</v>
      </c>
      <c r="E1785" s="42">
        <f>(INDEX(TBBP[],MATCH("1.1.1.3.01",planoContas,0)+1,MATCH(Tabela1[[#This Row],[Periodo]],listaPeriodos,0))/(INDEX(TBBP[],MATCH("3.1.1.1.01",planoContas,0)+1,MATCH(Tabela1[[#This Row],[Periodo]],listaPeriodos,0))))*30</f>
        <v>81.972425270279615</v>
      </c>
      <c r="F1785" s="34"/>
      <c r="G1785" s="34"/>
      <c r="H1785" s="34"/>
    </row>
    <row r="1786" spans="1:8" x14ac:dyDescent="0.3">
      <c r="A1786" t="s">
        <v>690</v>
      </c>
      <c r="B1786" s="3">
        <f t="shared" si="20"/>
        <v>43497</v>
      </c>
      <c r="C1786" s="2" t="str">
        <f>VLOOKUP(MONTH(Tabela1[[#This Row],[Periodo]]),NUMMESES,2,FALSE)</f>
        <v>Fevereiro</v>
      </c>
      <c r="D1786" s="2">
        <f>YEAR(Tabela1[[#This Row],[Periodo]])</f>
        <v>2019</v>
      </c>
      <c r="E1786" s="42">
        <f>(INDEX(TBBP[],MATCH("1.1.1.3.01",planoContas,0)+1,MATCH(Tabela1[[#This Row],[Periodo]],listaPeriodos,0))/(INDEX(TBBP[],MATCH("3.1.1.1.01",planoContas,0)+1,MATCH(Tabela1[[#This Row],[Periodo]],listaPeriodos,0))))*30</f>
        <v>91.302500553173346</v>
      </c>
      <c r="F1786" s="34"/>
      <c r="G1786" s="34"/>
      <c r="H1786" s="34"/>
    </row>
    <row r="1787" spans="1:8" x14ac:dyDescent="0.3">
      <c r="A1787" t="s">
        <v>690</v>
      </c>
      <c r="B1787" s="3">
        <f t="shared" si="20"/>
        <v>43525</v>
      </c>
      <c r="C1787" s="2" t="str">
        <f>VLOOKUP(MONTH(Tabela1[[#This Row],[Periodo]]),NUMMESES,2,FALSE)</f>
        <v>Março</v>
      </c>
      <c r="D1787" s="2">
        <f>YEAR(Tabela1[[#This Row],[Periodo]])</f>
        <v>2019</v>
      </c>
      <c r="E1787" s="42">
        <f>(INDEX(TBBP[],MATCH("1.1.1.3.01",planoContas,0)+1,MATCH(Tabela1[[#This Row],[Periodo]],listaPeriodos,0))/(INDEX(TBBP[],MATCH("3.1.1.1.01",planoContas,0)+1,MATCH(Tabela1[[#This Row],[Periodo]],listaPeriodos,0))))*30</f>
        <v>77.727866205430871</v>
      </c>
      <c r="F1787" s="34"/>
      <c r="G1787" s="34"/>
      <c r="H1787" s="34"/>
    </row>
    <row r="1788" spans="1:8" x14ac:dyDescent="0.3">
      <c r="A1788" t="s">
        <v>690</v>
      </c>
      <c r="B1788" s="3">
        <f t="shared" si="20"/>
        <v>43556</v>
      </c>
      <c r="C1788" s="2" t="str">
        <f>VLOOKUP(MONTH(Tabela1[[#This Row],[Periodo]]),NUMMESES,2,FALSE)</f>
        <v>Abril</v>
      </c>
      <c r="D1788" s="2">
        <f>YEAR(Tabela1[[#This Row],[Periodo]])</f>
        <v>2019</v>
      </c>
      <c r="E1788" s="42">
        <f>(INDEX(TBBP[],MATCH("1.1.1.3.01",planoContas,0)+1,MATCH(Tabela1[[#This Row],[Periodo]],listaPeriodos,0))/(INDEX(TBBP[],MATCH("3.1.1.1.01",planoContas,0)+1,MATCH(Tabela1[[#This Row],[Periodo]],listaPeriodos,0))))*30</f>
        <v>78.731687867490422</v>
      </c>
      <c r="F1788" s="34"/>
      <c r="G1788" s="34"/>
      <c r="H1788" s="34"/>
    </row>
    <row r="1789" spans="1:8" x14ac:dyDescent="0.3">
      <c r="A1789" t="s">
        <v>690</v>
      </c>
      <c r="B1789" s="3">
        <f t="shared" si="20"/>
        <v>43586</v>
      </c>
      <c r="C1789" s="2" t="str">
        <f>VLOOKUP(MONTH(Tabela1[[#This Row],[Periodo]]),NUMMESES,2,FALSE)</f>
        <v>Maio</v>
      </c>
      <c r="D1789" s="2">
        <f>YEAR(Tabela1[[#This Row],[Periodo]])</f>
        <v>2019</v>
      </c>
      <c r="E1789" s="42">
        <f>(INDEX(TBBP[],MATCH("1.1.1.3.01",planoContas,0)+1,MATCH(Tabela1[[#This Row],[Periodo]],listaPeriodos,0))/(INDEX(TBBP[],MATCH("3.1.1.1.01",planoContas,0)+1,MATCH(Tabela1[[#This Row],[Periodo]],listaPeriodos,0))))*30</f>
        <v>79.752567936400212</v>
      </c>
      <c r="F1789" s="34"/>
      <c r="G1789" s="34"/>
      <c r="H1789" s="34"/>
    </row>
    <row r="1790" spans="1:8" x14ac:dyDescent="0.3">
      <c r="A1790" t="s">
        <v>690</v>
      </c>
      <c r="B1790" s="3">
        <f t="shared" si="20"/>
        <v>43617</v>
      </c>
      <c r="C1790" s="2" t="str">
        <f>VLOOKUP(MONTH(Tabela1[[#This Row],[Periodo]]),NUMMESES,2,FALSE)</f>
        <v>Junho</v>
      </c>
      <c r="D1790" s="2">
        <f>YEAR(Tabela1[[#This Row],[Periodo]])</f>
        <v>2019</v>
      </c>
      <c r="E1790" s="42">
        <f>(INDEX(TBBP[],MATCH("1.1.1.3.01",planoContas,0)+1,MATCH(Tabela1[[#This Row],[Periodo]],listaPeriodos,0))/(INDEX(TBBP[],MATCH("3.1.1.1.01",planoContas,0)+1,MATCH(Tabela1[[#This Row],[Periodo]],listaPeriodos,0))))*30</f>
        <v>117.47307614134692</v>
      </c>
      <c r="F1790" s="34"/>
      <c r="G1790" s="34"/>
      <c r="H1790" s="34"/>
    </row>
    <row r="1791" spans="1:8" x14ac:dyDescent="0.3">
      <c r="A1791" t="s">
        <v>690</v>
      </c>
      <c r="B1791" s="3">
        <f t="shared" si="20"/>
        <v>43647</v>
      </c>
      <c r="C1791" s="2" t="str">
        <f>VLOOKUP(MONTH(Tabela1[[#This Row],[Periodo]]),NUMMESES,2,FALSE)</f>
        <v>Julho</v>
      </c>
      <c r="D1791" s="2">
        <f>YEAR(Tabela1[[#This Row],[Periodo]])</f>
        <v>2019</v>
      </c>
      <c r="E1791" s="42">
        <f>(INDEX(TBBP[],MATCH("1.1.1.3.01",planoContas,0)+1,MATCH(Tabela1[[#This Row],[Periodo]],listaPeriodos,0))/(INDEX(TBBP[],MATCH("3.1.1.1.01",planoContas,0)+1,MATCH(Tabela1[[#This Row],[Periodo]],listaPeriodos,0))))*30</f>
        <v>87.774457884951104</v>
      </c>
      <c r="F1791" s="34"/>
      <c r="G1791" s="34"/>
      <c r="H1791" s="34"/>
    </row>
    <row r="1792" spans="1:8" x14ac:dyDescent="0.3">
      <c r="A1792" t="s">
        <v>690</v>
      </c>
      <c r="B1792" s="3">
        <f t="shared" si="20"/>
        <v>43678</v>
      </c>
      <c r="C1792" s="2" t="str">
        <f>VLOOKUP(MONTH(Tabela1[[#This Row],[Periodo]]),NUMMESES,2,FALSE)</f>
        <v>Agosto</v>
      </c>
      <c r="D1792" s="2">
        <f>YEAR(Tabela1[[#This Row],[Periodo]])</f>
        <v>2019</v>
      </c>
      <c r="E1792" s="42">
        <f>(INDEX(TBBP[],MATCH("1.1.1.3.01",planoContas,0)+1,MATCH(Tabela1[[#This Row],[Periodo]],listaPeriodos,0))/(INDEX(TBBP[],MATCH("3.1.1.1.01",planoContas,0)+1,MATCH(Tabela1[[#This Row],[Periodo]],listaPeriodos,0))))*30</f>
        <v>94.10949390260798</v>
      </c>
      <c r="F1792" s="34"/>
      <c r="G1792" s="34"/>
      <c r="H1792" s="34"/>
    </row>
    <row r="1793" spans="1:8" x14ac:dyDescent="0.3">
      <c r="A1793" t="s">
        <v>690</v>
      </c>
      <c r="B1793" s="3">
        <f t="shared" si="20"/>
        <v>43709</v>
      </c>
      <c r="C1793" s="2" t="str">
        <f>VLOOKUP(MONTH(Tabela1[[#This Row],[Periodo]]),NUMMESES,2,FALSE)</f>
        <v>Setembro</v>
      </c>
      <c r="D1793" s="2">
        <f>YEAR(Tabela1[[#This Row],[Periodo]])</f>
        <v>2019</v>
      </c>
      <c r="E1793" s="42">
        <f>(INDEX(TBBP[],MATCH("1.1.1.3.01",planoContas,0)+1,MATCH(Tabela1[[#This Row],[Periodo]],listaPeriodos,0))/(INDEX(TBBP[],MATCH("3.1.1.1.01",planoContas,0)+1,MATCH(Tabela1[[#This Row],[Periodo]],listaPeriodos,0))))*30</f>
        <v>72.068604777367923</v>
      </c>
      <c r="F1793" s="34"/>
      <c r="G1793" s="34"/>
      <c r="H1793" s="34"/>
    </row>
    <row r="1794" spans="1:8" x14ac:dyDescent="0.3">
      <c r="A1794" t="s">
        <v>690</v>
      </c>
      <c r="B1794" s="3">
        <f t="shared" si="20"/>
        <v>43739</v>
      </c>
      <c r="C1794" s="2" t="str">
        <f>VLOOKUP(MONTH(Tabela1[[#This Row],[Periodo]]),NUMMESES,2,FALSE)</f>
        <v>Outubro</v>
      </c>
      <c r="D1794" s="2">
        <f>YEAR(Tabela1[[#This Row],[Periodo]])</f>
        <v>2019</v>
      </c>
      <c r="E1794" s="42">
        <f>(INDEX(TBBP[],MATCH("1.1.1.3.01",planoContas,0)+1,MATCH(Tabela1[[#This Row],[Periodo]],listaPeriodos,0))/(INDEX(TBBP[],MATCH("3.1.1.1.01",planoContas,0)+1,MATCH(Tabela1[[#This Row],[Periodo]],listaPeriodos,0))))*30</f>
        <v>76.271323183336037</v>
      </c>
      <c r="F1794" s="34"/>
      <c r="G1794" s="34"/>
      <c r="H1794" s="34"/>
    </row>
    <row r="1795" spans="1:8" x14ac:dyDescent="0.3">
      <c r="A1795" t="s">
        <v>690</v>
      </c>
      <c r="B1795" s="3">
        <f t="shared" si="20"/>
        <v>43770</v>
      </c>
      <c r="C1795" s="2" t="str">
        <f>VLOOKUP(MONTH(Tabela1[[#This Row],[Periodo]]),NUMMESES,2,FALSE)</f>
        <v>Novembro</v>
      </c>
      <c r="D1795" s="2">
        <f>YEAR(Tabela1[[#This Row],[Periodo]])</f>
        <v>2019</v>
      </c>
      <c r="E1795" s="42">
        <f>(INDEX(TBBP[],MATCH("1.1.1.3.01",planoContas,0)+1,MATCH(Tabela1[[#This Row],[Periodo]],listaPeriodos,0))/(INDEX(TBBP[],MATCH("3.1.1.1.01",planoContas,0)+1,MATCH(Tabela1[[#This Row],[Periodo]],listaPeriodos,0))))*30</f>
        <v>98.437099758469074</v>
      </c>
      <c r="F1795" s="34"/>
      <c r="G1795" s="34"/>
      <c r="H1795" s="34"/>
    </row>
    <row r="1796" spans="1:8" x14ac:dyDescent="0.3">
      <c r="A1796" t="s">
        <v>690</v>
      </c>
      <c r="B1796" s="3">
        <f t="shared" si="20"/>
        <v>43800</v>
      </c>
      <c r="C1796" s="2" t="str">
        <f>VLOOKUP(MONTH(Tabela1[[#This Row],[Periodo]]),NUMMESES,2,FALSE)</f>
        <v>Dezembro</v>
      </c>
      <c r="D1796" s="2">
        <f>YEAR(Tabela1[[#This Row],[Periodo]])</f>
        <v>2019</v>
      </c>
      <c r="E1796" s="42">
        <f>(INDEX(TBBP[],MATCH("1.1.1.3.01",planoContas,0)+1,MATCH(Tabela1[[#This Row],[Periodo]],listaPeriodos,0))/(INDEX(TBBP[],MATCH("3.1.1.1.01",planoContas,0)+1,MATCH(Tabela1[[#This Row],[Periodo]],listaPeriodos,0))))*30</f>
        <v>115.72455745223682</v>
      </c>
      <c r="F1796" s="34"/>
      <c r="G1796" s="34"/>
      <c r="H1796" s="34"/>
    </row>
    <row r="1797" spans="1:8" x14ac:dyDescent="0.3">
      <c r="A1797" t="s">
        <v>690</v>
      </c>
      <c r="B1797" s="3">
        <f t="shared" si="20"/>
        <v>43831</v>
      </c>
      <c r="C1797" s="2" t="str">
        <f>VLOOKUP(MONTH(Tabela1[[#This Row],[Periodo]]),NUMMESES,2,FALSE)</f>
        <v>Janeiro</v>
      </c>
      <c r="D1797" s="2">
        <f>YEAR(Tabela1[[#This Row],[Periodo]])</f>
        <v>2020</v>
      </c>
      <c r="E1797" s="42">
        <f>(INDEX(TBBP[],MATCH("1.1.1.3.01",planoContas,0)+1,MATCH(Tabela1[[#This Row],[Periodo]],listaPeriodos,0))/(INDEX(TBBP[],MATCH("3.1.1.1.01",planoContas,0)+1,MATCH(Tabela1[[#This Row],[Periodo]],listaPeriodos,0))))*30</f>
        <v>93.083909391821919</v>
      </c>
      <c r="F1797" s="34"/>
      <c r="G1797" s="34"/>
      <c r="H1797" s="34"/>
    </row>
    <row r="1798" spans="1:8" x14ac:dyDescent="0.3">
      <c r="A1798" t="s">
        <v>690</v>
      </c>
      <c r="B1798" s="3">
        <f t="shared" si="20"/>
        <v>43862</v>
      </c>
      <c r="C1798" s="2" t="str">
        <f>VLOOKUP(MONTH(Tabela1[[#This Row],[Periodo]]),NUMMESES,2,FALSE)</f>
        <v>Fevereiro</v>
      </c>
      <c r="D1798" s="2">
        <f>YEAR(Tabela1[[#This Row],[Periodo]])</f>
        <v>2020</v>
      </c>
      <c r="E1798" s="42">
        <f>(INDEX(TBBP[],MATCH("1.1.1.3.01",planoContas,0)+1,MATCH(Tabela1[[#This Row],[Periodo]],listaPeriodos,0))/(INDEX(TBBP[],MATCH("3.1.1.1.01",planoContas,0)+1,MATCH(Tabela1[[#This Row],[Periodo]],listaPeriodos,0))))*30</f>
        <v>110.59326738570242</v>
      </c>
      <c r="F1798" s="34"/>
      <c r="G1798" s="34"/>
      <c r="H1798" s="34"/>
    </row>
    <row r="1799" spans="1:8" x14ac:dyDescent="0.3">
      <c r="A1799" t="s">
        <v>690</v>
      </c>
      <c r="B1799" s="3">
        <f t="shared" si="20"/>
        <v>43891</v>
      </c>
      <c r="C1799" s="2" t="str">
        <f>VLOOKUP(MONTH(Tabela1[[#This Row],[Periodo]]),NUMMESES,2,FALSE)</f>
        <v>Março</v>
      </c>
      <c r="D1799" s="2">
        <f>YEAR(Tabela1[[#This Row],[Periodo]])</f>
        <v>2020</v>
      </c>
      <c r="E1799" s="42">
        <f>(INDEX(TBBP[],MATCH("1.1.1.3.01",planoContas,0)+1,MATCH(Tabela1[[#This Row],[Periodo]],listaPeriodos,0))/(INDEX(TBBP[],MATCH("3.1.1.1.01",planoContas,0)+1,MATCH(Tabela1[[#This Row],[Periodo]],listaPeriodos,0))))*30</f>
        <v>137.16074878380454</v>
      </c>
      <c r="F1799" s="34"/>
      <c r="G1799" s="34"/>
      <c r="H1799" s="34"/>
    </row>
    <row r="1800" spans="1:8" x14ac:dyDescent="0.3">
      <c r="A1800" t="s">
        <v>690</v>
      </c>
      <c r="B1800" s="3">
        <f t="shared" si="20"/>
        <v>43922</v>
      </c>
      <c r="C1800" s="2" t="str">
        <f>VLOOKUP(MONTH(Tabela1[[#This Row],[Periodo]]),NUMMESES,2,FALSE)</f>
        <v>Abril</v>
      </c>
      <c r="D1800" s="2">
        <f>YEAR(Tabela1[[#This Row],[Periodo]])</f>
        <v>2020</v>
      </c>
      <c r="E1800" s="42">
        <f>(INDEX(TBBP[],MATCH("1.1.1.3.01",planoContas,0)+1,MATCH(Tabela1[[#This Row],[Periodo]],listaPeriodos,0))/(INDEX(TBBP[],MATCH("3.1.1.1.01",planoContas,0)+1,MATCH(Tabela1[[#This Row],[Periodo]],listaPeriodos,0))))*30</f>
        <v>118.25221292525174</v>
      </c>
      <c r="F1800" s="34"/>
      <c r="G1800" s="34"/>
      <c r="H1800" s="34"/>
    </row>
    <row r="1801" spans="1:8" x14ac:dyDescent="0.3">
      <c r="A1801" t="s">
        <v>690</v>
      </c>
      <c r="B1801" s="3">
        <f t="shared" si="20"/>
        <v>43952</v>
      </c>
      <c r="C1801" s="2" t="str">
        <f>VLOOKUP(MONTH(Tabela1[[#This Row],[Periodo]]),NUMMESES,2,FALSE)</f>
        <v>Maio</v>
      </c>
      <c r="D1801" s="2">
        <f>YEAR(Tabela1[[#This Row],[Periodo]])</f>
        <v>2020</v>
      </c>
      <c r="E1801" s="42">
        <f>(INDEX(TBBP[],MATCH("1.1.1.3.01",planoContas,0)+1,MATCH(Tabela1[[#This Row],[Periodo]],listaPeriodos,0))/(INDEX(TBBP[],MATCH("3.1.1.1.01",planoContas,0)+1,MATCH(Tabela1[[#This Row],[Periodo]],listaPeriodos,0))))*30</f>
        <v>88.17495642789369</v>
      </c>
      <c r="F1801" s="34"/>
      <c r="G1801" s="34"/>
      <c r="H1801" s="34"/>
    </row>
    <row r="1802" spans="1:8" x14ac:dyDescent="0.3">
      <c r="A1802" t="s">
        <v>690</v>
      </c>
      <c r="B1802" s="3">
        <f t="shared" si="20"/>
        <v>43983</v>
      </c>
      <c r="C1802" s="2" t="str">
        <f>VLOOKUP(MONTH(Tabela1[[#This Row],[Periodo]]),NUMMESES,2,FALSE)</f>
        <v>Junho</v>
      </c>
      <c r="D1802" s="2">
        <f>YEAR(Tabela1[[#This Row],[Periodo]])</f>
        <v>2020</v>
      </c>
      <c r="E1802" s="42">
        <f>(INDEX(TBBP[],MATCH("1.1.1.3.01",planoContas,0)+1,MATCH(Tabela1[[#This Row],[Periodo]],listaPeriodos,0))/(INDEX(TBBP[],MATCH("3.1.1.1.01",planoContas,0)+1,MATCH(Tabela1[[#This Row],[Periodo]],listaPeriodos,0))))*30</f>
        <v>63.716888361998116</v>
      </c>
      <c r="F1802" s="34"/>
      <c r="G1802" s="34"/>
      <c r="H1802" s="34"/>
    </row>
    <row r="1803" spans="1:8" x14ac:dyDescent="0.3">
      <c r="A1803" t="s">
        <v>690</v>
      </c>
      <c r="B1803" s="3">
        <f t="shared" si="20"/>
        <v>44013</v>
      </c>
      <c r="C1803" s="2" t="str">
        <f>VLOOKUP(MONTH(Tabela1[[#This Row],[Periodo]]),NUMMESES,2,FALSE)</f>
        <v>Julho</v>
      </c>
      <c r="D1803" s="2">
        <f>YEAR(Tabela1[[#This Row],[Periodo]])</f>
        <v>2020</v>
      </c>
      <c r="E1803" s="42">
        <f>(INDEX(TBBP[],MATCH("1.1.1.3.01",planoContas,0)+1,MATCH(Tabela1[[#This Row],[Periodo]],listaPeriodos,0))/(INDEX(TBBP[],MATCH("3.1.1.1.01",planoContas,0)+1,MATCH(Tabela1[[#This Row],[Periodo]],listaPeriodos,0))))*30</f>
        <v>62.552319148851225</v>
      </c>
      <c r="F1803" s="34"/>
      <c r="G1803" s="34"/>
      <c r="H1803" s="34"/>
    </row>
    <row r="1804" spans="1:8" x14ac:dyDescent="0.3">
      <c r="A1804" t="s">
        <v>690</v>
      </c>
      <c r="B1804" s="3">
        <f t="shared" si="20"/>
        <v>44044</v>
      </c>
      <c r="C1804" s="2" t="str">
        <f>VLOOKUP(MONTH(Tabela1[[#This Row],[Periodo]]),NUMMESES,2,FALSE)</f>
        <v>Agosto</v>
      </c>
      <c r="D1804" s="2">
        <f>YEAR(Tabela1[[#This Row],[Periodo]])</f>
        <v>2020</v>
      </c>
      <c r="E1804" s="42">
        <f>(INDEX(TBBP[],MATCH("1.1.1.3.01",planoContas,0)+1,MATCH(Tabela1[[#This Row],[Periodo]],listaPeriodos,0))/(INDEX(TBBP[],MATCH("3.1.1.1.01",planoContas,0)+1,MATCH(Tabela1[[#This Row],[Periodo]],listaPeriodos,0))))*30</f>
        <v>69.165736984923271</v>
      </c>
      <c r="F1804" s="34"/>
      <c r="G1804" s="34"/>
      <c r="H1804" s="34"/>
    </row>
    <row r="1805" spans="1:8" x14ac:dyDescent="0.3">
      <c r="A1805" t="s">
        <v>690</v>
      </c>
      <c r="B1805" s="3">
        <f t="shared" si="20"/>
        <v>44075</v>
      </c>
      <c r="C1805" s="2" t="str">
        <f>VLOOKUP(MONTH(Tabela1[[#This Row],[Periodo]]),NUMMESES,2,FALSE)</f>
        <v>Setembro</v>
      </c>
      <c r="D1805" s="2">
        <f>YEAR(Tabela1[[#This Row],[Periodo]])</f>
        <v>2020</v>
      </c>
      <c r="E1805" s="42">
        <f>(INDEX(TBBP[],MATCH("1.1.1.3.01",planoContas,0)+1,MATCH(Tabela1[[#This Row],[Periodo]],listaPeriodos,0))/(INDEX(TBBP[],MATCH("3.1.1.1.01",planoContas,0)+1,MATCH(Tabela1[[#This Row],[Periodo]],listaPeriodos,0))))*30</f>
        <v>69.656163013098876</v>
      </c>
      <c r="F1805" s="34"/>
      <c r="G1805" s="34"/>
      <c r="H1805" s="34"/>
    </row>
    <row r="1806" spans="1:8" x14ac:dyDescent="0.3">
      <c r="A1806" t="s">
        <v>690</v>
      </c>
      <c r="B1806" s="3">
        <f t="shared" si="20"/>
        <v>44105</v>
      </c>
      <c r="C1806" s="2" t="str">
        <f>VLOOKUP(MONTH(Tabela1[[#This Row],[Periodo]]),NUMMESES,2,FALSE)</f>
        <v>Outubro</v>
      </c>
      <c r="D1806" s="2">
        <f>YEAR(Tabela1[[#This Row],[Periodo]])</f>
        <v>2020</v>
      </c>
      <c r="E1806" s="42">
        <f>(INDEX(TBBP[],MATCH("1.1.1.3.01",planoContas,0)+1,MATCH(Tabela1[[#This Row],[Periodo]],listaPeriodos,0))/(INDEX(TBBP[],MATCH("3.1.1.1.01",planoContas,0)+1,MATCH(Tabela1[[#This Row],[Periodo]],listaPeriodos,0))))*30</f>
        <v>64.19494025655689</v>
      </c>
      <c r="F1806" s="34"/>
      <c r="G1806" s="34"/>
      <c r="H1806" s="34"/>
    </row>
    <row r="1807" spans="1:8" x14ac:dyDescent="0.3">
      <c r="A1807" t="s">
        <v>690</v>
      </c>
      <c r="B1807" s="3">
        <f t="shared" si="20"/>
        <v>44136</v>
      </c>
      <c r="C1807" s="2" t="str">
        <f>VLOOKUP(MONTH(Tabela1[[#This Row],[Periodo]]),NUMMESES,2,FALSE)</f>
        <v>Novembro</v>
      </c>
      <c r="D1807" s="2">
        <f>YEAR(Tabela1[[#This Row],[Periodo]])</f>
        <v>2020</v>
      </c>
      <c r="E1807" s="42">
        <f>(INDEX(TBBP[],MATCH("1.1.1.3.01",planoContas,0)+1,MATCH(Tabela1[[#This Row],[Periodo]],listaPeriodos,0))/(INDEX(TBBP[],MATCH("3.1.1.1.01",planoContas,0)+1,MATCH(Tabela1[[#This Row],[Periodo]],listaPeriodos,0))))*30</f>
        <v>81.199585888529683</v>
      </c>
      <c r="F1807" s="34"/>
      <c r="G1807" s="34"/>
      <c r="H1807" s="34"/>
    </row>
    <row r="1808" spans="1:8" x14ac:dyDescent="0.3">
      <c r="A1808" t="s">
        <v>690</v>
      </c>
      <c r="B1808" s="3">
        <f t="shared" si="20"/>
        <v>44166</v>
      </c>
      <c r="C1808" s="2" t="str">
        <f>VLOOKUP(MONTH(Tabela1[[#This Row],[Periodo]]),NUMMESES,2,FALSE)</f>
        <v>Dezembro</v>
      </c>
      <c r="D1808" s="2">
        <f>YEAR(Tabela1[[#This Row],[Periodo]])</f>
        <v>2020</v>
      </c>
      <c r="E1808" s="42">
        <f>(INDEX(TBBP[],MATCH("1.1.1.3.01",planoContas,0)+1,MATCH(Tabela1[[#This Row],[Periodo]],listaPeriodos,0))/(INDEX(TBBP[],MATCH("3.1.1.1.01",planoContas,0)+1,MATCH(Tabela1[[#This Row],[Periodo]],listaPeriodos,0))))*30</f>
        <v>88.872126573109156</v>
      </c>
      <c r="F1808" s="34"/>
      <c r="G1808" s="34"/>
      <c r="H1808" s="34"/>
    </row>
    <row r="1809" spans="1:8" x14ac:dyDescent="0.3">
      <c r="A1809" t="s">
        <v>690</v>
      </c>
      <c r="B1809" s="3">
        <f t="shared" si="20"/>
        <v>44197</v>
      </c>
      <c r="C1809" s="2" t="str">
        <f>VLOOKUP(MONTH(Tabela1[[#This Row],[Periodo]]),NUMMESES,2,FALSE)</f>
        <v>Janeiro</v>
      </c>
      <c r="D1809" s="2">
        <f>YEAR(Tabela1[[#This Row],[Periodo]])</f>
        <v>2021</v>
      </c>
      <c r="E1809" s="42">
        <f>(INDEX(TBBP[],MATCH("1.1.1.3.01",planoContas,0)+1,MATCH(Tabela1[[#This Row],[Periodo]],listaPeriodos,0))/(INDEX(TBBP[],MATCH("3.1.1.1.01",planoContas,0)+1,MATCH(Tabela1[[#This Row],[Periodo]],listaPeriodos,0))))*30</f>
        <v>79.585605367764259</v>
      </c>
      <c r="F1809" s="34"/>
      <c r="G1809" s="34"/>
      <c r="H1809" s="34"/>
    </row>
    <row r="1810" spans="1:8" x14ac:dyDescent="0.3">
      <c r="A1810" t="s">
        <v>690</v>
      </c>
      <c r="B1810" s="3">
        <f t="shared" si="20"/>
        <v>44228</v>
      </c>
      <c r="C1810" s="2" t="str">
        <f>VLOOKUP(MONTH(Tabela1[[#This Row],[Periodo]]),NUMMESES,2,FALSE)</f>
        <v>Fevereiro</v>
      </c>
      <c r="D1810" s="2">
        <f>YEAR(Tabela1[[#This Row],[Periodo]])</f>
        <v>2021</v>
      </c>
      <c r="E1810" s="42">
        <f>(INDEX(TBBP[],MATCH("1.1.1.3.01",planoContas,0)+1,MATCH(Tabela1[[#This Row],[Periodo]],listaPeriodos,0))/(INDEX(TBBP[],MATCH("3.1.1.1.01",planoContas,0)+1,MATCH(Tabela1[[#This Row],[Periodo]],listaPeriodos,0))))*30</f>
        <v>81.272737923046336</v>
      </c>
      <c r="F1810" s="34"/>
      <c r="G1810" s="34"/>
      <c r="H1810" s="34"/>
    </row>
    <row r="1811" spans="1:8" x14ac:dyDescent="0.3">
      <c r="A1811" t="s">
        <v>690</v>
      </c>
      <c r="B1811" s="3">
        <f t="shared" si="20"/>
        <v>44256</v>
      </c>
      <c r="C1811" s="2" t="str">
        <f>VLOOKUP(MONTH(Tabela1[[#This Row],[Periodo]]),NUMMESES,2,FALSE)</f>
        <v>Março</v>
      </c>
      <c r="D1811" s="2">
        <f>YEAR(Tabela1[[#This Row],[Periodo]])</f>
        <v>2021</v>
      </c>
      <c r="E1811" s="42">
        <f>(INDEX(TBBP[],MATCH("1.1.1.3.01",planoContas,0)+1,MATCH(Tabela1[[#This Row],[Periodo]],listaPeriodos,0))/(INDEX(TBBP[],MATCH("3.1.1.1.01",planoContas,0)+1,MATCH(Tabela1[[#This Row],[Periodo]],listaPeriodos,0))))*30</f>
        <v>76.319835262812916</v>
      </c>
      <c r="F1811" s="34"/>
      <c r="G1811" s="34"/>
      <c r="H1811" s="34"/>
    </row>
    <row r="1812" spans="1:8" x14ac:dyDescent="0.3">
      <c r="A1812" t="s">
        <v>690</v>
      </c>
      <c r="B1812" s="3">
        <f t="shared" si="20"/>
        <v>44287</v>
      </c>
      <c r="C1812" s="2" t="str">
        <f>VLOOKUP(MONTH(Tabela1[[#This Row],[Periodo]]),NUMMESES,2,FALSE)</f>
        <v>Abril</v>
      </c>
      <c r="D1812" s="2">
        <f>YEAR(Tabela1[[#This Row],[Periodo]])</f>
        <v>2021</v>
      </c>
      <c r="E1812" s="42">
        <f>(INDEX(TBBP[],MATCH("1.1.1.3.01",planoContas,0)+1,MATCH(Tabela1[[#This Row],[Periodo]],listaPeriodos,0))/(INDEX(TBBP[],MATCH("3.1.1.1.01",planoContas,0)+1,MATCH(Tabela1[[#This Row],[Periodo]],listaPeriodos,0))))*30</f>
        <v>67.650835614884272</v>
      </c>
      <c r="F1812" s="34"/>
      <c r="G1812" s="34"/>
      <c r="H1812" s="34"/>
    </row>
    <row r="1813" spans="1:8" x14ac:dyDescent="0.3">
      <c r="A1813" t="s">
        <v>690</v>
      </c>
      <c r="B1813" s="3">
        <f t="shared" si="20"/>
        <v>44317</v>
      </c>
      <c r="C1813" s="2" t="str">
        <f>VLOOKUP(MONTH(Tabela1[[#This Row],[Periodo]]),NUMMESES,2,FALSE)</f>
        <v>Maio</v>
      </c>
      <c r="D1813" s="2">
        <f>YEAR(Tabela1[[#This Row],[Periodo]])</f>
        <v>2021</v>
      </c>
      <c r="E1813" s="42">
        <f>(INDEX(TBBP[],MATCH("1.1.1.3.01",planoContas,0)+1,MATCH(Tabela1[[#This Row],[Periodo]],listaPeriodos,0))/(INDEX(TBBP[],MATCH("3.1.1.1.01",planoContas,0)+1,MATCH(Tabela1[[#This Row],[Periodo]],listaPeriodos,0))))*30</f>
        <v>64.527233261370668</v>
      </c>
      <c r="F1813" s="34"/>
      <c r="G1813" s="34"/>
      <c r="H1813" s="34"/>
    </row>
    <row r="1814" spans="1:8" x14ac:dyDescent="0.3">
      <c r="A1814" t="s">
        <v>690</v>
      </c>
      <c r="B1814" s="3">
        <f t="shared" si="20"/>
        <v>44348</v>
      </c>
      <c r="C1814" s="2" t="str">
        <f>VLOOKUP(MONTH(Tabela1[[#This Row],[Periodo]]),NUMMESES,2,FALSE)</f>
        <v>Junho</v>
      </c>
      <c r="D1814" s="2">
        <f>YEAR(Tabela1[[#This Row],[Periodo]])</f>
        <v>2021</v>
      </c>
      <c r="E1814" s="42">
        <f>(INDEX(TBBP[],MATCH("1.1.1.3.01",planoContas,0)+1,MATCH(Tabela1[[#This Row],[Periodo]],listaPeriodos,0))/(INDEX(TBBP[],MATCH("3.1.1.1.01",planoContas,0)+1,MATCH(Tabela1[[#This Row],[Periodo]],listaPeriodos,0))))*30</f>
        <v>63.82274798128033</v>
      </c>
      <c r="F1814" s="34"/>
      <c r="G1814" s="34"/>
      <c r="H1814" s="34"/>
    </row>
    <row r="1815" spans="1:8" x14ac:dyDescent="0.3">
      <c r="A1815" t="s">
        <v>690</v>
      </c>
      <c r="B1815" s="3">
        <f t="shared" si="20"/>
        <v>44378</v>
      </c>
      <c r="C1815" s="2" t="str">
        <f>VLOOKUP(MONTH(Tabela1[[#This Row],[Periodo]]),NUMMESES,2,FALSE)</f>
        <v>Julho</v>
      </c>
      <c r="D1815" s="2">
        <f>YEAR(Tabela1[[#This Row],[Periodo]])</f>
        <v>2021</v>
      </c>
      <c r="E1815" s="42">
        <f>(INDEX(TBBP[],MATCH("1.1.1.3.01",planoContas,0)+1,MATCH(Tabela1[[#This Row],[Periodo]],listaPeriodos,0))/(INDEX(TBBP[],MATCH("3.1.1.1.01",planoContas,0)+1,MATCH(Tabela1[[#This Row],[Periodo]],listaPeriodos,0))))*30</f>
        <v>70.519578249451058</v>
      </c>
      <c r="F1815" s="34"/>
      <c r="G1815" s="34"/>
      <c r="H1815" s="34"/>
    </row>
    <row r="1816" spans="1:8" x14ac:dyDescent="0.3">
      <c r="A1816" t="s">
        <v>690</v>
      </c>
      <c r="B1816" s="3">
        <f t="shared" si="20"/>
        <v>44409</v>
      </c>
      <c r="C1816" s="2" t="str">
        <f>VLOOKUP(MONTH(Tabela1[[#This Row],[Periodo]]),NUMMESES,2,FALSE)</f>
        <v>Agosto</v>
      </c>
      <c r="D1816" s="2">
        <f>YEAR(Tabela1[[#This Row],[Periodo]])</f>
        <v>2021</v>
      </c>
      <c r="E1816" s="42">
        <f>(INDEX(TBBP[],MATCH("1.1.1.3.01",planoContas,0)+1,MATCH(Tabela1[[#This Row],[Periodo]],listaPeriodos,0))/(INDEX(TBBP[],MATCH("3.1.1.1.01",planoContas,0)+1,MATCH(Tabela1[[#This Row],[Periodo]],listaPeriodos,0))))*30</f>
        <v>73.392148594687512</v>
      </c>
      <c r="F1816" s="34"/>
      <c r="G1816" s="34"/>
      <c r="H1816" s="34"/>
    </row>
    <row r="1817" spans="1:8" x14ac:dyDescent="0.3">
      <c r="A1817" t="s">
        <v>690</v>
      </c>
      <c r="B1817" s="3">
        <f t="shared" si="20"/>
        <v>44440</v>
      </c>
      <c r="C1817" s="2" t="str">
        <f>VLOOKUP(MONTH(Tabela1[[#This Row],[Periodo]]),NUMMESES,2,FALSE)</f>
        <v>Setembro</v>
      </c>
      <c r="D1817" s="2">
        <f>YEAR(Tabela1[[#This Row],[Periodo]])</f>
        <v>2021</v>
      </c>
      <c r="E1817" s="42">
        <f>(INDEX(TBBP[],MATCH("1.1.1.3.01",planoContas,0)+1,MATCH(Tabela1[[#This Row],[Periodo]],listaPeriodos,0))/(INDEX(TBBP[],MATCH("3.1.1.1.01",planoContas,0)+1,MATCH(Tabela1[[#This Row],[Periodo]],listaPeriodos,0))))*30</f>
        <v>80.926702508921792</v>
      </c>
      <c r="F1817" s="34"/>
      <c r="G1817" s="34"/>
      <c r="H1817" s="34"/>
    </row>
    <row r="1818" spans="1:8" x14ac:dyDescent="0.3">
      <c r="A1818" t="s">
        <v>690</v>
      </c>
      <c r="B1818" s="3">
        <f t="shared" si="20"/>
        <v>44470</v>
      </c>
      <c r="C1818" s="2" t="str">
        <f>VLOOKUP(MONTH(Tabela1[[#This Row],[Periodo]]),NUMMESES,2,FALSE)</f>
        <v>Outubro</v>
      </c>
      <c r="D1818" s="2">
        <f>YEAR(Tabela1[[#This Row],[Periodo]])</f>
        <v>2021</v>
      </c>
      <c r="E1818" s="42">
        <f>(INDEX(TBBP[],MATCH("1.1.1.3.01",planoContas,0)+1,MATCH(Tabela1[[#This Row],[Periodo]],listaPeriodos,0))/(INDEX(TBBP[],MATCH("3.1.1.1.01",planoContas,0)+1,MATCH(Tabela1[[#This Row],[Periodo]],listaPeriodos,0))))*30</f>
        <v>89.959942590183289</v>
      </c>
      <c r="F1818" s="34"/>
      <c r="G1818" s="34"/>
      <c r="H1818" s="34"/>
    </row>
    <row r="1819" spans="1:8" x14ac:dyDescent="0.3">
      <c r="A1819" t="s">
        <v>690</v>
      </c>
      <c r="B1819" s="3">
        <f t="shared" si="20"/>
        <v>44501</v>
      </c>
      <c r="C1819" s="2" t="str">
        <f>VLOOKUP(MONTH(Tabela1[[#This Row],[Periodo]]),NUMMESES,2,FALSE)</f>
        <v>Novembro</v>
      </c>
      <c r="D1819" s="2">
        <f>YEAR(Tabela1[[#This Row],[Periodo]])</f>
        <v>2021</v>
      </c>
      <c r="E1819" s="42">
        <f>(INDEX(TBBP[],MATCH("1.1.1.3.01",planoContas,0)+1,MATCH(Tabela1[[#This Row],[Periodo]],listaPeriodos,0))/(INDEX(TBBP[],MATCH("3.1.1.1.01",planoContas,0)+1,MATCH(Tabela1[[#This Row],[Periodo]],listaPeriodos,0))))*30</f>
        <v>105.10649904233669</v>
      </c>
      <c r="F1819" s="34"/>
      <c r="G1819" s="34"/>
      <c r="H1819" s="34"/>
    </row>
    <row r="1820" spans="1:8" x14ac:dyDescent="0.3">
      <c r="A1820" t="s">
        <v>690</v>
      </c>
      <c r="B1820" s="3">
        <f t="shared" si="20"/>
        <v>44531</v>
      </c>
      <c r="C1820" s="2" t="str">
        <f>VLOOKUP(MONTH(Tabela1[[#This Row],[Periodo]]),NUMMESES,2,FALSE)</f>
        <v>Dezembro</v>
      </c>
      <c r="D1820" s="2">
        <f>YEAR(Tabela1[[#This Row],[Periodo]])</f>
        <v>2021</v>
      </c>
      <c r="E1820" s="42">
        <f>(INDEX(TBBP[],MATCH("1.1.1.3.01",planoContas,0)+1,MATCH(Tabela1[[#This Row],[Periodo]],listaPeriodos,0))/(INDEX(TBBP[],MATCH("3.1.1.1.01",planoContas,0)+1,MATCH(Tabela1[[#This Row],[Periodo]],listaPeriodos,0))))*30</f>
        <v>101.52953443568022</v>
      </c>
      <c r="F1820" s="34"/>
      <c r="G1820" s="34"/>
      <c r="H1820" s="34"/>
    </row>
    <row r="1821" spans="1:8" x14ac:dyDescent="0.3">
      <c r="A1821" t="s">
        <v>690</v>
      </c>
      <c r="B1821" s="3">
        <f t="shared" si="20"/>
        <v>44562</v>
      </c>
      <c r="C1821" s="2" t="str">
        <f>VLOOKUP(MONTH(Tabela1[[#This Row],[Periodo]]),NUMMESES,2,FALSE)</f>
        <v>Janeiro</v>
      </c>
      <c r="D1821" s="2">
        <f>YEAR(Tabela1[[#This Row],[Periodo]])</f>
        <v>2022</v>
      </c>
      <c r="E1821" s="42">
        <f>(INDEX(TBBP[],MATCH("1.1.1.3.01",planoContas,0)+1,MATCH(Tabela1[[#This Row],[Periodo]],listaPeriodos,0))/(INDEX(TBBP[],MATCH("3.1.1.1.01",planoContas,0)+1,MATCH(Tabela1[[#This Row],[Periodo]],listaPeriodos,0))))*30</f>
        <v>107.12185807554833</v>
      </c>
      <c r="F1821" s="34"/>
      <c r="G1821" s="34"/>
      <c r="H1821" s="34"/>
    </row>
    <row r="1822" spans="1:8" x14ac:dyDescent="0.3">
      <c r="A1822" t="s">
        <v>690</v>
      </c>
      <c r="B1822" s="3">
        <f t="shared" si="20"/>
        <v>44593</v>
      </c>
      <c r="C1822" s="2" t="str">
        <f>VLOOKUP(MONTH(Tabela1[[#This Row],[Periodo]]),NUMMESES,2,FALSE)</f>
        <v>Fevereiro</v>
      </c>
      <c r="D1822" s="2">
        <f>YEAR(Tabela1[[#This Row],[Periodo]])</f>
        <v>2022</v>
      </c>
      <c r="E1822" s="42">
        <f>(INDEX(TBBP[],MATCH("1.1.1.3.01",planoContas,0)+1,MATCH(Tabela1[[#This Row],[Periodo]],listaPeriodos,0))/(INDEX(TBBP[],MATCH("3.1.1.1.01",planoContas,0)+1,MATCH(Tabela1[[#This Row],[Periodo]],listaPeriodos,0))))*30</f>
        <v>91.740683320764759</v>
      </c>
      <c r="F1822" s="34"/>
      <c r="G1822" s="34"/>
      <c r="H1822" s="34"/>
    </row>
    <row r="1823" spans="1:8" x14ac:dyDescent="0.3">
      <c r="A1823" t="s">
        <v>690</v>
      </c>
      <c r="B1823" s="3">
        <f t="shared" si="20"/>
        <v>44621</v>
      </c>
      <c r="C1823" s="2" t="str">
        <f>VLOOKUP(MONTH(Tabela1[[#This Row],[Periodo]]),NUMMESES,2,FALSE)</f>
        <v>Março</v>
      </c>
      <c r="D1823" s="2">
        <f>YEAR(Tabela1[[#This Row],[Periodo]])</f>
        <v>2022</v>
      </c>
      <c r="E1823" s="42">
        <f>(INDEX(TBBP[],MATCH("1.1.1.3.01",planoContas,0)+1,MATCH(Tabela1[[#This Row],[Periodo]],listaPeriodos,0))/(INDEX(TBBP[],MATCH("3.1.1.1.01",planoContas,0)+1,MATCH(Tabela1[[#This Row],[Periodo]],listaPeriodos,0))))*30</f>
        <v>64.566994885273147</v>
      </c>
      <c r="F1823" s="34"/>
      <c r="G1823" s="34"/>
      <c r="H1823" s="34"/>
    </row>
    <row r="1824" spans="1:8" x14ac:dyDescent="0.3">
      <c r="A1824" t="s">
        <v>690</v>
      </c>
      <c r="B1824" s="3">
        <f t="shared" si="20"/>
        <v>44652</v>
      </c>
      <c r="C1824" s="2" t="str">
        <f>VLOOKUP(MONTH(Tabela1[[#This Row],[Periodo]]),NUMMESES,2,FALSE)</f>
        <v>Abril</v>
      </c>
      <c r="D1824" s="2">
        <f>YEAR(Tabela1[[#This Row],[Periodo]])</f>
        <v>2022</v>
      </c>
      <c r="E1824" s="42">
        <f>(INDEX(TBBP[],MATCH("1.1.1.3.01",planoContas,0)+1,MATCH(Tabela1[[#This Row],[Periodo]],listaPeriodos,0))/(INDEX(TBBP[],MATCH("3.1.1.1.01",planoContas,0)+1,MATCH(Tabela1[[#This Row],[Periodo]],listaPeriodos,0))))*30</f>
        <v>93.5504960265704</v>
      </c>
      <c r="F1824" s="34"/>
      <c r="G1824" s="34"/>
      <c r="H1824" s="34"/>
    </row>
    <row r="1825" spans="1:8" x14ac:dyDescent="0.3">
      <c r="A1825" t="s">
        <v>690</v>
      </c>
      <c r="B1825" s="3">
        <f t="shared" si="20"/>
        <v>44682</v>
      </c>
      <c r="C1825" s="2" t="str">
        <f>VLOOKUP(MONTH(Tabela1[[#This Row],[Periodo]]),NUMMESES,2,FALSE)</f>
        <v>Maio</v>
      </c>
      <c r="D1825" s="2">
        <f>YEAR(Tabela1[[#This Row],[Periodo]])</f>
        <v>2022</v>
      </c>
      <c r="E1825" s="42">
        <f>(INDEX(TBBP[],MATCH("1.1.1.3.01",planoContas,0)+1,MATCH(Tabela1[[#This Row],[Periodo]],listaPeriodos,0))/(INDEX(TBBP[],MATCH("3.1.1.1.01",planoContas,0)+1,MATCH(Tabela1[[#This Row],[Periodo]],listaPeriodos,0))))*30</f>
        <v>87.576301637295586</v>
      </c>
      <c r="F1825" s="34"/>
      <c r="G1825" s="34"/>
      <c r="H1825" s="34"/>
    </row>
    <row r="1826" spans="1:8" x14ac:dyDescent="0.3">
      <c r="A1826" t="s">
        <v>690</v>
      </c>
      <c r="B1826" s="3">
        <f t="shared" si="20"/>
        <v>44713</v>
      </c>
      <c r="C1826" s="2" t="str">
        <f>VLOOKUP(MONTH(Tabela1[[#This Row],[Periodo]]),NUMMESES,2,FALSE)</f>
        <v>Junho</v>
      </c>
      <c r="D1826" s="2">
        <f>YEAR(Tabela1[[#This Row],[Periodo]])</f>
        <v>2022</v>
      </c>
      <c r="E1826" s="42">
        <f>(INDEX(TBBP[],MATCH("1.1.1.3.01",planoContas,0)+1,MATCH(Tabela1[[#This Row],[Periodo]],listaPeriodos,0))/(INDEX(TBBP[],MATCH("3.1.1.1.01",planoContas,0)+1,MATCH(Tabela1[[#This Row],[Periodo]],listaPeriodos,0))))*30</f>
        <v>86.491707084912363</v>
      </c>
      <c r="F1826" s="34"/>
      <c r="G1826" s="34"/>
      <c r="H1826" s="34"/>
    </row>
    <row r="1827" spans="1:8" x14ac:dyDescent="0.3">
      <c r="A1827" t="s">
        <v>690</v>
      </c>
      <c r="B1827" s="3">
        <f t="shared" si="20"/>
        <v>44743</v>
      </c>
      <c r="C1827" s="2" t="str">
        <f>VLOOKUP(MONTH(Tabela1[[#This Row],[Periodo]]),NUMMESES,2,FALSE)</f>
        <v>Julho</v>
      </c>
      <c r="D1827" s="2">
        <f>YEAR(Tabela1[[#This Row],[Periodo]])</f>
        <v>2022</v>
      </c>
      <c r="E1827" s="42">
        <f>(INDEX(TBBP[],MATCH("1.1.1.3.01",planoContas,0)+1,MATCH(Tabela1[[#This Row],[Periodo]],listaPeriodos,0))/(INDEX(TBBP[],MATCH("3.1.1.1.01",planoContas,0)+1,MATCH(Tabela1[[#This Row],[Periodo]],listaPeriodos,0))))*30</f>
        <v>99.532069072095936</v>
      </c>
      <c r="F1827" s="34"/>
      <c r="G1827" s="34"/>
      <c r="H1827" s="34"/>
    </row>
    <row r="1828" spans="1:8" x14ac:dyDescent="0.3">
      <c r="A1828" t="s">
        <v>690</v>
      </c>
      <c r="B1828" s="3">
        <f t="shared" si="20"/>
        <v>44774</v>
      </c>
      <c r="C1828" s="2" t="str">
        <f>VLOOKUP(MONTH(Tabela1[[#This Row],[Periodo]]),NUMMESES,2,FALSE)</f>
        <v>Agosto</v>
      </c>
      <c r="D1828" s="2">
        <f>YEAR(Tabela1[[#This Row],[Periodo]])</f>
        <v>2022</v>
      </c>
      <c r="E1828" s="42">
        <f>(INDEX(TBBP[],MATCH("1.1.1.3.01",planoContas,0)+1,MATCH(Tabela1[[#This Row],[Periodo]],listaPeriodos,0))/(INDEX(TBBP[],MATCH("3.1.1.1.01",planoContas,0)+1,MATCH(Tabela1[[#This Row],[Periodo]],listaPeriodos,0))))*30</f>
        <v>93.398046989869414</v>
      </c>
      <c r="F1828" s="34"/>
      <c r="G1828" s="34"/>
      <c r="H1828" s="34"/>
    </row>
    <row r="1829" spans="1:8" x14ac:dyDescent="0.3">
      <c r="A1829" t="s">
        <v>690</v>
      </c>
      <c r="B1829" s="3">
        <f t="shared" si="20"/>
        <v>44805</v>
      </c>
      <c r="C1829" s="2" t="str">
        <f>VLOOKUP(MONTH(Tabela1[[#This Row],[Periodo]]),NUMMESES,2,FALSE)</f>
        <v>Setembro</v>
      </c>
      <c r="D1829" s="2">
        <f>YEAR(Tabela1[[#This Row],[Periodo]])</f>
        <v>2022</v>
      </c>
      <c r="E1829" s="42">
        <f>(INDEX(TBBP[],MATCH("1.1.1.3.01",planoContas,0)+1,MATCH(Tabela1[[#This Row],[Periodo]],listaPeriodos,0))/(INDEX(TBBP[],MATCH("3.1.1.1.01",planoContas,0)+1,MATCH(Tabela1[[#This Row],[Periodo]],listaPeriodos,0))))*30</f>
        <v>88.241870661545562</v>
      </c>
      <c r="F1829" s="34"/>
      <c r="G1829" s="34"/>
      <c r="H1829" s="34"/>
    </row>
    <row r="1830" spans="1:8" x14ac:dyDescent="0.3">
      <c r="A1830" t="s">
        <v>690</v>
      </c>
      <c r="B1830" s="3">
        <f t="shared" si="20"/>
        <v>44835</v>
      </c>
      <c r="C1830" s="2" t="str">
        <f>VLOOKUP(MONTH(Tabela1[[#This Row],[Periodo]]),NUMMESES,2,FALSE)</f>
        <v>Outubro</v>
      </c>
      <c r="D1830" s="2">
        <f>YEAR(Tabela1[[#This Row],[Periodo]])</f>
        <v>2022</v>
      </c>
      <c r="E1830" s="42">
        <f>(INDEX(TBBP[],MATCH("1.1.1.3.01",planoContas,0)+1,MATCH(Tabela1[[#This Row],[Periodo]],listaPeriodos,0))/(INDEX(TBBP[],MATCH("3.1.1.1.01",planoContas,0)+1,MATCH(Tabela1[[#This Row],[Periodo]],listaPeriodos,0))))*30</f>
        <v>116.92037022581195</v>
      </c>
      <c r="F1830" s="34"/>
      <c r="G1830" s="34"/>
      <c r="H1830" s="34"/>
    </row>
    <row r="1831" spans="1:8" x14ac:dyDescent="0.3">
      <c r="A1831" t="s">
        <v>690</v>
      </c>
      <c r="B1831" s="3">
        <f t="shared" si="20"/>
        <v>44866</v>
      </c>
      <c r="C1831" s="2" t="str">
        <f>VLOOKUP(MONTH(Tabela1[[#This Row],[Periodo]]),NUMMESES,2,FALSE)</f>
        <v>Novembro</v>
      </c>
      <c r="D1831" s="2">
        <f>YEAR(Tabela1[[#This Row],[Periodo]])</f>
        <v>2022</v>
      </c>
      <c r="E1831" s="42">
        <f>(INDEX(TBBP[],MATCH("1.1.1.3.01",planoContas,0)+1,MATCH(Tabela1[[#This Row],[Periodo]],listaPeriodos,0))/(INDEX(TBBP[],MATCH("3.1.1.1.01",planoContas,0)+1,MATCH(Tabela1[[#This Row],[Periodo]],listaPeriodos,0))))*30</f>
        <v>104.77863308884322</v>
      </c>
      <c r="F1831" s="34"/>
      <c r="G1831" s="34"/>
      <c r="H1831" s="34"/>
    </row>
    <row r="1832" spans="1:8" x14ac:dyDescent="0.3">
      <c r="A1832" t="s">
        <v>690</v>
      </c>
      <c r="B1832" s="3">
        <f t="shared" si="20"/>
        <v>44896</v>
      </c>
      <c r="C1832" s="2" t="str">
        <f>VLOOKUP(MONTH(Tabela1[[#This Row],[Periodo]]),NUMMESES,2,FALSE)</f>
        <v>Dezembro</v>
      </c>
      <c r="D1832" s="2">
        <f>YEAR(Tabela1[[#This Row],[Periodo]])</f>
        <v>2022</v>
      </c>
      <c r="E1832" s="42">
        <f>(INDEX(TBBP[],MATCH("1.1.1.3.01",planoContas,0)+1,MATCH(Tabela1[[#This Row],[Periodo]],listaPeriodos,0))/(INDEX(TBBP[],MATCH("3.1.1.1.01",planoContas,0)+1,MATCH(Tabela1[[#This Row],[Periodo]],listaPeriodos,0))))*30</f>
        <v>113.73949797693884</v>
      </c>
      <c r="F1832" s="34"/>
      <c r="G1832" s="34"/>
      <c r="H1832" s="34"/>
    </row>
    <row r="1833" spans="1:8" x14ac:dyDescent="0.3">
      <c r="A1833" t="s">
        <v>690</v>
      </c>
      <c r="B1833" s="3">
        <f t="shared" si="20"/>
        <v>44927</v>
      </c>
      <c r="C1833" s="2" t="str">
        <f>VLOOKUP(MONTH(Tabela1[[#This Row],[Periodo]]),NUMMESES,2,FALSE)</f>
        <v>Janeiro</v>
      </c>
      <c r="D1833" s="2">
        <f>YEAR(Tabela1[[#This Row],[Periodo]])</f>
        <v>2023</v>
      </c>
      <c r="E1833" s="42">
        <f>(INDEX(TBBP[],MATCH("1.1.1.3.01",planoContas,0)+1,MATCH(Tabela1[[#This Row],[Periodo]],listaPeriodos,0))/(INDEX(TBBP[],MATCH("3.1.1.1.01",planoContas,0)+1,MATCH(Tabela1[[#This Row],[Periodo]],listaPeriodos,0))))*30</f>
        <v>121.25964832450008</v>
      </c>
      <c r="F1833" s="34"/>
      <c r="G1833" s="34"/>
      <c r="H1833" s="34"/>
    </row>
    <row r="1834" spans="1:8" x14ac:dyDescent="0.3">
      <c r="A1834" t="s">
        <v>690</v>
      </c>
      <c r="B1834" s="3">
        <f t="shared" si="20"/>
        <v>44958</v>
      </c>
      <c r="C1834" s="2" t="str">
        <f>VLOOKUP(MONTH(Tabela1[[#This Row],[Periodo]]),NUMMESES,2,FALSE)</f>
        <v>Fevereiro</v>
      </c>
      <c r="D1834" s="2">
        <f>YEAR(Tabela1[[#This Row],[Periodo]])</f>
        <v>2023</v>
      </c>
      <c r="E1834" s="42">
        <f>(INDEX(TBBP[],MATCH("1.1.1.3.01",planoContas,0)+1,MATCH(Tabela1[[#This Row],[Periodo]],listaPeriodos,0))/(INDEX(TBBP[],MATCH("3.1.1.1.01",planoContas,0)+1,MATCH(Tabela1[[#This Row],[Periodo]],listaPeriodos,0))))*30</f>
        <v>118.39382993491985</v>
      </c>
      <c r="F1834" s="34"/>
      <c r="G1834" s="34"/>
      <c r="H1834" s="34"/>
    </row>
    <row r="1835" spans="1:8" x14ac:dyDescent="0.3">
      <c r="A1835" t="s">
        <v>690</v>
      </c>
      <c r="B1835" s="3">
        <f t="shared" si="20"/>
        <v>44986</v>
      </c>
      <c r="C1835" s="2" t="str">
        <f>VLOOKUP(MONTH(Tabela1[[#This Row],[Periodo]]),NUMMESES,2,FALSE)</f>
        <v>Março</v>
      </c>
      <c r="D1835" s="2">
        <f>YEAR(Tabela1[[#This Row],[Periodo]])</f>
        <v>2023</v>
      </c>
      <c r="E1835" s="42">
        <f>(INDEX(TBBP[],MATCH("1.1.1.3.01",planoContas,0)+1,MATCH(Tabela1[[#This Row],[Periodo]],listaPeriodos,0))/(INDEX(TBBP[],MATCH("3.1.1.1.01",planoContas,0)+1,MATCH(Tabela1[[#This Row],[Periodo]],listaPeriodos,0))))*30</f>
        <v>97.851001874274331</v>
      </c>
      <c r="F1835" s="34"/>
      <c r="G1835" s="34"/>
      <c r="H1835" s="34"/>
    </row>
    <row r="1836" spans="1:8" x14ac:dyDescent="0.3">
      <c r="A1836" t="s">
        <v>690</v>
      </c>
      <c r="B1836" s="3">
        <f t="shared" si="20"/>
        <v>45017</v>
      </c>
      <c r="C1836" s="2" t="str">
        <f>VLOOKUP(MONTH(Tabela1[[#This Row],[Periodo]]),NUMMESES,2,FALSE)</f>
        <v>Abril</v>
      </c>
      <c r="D1836" s="2">
        <f>YEAR(Tabela1[[#This Row],[Periodo]])</f>
        <v>2023</v>
      </c>
      <c r="E1836" s="42">
        <f>(INDEX(TBBP[],MATCH("1.1.1.3.01",planoContas,0)+1,MATCH(Tabela1[[#This Row],[Periodo]],listaPeriodos,0))/(INDEX(TBBP[],MATCH("3.1.1.1.01",planoContas,0)+1,MATCH(Tabela1[[#This Row],[Periodo]],listaPeriodos,0))))*30</f>
        <v>108.85680453792678</v>
      </c>
      <c r="F1836" s="34"/>
      <c r="G1836" s="34"/>
      <c r="H1836" s="34"/>
    </row>
    <row r="1837" spans="1:8" x14ac:dyDescent="0.3">
      <c r="A1837" t="s">
        <v>690</v>
      </c>
      <c r="B1837" s="3">
        <f t="shared" si="20"/>
        <v>45047</v>
      </c>
      <c r="C1837" s="2" t="str">
        <f>VLOOKUP(MONTH(Tabela1[[#This Row],[Periodo]]),NUMMESES,2,FALSE)</f>
        <v>Maio</v>
      </c>
      <c r="D1837" s="2">
        <f>YEAR(Tabela1[[#This Row],[Periodo]])</f>
        <v>2023</v>
      </c>
      <c r="E1837" s="42">
        <f>(INDEX(TBBP[],MATCH("1.1.1.3.01",planoContas,0)+1,MATCH(Tabela1[[#This Row],[Periodo]],listaPeriodos,0))/(INDEX(TBBP[],MATCH("3.1.1.1.01",planoContas,0)+1,MATCH(Tabela1[[#This Row],[Periodo]],listaPeriodos,0))))*30</f>
        <v>78.505925173324542</v>
      </c>
      <c r="F1837" s="34"/>
      <c r="G1837" s="34"/>
      <c r="H1837" s="34"/>
    </row>
    <row r="1838" spans="1:8" x14ac:dyDescent="0.3">
      <c r="A1838" t="s">
        <v>690</v>
      </c>
      <c r="B1838" s="3">
        <f t="shared" si="20"/>
        <v>45078</v>
      </c>
      <c r="C1838" s="2" t="str">
        <f>VLOOKUP(MONTH(Tabela1[[#This Row],[Periodo]]),NUMMESES,2,FALSE)</f>
        <v>Junho</v>
      </c>
      <c r="D1838" s="2">
        <f>YEAR(Tabela1[[#This Row],[Periodo]])</f>
        <v>2023</v>
      </c>
      <c r="E1838" s="42">
        <f>(INDEX(TBBP[],MATCH("1.1.1.3.01",planoContas,0)+1,MATCH(Tabela1[[#This Row],[Periodo]],listaPeriodos,0))/(INDEX(TBBP[],MATCH("3.1.1.1.01",planoContas,0)+1,MATCH(Tabela1[[#This Row],[Periodo]],listaPeriodos,0))))*30</f>
        <v>92.780823660384286</v>
      </c>
      <c r="F1838" s="34"/>
      <c r="G1838" s="34"/>
      <c r="H1838" s="34"/>
    </row>
    <row r="1839" spans="1:8" x14ac:dyDescent="0.3">
      <c r="A1839" t="s">
        <v>690</v>
      </c>
      <c r="B1839" s="3">
        <f t="shared" si="20"/>
        <v>45108</v>
      </c>
      <c r="C1839" s="2" t="str">
        <f>VLOOKUP(MONTH(Tabela1[[#This Row],[Periodo]]),NUMMESES,2,FALSE)</f>
        <v>Julho</v>
      </c>
      <c r="D1839" s="2">
        <f>YEAR(Tabela1[[#This Row],[Periodo]])</f>
        <v>2023</v>
      </c>
      <c r="E1839" s="42">
        <f>(INDEX(TBBP[],MATCH("1.1.1.3.01",planoContas,0)+1,MATCH(Tabela1[[#This Row],[Periodo]],listaPeriodos,0))/(INDEX(TBBP[],MATCH("3.1.1.1.01",planoContas,0)+1,MATCH(Tabela1[[#This Row],[Periodo]],listaPeriodos,0))))*30</f>
        <v>121.93262713305282</v>
      </c>
      <c r="F1839" s="34"/>
      <c r="G1839" s="34"/>
      <c r="H1839" s="34"/>
    </row>
    <row r="1840" spans="1:8" x14ac:dyDescent="0.3">
      <c r="A1840" t="s">
        <v>690</v>
      </c>
      <c r="B1840" s="3">
        <f t="shared" si="20"/>
        <v>45139</v>
      </c>
      <c r="C1840" s="2" t="str">
        <f>VLOOKUP(MONTH(Tabela1[[#This Row],[Periodo]]),NUMMESES,2,FALSE)</f>
        <v>Agosto</v>
      </c>
      <c r="D1840" s="2">
        <f>YEAR(Tabela1[[#This Row],[Periodo]])</f>
        <v>2023</v>
      </c>
      <c r="E1840" s="42">
        <f>(INDEX(TBBP[],MATCH("1.1.1.3.01",planoContas,0)+1,MATCH(Tabela1[[#This Row],[Periodo]],listaPeriodos,0))/(INDEX(TBBP[],MATCH("3.1.1.1.01",planoContas,0)+1,MATCH(Tabela1[[#This Row],[Periodo]],listaPeriodos,0))))*30</f>
        <v>91.724890422473123</v>
      </c>
      <c r="F1840" s="34"/>
      <c r="G1840" s="34"/>
      <c r="H1840" s="34"/>
    </row>
    <row r="1841" spans="1:8" x14ac:dyDescent="0.3">
      <c r="A1841" t="s">
        <v>690</v>
      </c>
      <c r="B1841" s="3">
        <f t="shared" si="20"/>
        <v>45170</v>
      </c>
      <c r="C1841" s="2" t="str">
        <f>VLOOKUP(MONTH(Tabela1[[#This Row],[Periodo]]),NUMMESES,2,FALSE)</f>
        <v>Setembro</v>
      </c>
      <c r="D1841" s="2">
        <f>YEAR(Tabela1[[#This Row],[Periodo]])</f>
        <v>2023</v>
      </c>
      <c r="E1841" s="42">
        <f>(INDEX(TBBP[],MATCH("1.1.1.3.01",planoContas,0)+1,MATCH(Tabela1[[#This Row],[Periodo]],listaPeriodos,0))/(INDEX(TBBP[],MATCH("3.1.1.1.01",planoContas,0)+1,MATCH(Tabela1[[#This Row],[Periodo]],listaPeriodos,0))))*30</f>
        <v>106.5301824867059</v>
      </c>
      <c r="F1841" s="34"/>
      <c r="G1841" s="34"/>
      <c r="H1841" s="34"/>
    </row>
    <row r="1842" spans="1:8" x14ac:dyDescent="0.3">
      <c r="A1842" t="s">
        <v>690</v>
      </c>
      <c r="B1842" s="3">
        <f t="shared" si="20"/>
        <v>45200</v>
      </c>
      <c r="C1842" s="2" t="str">
        <f>VLOOKUP(MONTH(Tabela1[[#This Row],[Periodo]]),NUMMESES,2,FALSE)</f>
        <v>Outubro</v>
      </c>
      <c r="D1842" s="2">
        <f>YEAR(Tabela1[[#This Row],[Periodo]])</f>
        <v>2023</v>
      </c>
      <c r="E1842" s="42">
        <f>(INDEX(TBBP[],MATCH("1.1.1.3.01",planoContas,0)+1,MATCH(Tabela1[[#This Row],[Periodo]],listaPeriodos,0))/(INDEX(TBBP[],MATCH("3.1.1.1.01",planoContas,0)+1,MATCH(Tabela1[[#This Row],[Periodo]],listaPeriodos,0))))*30</f>
        <v>90.496192161142275</v>
      </c>
      <c r="F1842" s="34"/>
      <c r="G1842" s="34"/>
      <c r="H1842" s="34"/>
    </row>
    <row r="1843" spans="1:8" x14ac:dyDescent="0.3">
      <c r="A1843" t="s">
        <v>690</v>
      </c>
      <c r="B1843" s="3">
        <f t="shared" si="20"/>
        <v>45231</v>
      </c>
      <c r="C1843" s="2" t="str">
        <f>VLOOKUP(MONTH(Tabela1[[#This Row],[Periodo]]),NUMMESES,2,FALSE)</f>
        <v>Novembro</v>
      </c>
      <c r="D1843" s="2">
        <f>YEAR(Tabela1[[#This Row],[Periodo]])</f>
        <v>2023</v>
      </c>
      <c r="E1843" s="42">
        <f>(INDEX(TBBP[],MATCH("1.1.1.3.01",planoContas,0)+1,MATCH(Tabela1[[#This Row],[Periodo]],listaPeriodos,0))/(INDEX(TBBP[],MATCH("3.1.1.1.01",planoContas,0)+1,MATCH(Tabela1[[#This Row],[Periodo]],listaPeriodos,0))))*30</f>
        <v>125.54303131203424</v>
      </c>
      <c r="F1843" s="34"/>
      <c r="G1843" s="34"/>
      <c r="H1843" s="34"/>
    </row>
    <row r="1844" spans="1:8" x14ac:dyDescent="0.3">
      <c r="A1844" t="s">
        <v>690</v>
      </c>
      <c r="B1844" s="3">
        <f t="shared" si="20"/>
        <v>45261</v>
      </c>
      <c r="C1844" s="2" t="str">
        <f>VLOOKUP(MONTH(Tabela1[[#This Row],[Periodo]]),NUMMESES,2,FALSE)</f>
        <v>Dezembro</v>
      </c>
      <c r="D1844" s="2">
        <f>YEAR(Tabela1[[#This Row],[Periodo]])</f>
        <v>2023</v>
      </c>
      <c r="E1844" s="42">
        <f>(INDEX(TBBP[],MATCH("1.1.1.3.01",planoContas,0)+1,MATCH(Tabela1[[#This Row],[Periodo]],listaPeriodos,0))/(INDEX(TBBP[],MATCH("3.1.1.1.01",planoContas,0)+1,MATCH(Tabela1[[#This Row],[Periodo]],listaPeriodos,0))))*30</f>
        <v>94.090625475958007</v>
      </c>
      <c r="F1844" s="34"/>
      <c r="G1844" s="34"/>
      <c r="H1844" s="34"/>
    </row>
    <row r="1845" spans="1:8" x14ac:dyDescent="0.3">
      <c r="A1845" t="s">
        <v>690</v>
      </c>
      <c r="B1845" s="3">
        <f t="shared" si="20"/>
        <v>45292</v>
      </c>
      <c r="C1845" s="2" t="str">
        <f>VLOOKUP(MONTH(Tabela1[[#This Row],[Periodo]]),NUMMESES,2,FALSE)</f>
        <v>Janeiro</v>
      </c>
      <c r="D1845" s="2">
        <f>YEAR(Tabela1[[#This Row],[Periodo]])</f>
        <v>2024</v>
      </c>
      <c r="E1845" s="42">
        <f>(INDEX(TBBP[],MATCH("1.1.1.3.01",planoContas,0)+1,MATCH(Tabela1[[#This Row],[Periodo]],listaPeriodos,0))/(INDEX(TBBP[],MATCH("3.1.1.1.01",planoContas,0)+1,MATCH(Tabela1[[#This Row],[Periodo]],listaPeriodos,0))))*30</f>
        <v>109.8433635115892</v>
      </c>
      <c r="F1845" s="34"/>
      <c r="G1845" s="34"/>
      <c r="H1845" s="34"/>
    </row>
    <row r="1846" spans="1:8" x14ac:dyDescent="0.3">
      <c r="A1846" t="s">
        <v>690</v>
      </c>
      <c r="B1846" s="3">
        <f t="shared" si="20"/>
        <v>45323</v>
      </c>
      <c r="C1846" s="2" t="str">
        <f>VLOOKUP(MONTH(Tabela1[[#This Row],[Periodo]]),NUMMESES,2,FALSE)</f>
        <v>Fevereiro</v>
      </c>
      <c r="D1846" s="2">
        <f>YEAR(Tabela1[[#This Row],[Periodo]])</f>
        <v>2024</v>
      </c>
      <c r="E1846" s="42">
        <f>(INDEX(TBBP[],MATCH("1.1.1.3.01",planoContas,0)+1,MATCH(Tabela1[[#This Row],[Periodo]],listaPeriodos,0))/(INDEX(TBBP[],MATCH("3.1.1.1.01",planoContas,0)+1,MATCH(Tabela1[[#This Row],[Periodo]],listaPeriodos,0))))*30</f>
        <v>104.62040778552338</v>
      </c>
      <c r="F1846" s="34"/>
      <c r="G1846" s="34"/>
      <c r="H1846" s="34"/>
    </row>
    <row r="1847" spans="1:8" x14ac:dyDescent="0.3">
      <c r="A1847" t="s">
        <v>690</v>
      </c>
      <c r="B1847" s="3">
        <f t="shared" si="20"/>
        <v>45352</v>
      </c>
      <c r="C1847" s="2" t="str">
        <f>VLOOKUP(MONTH(Tabela1[[#This Row],[Periodo]]),NUMMESES,2,FALSE)</f>
        <v>Março</v>
      </c>
      <c r="D1847" s="2">
        <f>YEAR(Tabela1[[#This Row],[Periodo]])</f>
        <v>2024</v>
      </c>
      <c r="E1847" s="42">
        <f>(INDEX(TBBP[],MATCH("1.1.1.3.01",planoContas,0)+1,MATCH(Tabela1[[#This Row],[Periodo]],listaPeriodos,0))/(INDEX(TBBP[],MATCH("3.1.1.1.01",planoContas,0)+1,MATCH(Tabela1[[#This Row],[Periodo]],listaPeriodos,0))))*30</f>
        <v>115.36857114098495</v>
      </c>
      <c r="F1847" s="34"/>
      <c r="G1847" s="34"/>
      <c r="H1847" s="34"/>
    </row>
    <row r="1848" spans="1:8" x14ac:dyDescent="0.3">
      <c r="A1848" t="s">
        <v>690</v>
      </c>
      <c r="B1848" s="3">
        <f t="shared" si="20"/>
        <v>45383</v>
      </c>
      <c r="C1848" s="2" t="str">
        <f>VLOOKUP(MONTH(Tabela1[[#This Row],[Periodo]]),NUMMESES,2,FALSE)</f>
        <v>Abril</v>
      </c>
      <c r="D1848" s="2">
        <f>YEAR(Tabela1[[#This Row],[Periodo]])</f>
        <v>2024</v>
      </c>
      <c r="E1848" s="42">
        <f>(INDEX(TBBP[],MATCH("1.1.1.3.01",planoContas,0)+1,MATCH(Tabela1[[#This Row],[Periodo]],listaPeriodos,0))/(INDEX(TBBP[],MATCH("3.1.1.1.01",planoContas,0)+1,MATCH(Tabela1[[#This Row],[Periodo]],listaPeriodos,0))))*30</f>
        <v>90.217479257238978</v>
      </c>
      <c r="F1848" s="34"/>
      <c r="G1848" s="34"/>
      <c r="H1848" s="34"/>
    </row>
    <row r="1849" spans="1:8" x14ac:dyDescent="0.3">
      <c r="A1849" t="s">
        <v>690</v>
      </c>
      <c r="B1849" s="3">
        <f t="shared" si="20"/>
        <v>45413</v>
      </c>
      <c r="C1849" s="2" t="str">
        <f>VLOOKUP(MONTH(Tabela1[[#This Row],[Periodo]]),NUMMESES,2,FALSE)</f>
        <v>Maio</v>
      </c>
      <c r="D1849" s="2">
        <f>YEAR(Tabela1[[#This Row],[Periodo]])</f>
        <v>2024</v>
      </c>
      <c r="E1849" s="42">
        <f>(INDEX(TBBP[],MATCH("1.1.1.3.01",planoContas,0)+1,MATCH(Tabela1[[#This Row],[Periodo]],listaPeriodos,0))/(INDEX(TBBP[],MATCH("3.1.1.1.01",planoContas,0)+1,MATCH(Tabela1[[#This Row],[Periodo]],listaPeriodos,0))))*30</f>
        <v>90.816888229369013</v>
      </c>
      <c r="F1849" s="34"/>
      <c r="G1849" s="34"/>
      <c r="H1849" s="34"/>
    </row>
    <row r="1850" spans="1:8" x14ac:dyDescent="0.3">
      <c r="A1850" t="s">
        <v>690</v>
      </c>
      <c r="B1850" s="3">
        <f t="shared" si="20"/>
        <v>45444</v>
      </c>
      <c r="C1850" s="2" t="str">
        <f>VLOOKUP(MONTH(Tabela1[[#This Row],[Periodo]]),NUMMESES,2,FALSE)</f>
        <v>Junho</v>
      </c>
      <c r="D1850" s="2">
        <f>YEAR(Tabela1[[#This Row],[Periodo]])</f>
        <v>2024</v>
      </c>
      <c r="E1850" s="42">
        <f>(INDEX(TBBP[],MATCH("1.1.1.3.01",planoContas,0)+1,MATCH(Tabela1[[#This Row],[Periodo]],listaPeriodos,0))/(INDEX(TBBP[],MATCH("3.1.1.1.01",planoContas,0)+1,MATCH(Tabela1[[#This Row],[Periodo]],listaPeriodos,0))))*30</f>
        <v>106.63813508648511</v>
      </c>
      <c r="F1850" s="34"/>
      <c r="G1850" s="34"/>
      <c r="H1850" s="34"/>
    </row>
    <row r="1851" spans="1:8" x14ac:dyDescent="0.3">
      <c r="A1851" t="s">
        <v>690</v>
      </c>
      <c r="B1851" s="3">
        <f t="shared" si="20"/>
        <v>45474</v>
      </c>
      <c r="C1851" s="2" t="str">
        <f>VLOOKUP(MONTH(Tabela1[[#This Row],[Periodo]]),NUMMESES,2,FALSE)</f>
        <v>Julho</v>
      </c>
      <c r="D1851" s="2">
        <f>YEAR(Tabela1[[#This Row],[Periodo]])</f>
        <v>2024</v>
      </c>
      <c r="E1851" s="42">
        <f>(INDEX(TBBP[],MATCH("1.1.1.3.01",planoContas,0)+1,MATCH(Tabela1[[#This Row],[Periodo]],listaPeriodos,0))/(INDEX(TBBP[],MATCH("3.1.1.1.01",planoContas,0)+1,MATCH(Tabela1[[#This Row],[Periodo]],listaPeriodos,0))))*30</f>
        <v>97.94057504536751</v>
      </c>
      <c r="F1851" s="34"/>
      <c r="G1851" s="34"/>
      <c r="H1851" s="34"/>
    </row>
    <row r="1852" spans="1:8" x14ac:dyDescent="0.3">
      <c r="A1852" t="s">
        <v>690</v>
      </c>
      <c r="B1852" s="3">
        <f t="shared" si="20"/>
        <v>45505</v>
      </c>
      <c r="C1852" s="2" t="str">
        <f>VLOOKUP(MONTH(Tabela1[[#This Row],[Periodo]]),NUMMESES,2,FALSE)</f>
        <v>Agosto</v>
      </c>
      <c r="D1852" s="2">
        <f>YEAR(Tabela1[[#This Row],[Periodo]])</f>
        <v>2024</v>
      </c>
      <c r="E1852" s="42">
        <f>(INDEX(TBBP[],MATCH("1.1.1.3.01",planoContas,0)+1,MATCH(Tabela1[[#This Row],[Periodo]],listaPeriodos,0))/(INDEX(TBBP[],MATCH("3.1.1.1.01",planoContas,0)+1,MATCH(Tabela1[[#This Row],[Periodo]],listaPeriodos,0))))*30</f>
        <v>126.17802343342771</v>
      </c>
      <c r="F1852" s="34"/>
      <c r="G1852" s="34"/>
      <c r="H1852" s="34"/>
    </row>
    <row r="1853" spans="1:8" x14ac:dyDescent="0.3">
      <c r="A1853" t="s">
        <v>690</v>
      </c>
      <c r="B1853" s="3">
        <f t="shared" si="20"/>
        <v>45536</v>
      </c>
      <c r="C1853" s="2" t="str">
        <f>VLOOKUP(MONTH(Tabela1[[#This Row],[Periodo]]),NUMMESES,2,FALSE)</f>
        <v>Setembro</v>
      </c>
      <c r="D1853" s="2">
        <f>YEAR(Tabela1[[#This Row],[Periodo]])</f>
        <v>2024</v>
      </c>
      <c r="E1853" s="42">
        <f>(INDEX(TBBP[],MATCH("1.1.1.3.01",planoContas,0)+1,MATCH(Tabela1[[#This Row],[Periodo]],listaPeriodos,0))/(INDEX(TBBP[],MATCH("3.1.1.1.01",planoContas,0)+1,MATCH(Tabela1[[#This Row],[Periodo]],listaPeriodos,0))))*30</f>
        <v>114.40572710885799</v>
      </c>
      <c r="F1853" s="34"/>
      <c r="G1853" s="34"/>
      <c r="H1853" s="34"/>
    </row>
    <row r="1854" spans="1:8" x14ac:dyDescent="0.3">
      <c r="A1854" t="s">
        <v>690</v>
      </c>
      <c r="B1854" s="3">
        <f t="shared" si="20"/>
        <v>45566</v>
      </c>
      <c r="C1854" s="2" t="str">
        <f>VLOOKUP(MONTH(Tabela1[[#This Row],[Periodo]]),NUMMESES,2,FALSE)</f>
        <v>Outubro</v>
      </c>
      <c r="D1854" s="2">
        <f>YEAR(Tabela1[[#This Row],[Periodo]])</f>
        <v>2024</v>
      </c>
      <c r="E1854" s="42">
        <f>(INDEX(TBBP[],MATCH("1.1.1.3.01",planoContas,0)+1,MATCH(Tabela1[[#This Row],[Periodo]],listaPeriodos,0))/(INDEX(TBBP[],MATCH("3.1.1.1.01",planoContas,0)+1,MATCH(Tabela1[[#This Row],[Periodo]],listaPeriodos,0))))*30</f>
        <v>116.8032183598694</v>
      </c>
      <c r="F1854" s="34"/>
      <c r="G1854" s="34"/>
      <c r="H1854" s="34"/>
    </row>
    <row r="1855" spans="1:8" x14ac:dyDescent="0.3">
      <c r="A1855" t="s">
        <v>690</v>
      </c>
      <c r="B1855" s="3">
        <f t="shared" si="20"/>
        <v>45597</v>
      </c>
      <c r="C1855" s="2" t="str">
        <f>VLOOKUP(MONTH(Tabela1[[#This Row],[Periodo]]),NUMMESES,2,FALSE)</f>
        <v>Novembro</v>
      </c>
      <c r="D1855" s="2">
        <f>YEAR(Tabela1[[#This Row],[Periodo]])</f>
        <v>2024</v>
      </c>
      <c r="E1855" s="42">
        <f>(INDEX(TBBP[],MATCH("1.1.1.3.01",planoContas,0)+1,MATCH(Tabela1[[#This Row],[Periodo]],listaPeriodos,0))/(INDEX(TBBP[],MATCH("3.1.1.1.01",planoContas,0)+1,MATCH(Tabela1[[#This Row],[Periodo]],listaPeriodos,0))))*30</f>
        <v>123.44475768668627</v>
      </c>
      <c r="F1855" s="34"/>
      <c r="G1855" s="34"/>
      <c r="H1855" s="34"/>
    </row>
    <row r="1856" spans="1:8" x14ac:dyDescent="0.3">
      <c r="A1856" t="s">
        <v>690</v>
      </c>
      <c r="B1856" s="3">
        <f t="shared" si="20"/>
        <v>45627</v>
      </c>
      <c r="C1856" s="2" t="str">
        <f>VLOOKUP(MONTH(Tabela1[[#This Row],[Periodo]]),NUMMESES,2,FALSE)</f>
        <v>Dezembro</v>
      </c>
      <c r="D1856" s="2">
        <f>YEAR(Tabela1[[#This Row],[Periodo]])</f>
        <v>2024</v>
      </c>
      <c r="E1856" s="42">
        <f>(INDEX(TBBP[],MATCH("1.1.1.3.01",planoContas,0)+1,MATCH(Tabela1[[#This Row],[Periodo]],listaPeriodos,0))/(INDEX(TBBP[],MATCH("3.1.1.1.01",planoContas,0)+1,MATCH(Tabela1[[#This Row],[Periodo]],listaPeriodos,0))))*30</f>
        <v>106.28350195055307</v>
      </c>
      <c r="F1856" s="34"/>
      <c r="G1856" s="34"/>
      <c r="H1856" s="34"/>
    </row>
    <row r="1857" spans="1:8" x14ac:dyDescent="0.3">
      <c r="A1857" t="s">
        <v>690</v>
      </c>
      <c r="B1857" s="3">
        <f t="shared" si="20"/>
        <v>45658</v>
      </c>
      <c r="C1857" s="2" t="str">
        <f>VLOOKUP(MONTH(Tabela1[[#This Row],[Periodo]]),NUMMESES,2,FALSE)</f>
        <v>Janeiro</v>
      </c>
      <c r="D1857" s="2">
        <f>YEAR(Tabela1[[#This Row],[Periodo]])</f>
        <v>2025</v>
      </c>
      <c r="E1857" s="42">
        <f>(INDEX(TBBP[],MATCH("1.1.1.3.01",planoContas,0)+1,MATCH(Tabela1[[#This Row],[Periodo]],listaPeriodos,0))/(INDEX(TBBP[],MATCH("3.1.1.1.01",planoContas,0)+1,MATCH(Tabela1[[#This Row],[Periodo]],listaPeriodos,0))))*30</f>
        <v>162.26602041136505</v>
      </c>
      <c r="F1857" s="34"/>
      <c r="G1857" s="34"/>
      <c r="H1857" s="34"/>
    </row>
    <row r="1858" spans="1:8" x14ac:dyDescent="0.3">
      <c r="A1858" t="s">
        <v>690</v>
      </c>
      <c r="B1858" s="3">
        <f t="shared" si="20"/>
        <v>45689</v>
      </c>
      <c r="C1858" s="2" t="str">
        <f>VLOOKUP(MONTH(Tabela1[[#This Row],[Periodo]]),NUMMESES,2,FALSE)</f>
        <v>Fevereiro</v>
      </c>
      <c r="D1858" s="2">
        <f>YEAR(Tabela1[[#This Row],[Periodo]])</f>
        <v>2025</v>
      </c>
      <c r="E1858" s="42">
        <f>(INDEX(TBBP[],MATCH("1.1.1.3.01",planoContas,0)+1,MATCH(Tabela1[[#This Row],[Periodo]],listaPeriodos,0))/(INDEX(TBBP[],MATCH("3.1.1.1.01",planoContas,0)+1,MATCH(Tabela1[[#This Row],[Periodo]],listaPeriodos,0))))*30</f>
        <v>149.90210255183374</v>
      </c>
      <c r="F1858" s="34"/>
      <c r="G1858" s="34"/>
      <c r="H1858" s="34"/>
    </row>
    <row r="1859" spans="1:8" x14ac:dyDescent="0.3">
      <c r="A1859" t="s">
        <v>690</v>
      </c>
      <c r="B1859" s="3">
        <f t="shared" si="20"/>
        <v>45717</v>
      </c>
      <c r="C1859" s="2" t="str">
        <f>VLOOKUP(MONTH(Tabela1[[#This Row],[Periodo]]),NUMMESES,2,FALSE)</f>
        <v>Março</v>
      </c>
      <c r="D1859" s="2">
        <f>YEAR(Tabela1[[#This Row],[Periodo]])</f>
        <v>2025</v>
      </c>
      <c r="E1859" s="42">
        <f>(INDEX(TBBP[],MATCH("1.1.1.3.01",planoContas,0)+1,MATCH(Tabela1[[#This Row],[Periodo]],listaPeriodos,0))/(INDEX(TBBP[],MATCH("3.1.1.1.01",planoContas,0)+1,MATCH(Tabela1[[#This Row],[Periodo]],listaPeriodos,0))))*30</f>
        <v>135.18533671561948</v>
      </c>
      <c r="F1859" s="34"/>
      <c r="G1859" s="34"/>
      <c r="H1859" s="34"/>
    </row>
    <row r="1860" spans="1:8" x14ac:dyDescent="0.3">
      <c r="A1860" t="s">
        <v>690</v>
      </c>
      <c r="B1860" s="3">
        <f t="shared" si="20"/>
        <v>45748</v>
      </c>
      <c r="C1860" s="2" t="str">
        <f>VLOOKUP(MONTH(Tabela1[[#This Row],[Periodo]]),NUMMESES,2,FALSE)</f>
        <v>Abril</v>
      </c>
      <c r="D1860" s="2">
        <f>YEAR(Tabela1[[#This Row],[Periodo]])</f>
        <v>2025</v>
      </c>
      <c r="E1860" s="42">
        <f>(INDEX(TBBP[],MATCH("1.1.1.3.01",planoContas,0)+1,MATCH(Tabela1[[#This Row],[Periodo]],listaPeriodos,0))/(INDEX(TBBP[],MATCH("3.1.1.1.01",planoContas,0)+1,MATCH(Tabela1[[#This Row],[Periodo]],listaPeriodos,0))))*30</f>
        <v>108.93590386565225</v>
      </c>
      <c r="F1860" s="34"/>
      <c r="G1860" s="34"/>
      <c r="H1860" s="34"/>
    </row>
    <row r="1861" spans="1:8" x14ac:dyDescent="0.3">
      <c r="A1861" t="s">
        <v>690</v>
      </c>
      <c r="B1861" s="3">
        <f t="shared" si="20"/>
        <v>45778</v>
      </c>
      <c r="C1861" s="2" t="str">
        <f>VLOOKUP(MONTH(Tabela1[[#This Row],[Periodo]]),NUMMESES,2,FALSE)</f>
        <v>Maio</v>
      </c>
      <c r="D1861" s="2">
        <f>YEAR(Tabela1[[#This Row],[Periodo]])</f>
        <v>2025</v>
      </c>
      <c r="E1861" s="42">
        <f>(INDEX(TBBP[],MATCH("1.1.1.3.01",planoContas,0)+1,MATCH(Tabela1[[#This Row],[Periodo]],listaPeriodos,0))/(INDEX(TBBP[],MATCH("3.1.1.1.01",planoContas,0)+1,MATCH(Tabela1[[#This Row],[Periodo]],listaPeriodos,0))))*30</f>
        <v>117.26018834362506</v>
      </c>
      <c r="F1861" s="34"/>
      <c r="G1861" s="34"/>
      <c r="H1861" s="34"/>
    </row>
    <row r="1862" spans="1:8" x14ac:dyDescent="0.3">
      <c r="A1862" t="s">
        <v>690</v>
      </c>
      <c r="B1862" s="3">
        <f t="shared" si="20"/>
        <v>45809</v>
      </c>
      <c r="C1862" s="2" t="str">
        <f>VLOOKUP(MONTH(Tabela1[[#This Row],[Periodo]]),NUMMESES,2,FALSE)</f>
        <v>Junho</v>
      </c>
      <c r="D1862" s="2">
        <f>YEAR(Tabela1[[#This Row],[Periodo]])</f>
        <v>2025</v>
      </c>
      <c r="E1862" s="42">
        <f>(INDEX(TBBP[],MATCH("1.1.1.3.01",planoContas,0)+1,MATCH(Tabela1[[#This Row],[Periodo]],listaPeriodos,0))/(INDEX(TBBP[],MATCH("3.1.1.1.01",planoContas,0)+1,MATCH(Tabela1[[#This Row],[Periodo]],listaPeriodos,0))))*30</f>
        <v>138.02602235762703</v>
      </c>
      <c r="F1862" s="34"/>
      <c r="G1862" s="34"/>
      <c r="H1862" s="34"/>
    </row>
    <row r="1863" spans="1:8" x14ac:dyDescent="0.3">
      <c r="A1863" t="s">
        <v>690</v>
      </c>
      <c r="B1863" s="3">
        <f t="shared" si="20"/>
        <v>45839</v>
      </c>
      <c r="C1863" s="2" t="str">
        <f>VLOOKUP(MONTH(Tabela1[[#This Row],[Periodo]]),NUMMESES,2,FALSE)</f>
        <v>Julho</v>
      </c>
      <c r="D1863" s="2">
        <f>YEAR(Tabela1[[#This Row],[Periodo]])</f>
        <v>2025</v>
      </c>
      <c r="E1863" s="42">
        <f>(INDEX(TBBP[],MATCH("1.1.1.3.01",planoContas,0)+1,MATCH(Tabela1[[#This Row],[Periodo]],listaPeriodos,0))/(INDEX(TBBP[],MATCH("3.1.1.1.01",planoContas,0)+1,MATCH(Tabela1[[#This Row],[Periodo]],listaPeriodos,0))))*30</f>
        <v>169.15418023753435</v>
      </c>
      <c r="F1863" s="34"/>
      <c r="G1863" s="34"/>
      <c r="H1863" s="34"/>
    </row>
    <row r="1864" spans="1:8" x14ac:dyDescent="0.3">
      <c r="A1864" t="s">
        <v>690</v>
      </c>
      <c r="B1864" s="3">
        <f t="shared" si="20"/>
        <v>45870</v>
      </c>
      <c r="C1864" s="2" t="str">
        <f>VLOOKUP(MONTH(Tabela1[[#This Row],[Periodo]]),NUMMESES,2,FALSE)</f>
        <v>Agosto</v>
      </c>
      <c r="D1864" s="2">
        <f>YEAR(Tabela1[[#This Row],[Periodo]])</f>
        <v>2025</v>
      </c>
      <c r="E1864" s="42">
        <f>(INDEX(TBBP[],MATCH("1.1.1.3.01",planoContas,0)+1,MATCH(Tabela1[[#This Row],[Periodo]],listaPeriodos,0))/(INDEX(TBBP[],MATCH("3.1.1.1.01",planoContas,0)+1,MATCH(Tabela1[[#This Row],[Periodo]],listaPeriodos,0))))*30</f>
        <v>162.20663470981381</v>
      </c>
      <c r="F1864" s="34"/>
      <c r="G1864" s="34"/>
      <c r="H1864" s="34"/>
    </row>
    <row r="1865" spans="1:8" x14ac:dyDescent="0.3">
      <c r="A1865" t="s">
        <v>690</v>
      </c>
      <c r="B1865" s="3">
        <f t="shared" si="20"/>
        <v>45901</v>
      </c>
      <c r="C1865" s="2" t="str">
        <f>VLOOKUP(MONTH(Tabela1[[#This Row],[Periodo]]),NUMMESES,2,FALSE)</f>
        <v>Setembro</v>
      </c>
      <c r="D1865" s="2">
        <f>YEAR(Tabela1[[#This Row],[Periodo]])</f>
        <v>2025</v>
      </c>
      <c r="E1865" s="42">
        <f>(INDEX(TBBP[],MATCH("1.1.1.3.01",planoContas,0)+1,MATCH(Tabela1[[#This Row],[Periodo]],listaPeriodos,0))/(INDEX(TBBP[],MATCH("3.1.1.1.01",planoContas,0)+1,MATCH(Tabela1[[#This Row],[Periodo]],listaPeriodos,0))))*30</f>
        <v>157.42280715742089</v>
      </c>
      <c r="F1865" s="34"/>
      <c r="G1865" s="34"/>
      <c r="H1865" s="34"/>
    </row>
    <row r="1866" spans="1:8" x14ac:dyDescent="0.3">
      <c r="A1866" t="s">
        <v>690</v>
      </c>
      <c r="B1866" s="3">
        <f t="shared" si="20"/>
        <v>45931</v>
      </c>
      <c r="C1866" s="2" t="str">
        <f>VLOOKUP(MONTH(Tabela1[[#This Row],[Periodo]]),NUMMESES,2,FALSE)</f>
        <v>Outubro</v>
      </c>
      <c r="D1866" s="2">
        <f>YEAR(Tabela1[[#This Row],[Periodo]])</f>
        <v>2025</v>
      </c>
      <c r="E1866" s="42">
        <f>(INDEX(TBBP[],MATCH("1.1.1.3.01",planoContas,0)+1,MATCH(Tabela1[[#This Row],[Periodo]],listaPeriodos,0))/(INDEX(TBBP[],MATCH("3.1.1.1.01",planoContas,0)+1,MATCH(Tabela1[[#This Row],[Periodo]],listaPeriodos,0))))*30</f>
        <v>167.14279899607473</v>
      </c>
      <c r="F1866" s="34"/>
      <c r="G1866" s="34"/>
      <c r="H1866" s="34"/>
    </row>
    <row r="1867" spans="1:8" x14ac:dyDescent="0.3">
      <c r="A1867" t="s">
        <v>690</v>
      </c>
      <c r="B1867" s="3">
        <f t="shared" si="20"/>
        <v>45962</v>
      </c>
      <c r="C1867" s="2" t="str">
        <f>VLOOKUP(MONTH(Tabela1[[#This Row],[Periodo]]),NUMMESES,2,FALSE)</f>
        <v>Novembro</v>
      </c>
      <c r="D1867" s="2">
        <f>YEAR(Tabela1[[#This Row],[Periodo]])</f>
        <v>2025</v>
      </c>
      <c r="E1867" s="42">
        <f>(INDEX(TBBP[],MATCH("1.1.1.3.01",planoContas,0)+1,MATCH(Tabela1[[#This Row],[Periodo]],listaPeriodos,0))/(INDEX(TBBP[],MATCH("3.1.1.1.01",planoContas,0)+1,MATCH(Tabela1[[#This Row],[Periodo]],listaPeriodos,0))))*30</f>
        <v>162.1455626953842</v>
      </c>
      <c r="F1867" s="34"/>
      <c r="G1867" s="34"/>
      <c r="H1867" s="34"/>
    </row>
    <row r="1868" spans="1:8" x14ac:dyDescent="0.3">
      <c r="A1868" t="s">
        <v>690</v>
      </c>
      <c r="B1868" s="3">
        <f t="shared" si="20"/>
        <v>45992</v>
      </c>
      <c r="C1868" s="2" t="str">
        <f>VLOOKUP(MONTH(Tabela1[[#This Row],[Periodo]]),NUMMESES,2,FALSE)</f>
        <v>Dezembro</v>
      </c>
      <c r="D1868" s="2">
        <f>YEAR(Tabela1[[#This Row],[Periodo]])</f>
        <v>2025</v>
      </c>
      <c r="E1868" s="42">
        <f>(INDEX(TBBP[],MATCH("1.1.1.3.01",planoContas,0)+1,MATCH(Tabela1[[#This Row],[Periodo]],listaPeriodos,0))/(INDEX(TBBP[],MATCH("3.1.1.1.01",planoContas,0)+1,MATCH(Tabela1[[#This Row],[Periodo]],listaPeriodos,0))))*30</f>
        <v>183.66149279475385</v>
      </c>
      <c r="F1868" s="34"/>
      <c r="G1868" s="34"/>
      <c r="H1868" s="34"/>
    </row>
    <row r="1869" spans="1:8" x14ac:dyDescent="0.3">
      <c r="A1869" t="s">
        <v>690</v>
      </c>
      <c r="B1869" s="3">
        <f t="shared" si="20"/>
        <v>46023</v>
      </c>
      <c r="C1869" s="2" t="str">
        <f>VLOOKUP(MONTH(Tabela1[[#This Row],[Periodo]]),NUMMESES,2,FALSE)</f>
        <v>Janeiro</v>
      </c>
      <c r="D1869" s="2">
        <f>YEAR(Tabela1[[#This Row],[Periodo]])</f>
        <v>2026</v>
      </c>
      <c r="E1869" s="42">
        <f>(INDEX(TBBP[],MATCH("1.1.1.3.01",planoContas,0)+1,MATCH(Tabela1[[#This Row],[Periodo]],listaPeriodos,0))/(INDEX(TBBP[],MATCH("3.1.1.1.01",planoContas,0)+1,MATCH(Tabela1[[#This Row],[Periodo]],listaPeriodos,0))))*30</f>
        <v>151.04758949622342</v>
      </c>
      <c r="F1869" s="34"/>
      <c r="G1869" s="34"/>
      <c r="H1869" s="34"/>
    </row>
    <row r="1870" spans="1:8" x14ac:dyDescent="0.3">
      <c r="B1870" s="3"/>
      <c r="C1870" s="2"/>
      <c r="D1870" s="2"/>
      <c r="E1870" s="42"/>
      <c r="F1870" s="34"/>
      <c r="G1870" s="34"/>
      <c r="H1870" s="34"/>
    </row>
    <row r="1871" spans="1:8" x14ac:dyDescent="0.3">
      <c r="A1871" t="s">
        <v>691</v>
      </c>
      <c r="B1871" s="3">
        <v>41609</v>
      </c>
      <c r="C1871" s="2" t="str">
        <f>VLOOKUP(MONTH(Tabela1[[#This Row],[Periodo]]),NUMMESES,2,FALSE)</f>
        <v>Dezembro</v>
      </c>
      <c r="D1871" s="2">
        <f>YEAR(Tabela1[[#This Row],[Periodo]])</f>
        <v>2013</v>
      </c>
      <c r="E1871" s="42">
        <v>0</v>
      </c>
      <c r="F1871" s="34"/>
      <c r="G1871" s="34"/>
      <c r="H1871" s="34"/>
    </row>
    <row r="1872" spans="1:8" x14ac:dyDescent="0.3">
      <c r="A1872" t="s">
        <v>691</v>
      </c>
      <c r="B1872" s="3">
        <v>41974</v>
      </c>
      <c r="C1872" s="2" t="str">
        <f>VLOOKUP(MONTH(Tabela1[[#This Row],[Periodo]]),NUMMESES,2,FALSE)</f>
        <v>Dezembro</v>
      </c>
      <c r="D1872" s="2">
        <f>YEAR(Tabela1[[#This Row],[Periodo]])</f>
        <v>2014</v>
      </c>
      <c r="E187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22.390336302969828</v>
      </c>
      <c r="F1872" s="34"/>
      <c r="G1872" s="34"/>
      <c r="H1872" s="34"/>
    </row>
    <row r="1873" spans="1:8" x14ac:dyDescent="0.3">
      <c r="A1873" t="s">
        <v>691</v>
      </c>
      <c r="B1873" s="3">
        <v>42339</v>
      </c>
      <c r="C1873" s="2" t="str">
        <f>VLOOKUP(MONTH(Tabela1[[#This Row],[Periodo]]),NUMMESES,2,FALSE)</f>
        <v>Dezembro</v>
      </c>
      <c r="D1873" s="2">
        <f>YEAR(Tabela1[[#This Row],[Periodo]])</f>
        <v>2015</v>
      </c>
      <c r="E187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21.759957077904499</v>
      </c>
      <c r="F1873" s="34"/>
      <c r="G1873" s="34"/>
      <c r="H1873" s="34"/>
    </row>
    <row r="1874" spans="1:8" x14ac:dyDescent="0.3">
      <c r="A1874" t="s">
        <v>691</v>
      </c>
      <c r="B1874" s="3">
        <v>42705</v>
      </c>
      <c r="C1874" s="2" t="str">
        <f>VLOOKUP(MONTH(Tabela1[[#This Row],[Periodo]]),NUMMESES,2,FALSE)</f>
        <v>Dezembro</v>
      </c>
      <c r="D1874" s="2">
        <f>YEAR(Tabela1[[#This Row],[Periodo]])</f>
        <v>2016</v>
      </c>
      <c r="E187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14.361762914738563</v>
      </c>
      <c r="F1874" s="34"/>
      <c r="G1874" s="34"/>
      <c r="H1874" s="34"/>
    </row>
    <row r="1875" spans="1:8" x14ac:dyDescent="0.3">
      <c r="A1875" t="s">
        <v>691</v>
      </c>
      <c r="B1875" s="3">
        <v>43070</v>
      </c>
      <c r="C1875" s="2" t="str">
        <f>VLOOKUP(MONTH(Tabela1[[#This Row],[Periodo]]),NUMMESES,2,FALSE)</f>
        <v>Dezembro</v>
      </c>
      <c r="D1875" s="2">
        <f>YEAR(Tabela1[[#This Row],[Periodo]])</f>
        <v>2017</v>
      </c>
      <c r="E187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2.8326666588986913</v>
      </c>
      <c r="F1875" s="34"/>
      <c r="G1875" s="34"/>
      <c r="H1875" s="34"/>
    </row>
    <row r="1876" spans="1:8" x14ac:dyDescent="0.3">
      <c r="A1876" t="s">
        <v>691</v>
      </c>
      <c r="B1876" s="3">
        <v>43101</v>
      </c>
      <c r="C1876" s="2" t="str">
        <f>VLOOKUP(MONTH(Tabela1[[#This Row],[Periodo]]),NUMMESES,2,FALSE)</f>
        <v>Janeiro</v>
      </c>
      <c r="D1876" s="2">
        <f>YEAR(Tabela1[[#This Row],[Periodo]])</f>
        <v>2018</v>
      </c>
      <c r="E187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50.502343670554531</v>
      </c>
      <c r="F1876" s="34"/>
      <c r="G1876" s="34"/>
      <c r="H1876" s="34"/>
    </row>
    <row r="1877" spans="1:8" x14ac:dyDescent="0.3">
      <c r="A1877" t="s">
        <v>691</v>
      </c>
      <c r="B1877" s="3">
        <f t="shared" ref="B1877:B1914" si="21">DATE(YEAR(B1876),MONTH(B1876)+1,DAY(B1876))</f>
        <v>43132</v>
      </c>
      <c r="C1877" s="2" t="str">
        <f>VLOOKUP(MONTH(Tabela1[[#This Row],[Periodo]]),NUMMESES,2,FALSE)</f>
        <v>Fevereiro</v>
      </c>
      <c r="D1877" s="2">
        <f>YEAR(Tabela1[[#This Row],[Periodo]])</f>
        <v>2018</v>
      </c>
      <c r="E187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22.713803610870929</v>
      </c>
      <c r="F1877" s="34"/>
      <c r="G1877" s="34"/>
      <c r="H1877" s="34"/>
    </row>
    <row r="1878" spans="1:8" x14ac:dyDescent="0.3">
      <c r="A1878" t="s">
        <v>691</v>
      </c>
      <c r="B1878" s="3">
        <f t="shared" si="21"/>
        <v>43160</v>
      </c>
      <c r="C1878" s="2" t="str">
        <f>VLOOKUP(MONTH(Tabela1[[#This Row],[Periodo]]),NUMMESES,2,FALSE)</f>
        <v>Março</v>
      </c>
      <c r="D1878" s="2">
        <f>YEAR(Tabela1[[#This Row],[Periodo]])</f>
        <v>2018</v>
      </c>
      <c r="E187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63.645903492666363</v>
      </c>
      <c r="F1878" s="34"/>
      <c r="G1878" s="34"/>
      <c r="H1878" s="34"/>
    </row>
    <row r="1879" spans="1:8" x14ac:dyDescent="0.3">
      <c r="A1879" t="s">
        <v>691</v>
      </c>
      <c r="B1879" s="3">
        <f t="shared" si="21"/>
        <v>43191</v>
      </c>
      <c r="C1879" s="2" t="str">
        <f>VLOOKUP(MONTH(Tabela1[[#This Row],[Periodo]]),NUMMESES,2,FALSE)</f>
        <v>Abril</v>
      </c>
      <c r="D1879" s="2">
        <f>YEAR(Tabela1[[#This Row],[Periodo]])</f>
        <v>2018</v>
      </c>
      <c r="E187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61.092657027168364</v>
      </c>
      <c r="F1879" s="34"/>
      <c r="G1879" s="34"/>
      <c r="H1879" s="34"/>
    </row>
    <row r="1880" spans="1:8" x14ac:dyDescent="0.3">
      <c r="A1880" t="s">
        <v>691</v>
      </c>
      <c r="B1880" s="3">
        <f t="shared" si="21"/>
        <v>43221</v>
      </c>
      <c r="C1880" s="2" t="str">
        <f>VLOOKUP(MONTH(Tabela1[[#This Row],[Periodo]]),NUMMESES,2,FALSE)</f>
        <v>Maio</v>
      </c>
      <c r="D1880" s="2">
        <f>YEAR(Tabela1[[#This Row],[Periodo]])</f>
        <v>2018</v>
      </c>
      <c r="E188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48.449219423136277</v>
      </c>
      <c r="F1880" s="34"/>
      <c r="G1880" s="34"/>
      <c r="H1880" s="34"/>
    </row>
    <row r="1881" spans="1:8" x14ac:dyDescent="0.3">
      <c r="A1881" t="s">
        <v>691</v>
      </c>
      <c r="B1881" s="3">
        <f t="shared" si="21"/>
        <v>43252</v>
      </c>
      <c r="C1881" s="2" t="str">
        <f>VLOOKUP(MONTH(Tabela1[[#This Row],[Periodo]]),NUMMESES,2,FALSE)</f>
        <v>Junho</v>
      </c>
      <c r="D1881" s="2">
        <f>YEAR(Tabela1[[#This Row],[Periodo]])</f>
        <v>2018</v>
      </c>
      <c r="E188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46.536749622941898</v>
      </c>
      <c r="F1881" s="34"/>
      <c r="G1881" s="34"/>
      <c r="H1881" s="34"/>
    </row>
    <row r="1882" spans="1:8" x14ac:dyDescent="0.3">
      <c r="A1882" t="s">
        <v>691</v>
      </c>
      <c r="B1882" s="3">
        <f t="shared" si="21"/>
        <v>43282</v>
      </c>
      <c r="C1882" s="2" t="str">
        <f>VLOOKUP(MONTH(Tabela1[[#This Row],[Periodo]]),NUMMESES,2,FALSE)</f>
        <v>Julho</v>
      </c>
      <c r="D1882" s="2">
        <f>YEAR(Tabela1[[#This Row],[Periodo]])</f>
        <v>2018</v>
      </c>
      <c r="E188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51.771941574751324</v>
      </c>
      <c r="F1882" s="34"/>
      <c r="G1882" s="34"/>
      <c r="H1882" s="34"/>
    </row>
    <row r="1883" spans="1:8" x14ac:dyDescent="0.3">
      <c r="A1883" t="s">
        <v>691</v>
      </c>
      <c r="B1883" s="3">
        <f t="shared" si="21"/>
        <v>43313</v>
      </c>
      <c r="C1883" s="2" t="str">
        <f>VLOOKUP(MONTH(Tabela1[[#This Row],[Periodo]]),NUMMESES,2,FALSE)</f>
        <v>Agosto</v>
      </c>
      <c r="D1883" s="2">
        <f>YEAR(Tabela1[[#This Row],[Periodo]])</f>
        <v>2018</v>
      </c>
      <c r="E188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42.944840538272288</v>
      </c>
      <c r="F1883" s="34"/>
      <c r="G1883" s="34"/>
      <c r="H1883" s="34"/>
    </row>
    <row r="1884" spans="1:8" x14ac:dyDescent="0.3">
      <c r="A1884" t="s">
        <v>691</v>
      </c>
      <c r="B1884" s="3">
        <f t="shared" si="21"/>
        <v>43344</v>
      </c>
      <c r="C1884" s="2" t="str">
        <f>VLOOKUP(MONTH(Tabela1[[#This Row],[Periodo]]),NUMMESES,2,FALSE)</f>
        <v>Setembro</v>
      </c>
      <c r="D1884" s="2">
        <f>YEAR(Tabela1[[#This Row],[Periodo]])</f>
        <v>2018</v>
      </c>
      <c r="E188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38.84026986465728</v>
      </c>
      <c r="F1884" s="34"/>
      <c r="G1884" s="34"/>
      <c r="H1884" s="34"/>
    </row>
    <row r="1885" spans="1:8" x14ac:dyDescent="0.3">
      <c r="A1885" t="s">
        <v>691</v>
      </c>
      <c r="B1885" s="3">
        <f t="shared" si="21"/>
        <v>43374</v>
      </c>
      <c r="C1885" s="2" t="str">
        <f>VLOOKUP(MONTH(Tabela1[[#This Row],[Periodo]]),NUMMESES,2,FALSE)</f>
        <v>Outubro</v>
      </c>
      <c r="D1885" s="2">
        <f>YEAR(Tabela1[[#This Row],[Periodo]])</f>
        <v>2018</v>
      </c>
      <c r="E188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52.134176306461612</v>
      </c>
      <c r="F1885" s="34"/>
      <c r="G1885" s="34"/>
      <c r="H1885" s="34"/>
    </row>
    <row r="1886" spans="1:8" x14ac:dyDescent="0.3">
      <c r="A1886" t="s">
        <v>691</v>
      </c>
      <c r="B1886" s="3">
        <f t="shared" si="21"/>
        <v>43405</v>
      </c>
      <c r="C1886" s="2" t="str">
        <f>VLOOKUP(MONTH(Tabela1[[#This Row],[Periodo]]),NUMMESES,2,FALSE)</f>
        <v>Novembro</v>
      </c>
      <c r="D1886" s="2">
        <f>YEAR(Tabela1[[#This Row],[Periodo]])</f>
        <v>2018</v>
      </c>
      <c r="E188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46.997994732813147</v>
      </c>
      <c r="F1886" s="34"/>
      <c r="G1886" s="34"/>
      <c r="H1886" s="34"/>
    </row>
    <row r="1887" spans="1:8" x14ac:dyDescent="0.3">
      <c r="A1887" t="s">
        <v>691</v>
      </c>
      <c r="B1887" s="3">
        <f t="shared" si="21"/>
        <v>43435</v>
      </c>
      <c r="C1887" s="2" t="str">
        <f>VLOOKUP(MONTH(Tabela1[[#This Row],[Periodo]]),NUMMESES,2,FALSE)</f>
        <v>Dezembro</v>
      </c>
      <c r="D1887" s="2">
        <f>YEAR(Tabela1[[#This Row],[Periodo]])</f>
        <v>2018</v>
      </c>
      <c r="E188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95.50762662828231</v>
      </c>
      <c r="F1887" s="34"/>
      <c r="G1887" s="34"/>
      <c r="H1887" s="34"/>
    </row>
    <row r="1888" spans="1:8" x14ac:dyDescent="0.3">
      <c r="A1888" t="s">
        <v>691</v>
      </c>
      <c r="B1888" s="3">
        <f t="shared" si="21"/>
        <v>43466</v>
      </c>
      <c r="C1888" s="2" t="str">
        <f>VLOOKUP(MONTH(Tabela1[[#This Row],[Periodo]]),NUMMESES,2,FALSE)</f>
        <v>Janeiro</v>
      </c>
      <c r="D1888" s="2">
        <f>YEAR(Tabela1[[#This Row],[Periodo]])</f>
        <v>2019</v>
      </c>
      <c r="E188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36.067314105527331</v>
      </c>
      <c r="F1888" s="34"/>
      <c r="G1888" s="34"/>
      <c r="H1888" s="34"/>
    </row>
    <row r="1889" spans="1:8" x14ac:dyDescent="0.3">
      <c r="A1889" t="s">
        <v>691</v>
      </c>
      <c r="B1889" s="3">
        <f t="shared" si="21"/>
        <v>43497</v>
      </c>
      <c r="C1889" s="2" t="str">
        <f>VLOOKUP(MONTH(Tabela1[[#This Row],[Periodo]]),NUMMESES,2,FALSE)</f>
        <v>Fevereiro</v>
      </c>
      <c r="D1889" s="2">
        <f>YEAR(Tabela1[[#This Row],[Periodo]])</f>
        <v>2019</v>
      </c>
      <c r="E188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72.933056367148907</v>
      </c>
      <c r="F1889" s="34"/>
      <c r="G1889" s="34"/>
      <c r="H1889" s="34"/>
    </row>
    <row r="1890" spans="1:8" x14ac:dyDescent="0.3">
      <c r="A1890" t="s">
        <v>691</v>
      </c>
      <c r="B1890" s="3">
        <f t="shared" si="21"/>
        <v>43525</v>
      </c>
      <c r="C1890" s="2" t="str">
        <f>VLOOKUP(MONTH(Tabela1[[#This Row],[Periodo]]),NUMMESES,2,FALSE)</f>
        <v>Março</v>
      </c>
      <c r="D1890" s="2">
        <f>YEAR(Tabela1[[#This Row],[Periodo]])</f>
        <v>2019</v>
      </c>
      <c r="E189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47.019903335446841</v>
      </c>
      <c r="F1890" s="34"/>
      <c r="G1890" s="34"/>
      <c r="H1890" s="34"/>
    </row>
    <row r="1891" spans="1:8" x14ac:dyDescent="0.3">
      <c r="A1891" t="s">
        <v>691</v>
      </c>
      <c r="B1891" s="3">
        <f t="shared" si="21"/>
        <v>43556</v>
      </c>
      <c r="C1891" s="2" t="str">
        <f>VLOOKUP(MONTH(Tabela1[[#This Row],[Periodo]]),NUMMESES,2,FALSE)</f>
        <v>Abril</v>
      </c>
      <c r="D1891" s="2">
        <f>YEAR(Tabela1[[#This Row],[Periodo]])</f>
        <v>2019</v>
      </c>
      <c r="E189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43.699842747276612</v>
      </c>
      <c r="F1891" s="34"/>
      <c r="G1891" s="34"/>
      <c r="H1891" s="34"/>
    </row>
    <row r="1892" spans="1:8" x14ac:dyDescent="0.3">
      <c r="A1892" t="s">
        <v>691</v>
      </c>
      <c r="B1892" s="3">
        <f t="shared" si="21"/>
        <v>43586</v>
      </c>
      <c r="C1892" s="2" t="str">
        <f>VLOOKUP(MONTH(Tabela1[[#This Row],[Periodo]]),NUMMESES,2,FALSE)</f>
        <v>Maio</v>
      </c>
      <c r="D1892" s="2">
        <f>YEAR(Tabela1[[#This Row],[Periodo]])</f>
        <v>2019</v>
      </c>
      <c r="E189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58.959904920862563</v>
      </c>
      <c r="F1892" s="34"/>
      <c r="G1892" s="34"/>
      <c r="H1892" s="34"/>
    </row>
    <row r="1893" spans="1:8" x14ac:dyDescent="0.3">
      <c r="A1893" t="s">
        <v>691</v>
      </c>
      <c r="B1893" s="3">
        <f t="shared" si="21"/>
        <v>43617</v>
      </c>
      <c r="C1893" s="2" t="str">
        <f>VLOOKUP(MONTH(Tabela1[[#This Row],[Periodo]]),NUMMESES,2,FALSE)</f>
        <v>Junho</v>
      </c>
      <c r="D1893" s="2">
        <f>YEAR(Tabela1[[#This Row],[Periodo]])</f>
        <v>2019</v>
      </c>
      <c r="E189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49.07738307164216</v>
      </c>
      <c r="F1893" s="34"/>
      <c r="G1893" s="34"/>
      <c r="H1893" s="34"/>
    </row>
    <row r="1894" spans="1:8" x14ac:dyDescent="0.3">
      <c r="A1894" t="s">
        <v>691</v>
      </c>
      <c r="B1894" s="3">
        <f t="shared" si="21"/>
        <v>43647</v>
      </c>
      <c r="C1894" s="2" t="str">
        <f>VLOOKUP(MONTH(Tabela1[[#This Row],[Periodo]]),NUMMESES,2,FALSE)</f>
        <v>Julho</v>
      </c>
      <c r="D1894" s="2">
        <f>YEAR(Tabela1[[#This Row],[Periodo]])</f>
        <v>2019</v>
      </c>
      <c r="E189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66.917986842293558</v>
      </c>
      <c r="F1894" s="34"/>
      <c r="G1894" s="34"/>
      <c r="H1894" s="34"/>
    </row>
    <row r="1895" spans="1:8" x14ac:dyDescent="0.3">
      <c r="A1895" t="s">
        <v>691</v>
      </c>
      <c r="B1895" s="3">
        <f t="shared" si="21"/>
        <v>43678</v>
      </c>
      <c r="C1895" s="2" t="str">
        <f>VLOOKUP(MONTH(Tabela1[[#This Row],[Periodo]]),NUMMESES,2,FALSE)</f>
        <v>Agosto</v>
      </c>
      <c r="D1895" s="2">
        <f>YEAR(Tabela1[[#This Row],[Periodo]])</f>
        <v>2019</v>
      </c>
      <c r="E189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80.415938058152506</v>
      </c>
      <c r="F1895" s="34"/>
      <c r="G1895" s="34"/>
      <c r="H1895" s="34"/>
    </row>
    <row r="1896" spans="1:8" x14ac:dyDescent="0.3">
      <c r="A1896" t="s">
        <v>691</v>
      </c>
      <c r="B1896" s="3">
        <f t="shared" si="21"/>
        <v>43709</v>
      </c>
      <c r="C1896" s="2" t="str">
        <f>VLOOKUP(MONTH(Tabela1[[#This Row],[Periodo]]),NUMMESES,2,FALSE)</f>
        <v>Setembro</v>
      </c>
      <c r="D1896" s="2">
        <f>YEAR(Tabela1[[#This Row],[Periodo]])</f>
        <v>2019</v>
      </c>
      <c r="E189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42.547580714446838</v>
      </c>
      <c r="F1896" s="34"/>
      <c r="G1896" s="34"/>
      <c r="H1896" s="34"/>
    </row>
    <row r="1897" spans="1:8" x14ac:dyDescent="0.3">
      <c r="A1897" t="s">
        <v>691</v>
      </c>
      <c r="B1897" s="3">
        <f t="shared" si="21"/>
        <v>43739</v>
      </c>
      <c r="C1897" s="2" t="str">
        <f>VLOOKUP(MONTH(Tabela1[[#This Row],[Periodo]]),NUMMESES,2,FALSE)</f>
        <v>Outubro</v>
      </c>
      <c r="D1897" s="2">
        <f>YEAR(Tabela1[[#This Row],[Periodo]])</f>
        <v>2019</v>
      </c>
      <c r="E189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54.649371921510053</v>
      </c>
      <c r="F1897" s="34"/>
      <c r="G1897" s="34"/>
      <c r="H1897" s="34"/>
    </row>
    <row r="1898" spans="1:8" x14ac:dyDescent="0.3">
      <c r="A1898" t="s">
        <v>691</v>
      </c>
      <c r="B1898" s="3">
        <f t="shared" si="21"/>
        <v>43770</v>
      </c>
      <c r="C1898" s="2" t="str">
        <f>VLOOKUP(MONTH(Tabela1[[#This Row],[Periodo]]),NUMMESES,2,FALSE)</f>
        <v>Novembro</v>
      </c>
      <c r="D1898" s="2">
        <f>YEAR(Tabela1[[#This Row],[Periodo]])</f>
        <v>2019</v>
      </c>
      <c r="E189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65.054450175522575</v>
      </c>
      <c r="F1898" s="34"/>
      <c r="G1898" s="34"/>
      <c r="H1898" s="34"/>
    </row>
    <row r="1899" spans="1:8" x14ac:dyDescent="0.3">
      <c r="A1899" t="s">
        <v>691</v>
      </c>
      <c r="B1899" s="3">
        <f t="shared" si="21"/>
        <v>43800</v>
      </c>
      <c r="C1899" s="2" t="str">
        <f>VLOOKUP(MONTH(Tabela1[[#This Row],[Periodo]]),NUMMESES,2,FALSE)</f>
        <v>Dezembro</v>
      </c>
      <c r="D1899" s="2">
        <f>YEAR(Tabela1[[#This Row],[Periodo]])</f>
        <v>2019</v>
      </c>
      <c r="E189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88.597757189499021</v>
      </c>
      <c r="F1899" s="34"/>
      <c r="G1899" s="34"/>
      <c r="H1899" s="34"/>
    </row>
    <row r="1900" spans="1:8" x14ac:dyDescent="0.3">
      <c r="A1900" t="s">
        <v>691</v>
      </c>
      <c r="B1900" s="3">
        <f t="shared" si="21"/>
        <v>43831</v>
      </c>
      <c r="C1900" s="2" t="str">
        <f>VLOOKUP(MONTH(Tabela1[[#This Row],[Periodo]]),NUMMESES,2,FALSE)</f>
        <v>Janeiro</v>
      </c>
      <c r="D1900" s="2">
        <f>YEAR(Tabela1[[#This Row],[Periodo]])</f>
        <v>2020</v>
      </c>
      <c r="E190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65.283221167567717</v>
      </c>
      <c r="F1900" s="34"/>
      <c r="G1900" s="34"/>
      <c r="H1900" s="34"/>
    </row>
    <row r="1901" spans="1:8" x14ac:dyDescent="0.3">
      <c r="A1901" t="s">
        <v>691</v>
      </c>
      <c r="B1901" s="3">
        <f t="shared" si="21"/>
        <v>43862</v>
      </c>
      <c r="C1901" s="2" t="str">
        <f>VLOOKUP(MONTH(Tabela1[[#This Row],[Periodo]]),NUMMESES,2,FALSE)</f>
        <v>Fevereiro</v>
      </c>
      <c r="D1901" s="2">
        <f>YEAR(Tabela1[[#This Row],[Periodo]])</f>
        <v>2020</v>
      </c>
      <c r="E190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56.367009257894935</v>
      </c>
      <c r="F1901" s="34"/>
      <c r="G1901" s="34"/>
      <c r="H1901" s="34"/>
    </row>
    <row r="1902" spans="1:8" x14ac:dyDescent="0.3">
      <c r="A1902" t="s">
        <v>691</v>
      </c>
      <c r="B1902" s="3">
        <f t="shared" si="21"/>
        <v>43891</v>
      </c>
      <c r="C1902" s="2" t="str">
        <f>VLOOKUP(MONTH(Tabela1[[#This Row],[Periodo]]),NUMMESES,2,FALSE)</f>
        <v>Março</v>
      </c>
      <c r="D1902" s="2">
        <f>YEAR(Tabela1[[#This Row],[Periodo]])</f>
        <v>2020</v>
      </c>
      <c r="E190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61.439970295005978</v>
      </c>
      <c r="F1902" s="34"/>
      <c r="G1902" s="34"/>
      <c r="H1902" s="34"/>
    </row>
    <row r="1903" spans="1:8" x14ac:dyDescent="0.3">
      <c r="A1903" t="s">
        <v>691</v>
      </c>
      <c r="B1903" s="3">
        <f t="shared" si="21"/>
        <v>43922</v>
      </c>
      <c r="C1903" s="2" t="str">
        <f>VLOOKUP(MONTH(Tabela1[[#This Row],[Periodo]]),NUMMESES,2,FALSE)</f>
        <v>Abril</v>
      </c>
      <c r="D1903" s="2">
        <f>YEAR(Tabela1[[#This Row],[Periodo]])</f>
        <v>2020</v>
      </c>
      <c r="E190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67.403069374626114</v>
      </c>
      <c r="F1903" s="34"/>
      <c r="G1903" s="34"/>
      <c r="H1903" s="34"/>
    </row>
    <row r="1904" spans="1:8" x14ac:dyDescent="0.3">
      <c r="A1904" t="s">
        <v>691</v>
      </c>
      <c r="B1904" s="3">
        <f t="shared" si="21"/>
        <v>43952</v>
      </c>
      <c r="C1904" s="2" t="str">
        <f>VLOOKUP(MONTH(Tabela1[[#This Row],[Periodo]]),NUMMESES,2,FALSE)</f>
        <v>Maio</v>
      </c>
      <c r="D1904" s="2">
        <f>YEAR(Tabela1[[#This Row],[Periodo]])</f>
        <v>2020</v>
      </c>
      <c r="E190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50.521311922971677</v>
      </c>
      <c r="F1904" s="34"/>
      <c r="G1904" s="34"/>
      <c r="H1904" s="34"/>
    </row>
    <row r="1905" spans="1:8" x14ac:dyDescent="0.3">
      <c r="A1905" t="s">
        <v>691</v>
      </c>
      <c r="B1905" s="3">
        <f t="shared" si="21"/>
        <v>43983</v>
      </c>
      <c r="C1905" s="2" t="str">
        <f>VLOOKUP(MONTH(Tabela1[[#This Row],[Periodo]]),NUMMESES,2,FALSE)</f>
        <v>Junho</v>
      </c>
      <c r="D1905" s="2">
        <f>YEAR(Tabela1[[#This Row],[Periodo]])</f>
        <v>2020</v>
      </c>
      <c r="E190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210.42882285213341</v>
      </c>
      <c r="F1905" s="34"/>
      <c r="G1905" s="34"/>
      <c r="H1905" s="34"/>
    </row>
    <row r="1906" spans="1:8" x14ac:dyDescent="0.3">
      <c r="A1906" t="s">
        <v>691</v>
      </c>
      <c r="B1906" s="3">
        <f t="shared" si="21"/>
        <v>44013</v>
      </c>
      <c r="C1906" s="2" t="str">
        <f>VLOOKUP(MONTH(Tabela1[[#This Row],[Periodo]]),NUMMESES,2,FALSE)</f>
        <v>Julho</v>
      </c>
      <c r="D1906" s="2">
        <f>YEAR(Tabela1[[#This Row],[Periodo]])</f>
        <v>2020</v>
      </c>
      <c r="E190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42.427311640001548</v>
      </c>
      <c r="F1906" s="34"/>
      <c r="G1906" s="34"/>
      <c r="H1906" s="34"/>
    </row>
    <row r="1907" spans="1:8" x14ac:dyDescent="0.3">
      <c r="A1907" t="s">
        <v>691</v>
      </c>
      <c r="B1907" s="3">
        <f t="shared" si="21"/>
        <v>44044</v>
      </c>
      <c r="C1907" s="2" t="str">
        <f>VLOOKUP(MONTH(Tabela1[[#This Row],[Periodo]]),NUMMESES,2,FALSE)</f>
        <v>Agosto</v>
      </c>
      <c r="D1907" s="2">
        <f>YEAR(Tabela1[[#This Row],[Periodo]])</f>
        <v>2020</v>
      </c>
      <c r="E190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67.823401000540301</v>
      </c>
      <c r="F1907" s="34"/>
      <c r="G1907" s="34"/>
      <c r="H1907" s="34"/>
    </row>
    <row r="1908" spans="1:8" x14ac:dyDescent="0.3">
      <c r="A1908" t="s">
        <v>691</v>
      </c>
      <c r="B1908" s="3">
        <f t="shared" si="21"/>
        <v>44075</v>
      </c>
      <c r="C1908" s="2" t="str">
        <f>VLOOKUP(MONTH(Tabela1[[#This Row],[Periodo]]),NUMMESES,2,FALSE)</f>
        <v>Setembro</v>
      </c>
      <c r="D1908" s="2">
        <f>YEAR(Tabela1[[#This Row],[Periodo]])</f>
        <v>2020</v>
      </c>
      <c r="E190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34.43384190846956</v>
      </c>
      <c r="F1908" s="34"/>
      <c r="G1908" s="34"/>
      <c r="H1908" s="34"/>
    </row>
    <row r="1909" spans="1:8" x14ac:dyDescent="0.3">
      <c r="A1909" t="s">
        <v>691</v>
      </c>
      <c r="B1909" s="3">
        <f t="shared" si="21"/>
        <v>44105</v>
      </c>
      <c r="C1909" s="2" t="str">
        <f>VLOOKUP(MONTH(Tabela1[[#This Row],[Periodo]]),NUMMESES,2,FALSE)</f>
        <v>Outubro</v>
      </c>
      <c r="D1909" s="2">
        <f>YEAR(Tabela1[[#This Row],[Periodo]])</f>
        <v>2020</v>
      </c>
      <c r="E190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24.148091628021294</v>
      </c>
      <c r="F1909" s="34"/>
      <c r="G1909" s="34"/>
      <c r="H1909" s="34"/>
    </row>
    <row r="1910" spans="1:8" x14ac:dyDescent="0.3">
      <c r="A1910" t="s">
        <v>691</v>
      </c>
      <c r="B1910" s="3">
        <f t="shared" si="21"/>
        <v>44136</v>
      </c>
      <c r="C1910" s="2" t="str">
        <f>VLOOKUP(MONTH(Tabela1[[#This Row],[Periodo]]),NUMMESES,2,FALSE)</f>
        <v>Novembro</v>
      </c>
      <c r="D1910" s="2">
        <f>YEAR(Tabela1[[#This Row],[Periodo]])</f>
        <v>2020</v>
      </c>
      <c r="E191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33.281880284290061</v>
      </c>
      <c r="F1910" s="34"/>
      <c r="G1910" s="34"/>
      <c r="H1910" s="34"/>
    </row>
    <row r="1911" spans="1:8" x14ac:dyDescent="0.3">
      <c r="A1911" t="s">
        <v>691</v>
      </c>
      <c r="B1911" s="3">
        <f t="shared" si="21"/>
        <v>44166</v>
      </c>
      <c r="C1911" s="2" t="str">
        <f>VLOOKUP(MONTH(Tabela1[[#This Row],[Periodo]]),NUMMESES,2,FALSE)</f>
        <v>Dezembro</v>
      </c>
      <c r="D1911" s="2">
        <f>YEAR(Tabela1[[#This Row],[Periodo]])</f>
        <v>2020</v>
      </c>
      <c r="E191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53.995227505441804</v>
      </c>
      <c r="F1911" s="34"/>
      <c r="G1911" s="34"/>
      <c r="H1911" s="34"/>
    </row>
    <row r="1912" spans="1:8" x14ac:dyDescent="0.3">
      <c r="A1912" t="s">
        <v>691</v>
      </c>
      <c r="B1912" s="3">
        <f t="shared" si="21"/>
        <v>44197</v>
      </c>
      <c r="C1912" s="2" t="str">
        <f>VLOOKUP(MONTH(Tabela1[[#This Row],[Periodo]]),NUMMESES,2,FALSE)</f>
        <v>Janeiro</v>
      </c>
      <c r="D1912" s="2">
        <f>YEAR(Tabela1[[#This Row],[Periodo]])</f>
        <v>2021</v>
      </c>
      <c r="E191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21.258364382417522</v>
      </c>
      <c r="F1912" s="34"/>
      <c r="G1912" s="34"/>
      <c r="H1912" s="34"/>
    </row>
    <row r="1913" spans="1:8" x14ac:dyDescent="0.3">
      <c r="A1913" t="s">
        <v>691</v>
      </c>
      <c r="B1913" s="3">
        <f t="shared" si="21"/>
        <v>44228</v>
      </c>
      <c r="C1913" s="2" t="str">
        <f>VLOOKUP(MONTH(Tabela1[[#This Row],[Periodo]]),NUMMESES,2,FALSE)</f>
        <v>Fevereiro</v>
      </c>
      <c r="D1913" s="2">
        <f>YEAR(Tabela1[[#This Row],[Periodo]])</f>
        <v>2021</v>
      </c>
      <c r="E191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33.807617579925818</v>
      </c>
      <c r="F1913" s="34"/>
      <c r="G1913" s="34"/>
      <c r="H1913" s="34"/>
    </row>
    <row r="1914" spans="1:8" x14ac:dyDescent="0.3">
      <c r="A1914" t="s">
        <v>691</v>
      </c>
      <c r="B1914" s="3">
        <f t="shared" si="21"/>
        <v>44256</v>
      </c>
      <c r="C1914" s="2" t="str">
        <f>VLOOKUP(MONTH(Tabela1[[#This Row],[Periodo]]),NUMMESES,2,FALSE)</f>
        <v>Março</v>
      </c>
      <c r="D1914" s="2">
        <f>YEAR(Tabela1[[#This Row],[Periodo]])</f>
        <v>2021</v>
      </c>
      <c r="E191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45.018243118530002</v>
      </c>
      <c r="F1914" s="34"/>
      <c r="G1914" s="34"/>
      <c r="H1914" s="34"/>
    </row>
    <row r="1915" spans="1:8" x14ac:dyDescent="0.3">
      <c r="A1915" t="s">
        <v>691</v>
      </c>
      <c r="B1915" s="3">
        <f t="shared" ref="B1915:B1972" si="22">DATE(YEAR(B1914),MONTH(B1914)+1,DAY(B1914))</f>
        <v>44287</v>
      </c>
      <c r="C1915" s="2" t="str">
        <f>VLOOKUP(MONTH(Tabela1[[#This Row],[Periodo]]),NUMMESES,2,FALSE)</f>
        <v>Abril</v>
      </c>
      <c r="D1915" s="2">
        <f>YEAR(Tabela1[[#This Row],[Periodo]])</f>
        <v>2021</v>
      </c>
      <c r="E191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29.190664622931138</v>
      </c>
      <c r="F1915" s="34"/>
      <c r="G1915" s="34"/>
      <c r="H1915" s="34"/>
    </row>
    <row r="1916" spans="1:8" x14ac:dyDescent="0.3">
      <c r="A1916" t="s">
        <v>691</v>
      </c>
      <c r="B1916" s="3">
        <f t="shared" si="22"/>
        <v>44317</v>
      </c>
      <c r="C1916" s="2" t="str">
        <f>VLOOKUP(MONTH(Tabela1[[#This Row],[Periodo]]),NUMMESES,2,FALSE)</f>
        <v>Maio</v>
      </c>
      <c r="D1916" s="2">
        <f>YEAR(Tabela1[[#This Row],[Periodo]])</f>
        <v>2021</v>
      </c>
      <c r="E191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54.363030233908169</v>
      </c>
      <c r="F1916" s="34"/>
      <c r="G1916" s="34"/>
      <c r="H1916" s="34"/>
    </row>
    <row r="1917" spans="1:8" x14ac:dyDescent="0.3">
      <c r="A1917" t="s">
        <v>691</v>
      </c>
      <c r="B1917" s="3">
        <f t="shared" si="22"/>
        <v>44348</v>
      </c>
      <c r="C1917" s="2" t="str">
        <f>VLOOKUP(MONTH(Tabela1[[#This Row],[Periodo]]),NUMMESES,2,FALSE)</f>
        <v>Junho</v>
      </c>
      <c r="D1917" s="2">
        <f>YEAR(Tabela1[[#This Row],[Periodo]])</f>
        <v>2021</v>
      </c>
      <c r="E191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36.745823379153343</v>
      </c>
      <c r="F1917" s="34"/>
      <c r="G1917" s="34"/>
      <c r="H1917" s="34"/>
    </row>
    <row r="1918" spans="1:8" x14ac:dyDescent="0.3">
      <c r="A1918" t="s">
        <v>691</v>
      </c>
      <c r="B1918" s="3">
        <f t="shared" si="22"/>
        <v>44378</v>
      </c>
      <c r="C1918" s="2" t="str">
        <f>VLOOKUP(MONTH(Tabela1[[#This Row],[Periodo]]),NUMMESES,2,FALSE)</f>
        <v>Julho</v>
      </c>
      <c r="D1918" s="2">
        <f>YEAR(Tabela1[[#This Row],[Periodo]])</f>
        <v>2021</v>
      </c>
      <c r="E191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34.894695063247831</v>
      </c>
      <c r="F1918" s="34"/>
      <c r="G1918" s="34"/>
      <c r="H1918" s="34"/>
    </row>
    <row r="1919" spans="1:8" x14ac:dyDescent="0.3">
      <c r="A1919" t="s">
        <v>691</v>
      </c>
      <c r="B1919" s="3">
        <f t="shared" si="22"/>
        <v>44409</v>
      </c>
      <c r="C1919" s="2" t="str">
        <f>VLOOKUP(MONTH(Tabela1[[#This Row],[Periodo]]),NUMMESES,2,FALSE)</f>
        <v>Agosto</v>
      </c>
      <c r="D1919" s="2">
        <f>YEAR(Tabela1[[#This Row],[Periodo]])</f>
        <v>2021</v>
      </c>
      <c r="E191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24.471629103860515</v>
      </c>
      <c r="F1919" s="34"/>
      <c r="G1919" s="34"/>
      <c r="H1919" s="34"/>
    </row>
    <row r="1920" spans="1:8" x14ac:dyDescent="0.3">
      <c r="A1920" t="s">
        <v>691</v>
      </c>
      <c r="B1920" s="3">
        <f t="shared" si="22"/>
        <v>44440</v>
      </c>
      <c r="C1920" s="2" t="str">
        <f>VLOOKUP(MONTH(Tabela1[[#This Row],[Periodo]]),NUMMESES,2,FALSE)</f>
        <v>Setembro</v>
      </c>
      <c r="D1920" s="2">
        <f>YEAR(Tabela1[[#This Row],[Periodo]])</f>
        <v>2021</v>
      </c>
      <c r="E192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27.767754026390921</v>
      </c>
      <c r="F1920" s="34"/>
      <c r="G1920" s="34"/>
      <c r="H1920" s="34"/>
    </row>
    <row r="1921" spans="1:8" x14ac:dyDescent="0.3">
      <c r="A1921" t="s">
        <v>691</v>
      </c>
      <c r="B1921" s="3">
        <f t="shared" si="22"/>
        <v>44470</v>
      </c>
      <c r="C1921" s="2" t="str">
        <f>VLOOKUP(MONTH(Tabela1[[#This Row],[Periodo]]),NUMMESES,2,FALSE)</f>
        <v>Outubro</v>
      </c>
      <c r="D1921" s="2">
        <f>YEAR(Tabela1[[#This Row],[Periodo]])</f>
        <v>2021</v>
      </c>
      <c r="E192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32.878996504580272</v>
      </c>
      <c r="F1921" s="34"/>
      <c r="G1921" s="34"/>
      <c r="H1921" s="34"/>
    </row>
    <row r="1922" spans="1:8" x14ac:dyDescent="0.3">
      <c r="A1922" t="s">
        <v>691</v>
      </c>
      <c r="B1922" s="3">
        <f t="shared" si="22"/>
        <v>44501</v>
      </c>
      <c r="C1922" s="2" t="str">
        <f>VLOOKUP(MONTH(Tabela1[[#This Row],[Periodo]]),NUMMESES,2,FALSE)</f>
        <v>Novembro</v>
      </c>
      <c r="D1922" s="2">
        <f>YEAR(Tabela1[[#This Row],[Periodo]])</f>
        <v>2021</v>
      </c>
      <c r="E192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51.073126424111543</v>
      </c>
      <c r="F1922" s="34"/>
      <c r="G1922" s="34"/>
      <c r="H1922" s="34"/>
    </row>
    <row r="1923" spans="1:8" x14ac:dyDescent="0.3">
      <c r="A1923" t="s">
        <v>691</v>
      </c>
      <c r="B1923" s="3">
        <f t="shared" si="22"/>
        <v>44531</v>
      </c>
      <c r="C1923" s="2" t="str">
        <f>VLOOKUP(MONTH(Tabela1[[#This Row],[Periodo]]),NUMMESES,2,FALSE)</f>
        <v>Dezembro</v>
      </c>
      <c r="D1923" s="2">
        <f>YEAR(Tabela1[[#This Row],[Periodo]])</f>
        <v>2021</v>
      </c>
      <c r="E192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30.496561508796105</v>
      </c>
      <c r="F1923" s="34"/>
      <c r="G1923" s="34"/>
      <c r="H1923" s="34"/>
    </row>
    <row r="1924" spans="1:8" x14ac:dyDescent="0.3">
      <c r="A1924" t="s">
        <v>691</v>
      </c>
      <c r="B1924" s="3">
        <f t="shared" si="22"/>
        <v>44562</v>
      </c>
      <c r="C1924" s="2" t="str">
        <f>VLOOKUP(MONTH(Tabela1[[#This Row],[Periodo]]),NUMMESES,2,FALSE)</f>
        <v>Janeiro</v>
      </c>
      <c r="D1924" s="2">
        <f>YEAR(Tabela1[[#This Row],[Periodo]])</f>
        <v>2022</v>
      </c>
      <c r="E192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40.697904571260757</v>
      </c>
      <c r="F1924" s="34"/>
      <c r="G1924" s="34"/>
      <c r="H1924" s="34"/>
    </row>
    <row r="1925" spans="1:8" x14ac:dyDescent="0.3">
      <c r="A1925" t="s">
        <v>691</v>
      </c>
      <c r="B1925" s="3">
        <f t="shared" si="22"/>
        <v>44593</v>
      </c>
      <c r="C1925" s="2" t="str">
        <f>VLOOKUP(MONTH(Tabela1[[#This Row],[Periodo]]),NUMMESES,2,FALSE)</f>
        <v>Fevereiro</v>
      </c>
      <c r="D1925" s="2">
        <f>YEAR(Tabela1[[#This Row],[Periodo]])</f>
        <v>2022</v>
      </c>
      <c r="E192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40.822256394433069</v>
      </c>
      <c r="F1925" s="34"/>
      <c r="G1925" s="34"/>
      <c r="H1925" s="34"/>
    </row>
    <row r="1926" spans="1:8" x14ac:dyDescent="0.3">
      <c r="A1926" t="s">
        <v>691</v>
      </c>
      <c r="B1926" s="3">
        <f t="shared" si="22"/>
        <v>44621</v>
      </c>
      <c r="C1926" s="2" t="str">
        <f>VLOOKUP(MONTH(Tabela1[[#This Row],[Periodo]]),NUMMESES,2,FALSE)</f>
        <v>Março</v>
      </c>
      <c r="D1926" s="2">
        <f>YEAR(Tabela1[[#This Row],[Periodo]])</f>
        <v>2022</v>
      </c>
      <c r="E192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29.569062453394153</v>
      </c>
      <c r="F1926" s="34"/>
      <c r="G1926" s="34"/>
      <c r="H1926" s="34"/>
    </row>
    <row r="1927" spans="1:8" x14ac:dyDescent="0.3">
      <c r="A1927" t="s">
        <v>691</v>
      </c>
      <c r="B1927" s="3">
        <f t="shared" si="22"/>
        <v>44652</v>
      </c>
      <c r="C1927" s="2" t="str">
        <f>VLOOKUP(MONTH(Tabela1[[#This Row],[Periodo]]),NUMMESES,2,FALSE)</f>
        <v>Abril</v>
      </c>
      <c r="D1927" s="2">
        <f>YEAR(Tabela1[[#This Row],[Periodo]])</f>
        <v>2022</v>
      </c>
      <c r="E192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50.864199995302933</v>
      </c>
      <c r="F1927" s="34"/>
      <c r="G1927" s="34"/>
      <c r="H1927" s="34"/>
    </row>
    <row r="1928" spans="1:8" x14ac:dyDescent="0.3">
      <c r="A1928" t="s">
        <v>691</v>
      </c>
      <c r="B1928" s="3">
        <f t="shared" si="22"/>
        <v>44682</v>
      </c>
      <c r="C1928" s="2" t="str">
        <f>VLOOKUP(MONTH(Tabela1[[#This Row],[Periodo]]),NUMMESES,2,FALSE)</f>
        <v>Maio</v>
      </c>
      <c r="D1928" s="2">
        <f>YEAR(Tabela1[[#This Row],[Periodo]])</f>
        <v>2022</v>
      </c>
      <c r="E192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47.368915115850982</v>
      </c>
      <c r="F1928" s="34"/>
      <c r="G1928" s="34"/>
      <c r="H1928" s="34"/>
    </row>
    <row r="1929" spans="1:8" x14ac:dyDescent="0.3">
      <c r="A1929" t="s">
        <v>691</v>
      </c>
      <c r="B1929" s="3">
        <f t="shared" si="22"/>
        <v>44713</v>
      </c>
      <c r="C1929" s="2" t="str">
        <f>VLOOKUP(MONTH(Tabela1[[#This Row],[Periodo]]),NUMMESES,2,FALSE)</f>
        <v>Junho</v>
      </c>
      <c r="D1929" s="2">
        <f>YEAR(Tabela1[[#This Row],[Periodo]])</f>
        <v>2022</v>
      </c>
      <c r="E192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37.444313896990764</v>
      </c>
      <c r="F1929" s="34"/>
      <c r="G1929" s="34"/>
      <c r="H1929" s="34"/>
    </row>
    <row r="1930" spans="1:8" x14ac:dyDescent="0.3">
      <c r="A1930" t="s">
        <v>691</v>
      </c>
      <c r="B1930" s="3">
        <f t="shared" si="22"/>
        <v>44743</v>
      </c>
      <c r="C1930" s="2" t="str">
        <f>VLOOKUP(MONTH(Tabela1[[#This Row],[Periodo]]),NUMMESES,2,FALSE)</f>
        <v>Julho</v>
      </c>
      <c r="D1930" s="2">
        <f>YEAR(Tabela1[[#This Row],[Periodo]])</f>
        <v>2022</v>
      </c>
      <c r="E193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31.593578824620174</v>
      </c>
      <c r="F1930" s="34"/>
      <c r="G1930" s="34"/>
      <c r="H1930" s="34"/>
    </row>
    <row r="1931" spans="1:8" x14ac:dyDescent="0.3">
      <c r="A1931" t="s">
        <v>691</v>
      </c>
      <c r="B1931" s="3">
        <f t="shared" si="22"/>
        <v>44774</v>
      </c>
      <c r="C1931" s="2" t="str">
        <f>VLOOKUP(MONTH(Tabela1[[#This Row],[Periodo]]),NUMMESES,2,FALSE)</f>
        <v>Agosto</v>
      </c>
      <c r="D1931" s="2">
        <f>YEAR(Tabela1[[#This Row],[Periodo]])</f>
        <v>2022</v>
      </c>
      <c r="E193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31.861339308425478</v>
      </c>
      <c r="F1931" s="34"/>
      <c r="G1931" s="34"/>
      <c r="H1931" s="34"/>
    </row>
    <row r="1932" spans="1:8" x14ac:dyDescent="0.3">
      <c r="A1932" t="s">
        <v>691</v>
      </c>
      <c r="B1932" s="3">
        <f t="shared" si="22"/>
        <v>44805</v>
      </c>
      <c r="C1932" s="2" t="str">
        <f>VLOOKUP(MONTH(Tabela1[[#This Row],[Periodo]]),NUMMESES,2,FALSE)</f>
        <v>Setembro</v>
      </c>
      <c r="D1932" s="2">
        <f>YEAR(Tabela1[[#This Row],[Periodo]])</f>
        <v>2022</v>
      </c>
      <c r="E193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31.797461186430407</v>
      </c>
      <c r="F1932" s="34"/>
      <c r="G1932" s="34"/>
      <c r="H1932" s="34"/>
    </row>
    <row r="1933" spans="1:8" x14ac:dyDescent="0.3">
      <c r="A1933" t="s">
        <v>691</v>
      </c>
      <c r="B1933" s="3">
        <f t="shared" si="22"/>
        <v>44835</v>
      </c>
      <c r="C1933" s="2" t="str">
        <f>VLOOKUP(MONTH(Tabela1[[#This Row],[Periodo]]),NUMMESES,2,FALSE)</f>
        <v>Outubro</v>
      </c>
      <c r="D1933" s="2">
        <f>YEAR(Tabela1[[#This Row],[Periodo]])</f>
        <v>2022</v>
      </c>
      <c r="E193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50.240687007571765</v>
      </c>
      <c r="F1933" s="34"/>
      <c r="G1933" s="34"/>
      <c r="H1933" s="34"/>
    </row>
    <row r="1934" spans="1:8" x14ac:dyDescent="0.3">
      <c r="A1934" t="s">
        <v>691</v>
      </c>
      <c r="B1934" s="3">
        <f t="shared" si="22"/>
        <v>44866</v>
      </c>
      <c r="C1934" s="2" t="str">
        <f>VLOOKUP(MONTH(Tabela1[[#This Row],[Periodo]]),NUMMESES,2,FALSE)</f>
        <v>Novembro</v>
      </c>
      <c r="D1934" s="2">
        <f>YEAR(Tabela1[[#This Row],[Periodo]])</f>
        <v>2022</v>
      </c>
      <c r="E193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35.354498301322593</v>
      </c>
      <c r="F1934" s="34"/>
      <c r="G1934" s="34"/>
      <c r="H1934" s="34"/>
    </row>
    <row r="1935" spans="1:8" x14ac:dyDescent="0.3">
      <c r="A1935" t="s">
        <v>691</v>
      </c>
      <c r="B1935" s="3">
        <f t="shared" si="22"/>
        <v>44896</v>
      </c>
      <c r="C1935" s="2" t="str">
        <f>VLOOKUP(MONTH(Tabela1[[#This Row],[Periodo]]),NUMMESES,2,FALSE)</f>
        <v>Dezembro</v>
      </c>
      <c r="D1935" s="2">
        <f>YEAR(Tabela1[[#This Row],[Periodo]])</f>
        <v>2022</v>
      </c>
      <c r="E193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26.835994458628615</v>
      </c>
      <c r="F1935" s="34"/>
      <c r="G1935" s="34"/>
      <c r="H1935" s="34"/>
    </row>
    <row r="1936" spans="1:8" x14ac:dyDescent="0.3">
      <c r="A1936" t="s">
        <v>691</v>
      </c>
      <c r="B1936" s="3">
        <f t="shared" si="22"/>
        <v>44927</v>
      </c>
      <c r="C1936" s="2" t="str">
        <f>VLOOKUP(MONTH(Tabela1[[#This Row],[Periodo]]),NUMMESES,2,FALSE)</f>
        <v>Janeiro</v>
      </c>
      <c r="D1936" s="2">
        <f>YEAR(Tabela1[[#This Row],[Periodo]])</f>
        <v>2023</v>
      </c>
      <c r="E193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34.741072773798209</v>
      </c>
      <c r="F1936" s="34"/>
      <c r="G1936" s="34"/>
      <c r="H1936" s="34"/>
    </row>
    <row r="1937" spans="1:8" x14ac:dyDescent="0.3">
      <c r="A1937" t="s">
        <v>691</v>
      </c>
      <c r="B1937" s="3">
        <f t="shared" si="22"/>
        <v>44958</v>
      </c>
      <c r="C1937" s="2" t="str">
        <f>VLOOKUP(MONTH(Tabela1[[#This Row],[Periodo]]),NUMMESES,2,FALSE)</f>
        <v>Fevereiro</v>
      </c>
      <c r="D1937" s="2">
        <f>YEAR(Tabela1[[#This Row],[Periodo]])</f>
        <v>2023</v>
      </c>
      <c r="E193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38.796266607855969</v>
      </c>
      <c r="F1937" s="34"/>
      <c r="G1937" s="34"/>
      <c r="H1937" s="34"/>
    </row>
    <row r="1938" spans="1:8" x14ac:dyDescent="0.3">
      <c r="A1938" t="s">
        <v>691</v>
      </c>
      <c r="B1938" s="3">
        <f t="shared" si="22"/>
        <v>44986</v>
      </c>
      <c r="C1938" s="2" t="str">
        <f>VLOOKUP(MONTH(Tabela1[[#This Row],[Periodo]]),NUMMESES,2,FALSE)</f>
        <v>Março</v>
      </c>
      <c r="D1938" s="2">
        <f>YEAR(Tabela1[[#This Row],[Periodo]])</f>
        <v>2023</v>
      </c>
      <c r="E193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26.602683097556959</v>
      </c>
      <c r="F1938" s="34"/>
      <c r="G1938" s="34"/>
      <c r="H1938" s="34"/>
    </row>
    <row r="1939" spans="1:8" x14ac:dyDescent="0.3">
      <c r="A1939" t="s">
        <v>691</v>
      </c>
      <c r="B1939" s="3">
        <f t="shared" si="22"/>
        <v>45017</v>
      </c>
      <c r="C1939" s="2" t="str">
        <f>VLOOKUP(MONTH(Tabela1[[#This Row],[Periodo]]),NUMMESES,2,FALSE)</f>
        <v>Abril</v>
      </c>
      <c r="D1939" s="2">
        <f>YEAR(Tabela1[[#This Row],[Periodo]])</f>
        <v>2023</v>
      </c>
      <c r="E193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56.408580483073713</v>
      </c>
      <c r="F1939" s="34"/>
      <c r="G1939" s="34"/>
      <c r="H1939" s="34"/>
    </row>
    <row r="1940" spans="1:8" x14ac:dyDescent="0.3">
      <c r="A1940" t="s">
        <v>691</v>
      </c>
      <c r="B1940" s="3">
        <f t="shared" si="22"/>
        <v>45047</v>
      </c>
      <c r="C1940" s="2" t="str">
        <f>VLOOKUP(MONTH(Tabela1[[#This Row],[Periodo]]),NUMMESES,2,FALSE)</f>
        <v>Maio</v>
      </c>
      <c r="D1940" s="2">
        <f>YEAR(Tabela1[[#This Row],[Periodo]])</f>
        <v>2023</v>
      </c>
      <c r="E194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39.155550129351809</v>
      </c>
      <c r="F1940" s="34"/>
      <c r="G1940" s="34"/>
      <c r="H1940" s="34"/>
    </row>
    <row r="1941" spans="1:8" x14ac:dyDescent="0.3">
      <c r="A1941" t="s">
        <v>691</v>
      </c>
      <c r="B1941" s="3">
        <f t="shared" si="22"/>
        <v>45078</v>
      </c>
      <c r="C1941" s="2" t="str">
        <f>VLOOKUP(MONTH(Tabela1[[#This Row],[Periodo]]),NUMMESES,2,FALSE)</f>
        <v>Junho</v>
      </c>
      <c r="D1941" s="2">
        <f>YEAR(Tabela1[[#This Row],[Periodo]])</f>
        <v>2023</v>
      </c>
      <c r="E194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52.646866076103407</v>
      </c>
      <c r="F1941" s="34"/>
      <c r="G1941" s="34"/>
      <c r="H1941" s="34"/>
    </row>
    <row r="1942" spans="1:8" x14ac:dyDescent="0.3">
      <c r="A1942" t="s">
        <v>691</v>
      </c>
      <c r="B1942" s="3">
        <f t="shared" si="22"/>
        <v>45108</v>
      </c>
      <c r="C1942" s="2" t="str">
        <f>VLOOKUP(MONTH(Tabela1[[#This Row],[Periodo]]),NUMMESES,2,FALSE)</f>
        <v>Julho</v>
      </c>
      <c r="D1942" s="2">
        <f>YEAR(Tabela1[[#This Row],[Periodo]])</f>
        <v>2023</v>
      </c>
      <c r="E194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38.827060786897228</v>
      </c>
      <c r="F1942" s="34"/>
      <c r="G1942" s="34"/>
      <c r="H1942" s="34"/>
    </row>
    <row r="1943" spans="1:8" x14ac:dyDescent="0.3">
      <c r="A1943" t="s">
        <v>691</v>
      </c>
      <c r="B1943" s="3">
        <f t="shared" si="22"/>
        <v>45139</v>
      </c>
      <c r="C1943" s="2" t="str">
        <f>VLOOKUP(MONTH(Tabela1[[#This Row],[Periodo]]),NUMMESES,2,FALSE)</f>
        <v>Agosto</v>
      </c>
      <c r="D1943" s="2">
        <f>YEAR(Tabela1[[#This Row],[Periodo]])</f>
        <v>2023</v>
      </c>
      <c r="E194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54.085802930367748</v>
      </c>
      <c r="F1943" s="34"/>
      <c r="G1943" s="34"/>
      <c r="H1943" s="34"/>
    </row>
    <row r="1944" spans="1:8" x14ac:dyDescent="0.3">
      <c r="A1944" t="s">
        <v>691</v>
      </c>
      <c r="B1944" s="3">
        <f t="shared" si="22"/>
        <v>45170</v>
      </c>
      <c r="C1944" s="2" t="str">
        <f>VLOOKUP(MONTH(Tabela1[[#This Row],[Periodo]]),NUMMESES,2,FALSE)</f>
        <v>Setembro</v>
      </c>
      <c r="D1944" s="2">
        <f>YEAR(Tabela1[[#This Row],[Periodo]])</f>
        <v>2023</v>
      </c>
      <c r="E194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44.12939823952793</v>
      </c>
      <c r="F1944" s="34"/>
      <c r="G1944" s="34"/>
      <c r="H1944" s="34"/>
    </row>
    <row r="1945" spans="1:8" x14ac:dyDescent="0.3">
      <c r="A1945" t="s">
        <v>691</v>
      </c>
      <c r="B1945" s="3">
        <f t="shared" si="22"/>
        <v>45200</v>
      </c>
      <c r="C1945" s="2" t="str">
        <f>VLOOKUP(MONTH(Tabela1[[#This Row],[Periodo]]),NUMMESES,2,FALSE)</f>
        <v>Outubro</v>
      </c>
      <c r="D1945" s="2">
        <f>YEAR(Tabela1[[#This Row],[Periodo]])</f>
        <v>2023</v>
      </c>
      <c r="E194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48.229468331303472</v>
      </c>
      <c r="F1945" s="34"/>
      <c r="G1945" s="34"/>
      <c r="H1945" s="34"/>
    </row>
    <row r="1946" spans="1:8" x14ac:dyDescent="0.3">
      <c r="A1946" t="s">
        <v>691</v>
      </c>
      <c r="B1946" s="3">
        <f t="shared" si="22"/>
        <v>45231</v>
      </c>
      <c r="C1946" s="2" t="str">
        <f>VLOOKUP(MONTH(Tabela1[[#This Row],[Periodo]]),NUMMESES,2,FALSE)</f>
        <v>Novembro</v>
      </c>
      <c r="D1946" s="2">
        <f>YEAR(Tabela1[[#This Row],[Periodo]])</f>
        <v>2023</v>
      </c>
      <c r="E194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34.584670458285871</v>
      </c>
      <c r="F1946" s="34"/>
      <c r="G1946" s="34"/>
      <c r="H1946" s="34"/>
    </row>
    <row r="1947" spans="1:8" x14ac:dyDescent="0.3">
      <c r="A1947" t="s">
        <v>691</v>
      </c>
      <c r="B1947" s="3">
        <f t="shared" si="22"/>
        <v>45261</v>
      </c>
      <c r="C1947" s="2" t="str">
        <f>VLOOKUP(MONTH(Tabela1[[#This Row],[Periodo]]),NUMMESES,2,FALSE)</f>
        <v>Dezembro</v>
      </c>
      <c r="D1947" s="2">
        <f>YEAR(Tabela1[[#This Row],[Periodo]])</f>
        <v>2023</v>
      </c>
      <c r="E194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32.160604960317166</v>
      </c>
      <c r="F1947" s="34"/>
      <c r="G1947" s="34"/>
      <c r="H1947" s="34"/>
    </row>
    <row r="1948" spans="1:8" x14ac:dyDescent="0.3">
      <c r="A1948" t="s">
        <v>691</v>
      </c>
      <c r="B1948" s="3">
        <f t="shared" si="22"/>
        <v>45292</v>
      </c>
      <c r="C1948" s="2" t="str">
        <f>VLOOKUP(MONTH(Tabela1[[#This Row],[Periodo]]),NUMMESES,2,FALSE)</f>
        <v>Janeiro</v>
      </c>
      <c r="D1948" s="2">
        <f>YEAR(Tabela1[[#This Row],[Periodo]])</f>
        <v>2024</v>
      </c>
      <c r="E194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41.050213099237105</v>
      </c>
      <c r="F1948" s="34"/>
      <c r="G1948" s="34"/>
      <c r="H1948" s="34"/>
    </row>
    <row r="1949" spans="1:8" x14ac:dyDescent="0.3">
      <c r="A1949" t="s">
        <v>691</v>
      </c>
      <c r="B1949" s="3">
        <f t="shared" si="22"/>
        <v>45323</v>
      </c>
      <c r="C1949" s="2" t="str">
        <f>VLOOKUP(MONTH(Tabela1[[#This Row],[Periodo]]),NUMMESES,2,FALSE)</f>
        <v>Fevereiro</v>
      </c>
      <c r="D1949" s="2">
        <f>YEAR(Tabela1[[#This Row],[Periodo]])</f>
        <v>2024</v>
      </c>
      <c r="E194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51.582826099042002</v>
      </c>
      <c r="F1949" s="34"/>
      <c r="G1949" s="34"/>
      <c r="H1949" s="34"/>
    </row>
    <row r="1950" spans="1:8" x14ac:dyDescent="0.3">
      <c r="A1950" t="s">
        <v>691</v>
      </c>
      <c r="B1950" s="3">
        <f t="shared" si="22"/>
        <v>45352</v>
      </c>
      <c r="C1950" s="2" t="str">
        <f>VLOOKUP(MONTH(Tabela1[[#This Row],[Periodo]]),NUMMESES,2,FALSE)</f>
        <v>Março</v>
      </c>
      <c r="D1950" s="2">
        <f>YEAR(Tabela1[[#This Row],[Periodo]])</f>
        <v>2024</v>
      </c>
      <c r="E195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56.949043326188708</v>
      </c>
      <c r="F1950" s="34"/>
      <c r="G1950" s="34"/>
      <c r="H1950" s="34"/>
    </row>
    <row r="1951" spans="1:8" x14ac:dyDescent="0.3">
      <c r="A1951" t="s">
        <v>691</v>
      </c>
      <c r="B1951" s="3">
        <f t="shared" si="22"/>
        <v>45383</v>
      </c>
      <c r="C1951" s="2" t="str">
        <f>VLOOKUP(MONTH(Tabela1[[#This Row],[Periodo]]),NUMMESES,2,FALSE)</f>
        <v>Abril</v>
      </c>
      <c r="D1951" s="2">
        <f>YEAR(Tabela1[[#This Row],[Periodo]])</f>
        <v>2024</v>
      </c>
      <c r="E195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51.936137479232386</v>
      </c>
      <c r="F1951" s="34"/>
      <c r="G1951" s="34"/>
      <c r="H1951" s="34"/>
    </row>
    <row r="1952" spans="1:8" x14ac:dyDescent="0.3">
      <c r="A1952" t="s">
        <v>691</v>
      </c>
      <c r="B1952" s="3">
        <f t="shared" si="22"/>
        <v>45413</v>
      </c>
      <c r="C1952" s="2" t="str">
        <f>VLOOKUP(MONTH(Tabela1[[#This Row],[Periodo]]),NUMMESES,2,FALSE)</f>
        <v>Maio</v>
      </c>
      <c r="D1952" s="2">
        <f>YEAR(Tabela1[[#This Row],[Periodo]])</f>
        <v>2024</v>
      </c>
      <c r="E195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81.287087771230659</v>
      </c>
      <c r="F1952" s="34"/>
      <c r="G1952" s="34"/>
      <c r="H1952" s="34"/>
    </row>
    <row r="1953" spans="1:8" x14ac:dyDescent="0.3">
      <c r="A1953" t="s">
        <v>691</v>
      </c>
      <c r="B1953" s="3">
        <f t="shared" si="22"/>
        <v>45444</v>
      </c>
      <c r="C1953" s="2" t="str">
        <f>VLOOKUP(MONTH(Tabela1[[#This Row],[Periodo]]),NUMMESES,2,FALSE)</f>
        <v>Junho</v>
      </c>
      <c r="D1953" s="2">
        <f>YEAR(Tabela1[[#This Row],[Periodo]])</f>
        <v>2024</v>
      </c>
      <c r="E195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52.232607497002299</v>
      </c>
      <c r="F1953" s="34"/>
      <c r="G1953" s="34"/>
      <c r="H1953" s="34"/>
    </row>
    <row r="1954" spans="1:8" x14ac:dyDescent="0.3">
      <c r="A1954" t="s">
        <v>691</v>
      </c>
      <c r="B1954" s="3">
        <f t="shared" si="22"/>
        <v>45474</v>
      </c>
      <c r="C1954" s="2" t="str">
        <f>VLOOKUP(MONTH(Tabela1[[#This Row],[Periodo]]),NUMMESES,2,FALSE)</f>
        <v>Julho</v>
      </c>
      <c r="D1954" s="2">
        <f>YEAR(Tabela1[[#This Row],[Periodo]])</f>
        <v>2024</v>
      </c>
      <c r="E195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57.532064379678552</v>
      </c>
      <c r="F1954" s="34"/>
      <c r="G1954" s="34"/>
      <c r="H1954" s="34"/>
    </row>
    <row r="1955" spans="1:8" x14ac:dyDescent="0.3">
      <c r="A1955" t="s">
        <v>691</v>
      </c>
      <c r="B1955" s="3">
        <f t="shared" si="22"/>
        <v>45505</v>
      </c>
      <c r="C1955" s="2" t="str">
        <f>VLOOKUP(MONTH(Tabela1[[#This Row],[Periodo]]),NUMMESES,2,FALSE)</f>
        <v>Agosto</v>
      </c>
      <c r="D1955" s="2">
        <f>YEAR(Tabela1[[#This Row],[Periodo]])</f>
        <v>2024</v>
      </c>
      <c r="E195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54.195633267072914</v>
      </c>
      <c r="F1955" s="34"/>
      <c r="G1955" s="34"/>
      <c r="H1955" s="34"/>
    </row>
    <row r="1956" spans="1:8" x14ac:dyDescent="0.3">
      <c r="A1956" t="s">
        <v>691</v>
      </c>
      <c r="B1956" s="3">
        <f t="shared" si="22"/>
        <v>45536</v>
      </c>
      <c r="C1956" s="2" t="str">
        <f>VLOOKUP(MONTH(Tabela1[[#This Row],[Periodo]]),NUMMESES,2,FALSE)</f>
        <v>Setembro</v>
      </c>
      <c r="D1956" s="2">
        <f>YEAR(Tabela1[[#This Row],[Periodo]])</f>
        <v>2024</v>
      </c>
      <c r="E195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47.395977491248082</v>
      </c>
      <c r="F1956" s="34"/>
      <c r="G1956" s="34"/>
      <c r="H1956" s="34"/>
    </row>
    <row r="1957" spans="1:8" x14ac:dyDescent="0.3">
      <c r="A1957" t="s">
        <v>691</v>
      </c>
      <c r="B1957" s="3">
        <f t="shared" si="22"/>
        <v>45566</v>
      </c>
      <c r="C1957" s="2" t="str">
        <f>VLOOKUP(MONTH(Tabela1[[#This Row],[Periodo]]),NUMMESES,2,FALSE)</f>
        <v>Outubro</v>
      </c>
      <c r="D1957" s="2">
        <f>YEAR(Tabela1[[#This Row],[Periodo]])</f>
        <v>2024</v>
      </c>
      <c r="E195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34.395702106810262</v>
      </c>
      <c r="F1957" s="34"/>
      <c r="G1957" s="34"/>
      <c r="H1957" s="34"/>
    </row>
    <row r="1958" spans="1:8" x14ac:dyDescent="0.3">
      <c r="A1958" t="s">
        <v>691</v>
      </c>
      <c r="B1958" s="3">
        <f t="shared" si="22"/>
        <v>45597</v>
      </c>
      <c r="C1958" s="2" t="str">
        <f>VLOOKUP(MONTH(Tabela1[[#This Row],[Periodo]]),NUMMESES,2,FALSE)</f>
        <v>Novembro</v>
      </c>
      <c r="D1958" s="2">
        <f>YEAR(Tabela1[[#This Row],[Periodo]])</f>
        <v>2024</v>
      </c>
      <c r="E195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58.551831715287527</v>
      </c>
      <c r="F1958" s="34"/>
      <c r="G1958" s="34"/>
      <c r="H1958" s="34"/>
    </row>
    <row r="1959" spans="1:8" x14ac:dyDescent="0.3">
      <c r="A1959" t="s">
        <v>691</v>
      </c>
      <c r="B1959" s="3">
        <f t="shared" si="22"/>
        <v>45627</v>
      </c>
      <c r="C1959" s="2" t="str">
        <f>VLOOKUP(MONTH(Tabela1[[#This Row],[Periodo]]),NUMMESES,2,FALSE)</f>
        <v>Dezembro</v>
      </c>
      <c r="D1959" s="2">
        <f>YEAR(Tabela1[[#This Row],[Periodo]])</f>
        <v>2024</v>
      </c>
      <c r="E195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62.172548916148884</v>
      </c>
      <c r="F1959" s="34"/>
      <c r="G1959" s="34"/>
      <c r="H1959" s="34"/>
    </row>
    <row r="1960" spans="1:8" x14ac:dyDescent="0.3">
      <c r="A1960" t="s">
        <v>691</v>
      </c>
      <c r="B1960" s="3">
        <f t="shared" si="22"/>
        <v>45658</v>
      </c>
      <c r="C1960" s="2" t="str">
        <f>VLOOKUP(MONTH(Tabela1[[#This Row],[Periodo]]),NUMMESES,2,FALSE)</f>
        <v>Janeiro</v>
      </c>
      <c r="D1960" s="2">
        <f>YEAR(Tabela1[[#This Row],[Periodo]])</f>
        <v>2025</v>
      </c>
      <c r="E196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45.634779874450238</v>
      </c>
      <c r="F1960" s="34"/>
      <c r="G1960" s="34"/>
      <c r="H1960" s="34"/>
    </row>
    <row r="1961" spans="1:8" x14ac:dyDescent="0.3">
      <c r="A1961" t="s">
        <v>691</v>
      </c>
      <c r="B1961" s="3">
        <f t="shared" si="22"/>
        <v>45689</v>
      </c>
      <c r="C1961" s="2" t="str">
        <f>VLOOKUP(MONTH(Tabela1[[#This Row],[Periodo]]),NUMMESES,2,FALSE)</f>
        <v>Fevereiro</v>
      </c>
      <c r="D1961" s="2">
        <f>YEAR(Tabela1[[#This Row],[Periodo]])</f>
        <v>2025</v>
      </c>
      <c r="E196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79.653847744581654</v>
      </c>
      <c r="F1961" s="34"/>
      <c r="G1961" s="34"/>
      <c r="H1961" s="34"/>
    </row>
    <row r="1962" spans="1:8" x14ac:dyDescent="0.3">
      <c r="A1962" t="s">
        <v>691</v>
      </c>
      <c r="B1962" s="3">
        <f t="shared" si="22"/>
        <v>45717</v>
      </c>
      <c r="C1962" s="2" t="str">
        <f>VLOOKUP(MONTH(Tabela1[[#This Row],[Periodo]]),NUMMESES,2,FALSE)</f>
        <v>Março</v>
      </c>
      <c r="D1962" s="2">
        <f>YEAR(Tabela1[[#This Row],[Periodo]])</f>
        <v>2025</v>
      </c>
      <c r="E196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51.545670902606886</v>
      </c>
      <c r="F1962" s="34"/>
      <c r="G1962" s="34"/>
      <c r="H1962" s="34"/>
    </row>
    <row r="1963" spans="1:8" x14ac:dyDescent="0.3">
      <c r="A1963" t="s">
        <v>691</v>
      </c>
      <c r="B1963" s="3">
        <f t="shared" si="22"/>
        <v>45748</v>
      </c>
      <c r="C1963" s="2" t="str">
        <f>VLOOKUP(MONTH(Tabela1[[#This Row],[Periodo]]),NUMMESES,2,FALSE)</f>
        <v>Abril</v>
      </c>
      <c r="D1963" s="2">
        <f>YEAR(Tabela1[[#This Row],[Periodo]])</f>
        <v>2025</v>
      </c>
      <c r="E1963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47.649467458881638</v>
      </c>
      <c r="F1963" s="34"/>
      <c r="G1963" s="34"/>
      <c r="H1963" s="34"/>
    </row>
    <row r="1964" spans="1:8" x14ac:dyDescent="0.3">
      <c r="A1964" t="s">
        <v>691</v>
      </c>
      <c r="B1964" s="3">
        <f t="shared" si="22"/>
        <v>45778</v>
      </c>
      <c r="C1964" s="2" t="str">
        <f>VLOOKUP(MONTH(Tabela1[[#This Row],[Periodo]]),NUMMESES,2,FALSE)</f>
        <v>Maio</v>
      </c>
      <c r="D1964" s="2">
        <f>YEAR(Tabela1[[#This Row],[Periodo]])</f>
        <v>2025</v>
      </c>
      <c r="E1964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33.306027722833903</v>
      </c>
      <c r="F1964" s="34"/>
      <c r="G1964" s="34"/>
      <c r="H1964" s="34"/>
    </row>
    <row r="1965" spans="1:8" x14ac:dyDescent="0.3">
      <c r="A1965" t="s">
        <v>691</v>
      </c>
      <c r="B1965" s="3">
        <f t="shared" si="22"/>
        <v>45809</v>
      </c>
      <c r="C1965" s="2" t="str">
        <f>VLOOKUP(MONTH(Tabela1[[#This Row],[Periodo]]),NUMMESES,2,FALSE)</f>
        <v>Junho</v>
      </c>
      <c r="D1965" s="2">
        <f>YEAR(Tabela1[[#This Row],[Periodo]])</f>
        <v>2025</v>
      </c>
      <c r="E1965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40.018829651163635</v>
      </c>
      <c r="F1965" s="34"/>
      <c r="G1965" s="34"/>
      <c r="H1965" s="34"/>
    </row>
    <row r="1966" spans="1:8" x14ac:dyDescent="0.3">
      <c r="A1966" t="s">
        <v>691</v>
      </c>
      <c r="B1966" s="3">
        <f t="shared" si="22"/>
        <v>45839</v>
      </c>
      <c r="C1966" s="2" t="str">
        <f>VLOOKUP(MONTH(Tabela1[[#This Row],[Periodo]]),NUMMESES,2,FALSE)</f>
        <v>Julho</v>
      </c>
      <c r="D1966" s="2">
        <f>YEAR(Tabela1[[#This Row],[Periodo]])</f>
        <v>2025</v>
      </c>
      <c r="E1966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46.726722254299048</v>
      </c>
      <c r="F1966" s="34"/>
      <c r="G1966" s="34"/>
      <c r="H1966" s="34"/>
    </row>
    <row r="1967" spans="1:8" x14ac:dyDescent="0.3">
      <c r="A1967" t="s">
        <v>691</v>
      </c>
      <c r="B1967" s="3">
        <f t="shared" si="22"/>
        <v>45870</v>
      </c>
      <c r="C1967" s="2" t="str">
        <f>VLOOKUP(MONTH(Tabela1[[#This Row],[Periodo]]),NUMMESES,2,FALSE)</f>
        <v>Agosto</v>
      </c>
      <c r="D1967" s="2">
        <f>YEAR(Tabela1[[#This Row],[Periodo]])</f>
        <v>2025</v>
      </c>
      <c r="E1967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51.681665071012468</v>
      </c>
      <c r="F1967" s="34"/>
      <c r="G1967" s="34"/>
      <c r="H1967" s="34"/>
    </row>
    <row r="1968" spans="1:8" x14ac:dyDescent="0.3">
      <c r="A1968" t="s">
        <v>691</v>
      </c>
      <c r="B1968" s="3">
        <f t="shared" si="22"/>
        <v>45901</v>
      </c>
      <c r="C1968" s="2" t="str">
        <f>VLOOKUP(MONTH(Tabela1[[#This Row],[Periodo]]),NUMMESES,2,FALSE)</f>
        <v>Setembro</v>
      </c>
      <c r="D1968" s="2">
        <f>YEAR(Tabela1[[#This Row],[Periodo]])</f>
        <v>2025</v>
      </c>
      <c r="E1968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31.690789680241657</v>
      </c>
      <c r="F1968" s="34"/>
      <c r="G1968" s="34"/>
      <c r="H1968" s="34"/>
    </row>
    <row r="1969" spans="1:8" x14ac:dyDescent="0.3">
      <c r="A1969" t="s">
        <v>691</v>
      </c>
      <c r="B1969" s="3">
        <f t="shared" si="22"/>
        <v>45931</v>
      </c>
      <c r="C1969" s="2" t="str">
        <f>VLOOKUP(MONTH(Tabela1[[#This Row],[Periodo]]),NUMMESES,2,FALSE)</f>
        <v>Outubro</v>
      </c>
      <c r="D1969" s="2">
        <f>YEAR(Tabela1[[#This Row],[Periodo]])</f>
        <v>2025</v>
      </c>
      <c r="E1969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36.045183812568943</v>
      </c>
      <c r="F1969" s="34"/>
      <c r="G1969" s="34"/>
      <c r="H1969" s="34"/>
    </row>
    <row r="1970" spans="1:8" x14ac:dyDescent="0.3">
      <c r="A1970" t="s">
        <v>691</v>
      </c>
      <c r="B1970" s="3">
        <f t="shared" si="22"/>
        <v>45962</v>
      </c>
      <c r="C1970" s="2" t="str">
        <f>VLOOKUP(MONTH(Tabela1[[#This Row],[Periodo]]),NUMMESES,2,FALSE)</f>
        <v>Novembro</v>
      </c>
      <c r="D1970" s="2">
        <f>YEAR(Tabela1[[#This Row],[Periodo]])</f>
        <v>2025</v>
      </c>
      <c r="E1970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36.673646655266687</v>
      </c>
      <c r="F1970" s="34"/>
      <c r="G1970" s="34"/>
      <c r="H1970" s="34"/>
    </row>
    <row r="1971" spans="1:8" x14ac:dyDescent="0.3">
      <c r="A1971" t="s">
        <v>691</v>
      </c>
      <c r="B1971" s="3">
        <f t="shared" si="22"/>
        <v>45992</v>
      </c>
      <c r="C1971" s="2" t="str">
        <f>VLOOKUP(MONTH(Tabela1[[#This Row],[Periodo]]),NUMMESES,2,FALSE)</f>
        <v>Dezembro</v>
      </c>
      <c r="D1971" s="2">
        <f>YEAR(Tabela1[[#This Row],[Periodo]])</f>
        <v>2025</v>
      </c>
      <c r="E1971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29.348542813623471</v>
      </c>
      <c r="F1971" s="34"/>
      <c r="G1971" s="34"/>
      <c r="H1971" s="34"/>
    </row>
    <row r="1972" spans="1:8" x14ac:dyDescent="0.3">
      <c r="A1972" t="s">
        <v>691</v>
      </c>
      <c r="B1972" s="3">
        <f t="shared" si="22"/>
        <v>46023</v>
      </c>
      <c r="C1972" s="2" t="str">
        <f>VLOOKUP(MONTH(Tabela1[[#This Row],[Periodo]]),NUMMESES,2,FALSE)</f>
        <v>Janeiro</v>
      </c>
      <c r="D1972" s="2">
        <f>YEAR(Tabela1[[#This Row],[Periodo]])</f>
        <v>2026</v>
      </c>
      <c r="E1972" s="42">
        <f>(INDEX(TBBP[],MATCH("2.1.1.1.01",planoContas,0)+1,MATCH(Tabela1[[#This Row],[Periodo]],listaPeriodos,0))+INDEX(TBBP[],MATCH("2.1.1.1.03",planoContas,0)+1,MATCH(Tabela1[[#This Row],[Periodo]],listaPeriodos,0)))/((INDEX(TBBP[],MATCH("4.1.1.1.13",planoContas,0)+1,MATCH(Tabela1[[#This Row],[Periodo]],listaPeriodos,0))*-1)+(INDEX(TBBP[],MATCH("4.1.1.1.20",planoContas,0)+1,MATCH(Tabela1[[#This Row],[Periodo]],listaPeriodos,0))*-1)-INDEX(TBBP[],MATCH("1.1.1.6",planoContas,0)+1,MATCH(Tabela1[[#This Row],[Periodo]],listaPeriodos,0)-1)+INDEX(TBBP[],MATCH("1.1.1.6",planoContas,0)+1,MATCH(Tabela1[[#This Row],[Periodo]],listaPeriodos,0)))*30</f>
        <v>47.088398755653444</v>
      </c>
      <c r="F1972" s="34"/>
      <c r="G1972" s="34"/>
      <c r="H1972" s="34"/>
    </row>
    <row r="1973" spans="1:8" x14ac:dyDescent="0.3">
      <c r="B1973" s="3"/>
      <c r="C1973" s="2"/>
      <c r="D1973" s="2"/>
      <c r="E1973" s="42"/>
      <c r="F1973" s="34"/>
      <c r="G1973" s="34"/>
      <c r="H1973" s="34"/>
    </row>
    <row r="1974" spans="1:8" x14ac:dyDescent="0.3">
      <c r="A1974" t="s">
        <v>692</v>
      </c>
      <c r="B1974" s="3">
        <v>43070</v>
      </c>
      <c r="C1974" s="2" t="str">
        <f>VLOOKUP(MONTH(Tabela1[[#This Row],[Periodo]]),NUMMESES,2,FALSE)</f>
        <v>Dezembro</v>
      </c>
      <c r="D1974" s="2">
        <f>YEAR(Tabela1[[#This Row],[Periodo]])</f>
        <v>2017</v>
      </c>
      <c r="E1974" s="42">
        <f t="shared" ref="E1974:E2005" si="23">E1664+E1767-E1870</f>
        <v>0</v>
      </c>
      <c r="F1974" s="34"/>
      <c r="G1974" s="34"/>
      <c r="H1974" s="34"/>
    </row>
    <row r="1975" spans="1:8" x14ac:dyDescent="0.3">
      <c r="A1975" t="s">
        <v>692</v>
      </c>
      <c r="B1975" s="3">
        <v>41609</v>
      </c>
      <c r="C1975" s="2" t="str">
        <f>VLOOKUP(MONTH(Tabela1[[#This Row],[Periodo]]),NUMMESES,2,FALSE)</f>
        <v>Dezembro</v>
      </c>
      <c r="D1975" s="2">
        <f>YEAR(Tabela1[[#This Row],[Periodo]])</f>
        <v>2013</v>
      </c>
      <c r="E1975" s="42" t="e">
        <f t="shared" si="23"/>
        <v>#DIV/0!</v>
      </c>
      <c r="F1975" s="34"/>
      <c r="G1975" s="34"/>
      <c r="H1975" s="34"/>
    </row>
    <row r="1976" spans="1:8" x14ac:dyDescent="0.3">
      <c r="A1976" t="s">
        <v>692</v>
      </c>
      <c r="B1976" s="3">
        <v>41974</v>
      </c>
      <c r="C1976" s="2" t="str">
        <f>VLOOKUP(MONTH(Tabela1[[#This Row],[Periodo]]),NUMMESES,2,FALSE)</f>
        <v>Dezembro</v>
      </c>
      <c r="D1976" s="2">
        <f>YEAR(Tabela1[[#This Row],[Periodo]])</f>
        <v>2014</v>
      </c>
      <c r="E1976" s="42" t="e">
        <f t="shared" si="23"/>
        <v>#DIV/0!</v>
      </c>
      <c r="F1976" s="34"/>
      <c r="G1976" s="34"/>
      <c r="H1976" s="34"/>
    </row>
    <row r="1977" spans="1:8" x14ac:dyDescent="0.3">
      <c r="A1977" t="s">
        <v>692</v>
      </c>
      <c r="B1977" s="3">
        <v>42339</v>
      </c>
      <c r="C1977" s="2" t="str">
        <f>VLOOKUP(MONTH(Tabela1[[#This Row],[Periodo]]),NUMMESES,2,FALSE)</f>
        <v>Dezembro</v>
      </c>
      <c r="D1977" s="2">
        <f>YEAR(Tabela1[[#This Row],[Periodo]])</f>
        <v>2015</v>
      </c>
      <c r="E1977" s="42" t="e">
        <f t="shared" si="23"/>
        <v>#DIV/0!</v>
      </c>
      <c r="F1977" s="34"/>
      <c r="G1977" s="34"/>
      <c r="H1977" s="34"/>
    </row>
    <row r="1978" spans="1:8" x14ac:dyDescent="0.3">
      <c r="A1978" t="s">
        <v>692</v>
      </c>
      <c r="B1978" s="3">
        <v>42705</v>
      </c>
      <c r="C1978" s="2" t="str">
        <f>VLOOKUP(MONTH(Tabela1[[#This Row],[Periodo]]),NUMMESES,2,FALSE)</f>
        <v>Dezembro</v>
      </c>
      <c r="D1978" s="2">
        <f>YEAR(Tabela1[[#This Row],[Periodo]])</f>
        <v>2016</v>
      </c>
      <c r="E1978" s="42" t="e">
        <f t="shared" si="23"/>
        <v>#DIV/0!</v>
      </c>
      <c r="F1978" s="34"/>
      <c r="G1978" s="34"/>
      <c r="H1978" s="34"/>
    </row>
    <row r="1979" spans="1:8" x14ac:dyDescent="0.3">
      <c r="A1979" t="s">
        <v>692</v>
      </c>
      <c r="B1979" s="3">
        <v>43070</v>
      </c>
      <c r="C1979" s="2" t="str">
        <f>VLOOKUP(MONTH(Tabela1[[#This Row],[Periodo]]),NUMMESES,2,FALSE)</f>
        <v>Dezembro</v>
      </c>
      <c r="D1979" s="2">
        <f>YEAR(Tabela1[[#This Row],[Periodo]])</f>
        <v>2017</v>
      </c>
      <c r="E1979" s="42">
        <f t="shared" si="23"/>
        <v>30.65557555315031</v>
      </c>
      <c r="F1979" s="34"/>
      <c r="G1979" s="34"/>
      <c r="H1979" s="34"/>
    </row>
    <row r="1980" spans="1:8" x14ac:dyDescent="0.3">
      <c r="A1980" t="s">
        <v>692</v>
      </c>
      <c r="B1980" s="3">
        <v>43101</v>
      </c>
      <c r="C1980" s="2" t="str">
        <f>VLOOKUP(MONTH(Tabela1[[#This Row],[Periodo]]),NUMMESES,2,FALSE)</f>
        <v>Janeiro</v>
      </c>
      <c r="D1980" s="2">
        <f>YEAR(Tabela1[[#This Row],[Periodo]])</f>
        <v>2018</v>
      </c>
      <c r="E1980" s="42">
        <f t="shared" si="23"/>
        <v>461.70588555247457</v>
      </c>
      <c r="F1980" s="34"/>
      <c r="G1980" s="34"/>
      <c r="H1980" s="34"/>
    </row>
    <row r="1981" spans="1:8" x14ac:dyDescent="0.3">
      <c r="A1981" t="s">
        <v>692</v>
      </c>
      <c r="B1981" s="3">
        <f t="shared" ref="B1981:B2076" si="24">DATE(YEAR(B1980),MONTH(B1980)+1,DAY(B1980))</f>
        <v>43132</v>
      </c>
      <c r="C1981" s="2" t="str">
        <f>VLOOKUP(MONTH(Tabela1[[#This Row],[Periodo]]),NUMMESES,2,FALSE)</f>
        <v>Fevereiro</v>
      </c>
      <c r="D1981" s="2">
        <f>YEAR(Tabela1[[#This Row],[Periodo]])</f>
        <v>2018</v>
      </c>
      <c r="E1981" s="42">
        <f t="shared" si="23"/>
        <v>395.85335235986764</v>
      </c>
      <c r="F1981" s="34"/>
      <c r="G1981" s="34"/>
      <c r="H1981" s="34"/>
    </row>
    <row r="1982" spans="1:8" x14ac:dyDescent="0.3">
      <c r="A1982" t="s">
        <v>692</v>
      </c>
      <c r="B1982" s="3">
        <f t="shared" si="24"/>
        <v>43160</v>
      </c>
      <c r="C1982" s="2" t="str">
        <f>VLOOKUP(MONTH(Tabela1[[#This Row],[Periodo]]),NUMMESES,2,FALSE)</f>
        <v>Março</v>
      </c>
      <c r="D1982" s="2">
        <f>YEAR(Tabela1[[#This Row],[Periodo]])</f>
        <v>2018</v>
      </c>
      <c r="E1982" s="42">
        <f t="shared" si="23"/>
        <v>204.80371016090811</v>
      </c>
      <c r="F1982" s="34"/>
      <c r="G1982" s="34"/>
      <c r="H1982" s="34"/>
    </row>
    <row r="1983" spans="1:8" x14ac:dyDescent="0.3">
      <c r="A1983" t="s">
        <v>692</v>
      </c>
      <c r="B1983" s="3">
        <f t="shared" si="24"/>
        <v>43191</v>
      </c>
      <c r="C1983" s="2" t="str">
        <f>VLOOKUP(MONTH(Tabela1[[#This Row],[Periodo]]),NUMMESES,2,FALSE)</f>
        <v>Abril</v>
      </c>
      <c r="D1983" s="2">
        <f>YEAR(Tabela1[[#This Row],[Periodo]])</f>
        <v>2018</v>
      </c>
      <c r="E1983" s="42">
        <f t="shared" si="23"/>
        <v>236.35423722076021</v>
      </c>
      <c r="F1983" s="34"/>
      <c r="G1983" s="34"/>
      <c r="H1983" s="34"/>
    </row>
    <row r="1984" spans="1:8" x14ac:dyDescent="0.3">
      <c r="A1984" t="s">
        <v>692</v>
      </c>
      <c r="B1984" s="3">
        <f t="shared" si="24"/>
        <v>43221</v>
      </c>
      <c r="C1984" s="2" t="str">
        <f>VLOOKUP(MONTH(Tabela1[[#This Row],[Periodo]]),NUMMESES,2,FALSE)</f>
        <v>Maio</v>
      </c>
      <c r="D1984" s="2">
        <f>YEAR(Tabela1[[#This Row],[Periodo]])</f>
        <v>2018</v>
      </c>
      <c r="E1984" s="42">
        <f t="shared" si="23"/>
        <v>580.18831108854079</v>
      </c>
      <c r="F1984" s="34"/>
      <c r="G1984" s="34"/>
      <c r="H1984" s="34"/>
    </row>
    <row r="1985" spans="1:8" x14ac:dyDescent="0.3">
      <c r="A1985" t="s">
        <v>692</v>
      </c>
      <c r="B1985" s="3">
        <f t="shared" si="24"/>
        <v>43252</v>
      </c>
      <c r="C1985" s="2" t="str">
        <f>VLOOKUP(MONTH(Tabela1[[#This Row],[Periodo]]),NUMMESES,2,FALSE)</f>
        <v>Junho</v>
      </c>
      <c r="D1985" s="2">
        <f>YEAR(Tabela1[[#This Row],[Periodo]])</f>
        <v>2018</v>
      </c>
      <c r="E1985" s="42">
        <f t="shared" si="23"/>
        <v>261.52950658577839</v>
      </c>
      <c r="F1985" s="34"/>
      <c r="G1985" s="34"/>
      <c r="H1985" s="34"/>
    </row>
    <row r="1986" spans="1:8" x14ac:dyDescent="0.3">
      <c r="A1986" t="s">
        <v>692</v>
      </c>
      <c r="B1986" s="3">
        <f t="shared" si="24"/>
        <v>43282</v>
      </c>
      <c r="C1986" s="2" t="str">
        <f>VLOOKUP(MONTH(Tabela1[[#This Row],[Periodo]]),NUMMESES,2,FALSE)</f>
        <v>Julho</v>
      </c>
      <c r="D1986" s="2">
        <f>YEAR(Tabela1[[#This Row],[Periodo]])</f>
        <v>2018</v>
      </c>
      <c r="E1986" s="42">
        <f t="shared" si="23"/>
        <v>136.44072516630462</v>
      </c>
      <c r="F1986" s="34"/>
      <c r="G1986" s="34"/>
      <c r="H1986" s="34"/>
    </row>
    <row r="1987" spans="1:8" x14ac:dyDescent="0.3">
      <c r="A1987" t="s">
        <v>692</v>
      </c>
      <c r="B1987" s="3">
        <f t="shared" si="24"/>
        <v>43313</v>
      </c>
      <c r="C1987" s="2" t="str">
        <f>VLOOKUP(MONTH(Tabela1[[#This Row],[Periodo]]),NUMMESES,2,FALSE)</f>
        <v>Agosto</v>
      </c>
      <c r="D1987" s="2">
        <f>YEAR(Tabela1[[#This Row],[Periodo]])</f>
        <v>2018</v>
      </c>
      <c r="E1987" s="42">
        <f t="shared" si="23"/>
        <v>206.70956346469205</v>
      </c>
      <c r="F1987" s="34"/>
      <c r="G1987" s="34"/>
      <c r="H1987" s="34"/>
    </row>
    <row r="1988" spans="1:8" x14ac:dyDescent="0.3">
      <c r="A1988" t="s">
        <v>692</v>
      </c>
      <c r="B1988" s="3">
        <f t="shared" si="24"/>
        <v>43344</v>
      </c>
      <c r="C1988" s="2" t="str">
        <f>VLOOKUP(MONTH(Tabela1[[#This Row],[Periodo]]),NUMMESES,2,FALSE)</f>
        <v>Setembro</v>
      </c>
      <c r="D1988" s="2">
        <f>YEAR(Tabela1[[#This Row],[Periodo]])</f>
        <v>2018</v>
      </c>
      <c r="E1988" s="42">
        <f t="shared" si="23"/>
        <v>175.2611604830978</v>
      </c>
      <c r="F1988" s="34"/>
      <c r="G1988" s="34"/>
      <c r="H1988" s="34"/>
    </row>
    <row r="1989" spans="1:8" x14ac:dyDescent="0.3">
      <c r="A1989" t="s">
        <v>692</v>
      </c>
      <c r="B1989" s="3">
        <f t="shared" si="24"/>
        <v>43374</v>
      </c>
      <c r="C1989" s="2" t="str">
        <f>VLOOKUP(MONTH(Tabela1[[#This Row],[Periodo]]),NUMMESES,2,FALSE)</f>
        <v>Outubro</v>
      </c>
      <c r="D1989" s="2">
        <f>YEAR(Tabela1[[#This Row],[Periodo]])</f>
        <v>2018</v>
      </c>
      <c r="E1989" s="42">
        <f t="shared" si="23"/>
        <v>192.626906273256</v>
      </c>
      <c r="F1989" s="34"/>
      <c r="G1989" s="34"/>
      <c r="H1989" s="34"/>
    </row>
    <row r="1990" spans="1:8" x14ac:dyDescent="0.3">
      <c r="A1990" t="s">
        <v>692</v>
      </c>
      <c r="B1990" s="3">
        <f t="shared" si="24"/>
        <v>43405</v>
      </c>
      <c r="C1990" s="2" t="str">
        <f>VLOOKUP(MONTH(Tabela1[[#This Row],[Periodo]]),NUMMESES,2,FALSE)</f>
        <v>Novembro</v>
      </c>
      <c r="D1990" s="2">
        <f>YEAR(Tabela1[[#This Row],[Periodo]])</f>
        <v>2018</v>
      </c>
      <c r="E1990" s="42">
        <f t="shared" si="23"/>
        <v>340.52747784476827</v>
      </c>
      <c r="F1990" s="34"/>
      <c r="G1990" s="34"/>
      <c r="H1990" s="34"/>
    </row>
    <row r="1991" spans="1:8" x14ac:dyDescent="0.3">
      <c r="A1991" t="s">
        <v>692</v>
      </c>
      <c r="B1991" s="3">
        <f t="shared" si="24"/>
        <v>43435</v>
      </c>
      <c r="C1991" s="2" t="str">
        <f>VLOOKUP(MONTH(Tabela1[[#This Row],[Periodo]]),NUMMESES,2,FALSE)</f>
        <v>Dezembro</v>
      </c>
      <c r="D1991" s="2">
        <f>YEAR(Tabela1[[#This Row],[Periodo]])</f>
        <v>2018</v>
      </c>
      <c r="E1991" s="42">
        <f t="shared" si="23"/>
        <v>488.23214557286997</v>
      </c>
      <c r="F1991" s="34"/>
      <c r="G1991" s="34"/>
      <c r="H1991" s="34"/>
    </row>
    <row r="1992" spans="1:8" x14ac:dyDescent="0.3">
      <c r="A1992" t="s">
        <v>692</v>
      </c>
      <c r="B1992" s="3">
        <f t="shared" si="24"/>
        <v>43466</v>
      </c>
      <c r="C1992" s="2" t="str">
        <f>VLOOKUP(MONTH(Tabela1[[#This Row],[Periodo]]),NUMMESES,2,FALSE)</f>
        <v>Janeiro</v>
      </c>
      <c r="D1992" s="2">
        <f>YEAR(Tabela1[[#This Row],[Periodo]])</f>
        <v>2019</v>
      </c>
      <c r="E1992" s="42">
        <f t="shared" si="23"/>
        <v>233.95792657972299</v>
      </c>
      <c r="F1992" s="34"/>
      <c r="G1992" s="34"/>
      <c r="H1992" s="34"/>
    </row>
    <row r="1993" spans="1:8" x14ac:dyDescent="0.3">
      <c r="A1993" t="s">
        <v>692</v>
      </c>
      <c r="B1993" s="3">
        <f t="shared" si="24"/>
        <v>43497</v>
      </c>
      <c r="C1993" s="2" t="str">
        <f>VLOOKUP(MONTH(Tabela1[[#This Row],[Periodo]]),NUMMESES,2,FALSE)</f>
        <v>Fevereiro</v>
      </c>
      <c r="D1993" s="2">
        <f>YEAR(Tabela1[[#This Row],[Periodo]])</f>
        <v>2019</v>
      </c>
      <c r="E1993" s="42">
        <f t="shared" si="23"/>
        <v>244.18461052939384</v>
      </c>
      <c r="F1993" s="34"/>
      <c r="G1993" s="34"/>
      <c r="H1993" s="34"/>
    </row>
    <row r="1994" spans="1:8" x14ac:dyDescent="0.3">
      <c r="A1994" t="s">
        <v>692</v>
      </c>
      <c r="B1994" s="3">
        <f t="shared" si="24"/>
        <v>43525</v>
      </c>
      <c r="C1994" s="2" t="str">
        <f>VLOOKUP(MONTH(Tabela1[[#This Row],[Periodo]]),NUMMESES,2,FALSE)</f>
        <v>Março</v>
      </c>
      <c r="D1994" s="2">
        <f>YEAR(Tabela1[[#This Row],[Periodo]])</f>
        <v>2019</v>
      </c>
      <c r="E1994" s="42">
        <f t="shared" si="23"/>
        <v>224.32462743460593</v>
      </c>
      <c r="F1994" s="34"/>
      <c r="G1994" s="34"/>
      <c r="H1994" s="34"/>
    </row>
    <row r="1995" spans="1:8" x14ac:dyDescent="0.3">
      <c r="A1995" t="s">
        <v>692</v>
      </c>
      <c r="B1995" s="3">
        <f t="shared" si="24"/>
        <v>43556</v>
      </c>
      <c r="C1995" s="2" t="str">
        <f>VLOOKUP(MONTH(Tabela1[[#This Row],[Periodo]]),NUMMESES,2,FALSE)</f>
        <v>Abril</v>
      </c>
      <c r="D1995" s="2">
        <f>YEAR(Tabela1[[#This Row],[Periodo]])</f>
        <v>2019</v>
      </c>
      <c r="E1995" s="42">
        <f t="shared" si="23"/>
        <v>218.79278196580671</v>
      </c>
      <c r="F1995" s="34"/>
      <c r="G1995" s="34"/>
      <c r="H1995" s="34"/>
    </row>
    <row r="1996" spans="1:8" x14ac:dyDescent="0.3">
      <c r="A1996" t="s">
        <v>692</v>
      </c>
      <c r="B1996" s="3">
        <f t="shared" si="24"/>
        <v>43586</v>
      </c>
      <c r="C1996" s="2" t="str">
        <f>VLOOKUP(MONTH(Tabela1[[#This Row],[Periodo]]),NUMMESES,2,FALSE)</f>
        <v>Maio</v>
      </c>
      <c r="D1996" s="2">
        <f>YEAR(Tabela1[[#This Row],[Periodo]])</f>
        <v>2019</v>
      </c>
      <c r="E1996" s="42">
        <f t="shared" si="23"/>
        <v>214.51540785417225</v>
      </c>
      <c r="F1996" s="34"/>
      <c r="G1996" s="34"/>
      <c r="H1996" s="34"/>
    </row>
    <row r="1997" spans="1:8" x14ac:dyDescent="0.3">
      <c r="A1997" t="s">
        <v>692</v>
      </c>
      <c r="B1997" s="3">
        <f t="shared" si="24"/>
        <v>43617</v>
      </c>
      <c r="C1997" s="2" t="str">
        <f>VLOOKUP(MONTH(Tabela1[[#This Row],[Periodo]]),NUMMESES,2,FALSE)</f>
        <v>Junho</v>
      </c>
      <c r="D1997" s="2">
        <f>YEAR(Tabela1[[#This Row],[Periodo]])</f>
        <v>2019</v>
      </c>
      <c r="E1997" s="42">
        <f t="shared" si="23"/>
        <v>339.64060043615842</v>
      </c>
      <c r="F1997" s="34"/>
      <c r="G1997" s="34"/>
      <c r="H1997" s="34"/>
    </row>
    <row r="1998" spans="1:8" x14ac:dyDescent="0.3">
      <c r="A1998" t="s">
        <v>692</v>
      </c>
      <c r="B1998" s="3">
        <f t="shared" si="24"/>
        <v>43647</v>
      </c>
      <c r="C1998" s="2" t="str">
        <f>VLOOKUP(MONTH(Tabela1[[#This Row],[Periodo]]),NUMMESES,2,FALSE)</f>
        <v>Julho</v>
      </c>
      <c r="D1998" s="2">
        <f>YEAR(Tabela1[[#This Row],[Periodo]])</f>
        <v>2019</v>
      </c>
      <c r="E1998" s="42">
        <f t="shared" si="23"/>
        <v>291.51297671790184</v>
      </c>
      <c r="F1998" s="34"/>
      <c r="G1998" s="34"/>
      <c r="H1998" s="34"/>
    </row>
    <row r="1999" spans="1:8" x14ac:dyDescent="0.3">
      <c r="A1999" t="s">
        <v>692</v>
      </c>
      <c r="B1999" s="3">
        <f t="shared" si="24"/>
        <v>43678</v>
      </c>
      <c r="C1999" s="2" t="str">
        <f>VLOOKUP(MONTH(Tabela1[[#This Row],[Periodo]]),NUMMESES,2,FALSE)</f>
        <v>Agosto</v>
      </c>
      <c r="D1999" s="2">
        <f>YEAR(Tabela1[[#This Row],[Periodo]])</f>
        <v>2019</v>
      </c>
      <c r="E1999" s="42">
        <f t="shared" si="23"/>
        <v>243.16297169162789</v>
      </c>
      <c r="F1999" s="34"/>
      <c r="G1999" s="34"/>
      <c r="H1999" s="34"/>
    </row>
    <row r="2000" spans="1:8" x14ac:dyDescent="0.3">
      <c r="A2000" t="s">
        <v>692</v>
      </c>
      <c r="B2000" s="3">
        <f t="shared" si="24"/>
        <v>43709</v>
      </c>
      <c r="C2000" s="2" t="str">
        <f>VLOOKUP(MONTH(Tabela1[[#This Row],[Periodo]]),NUMMESES,2,FALSE)</f>
        <v>Setembro</v>
      </c>
      <c r="D2000" s="2">
        <f>YEAR(Tabela1[[#This Row],[Periodo]])</f>
        <v>2019</v>
      </c>
      <c r="E2000" s="42">
        <f t="shared" si="23"/>
        <v>174.05683533252693</v>
      </c>
      <c r="F2000" s="34"/>
      <c r="G2000" s="34"/>
      <c r="H2000" s="34"/>
    </row>
    <row r="2001" spans="1:8" x14ac:dyDescent="0.3">
      <c r="A2001" t="s">
        <v>692</v>
      </c>
      <c r="B2001" s="3">
        <f t="shared" si="24"/>
        <v>43739</v>
      </c>
      <c r="C2001" s="2" t="str">
        <f>VLOOKUP(MONTH(Tabela1[[#This Row],[Periodo]]),NUMMESES,2,FALSE)</f>
        <v>Outubro</v>
      </c>
      <c r="D2001" s="2">
        <f>YEAR(Tabela1[[#This Row],[Periodo]])</f>
        <v>2019</v>
      </c>
      <c r="E2001" s="42">
        <f t="shared" si="23"/>
        <v>159.40736816915472</v>
      </c>
      <c r="F2001" s="34"/>
      <c r="G2001" s="34"/>
      <c r="H2001" s="34"/>
    </row>
    <row r="2002" spans="1:8" x14ac:dyDescent="0.3">
      <c r="A2002" t="s">
        <v>692</v>
      </c>
      <c r="B2002" s="3">
        <f t="shared" si="24"/>
        <v>43770</v>
      </c>
      <c r="C2002" s="2" t="str">
        <f>VLOOKUP(MONTH(Tabela1[[#This Row],[Periodo]]),NUMMESES,2,FALSE)</f>
        <v>Novembro</v>
      </c>
      <c r="D2002" s="2">
        <f>YEAR(Tabela1[[#This Row],[Periodo]])</f>
        <v>2019</v>
      </c>
      <c r="E2002" s="42">
        <f t="shared" si="23"/>
        <v>234.9242260439006</v>
      </c>
      <c r="F2002" s="34"/>
      <c r="G2002" s="34"/>
      <c r="H2002" s="34"/>
    </row>
    <row r="2003" spans="1:8" x14ac:dyDescent="0.3">
      <c r="A2003" t="s">
        <v>692</v>
      </c>
      <c r="B2003" s="3">
        <f t="shared" si="24"/>
        <v>43800</v>
      </c>
      <c r="C2003" s="2" t="str">
        <f>VLOOKUP(MONTH(Tabela1[[#This Row],[Periodo]]),NUMMESES,2,FALSE)</f>
        <v>Dezembro</v>
      </c>
      <c r="D2003" s="2">
        <f>YEAR(Tabela1[[#This Row],[Periodo]])</f>
        <v>2019</v>
      </c>
      <c r="E2003" s="42">
        <f t="shared" si="23"/>
        <v>314.40442766068338</v>
      </c>
      <c r="F2003" s="34"/>
      <c r="G2003" s="34"/>
      <c r="H2003" s="34"/>
    </row>
    <row r="2004" spans="1:8" x14ac:dyDescent="0.3">
      <c r="A2004" t="s">
        <v>692</v>
      </c>
      <c r="B2004" s="3">
        <f t="shared" si="24"/>
        <v>43831</v>
      </c>
      <c r="C2004" s="2" t="str">
        <f>VLOOKUP(MONTH(Tabela1[[#This Row],[Periodo]]),NUMMESES,2,FALSE)</f>
        <v>Janeiro</v>
      </c>
      <c r="D2004" s="2">
        <f>YEAR(Tabela1[[#This Row],[Periodo]])</f>
        <v>2020</v>
      </c>
      <c r="E2004" s="42">
        <f t="shared" si="23"/>
        <v>220.1053197044846</v>
      </c>
      <c r="F2004" s="34"/>
      <c r="G2004" s="34"/>
      <c r="H2004" s="34"/>
    </row>
    <row r="2005" spans="1:8" x14ac:dyDescent="0.3">
      <c r="A2005" t="s">
        <v>692</v>
      </c>
      <c r="B2005" s="3">
        <f t="shared" si="24"/>
        <v>43862</v>
      </c>
      <c r="C2005" s="2" t="str">
        <f>VLOOKUP(MONTH(Tabela1[[#This Row],[Periodo]]),NUMMESES,2,FALSE)</f>
        <v>Fevereiro</v>
      </c>
      <c r="D2005" s="2">
        <f>YEAR(Tabela1[[#This Row],[Periodo]])</f>
        <v>2020</v>
      </c>
      <c r="E2005" s="42">
        <f t="shared" si="23"/>
        <v>358.20231347404865</v>
      </c>
      <c r="F2005" s="34"/>
      <c r="G2005" s="34"/>
      <c r="H2005" s="34"/>
    </row>
    <row r="2006" spans="1:8" x14ac:dyDescent="0.3">
      <c r="A2006" t="s">
        <v>692</v>
      </c>
      <c r="B2006" s="3">
        <f t="shared" si="24"/>
        <v>43891</v>
      </c>
      <c r="C2006" s="2" t="str">
        <f>VLOOKUP(MONTH(Tabela1[[#This Row],[Periodo]]),NUMMESES,2,FALSE)</f>
        <v>Março</v>
      </c>
      <c r="D2006" s="2">
        <f>YEAR(Tabela1[[#This Row],[Periodo]])</f>
        <v>2020</v>
      </c>
      <c r="E2006" s="42">
        <f t="shared" ref="E2006:E2037" si="25">E1696+E1799-E1902</f>
        <v>462.00068372984686</v>
      </c>
      <c r="F2006" s="34"/>
      <c r="G2006" s="34"/>
      <c r="H2006" s="34"/>
    </row>
    <row r="2007" spans="1:8" x14ac:dyDescent="0.3">
      <c r="A2007" t="s">
        <v>692</v>
      </c>
      <c r="B2007" s="3">
        <f t="shared" si="24"/>
        <v>43922</v>
      </c>
      <c r="C2007" s="2" t="str">
        <f>VLOOKUP(MONTH(Tabela1[[#This Row],[Periodo]]),NUMMESES,2,FALSE)</f>
        <v>Abril</v>
      </c>
      <c r="D2007" s="2">
        <f>YEAR(Tabela1[[#This Row],[Periodo]])</f>
        <v>2020</v>
      </c>
      <c r="E2007" s="42">
        <f t="shared" si="25"/>
        <v>439.38013940598279</v>
      </c>
      <c r="F2007" s="34"/>
      <c r="G2007" s="34"/>
      <c r="H2007" s="34"/>
    </row>
    <row r="2008" spans="1:8" x14ac:dyDescent="0.3">
      <c r="A2008" t="s">
        <v>692</v>
      </c>
      <c r="B2008" s="3">
        <f t="shared" si="24"/>
        <v>43952</v>
      </c>
      <c r="C2008" s="2" t="str">
        <f>VLOOKUP(MONTH(Tabela1[[#This Row],[Periodo]]),NUMMESES,2,FALSE)</f>
        <v>Maio</v>
      </c>
      <c r="D2008" s="2">
        <f>YEAR(Tabela1[[#This Row],[Periodo]])</f>
        <v>2020</v>
      </c>
      <c r="E2008" s="42">
        <f t="shared" si="25"/>
        <v>319.62998972752644</v>
      </c>
      <c r="F2008" s="34"/>
      <c r="G2008" s="34"/>
      <c r="H2008" s="34"/>
    </row>
    <row r="2009" spans="1:8" x14ac:dyDescent="0.3">
      <c r="A2009" t="s">
        <v>692</v>
      </c>
      <c r="B2009" s="3">
        <f t="shared" si="24"/>
        <v>43983</v>
      </c>
      <c r="C2009" s="2" t="str">
        <f>VLOOKUP(MONTH(Tabela1[[#This Row],[Periodo]]),NUMMESES,2,FALSE)</f>
        <v>Junho</v>
      </c>
      <c r="D2009" s="2">
        <f>YEAR(Tabela1[[#This Row],[Periodo]])</f>
        <v>2020</v>
      </c>
      <c r="E2009" s="42">
        <f t="shared" si="25"/>
        <v>42.196042931278697</v>
      </c>
      <c r="F2009" s="34"/>
      <c r="G2009" s="34"/>
      <c r="H2009" s="34"/>
    </row>
    <row r="2010" spans="1:8" x14ac:dyDescent="0.3">
      <c r="A2010" t="s">
        <v>692</v>
      </c>
      <c r="B2010" s="3">
        <f t="shared" si="24"/>
        <v>44013</v>
      </c>
      <c r="C2010" s="2" t="str">
        <f>VLOOKUP(MONTH(Tabela1[[#This Row],[Periodo]]),NUMMESES,2,FALSE)</f>
        <v>Julho</v>
      </c>
      <c r="D2010" s="2">
        <f>YEAR(Tabela1[[#This Row],[Periodo]])</f>
        <v>2020</v>
      </c>
      <c r="E2010" s="42">
        <f t="shared" si="25"/>
        <v>171.93965874376391</v>
      </c>
      <c r="F2010" s="34"/>
      <c r="G2010" s="34"/>
      <c r="H2010" s="34"/>
    </row>
    <row r="2011" spans="1:8" x14ac:dyDescent="0.3">
      <c r="A2011" t="s">
        <v>692</v>
      </c>
      <c r="B2011" s="3">
        <f t="shared" si="24"/>
        <v>44044</v>
      </c>
      <c r="C2011" s="2" t="str">
        <f>VLOOKUP(MONTH(Tabela1[[#This Row],[Periodo]]),NUMMESES,2,FALSE)</f>
        <v>Agosto</v>
      </c>
      <c r="D2011" s="2">
        <f>YEAR(Tabela1[[#This Row],[Periodo]])</f>
        <v>2020</v>
      </c>
      <c r="E2011" s="42">
        <f t="shared" si="25"/>
        <v>135.5407407746024</v>
      </c>
      <c r="F2011" s="34"/>
      <c r="G2011" s="34"/>
      <c r="H2011" s="34"/>
    </row>
    <row r="2012" spans="1:8" x14ac:dyDescent="0.3">
      <c r="A2012" t="s">
        <v>692</v>
      </c>
      <c r="B2012" s="3">
        <f t="shared" si="24"/>
        <v>44075</v>
      </c>
      <c r="C2012" s="2" t="str">
        <f>VLOOKUP(MONTH(Tabela1[[#This Row],[Periodo]]),NUMMESES,2,FALSE)</f>
        <v>Setembro</v>
      </c>
      <c r="D2012" s="2">
        <f>YEAR(Tabela1[[#This Row],[Periodo]])</f>
        <v>2020</v>
      </c>
      <c r="E2012" s="42">
        <f t="shared" si="25"/>
        <v>168.2240780887407</v>
      </c>
      <c r="F2012" s="34"/>
      <c r="G2012" s="34"/>
      <c r="H2012" s="34"/>
    </row>
    <row r="2013" spans="1:8" x14ac:dyDescent="0.3">
      <c r="A2013" t="s">
        <v>692</v>
      </c>
      <c r="B2013" s="3">
        <f t="shared" si="24"/>
        <v>44105</v>
      </c>
      <c r="C2013" s="2" t="str">
        <f>VLOOKUP(MONTH(Tabela1[[#This Row],[Periodo]]),NUMMESES,2,FALSE)</f>
        <v>Outubro</v>
      </c>
      <c r="D2013" s="2">
        <f>YEAR(Tabela1[[#This Row],[Periodo]])</f>
        <v>2020</v>
      </c>
      <c r="E2013" s="42">
        <f t="shared" si="25"/>
        <v>146.1324783787995</v>
      </c>
      <c r="F2013" s="34"/>
      <c r="G2013" s="34"/>
      <c r="H2013" s="34"/>
    </row>
    <row r="2014" spans="1:8" x14ac:dyDescent="0.3">
      <c r="A2014" t="s">
        <v>692</v>
      </c>
      <c r="B2014" s="3">
        <f t="shared" si="24"/>
        <v>44136</v>
      </c>
      <c r="C2014" s="2" t="str">
        <f>VLOOKUP(MONTH(Tabela1[[#This Row],[Periodo]]),NUMMESES,2,FALSE)</f>
        <v>Novembro</v>
      </c>
      <c r="D2014" s="2">
        <f>YEAR(Tabela1[[#This Row],[Periodo]])</f>
        <v>2020</v>
      </c>
      <c r="E2014" s="42">
        <f t="shared" si="25"/>
        <v>185.65558302209749</v>
      </c>
      <c r="F2014" s="34"/>
      <c r="G2014" s="34"/>
      <c r="H2014" s="34"/>
    </row>
    <row r="2015" spans="1:8" x14ac:dyDescent="0.3">
      <c r="A2015" t="s">
        <v>692</v>
      </c>
      <c r="B2015" s="3">
        <f t="shared" si="24"/>
        <v>44166</v>
      </c>
      <c r="C2015" s="2" t="str">
        <f>VLOOKUP(MONTH(Tabela1[[#This Row],[Periodo]]),NUMMESES,2,FALSE)</f>
        <v>Dezembro</v>
      </c>
      <c r="D2015" s="2">
        <f>YEAR(Tabela1[[#This Row],[Periodo]])</f>
        <v>2020</v>
      </c>
      <c r="E2015" s="42">
        <f t="shared" si="25"/>
        <v>185.55906542869712</v>
      </c>
      <c r="F2015" s="34"/>
      <c r="G2015" s="34"/>
      <c r="H2015" s="34"/>
    </row>
    <row r="2016" spans="1:8" x14ac:dyDescent="0.3">
      <c r="A2016" t="s">
        <v>692</v>
      </c>
      <c r="B2016" s="3">
        <f t="shared" si="24"/>
        <v>44197</v>
      </c>
      <c r="C2016" s="2" t="str">
        <f>VLOOKUP(MONTH(Tabela1[[#This Row],[Periodo]]),NUMMESES,2,FALSE)</f>
        <v>Janeiro</v>
      </c>
      <c r="D2016" s="2">
        <f>YEAR(Tabela1[[#This Row],[Periodo]])</f>
        <v>2021</v>
      </c>
      <c r="E2016" s="42">
        <f t="shared" si="25"/>
        <v>208.41395540489839</v>
      </c>
      <c r="F2016" s="34"/>
      <c r="G2016" s="34"/>
      <c r="H2016" s="34"/>
    </row>
    <row r="2017" spans="1:8" x14ac:dyDescent="0.3">
      <c r="A2017" t="s">
        <v>692</v>
      </c>
      <c r="B2017" s="3">
        <f t="shared" si="24"/>
        <v>44228</v>
      </c>
      <c r="C2017" s="2" t="str">
        <f>VLOOKUP(MONTH(Tabela1[[#This Row],[Periodo]]),NUMMESES,2,FALSE)</f>
        <v>Fevereiro</v>
      </c>
      <c r="D2017" s="2">
        <f>YEAR(Tabela1[[#This Row],[Periodo]])</f>
        <v>2021</v>
      </c>
      <c r="E2017" s="42">
        <f t="shared" si="25"/>
        <v>212.05627339407459</v>
      </c>
      <c r="F2017" s="34"/>
      <c r="G2017" s="34"/>
      <c r="H2017" s="34"/>
    </row>
    <row r="2018" spans="1:8" x14ac:dyDescent="0.3">
      <c r="A2018" t="s">
        <v>692</v>
      </c>
      <c r="B2018" s="3">
        <f t="shared" si="24"/>
        <v>44256</v>
      </c>
      <c r="C2018" s="2" t="str">
        <f>VLOOKUP(MONTH(Tabela1[[#This Row],[Periodo]]),NUMMESES,2,FALSE)</f>
        <v>Março</v>
      </c>
      <c r="D2018" s="2">
        <f>YEAR(Tabela1[[#This Row],[Periodo]])</f>
        <v>2021</v>
      </c>
      <c r="E2018" s="42">
        <f t="shared" si="25"/>
        <v>186.03039470618003</v>
      </c>
      <c r="F2018" s="34"/>
      <c r="G2018" s="34"/>
      <c r="H2018" s="34"/>
    </row>
    <row r="2019" spans="1:8" x14ac:dyDescent="0.3">
      <c r="A2019" t="s">
        <v>692</v>
      </c>
      <c r="B2019" s="3">
        <f t="shared" si="24"/>
        <v>44287</v>
      </c>
      <c r="C2019" s="2" t="str">
        <f>VLOOKUP(MONTH(Tabela1[[#This Row],[Periodo]]),NUMMESES,2,FALSE)</f>
        <v>Abril</v>
      </c>
      <c r="D2019" s="2">
        <f>YEAR(Tabela1[[#This Row],[Periodo]])</f>
        <v>2021</v>
      </c>
      <c r="E2019" s="42">
        <f t="shared" si="25"/>
        <v>193.08068681682175</v>
      </c>
      <c r="F2019" s="34"/>
      <c r="G2019" s="34"/>
      <c r="H2019" s="34"/>
    </row>
    <row r="2020" spans="1:8" x14ac:dyDescent="0.3">
      <c r="A2020" t="s">
        <v>692</v>
      </c>
      <c r="B2020" s="3">
        <f t="shared" si="24"/>
        <v>44317</v>
      </c>
      <c r="C2020" s="2" t="str">
        <f>VLOOKUP(MONTH(Tabela1[[#This Row],[Periodo]]),NUMMESES,2,FALSE)</f>
        <v>Maio</v>
      </c>
      <c r="D2020" s="2">
        <f>YEAR(Tabela1[[#This Row],[Periodo]])</f>
        <v>2021</v>
      </c>
      <c r="E2020" s="42">
        <f t="shared" si="25"/>
        <v>126.35324807527232</v>
      </c>
      <c r="F2020" s="34"/>
      <c r="G2020" s="34"/>
      <c r="H2020" s="34"/>
    </row>
    <row r="2021" spans="1:8" x14ac:dyDescent="0.3">
      <c r="A2021" t="s">
        <v>692</v>
      </c>
      <c r="B2021" s="3">
        <f t="shared" si="24"/>
        <v>44348</v>
      </c>
      <c r="C2021" s="2" t="str">
        <f>VLOOKUP(MONTH(Tabela1[[#This Row],[Periodo]]),NUMMESES,2,FALSE)</f>
        <v>Junho</v>
      </c>
      <c r="D2021" s="2">
        <f>YEAR(Tabela1[[#This Row],[Periodo]])</f>
        <v>2021</v>
      </c>
      <c r="E2021" s="42">
        <f t="shared" si="25"/>
        <v>133.56563599652486</v>
      </c>
      <c r="F2021" s="34"/>
      <c r="G2021" s="34"/>
      <c r="H2021" s="34"/>
    </row>
    <row r="2022" spans="1:8" x14ac:dyDescent="0.3">
      <c r="A2022" t="s">
        <v>692</v>
      </c>
      <c r="B2022" s="3">
        <f t="shared" si="24"/>
        <v>44378</v>
      </c>
      <c r="C2022" s="2" t="str">
        <f>VLOOKUP(MONTH(Tabela1[[#This Row],[Periodo]]),NUMMESES,2,FALSE)</f>
        <v>Julho</v>
      </c>
      <c r="D2022" s="2">
        <f>YEAR(Tabela1[[#This Row],[Periodo]])</f>
        <v>2021</v>
      </c>
      <c r="E2022" s="42">
        <f t="shared" si="25"/>
        <v>131.63574370416833</v>
      </c>
      <c r="F2022" s="34"/>
      <c r="G2022" s="34"/>
      <c r="H2022" s="34"/>
    </row>
    <row r="2023" spans="1:8" x14ac:dyDescent="0.3">
      <c r="A2023" t="s">
        <v>692</v>
      </c>
      <c r="B2023" s="3">
        <f t="shared" si="24"/>
        <v>44409</v>
      </c>
      <c r="C2023" s="2" t="str">
        <f>VLOOKUP(MONTH(Tabela1[[#This Row],[Periodo]]),NUMMESES,2,FALSE)</f>
        <v>Agosto</v>
      </c>
      <c r="D2023" s="2">
        <f>YEAR(Tabela1[[#This Row],[Periodo]])</f>
        <v>2021</v>
      </c>
      <c r="E2023" s="42">
        <f t="shared" si="25"/>
        <v>168.7868807841634</v>
      </c>
      <c r="F2023" s="34"/>
      <c r="G2023" s="34"/>
      <c r="H2023" s="34"/>
    </row>
    <row r="2024" spans="1:8" x14ac:dyDescent="0.3">
      <c r="A2024" t="s">
        <v>692</v>
      </c>
      <c r="B2024" s="3">
        <f t="shared" si="24"/>
        <v>44440</v>
      </c>
      <c r="C2024" s="2" t="str">
        <f>VLOOKUP(MONTH(Tabela1[[#This Row],[Periodo]]),NUMMESES,2,FALSE)</f>
        <v>Setembro</v>
      </c>
      <c r="D2024" s="2">
        <f>YEAR(Tabela1[[#This Row],[Periodo]])</f>
        <v>2021</v>
      </c>
      <c r="E2024" s="42">
        <f t="shared" si="25"/>
        <v>192.41007940012722</v>
      </c>
      <c r="F2024" s="34"/>
      <c r="G2024" s="34"/>
      <c r="H2024" s="34"/>
    </row>
    <row r="2025" spans="1:8" x14ac:dyDescent="0.3">
      <c r="A2025" t="s">
        <v>692</v>
      </c>
      <c r="B2025" s="3">
        <f t="shared" si="24"/>
        <v>44470</v>
      </c>
      <c r="C2025" s="2" t="str">
        <f>VLOOKUP(MONTH(Tabela1[[#This Row],[Periodo]]),NUMMESES,2,FALSE)</f>
        <v>Outubro</v>
      </c>
      <c r="D2025" s="2">
        <f>YEAR(Tabela1[[#This Row],[Periodo]])</f>
        <v>2021</v>
      </c>
      <c r="E2025" s="42">
        <f t="shared" si="25"/>
        <v>196.43553292632771</v>
      </c>
      <c r="F2025" s="34"/>
      <c r="G2025" s="34"/>
      <c r="H2025" s="34"/>
    </row>
    <row r="2026" spans="1:8" x14ac:dyDescent="0.3">
      <c r="A2026" t="s">
        <v>692</v>
      </c>
      <c r="B2026" s="3">
        <f t="shared" si="24"/>
        <v>44501</v>
      </c>
      <c r="C2026" s="2" t="str">
        <f>VLOOKUP(MONTH(Tabela1[[#This Row],[Periodo]]),NUMMESES,2,FALSE)</f>
        <v>Novembro</v>
      </c>
      <c r="D2026" s="2">
        <f>YEAR(Tabela1[[#This Row],[Periodo]])</f>
        <v>2021</v>
      </c>
      <c r="E2026" s="42">
        <f t="shared" si="25"/>
        <v>268.80156862508068</v>
      </c>
      <c r="F2026" s="34"/>
      <c r="G2026" s="34"/>
      <c r="H2026" s="34"/>
    </row>
    <row r="2027" spans="1:8" x14ac:dyDescent="0.3">
      <c r="A2027" t="s">
        <v>692</v>
      </c>
      <c r="B2027" s="3">
        <f t="shared" si="24"/>
        <v>44531</v>
      </c>
      <c r="C2027" s="2" t="str">
        <f>VLOOKUP(MONTH(Tabela1[[#This Row],[Periodo]]),NUMMESES,2,FALSE)</f>
        <v>Dezembro</v>
      </c>
      <c r="D2027" s="2">
        <f>YEAR(Tabela1[[#This Row],[Periodo]])</f>
        <v>2021</v>
      </c>
      <c r="E2027" s="42">
        <f t="shared" si="25"/>
        <v>254.53735161541937</v>
      </c>
      <c r="F2027" s="34"/>
      <c r="G2027" s="34"/>
      <c r="H2027" s="34"/>
    </row>
    <row r="2028" spans="1:8" x14ac:dyDescent="0.3">
      <c r="A2028" t="s">
        <v>692</v>
      </c>
      <c r="B2028" s="3">
        <f t="shared" si="24"/>
        <v>44562</v>
      </c>
      <c r="C2028" s="2" t="str">
        <f>VLOOKUP(MONTH(Tabela1[[#This Row],[Periodo]]),NUMMESES,2,FALSE)</f>
        <v>Janeiro</v>
      </c>
      <c r="D2028" s="2">
        <f>YEAR(Tabela1[[#This Row],[Periodo]])</f>
        <v>2022</v>
      </c>
      <c r="E2028" s="42">
        <f t="shared" si="25"/>
        <v>281.62848596448373</v>
      </c>
      <c r="F2028" s="34"/>
      <c r="G2028" s="34"/>
      <c r="H2028" s="34"/>
    </row>
    <row r="2029" spans="1:8" x14ac:dyDescent="0.3">
      <c r="A2029" t="s">
        <v>692</v>
      </c>
      <c r="B2029" s="3">
        <f t="shared" si="24"/>
        <v>44593</v>
      </c>
      <c r="C2029" s="2" t="str">
        <f>VLOOKUP(MONTH(Tabela1[[#This Row],[Periodo]]),NUMMESES,2,FALSE)</f>
        <v>Fevereiro</v>
      </c>
      <c r="D2029" s="2">
        <f>YEAR(Tabela1[[#This Row],[Periodo]])</f>
        <v>2022</v>
      </c>
      <c r="E2029" s="42">
        <f t="shared" si="25"/>
        <v>251.23930821835</v>
      </c>
      <c r="F2029" s="34"/>
      <c r="G2029" s="34"/>
      <c r="H2029" s="34"/>
    </row>
    <row r="2030" spans="1:8" x14ac:dyDescent="0.3">
      <c r="A2030" t="s">
        <v>692</v>
      </c>
      <c r="B2030" s="3">
        <f t="shared" si="24"/>
        <v>44621</v>
      </c>
      <c r="C2030" s="2" t="str">
        <f>VLOOKUP(MONTH(Tabela1[[#This Row],[Periodo]]),NUMMESES,2,FALSE)</f>
        <v>Março</v>
      </c>
      <c r="D2030" s="2">
        <f>YEAR(Tabela1[[#This Row],[Periodo]])</f>
        <v>2022</v>
      </c>
      <c r="E2030" s="42">
        <f t="shared" si="25"/>
        <v>130.83982186275324</v>
      </c>
      <c r="F2030" s="34"/>
      <c r="G2030" s="34"/>
      <c r="H2030" s="34"/>
    </row>
    <row r="2031" spans="1:8" x14ac:dyDescent="0.3">
      <c r="A2031" t="s">
        <v>692</v>
      </c>
      <c r="B2031" s="3">
        <f t="shared" si="24"/>
        <v>44652</v>
      </c>
      <c r="C2031" s="2" t="str">
        <f>VLOOKUP(MONTH(Tabela1[[#This Row],[Periodo]]),NUMMESES,2,FALSE)</f>
        <v>Abril</v>
      </c>
      <c r="D2031" s="2">
        <f>YEAR(Tabela1[[#This Row],[Periodo]])</f>
        <v>2022</v>
      </c>
      <c r="E2031" s="42">
        <f t="shared" si="25"/>
        <v>215.88127219696915</v>
      </c>
      <c r="F2031" s="34"/>
      <c r="G2031" s="34"/>
      <c r="H2031" s="34"/>
    </row>
    <row r="2032" spans="1:8" x14ac:dyDescent="0.3">
      <c r="A2032" t="s">
        <v>692</v>
      </c>
      <c r="B2032" s="3">
        <f t="shared" si="24"/>
        <v>44682</v>
      </c>
      <c r="C2032" s="2" t="str">
        <f>VLOOKUP(MONTH(Tabela1[[#This Row],[Periodo]]),NUMMESES,2,FALSE)</f>
        <v>Maio</v>
      </c>
      <c r="D2032" s="2">
        <f>YEAR(Tabela1[[#This Row],[Periodo]])</f>
        <v>2022</v>
      </c>
      <c r="E2032" s="42">
        <f t="shared" si="25"/>
        <v>181.00458811714969</v>
      </c>
      <c r="F2032" s="34"/>
      <c r="G2032" s="34"/>
      <c r="H2032" s="34"/>
    </row>
    <row r="2033" spans="1:8" x14ac:dyDescent="0.3">
      <c r="A2033" t="s">
        <v>692</v>
      </c>
      <c r="B2033" s="3">
        <f t="shared" si="24"/>
        <v>44713</v>
      </c>
      <c r="C2033" s="2" t="str">
        <f>VLOOKUP(MONTH(Tabela1[[#This Row],[Periodo]]),NUMMESES,2,FALSE)</f>
        <v>Junho</v>
      </c>
      <c r="D2033" s="2">
        <f>YEAR(Tabela1[[#This Row],[Periodo]])</f>
        <v>2022</v>
      </c>
      <c r="E2033" s="42">
        <f t="shared" si="25"/>
        <v>196.82665867090418</v>
      </c>
      <c r="F2033" s="34"/>
      <c r="G2033" s="34"/>
      <c r="H2033" s="34"/>
    </row>
    <row r="2034" spans="1:8" x14ac:dyDescent="0.3">
      <c r="A2034" t="s">
        <v>692</v>
      </c>
      <c r="B2034" s="3">
        <f t="shared" si="24"/>
        <v>44743</v>
      </c>
      <c r="C2034" s="2" t="str">
        <f>VLOOKUP(MONTH(Tabela1[[#This Row],[Periodo]]),NUMMESES,2,FALSE)</f>
        <v>Julho</v>
      </c>
      <c r="D2034" s="2">
        <f>YEAR(Tabela1[[#This Row],[Periodo]])</f>
        <v>2022</v>
      </c>
      <c r="E2034" s="42">
        <f t="shared" si="25"/>
        <v>251.72868932539757</v>
      </c>
      <c r="F2034" s="34"/>
      <c r="G2034" s="34"/>
      <c r="H2034" s="34"/>
    </row>
    <row r="2035" spans="1:8" x14ac:dyDescent="0.3">
      <c r="A2035" t="s">
        <v>692</v>
      </c>
      <c r="B2035" s="3">
        <f t="shared" si="24"/>
        <v>44774</v>
      </c>
      <c r="C2035" s="2" t="str">
        <f>VLOOKUP(MONTH(Tabela1[[#This Row],[Periodo]]),NUMMESES,2,FALSE)</f>
        <v>Agosto</v>
      </c>
      <c r="D2035" s="2">
        <f>YEAR(Tabela1[[#This Row],[Periodo]])</f>
        <v>2022</v>
      </c>
      <c r="E2035" s="42">
        <f t="shared" si="25"/>
        <v>218.78731267902882</v>
      </c>
      <c r="F2035" s="34"/>
      <c r="G2035" s="34"/>
      <c r="H2035" s="34"/>
    </row>
    <row r="2036" spans="1:8" x14ac:dyDescent="0.3">
      <c r="A2036" t="s">
        <v>692</v>
      </c>
      <c r="B2036" s="3">
        <f t="shared" si="24"/>
        <v>44805</v>
      </c>
      <c r="C2036" s="2" t="str">
        <f>VLOOKUP(MONTH(Tabela1[[#This Row],[Periodo]]),NUMMESES,2,FALSE)</f>
        <v>Setembro</v>
      </c>
      <c r="D2036" s="2">
        <f>YEAR(Tabela1[[#This Row],[Periodo]])</f>
        <v>2022</v>
      </c>
      <c r="E2036" s="42">
        <f t="shared" si="25"/>
        <v>243.79441657394099</v>
      </c>
      <c r="F2036" s="34"/>
      <c r="G2036" s="34"/>
      <c r="H2036" s="34"/>
    </row>
    <row r="2037" spans="1:8" x14ac:dyDescent="0.3">
      <c r="A2037" t="s">
        <v>692</v>
      </c>
      <c r="B2037" s="3">
        <f t="shared" si="24"/>
        <v>44835</v>
      </c>
      <c r="C2037" s="2" t="str">
        <f>VLOOKUP(MONTH(Tabela1[[#This Row],[Periodo]]),NUMMESES,2,FALSE)</f>
        <v>Outubro</v>
      </c>
      <c r="D2037" s="2">
        <f>YEAR(Tabela1[[#This Row],[Periodo]])</f>
        <v>2022</v>
      </c>
      <c r="E2037" s="42">
        <f t="shared" si="25"/>
        <v>301.56256804375755</v>
      </c>
      <c r="F2037" s="34"/>
      <c r="G2037" s="34"/>
      <c r="H2037" s="34"/>
    </row>
    <row r="2038" spans="1:8" x14ac:dyDescent="0.3">
      <c r="A2038" t="s">
        <v>692</v>
      </c>
      <c r="B2038" s="3">
        <f t="shared" si="24"/>
        <v>44866</v>
      </c>
      <c r="C2038" s="2" t="str">
        <f>VLOOKUP(MONTH(Tabela1[[#This Row],[Periodo]]),NUMMESES,2,FALSE)</f>
        <v>Novembro</v>
      </c>
      <c r="D2038" s="2">
        <f>YEAR(Tabela1[[#This Row],[Periodo]])</f>
        <v>2022</v>
      </c>
      <c r="E2038" s="42">
        <f>E1728+E1831-E1934</f>
        <v>296.19578358417164</v>
      </c>
      <c r="F2038" s="34"/>
      <c r="G2038" s="34"/>
      <c r="H2038" s="34"/>
    </row>
    <row r="2039" spans="1:8" x14ac:dyDescent="0.3">
      <c r="A2039" t="s">
        <v>692</v>
      </c>
      <c r="B2039" s="3">
        <f t="shared" si="24"/>
        <v>44896</v>
      </c>
      <c r="C2039" s="2" t="str">
        <f>VLOOKUP(MONTH(Tabela1[[#This Row],[Periodo]]),NUMMESES,2,FALSE)</f>
        <v>Dezembro</v>
      </c>
      <c r="D2039" s="2">
        <f>YEAR(Tabela1[[#This Row],[Periodo]])</f>
        <v>2022</v>
      </c>
      <c r="E2039" s="42">
        <f t="shared" ref="E2039:E2075" si="26">E1729+E1832-E1935</f>
        <v>301.71989334687839</v>
      </c>
      <c r="F2039" s="34"/>
      <c r="G2039" s="34"/>
      <c r="H2039" s="34"/>
    </row>
    <row r="2040" spans="1:8" x14ac:dyDescent="0.3">
      <c r="A2040" t="s">
        <v>692</v>
      </c>
      <c r="B2040" s="3">
        <f t="shared" si="24"/>
        <v>44927</v>
      </c>
      <c r="C2040" s="2" t="str">
        <f>VLOOKUP(MONTH(Tabela1[[#This Row],[Periodo]]),NUMMESES,2,FALSE)</f>
        <v>Janeiro</v>
      </c>
      <c r="D2040" s="2">
        <f>YEAR(Tabela1[[#This Row],[Periodo]])</f>
        <v>2023</v>
      </c>
      <c r="E2040" s="42">
        <f t="shared" si="26"/>
        <v>426.60888342589692</v>
      </c>
      <c r="F2040" s="34"/>
      <c r="G2040" s="34"/>
      <c r="H2040" s="34"/>
    </row>
    <row r="2041" spans="1:8" x14ac:dyDescent="0.3">
      <c r="A2041" t="s">
        <v>692</v>
      </c>
      <c r="B2041" s="3">
        <f t="shared" si="24"/>
        <v>44958</v>
      </c>
      <c r="C2041" s="2" t="str">
        <f>VLOOKUP(MONTH(Tabela1[[#This Row],[Periodo]]),NUMMESES,2,FALSE)</f>
        <v>Fevereiro</v>
      </c>
      <c r="D2041" s="2">
        <f>YEAR(Tabela1[[#This Row],[Periodo]])</f>
        <v>2023</v>
      </c>
      <c r="E2041" s="42">
        <f t="shared" si="26"/>
        <v>336.96394418357471</v>
      </c>
      <c r="F2041" s="34"/>
      <c r="G2041" s="34"/>
      <c r="H2041" s="34"/>
    </row>
    <row r="2042" spans="1:8" x14ac:dyDescent="0.3">
      <c r="A2042" t="s">
        <v>692</v>
      </c>
      <c r="B2042" s="3">
        <f t="shared" si="24"/>
        <v>44986</v>
      </c>
      <c r="C2042" s="2" t="str">
        <f>VLOOKUP(MONTH(Tabela1[[#This Row],[Periodo]]),NUMMESES,2,FALSE)</f>
        <v>Março</v>
      </c>
      <c r="D2042" s="2">
        <f>YEAR(Tabela1[[#This Row],[Periodo]])</f>
        <v>2023</v>
      </c>
      <c r="E2042" s="42">
        <f t="shared" si="26"/>
        <v>324.32313046513912</v>
      </c>
      <c r="F2042" s="34"/>
      <c r="G2042" s="34"/>
      <c r="H2042" s="34"/>
    </row>
    <row r="2043" spans="1:8" x14ac:dyDescent="0.3">
      <c r="A2043" t="s">
        <v>692</v>
      </c>
      <c r="B2043" s="3">
        <f t="shared" si="24"/>
        <v>45017</v>
      </c>
      <c r="C2043" s="2" t="str">
        <f>VLOOKUP(MONTH(Tabela1[[#This Row],[Periodo]]),NUMMESES,2,FALSE)</f>
        <v>Abril</v>
      </c>
      <c r="D2043" s="2">
        <f>YEAR(Tabela1[[#This Row],[Periodo]])</f>
        <v>2023</v>
      </c>
      <c r="E2043" s="42">
        <f t="shared" si="26"/>
        <v>344.1619425982538</v>
      </c>
      <c r="F2043" s="34"/>
      <c r="G2043" s="34"/>
      <c r="H2043" s="34"/>
    </row>
    <row r="2044" spans="1:8" x14ac:dyDescent="0.3">
      <c r="A2044" t="s">
        <v>692</v>
      </c>
      <c r="B2044" s="3">
        <f t="shared" si="24"/>
        <v>45047</v>
      </c>
      <c r="C2044" s="2" t="str">
        <f>VLOOKUP(MONTH(Tabela1[[#This Row],[Periodo]]),NUMMESES,2,FALSE)</f>
        <v>Maio</v>
      </c>
      <c r="D2044" s="2">
        <f>YEAR(Tabela1[[#This Row],[Periodo]])</f>
        <v>2023</v>
      </c>
      <c r="E2044" s="42">
        <f t="shared" si="26"/>
        <v>197.38428313587718</v>
      </c>
      <c r="F2044" s="34"/>
      <c r="G2044" s="34"/>
      <c r="H2044" s="34"/>
    </row>
    <row r="2045" spans="1:8" x14ac:dyDescent="0.3">
      <c r="A2045" t="s">
        <v>692</v>
      </c>
      <c r="B2045" s="3">
        <f t="shared" si="24"/>
        <v>45078</v>
      </c>
      <c r="C2045" s="2" t="str">
        <f>VLOOKUP(MONTH(Tabela1[[#This Row],[Periodo]]),NUMMESES,2,FALSE)</f>
        <v>Junho</v>
      </c>
      <c r="D2045" s="2">
        <f>YEAR(Tabela1[[#This Row],[Periodo]])</f>
        <v>2023</v>
      </c>
      <c r="E2045" s="42">
        <f t="shared" si="26"/>
        <v>213.20277476091522</v>
      </c>
      <c r="F2045" s="34"/>
      <c r="G2045" s="34"/>
      <c r="H2045" s="34"/>
    </row>
    <row r="2046" spans="1:8" x14ac:dyDescent="0.3">
      <c r="A2046" t="s">
        <v>692</v>
      </c>
      <c r="B2046" s="3">
        <f t="shared" si="24"/>
        <v>45108</v>
      </c>
      <c r="C2046" s="2" t="str">
        <f>VLOOKUP(MONTH(Tabela1[[#This Row],[Periodo]]),NUMMESES,2,FALSE)</f>
        <v>Julho</v>
      </c>
      <c r="D2046" s="2">
        <f>YEAR(Tabela1[[#This Row],[Periodo]])</f>
        <v>2023</v>
      </c>
      <c r="E2046" s="42">
        <f t="shared" si="26"/>
        <v>385.7819134571194</v>
      </c>
      <c r="F2046" s="34"/>
      <c r="G2046" s="34"/>
      <c r="H2046" s="34"/>
    </row>
    <row r="2047" spans="1:8" x14ac:dyDescent="0.3">
      <c r="A2047" t="s">
        <v>692</v>
      </c>
      <c r="B2047" s="3">
        <f t="shared" si="24"/>
        <v>45139</v>
      </c>
      <c r="C2047" s="2" t="str">
        <f>VLOOKUP(MONTH(Tabela1[[#This Row],[Periodo]]),NUMMESES,2,FALSE)</f>
        <v>Agosto</v>
      </c>
      <c r="D2047" s="2">
        <f>YEAR(Tabela1[[#This Row],[Periodo]])</f>
        <v>2023</v>
      </c>
      <c r="E2047" s="42">
        <f t="shared" si="26"/>
        <v>217.27357222928052</v>
      </c>
      <c r="F2047" s="34"/>
      <c r="G2047" s="34"/>
      <c r="H2047" s="34"/>
    </row>
    <row r="2048" spans="1:8" x14ac:dyDescent="0.3">
      <c r="A2048" t="s">
        <v>692</v>
      </c>
      <c r="B2048" s="3">
        <f t="shared" si="24"/>
        <v>45170</v>
      </c>
      <c r="C2048" s="2" t="str">
        <f>VLOOKUP(MONTH(Tabela1[[#This Row],[Periodo]]),NUMMESES,2,FALSE)</f>
        <v>Setembro</v>
      </c>
      <c r="D2048" s="2">
        <f>YEAR(Tabela1[[#This Row],[Periodo]])</f>
        <v>2023</v>
      </c>
      <c r="E2048" s="42">
        <f t="shared" si="26"/>
        <v>270.7338002178555</v>
      </c>
      <c r="F2048" s="34"/>
      <c r="G2048" s="34"/>
      <c r="H2048" s="34"/>
    </row>
    <row r="2049" spans="1:8" x14ac:dyDescent="0.3">
      <c r="A2049" t="s">
        <v>692</v>
      </c>
      <c r="B2049" s="3">
        <f t="shared" si="24"/>
        <v>45200</v>
      </c>
      <c r="C2049" s="2" t="str">
        <f>VLOOKUP(MONTH(Tabela1[[#This Row],[Periodo]]),NUMMESES,2,FALSE)</f>
        <v>Outubro</v>
      </c>
      <c r="D2049" s="2">
        <f>YEAR(Tabela1[[#This Row],[Periodo]])</f>
        <v>2023</v>
      </c>
      <c r="E2049" s="42">
        <f t="shared" si="26"/>
        <v>214.94121602932742</v>
      </c>
      <c r="F2049" s="34"/>
      <c r="G2049" s="34"/>
      <c r="H2049" s="34"/>
    </row>
    <row r="2050" spans="1:8" x14ac:dyDescent="0.3">
      <c r="A2050" t="s">
        <v>692</v>
      </c>
      <c r="B2050" s="3">
        <f t="shared" si="24"/>
        <v>45231</v>
      </c>
      <c r="C2050" s="2" t="str">
        <f>VLOOKUP(MONTH(Tabela1[[#This Row],[Periodo]]),NUMMESES,2,FALSE)</f>
        <v>Novembro</v>
      </c>
      <c r="D2050" s="2">
        <f>YEAR(Tabela1[[#This Row],[Periodo]])</f>
        <v>2023</v>
      </c>
      <c r="E2050" s="42">
        <f t="shared" si="26"/>
        <v>344.41754818146688</v>
      </c>
      <c r="F2050" s="34"/>
      <c r="G2050" s="34"/>
      <c r="H2050" s="34"/>
    </row>
    <row r="2051" spans="1:8" x14ac:dyDescent="0.3">
      <c r="A2051" t="s">
        <v>692</v>
      </c>
      <c r="B2051" s="3">
        <f t="shared" si="24"/>
        <v>45261</v>
      </c>
      <c r="C2051" s="2" t="str">
        <f>VLOOKUP(MONTH(Tabela1[[#This Row],[Periodo]]),NUMMESES,2,FALSE)</f>
        <v>Dezembro</v>
      </c>
      <c r="D2051" s="2">
        <f>YEAR(Tabela1[[#This Row],[Periodo]])</f>
        <v>2023</v>
      </c>
      <c r="E2051" s="42">
        <f t="shared" si="26"/>
        <v>279.33242633902188</v>
      </c>
      <c r="F2051" s="34"/>
      <c r="G2051" s="34"/>
      <c r="H2051" s="34"/>
    </row>
    <row r="2052" spans="1:8" x14ac:dyDescent="0.3">
      <c r="A2052" t="s">
        <v>692</v>
      </c>
      <c r="B2052" s="3">
        <f t="shared" si="24"/>
        <v>45292</v>
      </c>
      <c r="C2052" s="2" t="str">
        <f>VLOOKUP(MONTH(Tabela1[[#This Row],[Periodo]]),NUMMESES,2,FALSE)</f>
        <v>Janeiro</v>
      </c>
      <c r="D2052" s="2">
        <f>YEAR(Tabela1[[#This Row],[Periodo]])</f>
        <v>2024</v>
      </c>
      <c r="E2052" s="42">
        <f t="shared" si="26"/>
        <v>298.50056260358923</v>
      </c>
      <c r="F2052" s="34"/>
      <c r="G2052" s="34"/>
      <c r="H2052" s="34"/>
    </row>
    <row r="2053" spans="1:8" x14ac:dyDescent="0.3">
      <c r="A2053" t="s">
        <v>692</v>
      </c>
      <c r="B2053" s="3">
        <f t="shared" si="24"/>
        <v>45323</v>
      </c>
      <c r="C2053" s="2" t="str">
        <f>VLOOKUP(MONTH(Tabela1[[#This Row],[Periodo]]),NUMMESES,2,FALSE)</f>
        <v>Fevereiro</v>
      </c>
      <c r="D2053" s="2">
        <f>YEAR(Tabela1[[#This Row],[Periodo]])</f>
        <v>2024</v>
      </c>
      <c r="E2053" s="42">
        <f t="shared" si="26"/>
        <v>276.32712142621733</v>
      </c>
      <c r="F2053" s="34"/>
      <c r="G2053" s="34"/>
      <c r="H2053" s="34"/>
    </row>
    <row r="2054" spans="1:8" x14ac:dyDescent="0.3">
      <c r="A2054" t="s">
        <v>692</v>
      </c>
      <c r="B2054" s="3">
        <f t="shared" si="24"/>
        <v>45352</v>
      </c>
      <c r="C2054" s="2" t="str">
        <f>VLOOKUP(MONTH(Tabela1[[#This Row],[Periodo]]),NUMMESES,2,FALSE)</f>
        <v>Março</v>
      </c>
      <c r="D2054" s="2">
        <f>YEAR(Tabela1[[#This Row],[Periodo]])</f>
        <v>2024</v>
      </c>
      <c r="E2054" s="42">
        <f t="shared" si="26"/>
        <v>273.25803219064414</v>
      </c>
      <c r="F2054" s="34"/>
      <c r="G2054" s="34"/>
      <c r="H2054" s="34"/>
    </row>
    <row r="2055" spans="1:8" x14ac:dyDescent="0.3">
      <c r="A2055" t="s">
        <v>692</v>
      </c>
      <c r="B2055" s="3">
        <f t="shared" si="24"/>
        <v>45383</v>
      </c>
      <c r="C2055" s="2" t="str">
        <f>VLOOKUP(MONTH(Tabela1[[#This Row],[Periodo]]),NUMMESES,2,FALSE)</f>
        <v>Abril</v>
      </c>
      <c r="D2055" s="2">
        <f>YEAR(Tabela1[[#This Row],[Periodo]])</f>
        <v>2024</v>
      </c>
      <c r="E2055" s="42">
        <f t="shared" si="26"/>
        <v>206.90796652275935</v>
      </c>
      <c r="F2055" s="34"/>
      <c r="G2055" s="34"/>
      <c r="H2055" s="34"/>
    </row>
    <row r="2056" spans="1:8" x14ac:dyDescent="0.3">
      <c r="A2056" t="s">
        <v>692</v>
      </c>
      <c r="B2056" s="3">
        <f t="shared" si="24"/>
        <v>45413</v>
      </c>
      <c r="C2056" s="2" t="str">
        <f>VLOOKUP(MONTH(Tabela1[[#This Row],[Periodo]]),NUMMESES,2,FALSE)</f>
        <v>Maio</v>
      </c>
      <c r="D2056" s="2">
        <f>YEAR(Tabela1[[#This Row],[Periodo]])</f>
        <v>2024</v>
      </c>
      <c r="E2056" s="42">
        <f t="shared" si="26"/>
        <v>163.56499368043328</v>
      </c>
      <c r="F2056" s="34"/>
      <c r="G2056" s="34"/>
      <c r="H2056" s="34"/>
    </row>
    <row r="2057" spans="1:8" x14ac:dyDescent="0.3">
      <c r="A2057" t="s">
        <v>692</v>
      </c>
      <c r="B2057" s="3">
        <f t="shared" si="24"/>
        <v>45444</v>
      </c>
      <c r="C2057" s="2" t="str">
        <f>VLOOKUP(MONTH(Tabela1[[#This Row],[Periodo]]),NUMMESES,2,FALSE)</f>
        <v>Junho</v>
      </c>
      <c r="D2057" s="2">
        <f>YEAR(Tabela1[[#This Row],[Periodo]])</f>
        <v>2024</v>
      </c>
      <c r="E2057" s="42">
        <f t="shared" si="26"/>
        <v>226.98514630641174</v>
      </c>
      <c r="F2057" s="34"/>
      <c r="G2057" s="34"/>
      <c r="H2057" s="34"/>
    </row>
    <row r="2058" spans="1:8" x14ac:dyDescent="0.3">
      <c r="A2058" t="s">
        <v>692</v>
      </c>
      <c r="B2058" s="3">
        <f t="shared" si="24"/>
        <v>45474</v>
      </c>
      <c r="C2058" s="2" t="str">
        <f>VLOOKUP(MONTH(Tabela1[[#This Row],[Periodo]]),NUMMESES,2,FALSE)</f>
        <v>Julho</v>
      </c>
      <c r="D2058" s="2">
        <f>YEAR(Tabela1[[#This Row],[Periodo]])</f>
        <v>2024</v>
      </c>
      <c r="E2058" s="42">
        <f t="shared" si="26"/>
        <v>163.8887986381859</v>
      </c>
      <c r="F2058" s="34"/>
      <c r="G2058" s="34"/>
      <c r="H2058" s="34"/>
    </row>
    <row r="2059" spans="1:8" x14ac:dyDescent="0.3">
      <c r="A2059" t="s">
        <v>692</v>
      </c>
      <c r="B2059" s="3">
        <f t="shared" si="24"/>
        <v>45505</v>
      </c>
      <c r="C2059" s="2" t="str">
        <f>VLOOKUP(MONTH(Tabela1[[#This Row],[Periodo]]),NUMMESES,2,FALSE)</f>
        <v>Agosto</v>
      </c>
      <c r="D2059" s="2">
        <f>YEAR(Tabela1[[#This Row],[Periodo]])</f>
        <v>2024</v>
      </c>
      <c r="E2059" s="42">
        <f t="shared" si="26"/>
        <v>239.63662947747824</v>
      </c>
      <c r="F2059" s="34"/>
      <c r="G2059" s="34"/>
      <c r="H2059" s="34"/>
    </row>
    <row r="2060" spans="1:8" x14ac:dyDescent="0.3">
      <c r="A2060" t="s">
        <v>692</v>
      </c>
      <c r="B2060" s="3">
        <f t="shared" si="24"/>
        <v>45536</v>
      </c>
      <c r="C2060" s="2" t="str">
        <f>VLOOKUP(MONTH(Tabela1[[#This Row],[Periodo]]),NUMMESES,2,FALSE)</f>
        <v>Setembro</v>
      </c>
      <c r="D2060" s="2">
        <f>YEAR(Tabela1[[#This Row],[Periodo]])</f>
        <v>2024</v>
      </c>
      <c r="E2060" s="42">
        <f t="shared" si="26"/>
        <v>233.85385190836823</v>
      </c>
      <c r="F2060" s="34"/>
      <c r="G2060" s="34"/>
      <c r="H2060" s="34"/>
    </row>
    <row r="2061" spans="1:8" x14ac:dyDescent="0.3">
      <c r="A2061" t="s">
        <v>692</v>
      </c>
      <c r="B2061" s="3">
        <f t="shared" si="24"/>
        <v>45566</v>
      </c>
      <c r="C2061" s="2" t="str">
        <f>VLOOKUP(MONTH(Tabela1[[#This Row],[Periodo]]),NUMMESES,2,FALSE)</f>
        <v>Outubro</v>
      </c>
      <c r="D2061" s="2">
        <f>YEAR(Tabela1[[#This Row],[Periodo]])</f>
        <v>2024</v>
      </c>
      <c r="E2061" s="42">
        <f t="shared" si="26"/>
        <v>234.89608018652368</v>
      </c>
      <c r="F2061" s="34"/>
      <c r="G2061" s="34"/>
      <c r="H2061" s="34"/>
    </row>
    <row r="2062" spans="1:8" x14ac:dyDescent="0.3">
      <c r="A2062" t="s">
        <v>692</v>
      </c>
      <c r="B2062" s="3">
        <f t="shared" si="24"/>
        <v>45597</v>
      </c>
      <c r="C2062" s="2" t="str">
        <f>VLOOKUP(MONTH(Tabela1[[#This Row],[Periodo]]),NUMMESES,2,FALSE)</f>
        <v>Novembro</v>
      </c>
      <c r="D2062" s="2">
        <f>YEAR(Tabela1[[#This Row],[Periodo]])</f>
        <v>2024</v>
      </c>
      <c r="E2062" s="42">
        <f t="shared" si="26"/>
        <v>272.44542387984478</v>
      </c>
      <c r="F2062" s="34"/>
      <c r="G2062" s="34"/>
      <c r="H2062" s="34"/>
    </row>
    <row r="2063" spans="1:8" x14ac:dyDescent="0.3">
      <c r="A2063" t="s">
        <v>692</v>
      </c>
      <c r="B2063" s="3">
        <f t="shared" si="24"/>
        <v>45627</v>
      </c>
      <c r="C2063" s="2" t="str">
        <f>VLOOKUP(MONTH(Tabela1[[#This Row],[Periodo]]),NUMMESES,2,FALSE)</f>
        <v>Dezembro</v>
      </c>
      <c r="D2063" s="2">
        <f>YEAR(Tabela1[[#This Row],[Periodo]])</f>
        <v>2024</v>
      </c>
      <c r="E2063" s="42">
        <f t="shared" si="26"/>
        <v>187.3028585629354</v>
      </c>
      <c r="F2063" s="34"/>
      <c r="G2063" s="34"/>
      <c r="H2063" s="34"/>
    </row>
    <row r="2064" spans="1:8" x14ac:dyDescent="0.3">
      <c r="A2064" t="s">
        <v>692</v>
      </c>
      <c r="B2064" s="3">
        <f t="shared" si="24"/>
        <v>45658</v>
      </c>
      <c r="C2064" s="2" t="str">
        <f>VLOOKUP(MONTH(Tabela1[[#This Row],[Periodo]]),NUMMESES,2,FALSE)</f>
        <v>Janeiro</v>
      </c>
      <c r="D2064" s="2">
        <f>YEAR(Tabela1[[#This Row],[Periodo]])</f>
        <v>2025</v>
      </c>
      <c r="E2064" s="42">
        <f t="shared" si="26"/>
        <v>361.42822336982874</v>
      </c>
      <c r="F2064" s="34"/>
      <c r="G2064" s="34"/>
      <c r="H2064" s="34"/>
    </row>
    <row r="2065" spans="1:8" x14ac:dyDescent="0.3">
      <c r="A2065" t="s">
        <v>692</v>
      </c>
      <c r="B2065" s="3">
        <f t="shared" si="24"/>
        <v>45689</v>
      </c>
      <c r="C2065" s="2" t="str">
        <f>VLOOKUP(MONTH(Tabela1[[#This Row],[Periodo]]),NUMMESES,2,FALSE)</f>
        <v>Fevereiro</v>
      </c>
      <c r="D2065" s="2">
        <f>YEAR(Tabela1[[#This Row],[Periodo]])</f>
        <v>2025</v>
      </c>
      <c r="E2065" s="42">
        <f t="shared" si="26"/>
        <v>291.5333984612152</v>
      </c>
      <c r="F2065" s="34"/>
      <c r="G2065" s="34"/>
      <c r="H2065" s="34"/>
    </row>
    <row r="2066" spans="1:8" x14ac:dyDescent="0.3">
      <c r="A2066" t="s">
        <v>692</v>
      </c>
      <c r="B2066" s="3">
        <f t="shared" si="24"/>
        <v>45717</v>
      </c>
      <c r="C2066" s="2" t="str">
        <f>VLOOKUP(MONTH(Tabela1[[#This Row],[Periodo]]),NUMMESES,2,FALSE)</f>
        <v>Março</v>
      </c>
      <c r="D2066" s="2">
        <f>YEAR(Tabela1[[#This Row],[Periodo]])</f>
        <v>2025</v>
      </c>
      <c r="E2066" s="42">
        <f t="shared" si="26"/>
        <v>291.42287030262003</v>
      </c>
      <c r="F2066" s="34"/>
      <c r="G2066" s="34"/>
      <c r="H2066" s="34"/>
    </row>
    <row r="2067" spans="1:8" x14ac:dyDescent="0.3">
      <c r="A2067" t="s">
        <v>692</v>
      </c>
      <c r="B2067" s="3">
        <f t="shared" si="24"/>
        <v>45748</v>
      </c>
      <c r="C2067" s="2" t="str">
        <f>VLOOKUP(MONTH(Tabela1[[#This Row],[Periodo]]),NUMMESES,2,FALSE)</f>
        <v>Abril</v>
      </c>
      <c r="D2067" s="2">
        <f>YEAR(Tabela1[[#This Row],[Periodo]])</f>
        <v>2025</v>
      </c>
      <c r="E2067" s="42">
        <f t="shared" si="26"/>
        <v>178.00812987138289</v>
      </c>
      <c r="F2067" s="34"/>
      <c r="G2067" s="34"/>
      <c r="H2067" s="34"/>
    </row>
    <row r="2068" spans="1:8" x14ac:dyDescent="0.3">
      <c r="A2068" t="s">
        <v>692</v>
      </c>
      <c r="B2068" s="3">
        <f t="shared" si="24"/>
        <v>45778</v>
      </c>
      <c r="C2068" s="2" t="str">
        <f>VLOOKUP(MONTH(Tabela1[[#This Row],[Periodo]]),NUMMESES,2,FALSE)</f>
        <v>Maio</v>
      </c>
      <c r="D2068" s="2">
        <f>YEAR(Tabela1[[#This Row],[Periodo]])</f>
        <v>2025</v>
      </c>
      <c r="E2068" s="42">
        <f t="shared" si="26"/>
        <v>175.54469703123695</v>
      </c>
      <c r="F2068" s="34"/>
      <c r="G2068" s="34"/>
      <c r="H2068" s="34"/>
    </row>
    <row r="2069" spans="1:8" x14ac:dyDescent="0.3">
      <c r="A2069" t="s">
        <v>692</v>
      </c>
      <c r="B2069" s="3">
        <f t="shared" si="24"/>
        <v>45809</v>
      </c>
      <c r="C2069" s="2" t="str">
        <f>VLOOKUP(MONTH(Tabela1[[#This Row],[Periodo]]),NUMMESES,2,FALSE)</f>
        <v>Junho</v>
      </c>
      <c r="D2069" s="2">
        <f>YEAR(Tabela1[[#This Row],[Periodo]])</f>
        <v>2025</v>
      </c>
      <c r="E2069" s="42">
        <f t="shared" si="26"/>
        <v>291.20983093788675</v>
      </c>
      <c r="F2069" s="34"/>
      <c r="G2069" s="34"/>
      <c r="H2069" s="34"/>
    </row>
    <row r="2070" spans="1:8" x14ac:dyDescent="0.3">
      <c r="A2070" t="s">
        <v>692</v>
      </c>
      <c r="B2070" s="3">
        <f t="shared" si="24"/>
        <v>45839</v>
      </c>
      <c r="C2070" s="2" t="str">
        <f>VLOOKUP(MONTH(Tabela1[[#This Row],[Periodo]]),NUMMESES,2,FALSE)</f>
        <v>Julho</v>
      </c>
      <c r="D2070" s="2">
        <f>YEAR(Tabela1[[#This Row],[Periodo]])</f>
        <v>2025</v>
      </c>
      <c r="E2070" s="42">
        <f t="shared" si="26"/>
        <v>317.34972213471542</v>
      </c>
      <c r="F2070" s="34"/>
      <c r="G2070" s="34"/>
      <c r="H2070" s="34"/>
    </row>
    <row r="2071" spans="1:8" x14ac:dyDescent="0.3">
      <c r="A2071" t="s">
        <v>692</v>
      </c>
      <c r="B2071" s="3">
        <f t="shared" si="24"/>
        <v>45870</v>
      </c>
      <c r="C2071" s="2" t="str">
        <f>VLOOKUP(MONTH(Tabela1[[#This Row],[Periodo]]),NUMMESES,2,FALSE)</f>
        <v>Agosto</v>
      </c>
      <c r="D2071" s="2">
        <f>YEAR(Tabela1[[#This Row],[Periodo]])</f>
        <v>2025</v>
      </c>
      <c r="E2071" s="42">
        <f t="shared" si="26"/>
        <v>296.88945618590293</v>
      </c>
      <c r="F2071" s="34"/>
      <c r="G2071" s="34"/>
      <c r="H2071" s="34"/>
    </row>
    <row r="2072" spans="1:8" x14ac:dyDescent="0.3">
      <c r="A2072" t="s">
        <v>692</v>
      </c>
      <c r="B2072" s="3">
        <f t="shared" si="24"/>
        <v>45901</v>
      </c>
      <c r="C2072" s="2" t="str">
        <f>VLOOKUP(MONTH(Tabela1[[#This Row],[Periodo]]),NUMMESES,2,FALSE)</f>
        <v>Setembro</v>
      </c>
      <c r="D2072" s="2">
        <f>YEAR(Tabela1[[#This Row],[Periodo]])</f>
        <v>2025</v>
      </c>
      <c r="E2072" s="42">
        <f t="shared" si="26"/>
        <v>309.55837945468511</v>
      </c>
      <c r="F2072" s="34"/>
      <c r="G2072" s="34"/>
      <c r="H2072" s="34"/>
    </row>
    <row r="2073" spans="1:8" x14ac:dyDescent="0.3">
      <c r="A2073" t="s">
        <v>692</v>
      </c>
      <c r="B2073" s="3">
        <f t="shared" si="24"/>
        <v>45931</v>
      </c>
      <c r="C2073" s="2" t="str">
        <f>VLOOKUP(MONTH(Tabela1[[#This Row],[Periodo]]),NUMMESES,2,FALSE)</f>
        <v>Outubro</v>
      </c>
      <c r="D2073" s="2">
        <f>YEAR(Tabela1[[#This Row],[Periodo]])</f>
        <v>2025</v>
      </c>
      <c r="E2073" s="42">
        <f t="shared" si="26"/>
        <v>329.39388774234789</v>
      </c>
      <c r="F2073" s="34"/>
      <c r="G2073" s="34"/>
      <c r="H2073" s="34"/>
    </row>
    <row r="2074" spans="1:8" x14ac:dyDescent="0.3">
      <c r="A2074" t="s">
        <v>692</v>
      </c>
      <c r="B2074" s="3">
        <f t="shared" si="24"/>
        <v>45962</v>
      </c>
      <c r="C2074" s="2" t="str">
        <f>VLOOKUP(MONTH(Tabela1[[#This Row],[Periodo]]),NUMMESES,2,FALSE)</f>
        <v>Novembro</v>
      </c>
      <c r="D2074" s="2">
        <f>YEAR(Tabela1[[#This Row],[Periodo]])</f>
        <v>2025</v>
      </c>
      <c r="E2074" s="42">
        <f t="shared" si="26"/>
        <v>281.48869760640935</v>
      </c>
      <c r="F2074" s="34"/>
      <c r="G2074" s="34"/>
      <c r="H2074" s="34"/>
    </row>
    <row r="2075" spans="1:8" x14ac:dyDescent="0.3">
      <c r="A2075" t="s">
        <v>692</v>
      </c>
      <c r="B2075" s="3">
        <f t="shared" si="24"/>
        <v>45992</v>
      </c>
      <c r="C2075" s="2" t="str">
        <f>VLOOKUP(MONTH(Tabela1[[#This Row],[Periodo]]),NUMMESES,2,FALSE)</f>
        <v>Dezembro</v>
      </c>
      <c r="D2075" s="2">
        <f>YEAR(Tabela1[[#This Row],[Periodo]])</f>
        <v>2025</v>
      </c>
      <c r="E2075" s="42">
        <f t="shared" si="26"/>
        <v>391.89960454325342</v>
      </c>
      <c r="F2075" s="34"/>
      <c r="G2075" s="34"/>
      <c r="H2075" s="34"/>
    </row>
    <row r="2076" spans="1:8" x14ac:dyDescent="0.3">
      <c r="A2076" t="s">
        <v>692</v>
      </c>
      <c r="B2076" s="3">
        <f t="shared" si="24"/>
        <v>46023</v>
      </c>
      <c r="C2076" s="2" t="str">
        <f>VLOOKUP(MONTH(Tabela1[[#This Row],[Periodo]]),NUMMESES,2,FALSE)</f>
        <v>Janeiro</v>
      </c>
      <c r="D2076" s="2">
        <f>YEAR(Tabela1[[#This Row],[Periodo]])</f>
        <v>2026</v>
      </c>
      <c r="E2076" s="42">
        <f>E1767+E1870-E1973</f>
        <v>0</v>
      </c>
      <c r="F2076" s="34"/>
      <c r="G2076" s="34"/>
      <c r="H2076" s="34"/>
    </row>
    <row r="2077" spans="1:8" x14ac:dyDescent="0.3">
      <c r="B2077" s="3"/>
      <c r="C2077" s="2"/>
      <c r="D2077" s="2"/>
      <c r="E2077" s="42"/>
      <c r="F2077" s="34"/>
      <c r="G2077" s="34"/>
      <c r="H2077" s="34"/>
    </row>
    <row r="2078" spans="1:8" x14ac:dyDescent="0.3">
      <c r="A2078" t="s">
        <v>1136</v>
      </c>
      <c r="B2078" s="3">
        <v>44562</v>
      </c>
      <c r="C2078" s="2" t="str">
        <f>VLOOKUP(MONTH(Tabela1[[#This Row],[Periodo]]),NUMMESES,2,FALSE)</f>
        <v>Janeiro</v>
      </c>
      <c r="D2078" s="2">
        <f>YEAR(Tabela1[[#This Row],[Periodo]])</f>
        <v>2022</v>
      </c>
      <c r="E2078" s="42">
        <f t="shared" ref="E2078:E2109" si="27">E1821-E1924</f>
        <v>66.423953504287567</v>
      </c>
      <c r="F2078" s="34"/>
      <c r="G2078" s="34"/>
      <c r="H2078" s="34"/>
    </row>
    <row r="2079" spans="1:8" x14ac:dyDescent="0.3">
      <c r="A2079" t="s">
        <v>1136</v>
      </c>
      <c r="B2079" s="3">
        <f t="shared" ref="B2079:B2126" si="28">DATE(YEAR(B2078),MONTH(B2078)+1,DAY(B2078))</f>
        <v>44593</v>
      </c>
      <c r="C2079" s="2" t="str">
        <f>VLOOKUP(MONTH(Tabela1[[#This Row],[Periodo]]),NUMMESES,2,FALSE)</f>
        <v>Fevereiro</v>
      </c>
      <c r="D2079" s="2">
        <f>YEAR(Tabela1[[#This Row],[Periodo]])</f>
        <v>2022</v>
      </c>
      <c r="E2079" s="42">
        <f t="shared" si="27"/>
        <v>50.918426926331691</v>
      </c>
      <c r="F2079" s="34"/>
      <c r="G2079" s="34"/>
      <c r="H2079" s="34"/>
    </row>
    <row r="2080" spans="1:8" x14ac:dyDescent="0.3">
      <c r="A2080" t="s">
        <v>1136</v>
      </c>
      <c r="B2080" s="3">
        <f t="shared" si="28"/>
        <v>44621</v>
      </c>
      <c r="C2080" s="2" t="str">
        <f>VLOOKUP(MONTH(Tabela1[[#This Row],[Periodo]]),NUMMESES,2,FALSE)</f>
        <v>Março</v>
      </c>
      <c r="D2080" s="2">
        <f>YEAR(Tabela1[[#This Row],[Periodo]])</f>
        <v>2022</v>
      </c>
      <c r="E2080" s="42">
        <f t="shared" si="27"/>
        <v>34.997932431878993</v>
      </c>
      <c r="F2080" s="34"/>
      <c r="G2080" s="34"/>
      <c r="H2080" s="34"/>
    </row>
    <row r="2081" spans="1:8" x14ac:dyDescent="0.3">
      <c r="A2081" t="s">
        <v>1136</v>
      </c>
      <c r="B2081" s="3">
        <f t="shared" si="28"/>
        <v>44652</v>
      </c>
      <c r="C2081" s="2" t="str">
        <f>VLOOKUP(MONTH(Tabela1[[#This Row],[Periodo]]),NUMMESES,2,FALSE)</f>
        <v>Abril</v>
      </c>
      <c r="D2081" s="2">
        <f>YEAR(Tabela1[[#This Row],[Periodo]])</f>
        <v>2022</v>
      </c>
      <c r="E2081" s="42">
        <f t="shared" si="27"/>
        <v>42.686296031267467</v>
      </c>
      <c r="F2081" s="34"/>
      <c r="G2081" s="34"/>
      <c r="H2081" s="34"/>
    </row>
    <row r="2082" spans="1:8" x14ac:dyDescent="0.3">
      <c r="A2082" t="s">
        <v>1136</v>
      </c>
      <c r="B2082" s="3">
        <f t="shared" si="28"/>
        <v>44682</v>
      </c>
      <c r="C2082" s="2" t="str">
        <f>VLOOKUP(MONTH(Tabela1[[#This Row],[Periodo]]),NUMMESES,2,FALSE)</f>
        <v>Maio</v>
      </c>
      <c r="D2082" s="2">
        <f>YEAR(Tabela1[[#This Row],[Periodo]])</f>
        <v>2022</v>
      </c>
      <c r="E2082" s="42">
        <f t="shared" si="27"/>
        <v>40.207386521444604</v>
      </c>
      <c r="F2082" s="34"/>
      <c r="G2082" s="34"/>
      <c r="H2082" s="34"/>
    </row>
    <row r="2083" spans="1:8" x14ac:dyDescent="0.3">
      <c r="A2083" t="s">
        <v>1136</v>
      </c>
      <c r="B2083" s="3">
        <f t="shared" si="28"/>
        <v>44713</v>
      </c>
      <c r="C2083" s="2" t="str">
        <f>VLOOKUP(MONTH(Tabela1[[#This Row],[Periodo]]),NUMMESES,2,FALSE)</f>
        <v>Junho</v>
      </c>
      <c r="D2083" s="2">
        <f>YEAR(Tabela1[[#This Row],[Periodo]])</f>
        <v>2022</v>
      </c>
      <c r="E2083" s="42">
        <f t="shared" si="27"/>
        <v>49.0473931879216</v>
      </c>
      <c r="F2083" s="34"/>
      <c r="G2083" s="34"/>
      <c r="H2083" s="34"/>
    </row>
    <row r="2084" spans="1:8" x14ac:dyDescent="0.3">
      <c r="A2084" t="s">
        <v>1136</v>
      </c>
      <c r="B2084" s="3">
        <f t="shared" si="28"/>
        <v>44743</v>
      </c>
      <c r="C2084" s="2" t="str">
        <f>VLOOKUP(MONTH(Tabela1[[#This Row],[Periodo]]),NUMMESES,2,FALSE)</f>
        <v>Julho</v>
      </c>
      <c r="D2084" s="2">
        <f>YEAR(Tabela1[[#This Row],[Periodo]])</f>
        <v>2022</v>
      </c>
      <c r="E2084" s="42">
        <f t="shared" si="27"/>
        <v>67.938490247475755</v>
      </c>
      <c r="F2084" s="34"/>
      <c r="G2084" s="34"/>
      <c r="H2084" s="34"/>
    </row>
    <row r="2085" spans="1:8" x14ac:dyDescent="0.3">
      <c r="A2085" t="s">
        <v>1136</v>
      </c>
      <c r="B2085" s="3">
        <f t="shared" si="28"/>
        <v>44774</v>
      </c>
      <c r="C2085" s="2" t="str">
        <f>VLOOKUP(MONTH(Tabela1[[#This Row],[Periodo]]),NUMMESES,2,FALSE)</f>
        <v>Agosto</v>
      </c>
      <c r="D2085" s="2">
        <f>YEAR(Tabela1[[#This Row],[Periodo]])</f>
        <v>2022</v>
      </c>
      <c r="E2085" s="42">
        <f t="shared" si="27"/>
        <v>61.536707681443936</v>
      </c>
      <c r="F2085" s="34"/>
      <c r="G2085" s="34"/>
      <c r="H2085" s="34"/>
    </row>
    <row r="2086" spans="1:8" x14ac:dyDescent="0.3">
      <c r="A2086" t="s">
        <v>1136</v>
      </c>
      <c r="B2086" s="3">
        <f t="shared" si="28"/>
        <v>44805</v>
      </c>
      <c r="C2086" s="2" t="str">
        <f>VLOOKUP(MONTH(Tabela1[[#This Row],[Periodo]]),NUMMESES,2,FALSE)</f>
        <v>Setembro</v>
      </c>
      <c r="D2086" s="2">
        <f>YEAR(Tabela1[[#This Row],[Periodo]])</f>
        <v>2022</v>
      </c>
      <c r="E2086" s="42">
        <f t="shared" si="27"/>
        <v>56.444409475115151</v>
      </c>
      <c r="F2086" s="34"/>
      <c r="G2086" s="34"/>
      <c r="H2086" s="34"/>
    </row>
    <row r="2087" spans="1:8" x14ac:dyDescent="0.3">
      <c r="A2087" t="s">
        <v>1136</v>
      </c>
      <c r="B2087" s="3">
        <f t="shared" si="28"/>
        <v>44835</v>
      </c>
      <c r="C2087" s="2" t="str">
        <f>VLOOKUP(MONTH(Tabela1[[#This Row],[Periodo]]),NUMMESES,2,FALSE)</f>
        <v>Outubro</v>
      </c>
      <c r="D2087" s="2">
        <f>YEAR(Tabela1[[#This Row],[Periodo]])</f>
        <v>2022</v>
      </c>
      <c r="E2087" s="42">
        <f t="shared" si="27"/>
        <v>66.679683218240186</v>
      </c>
      <c r="F2087" s="34"/>
      <c r="G2087" s="34"/>
      <c r="H2087" s="34"/>
    </row>
    <row r="2088" spans="1:8" x14ac:dyDescent="0.3">
      <c r="A2088" t="s">
        <v>1136</v>
      </c>
      <c r="B2088" s="3">
        <f t="shared" si="28"/>
        <v>44866</v>
      </c>
      <c r="C2088" s="2" t="str">
        <f>VLOOKUP(MONTH(Tabela1[[#This Row],[Periodo]]),NUMMESES,2,FALSE)</f>
        <v>Novembro</v>
      </c>
      <c r="D2088" s="2">
        <f>YEAR(Tabela1[[#This Row],[Periodo]])</f>
        <v>2022</v>
      </c>
      <c r="E2088" s="42">
        <f t="shared" si="27"/>
        <v>69.424134787520629</v>
      </c>
      <c r="F2088" s="34"/>
      <c r="G2088" s="34"/>
      <c r="H2088" s="34"/>
    </row>
    <row r="2089" spans="1:8" x14ac:dyDescent="0.3">
      <c r="A2089" t="s">
        <v>1136</v>
      </c>
      <c r="B2089" s="3">
        <f t="shared" si="28"/>
        <v>44896</v>
      </c>
      <c r="C2089" s="2" t="str">
        <f>VLOOKUP(MONTH(Tabela1[[#This Row],[Periodo]]),NUMMESES,2,FALSE)</f>
        <v>Dezembro</v>
      </c>
      <c r="D2089" s="2">
        <f>YEAR(Tabela1[[#This Row],[Periodo]])</f>
        <v>2022</v>
      </c>
      <c r="E2089" s="42">
        <f t="shared" si="27"/>
        <v>86.903503518310217</v>
      </c>
      <c r="F2089" s="34"/>
      <c r="G2089" s="34"/>
      <c r="H2089" s="34"/>
    </row>
    <row r="2090" spans="1:8" x14ac:dyDescent="0.3">
      <c r="A2090" t="s">
        <v>1136</v>
      </c>
      <c r="B2090" s="3">
        <f t="shared" si="28"/>
        <v>44927</v>
      </c>
      <c r="C2090" s="2" t="str">
        <f>VLOOKUP(MONTH(Tabela1[[#This Row],[Periodo]]),NUMMESES,2,FALSE)</f>
        <v>Janeiro</v>
      </c>
      <c r="D2090" s="2">
        <f>YEAR(Tabela1[[#This Row],[Periodo]])</f>
        <v>2023</v>
      </c>
      <c r="E2090" s="42">
        <f t="shared" si="27"/>
        <v>86.518575550701868</v>
      </c>
      <c r="F2090" s="34"/>
      <c r="G2090" s="34"/>
      <c r="H2090" s="34"/>
    </row>
    <row r="2091" spans="1:8" x14ac:dyDescent="0.3">
      <c r="A2091" t="s">
        <v>1136</v>
      </c>
      <c r="B2091" s="3">
        <f t="shared" si="28"/>
        <v>44958</v>
      </c>
      <c r="C2091" s="2" t="str">
        <f>VLOOKUP(MONTH(Tabela1[[#This Row],[Periodo]]),NUMMESES,2,FALSE)</f>
        <v>Fevereiro</v>
      </c>
      <c r="D2091" s="2">
        <f>YEAR(Tabela1[[#This Row],[Periodo]])</f>
        <v>2023</v>
      </c>
      <c r="E2091" s="42">
        <f t="shared" si="27"/>
        <v>79.597563327063881</v>
      </c>
      <c r="F2091" s="34"/>
      <c r="G2091" s="34"/>
      <c r="H2091" s="34"/>
    </row>
    <row r="2092" spans="1:8" x14ac:dyDescent="0.3">
      <c r="A2092" t="s">
        <v>1136</v>
      </c>
      <c r="B2092" s="3">
        <f t="shared" si="28"/>
        <v>44986</v>
      </c>
      <c r="C2092" s="2" t="str">
        <f>VLOOKUP(MONTH(Tabela1[[#This Row],[Periodo]]),NUMMESES,2,FALSE)</f>
        <v>Março</v>
      </c>
      <c r="D2092" s="2">
        <f>YEAR(Tabela1[[#This Row],[Periodo]])</f>
        <v>2023</v>
      </c>
      <c r="E2092" s="42">
        <f t="shared" si="27"/>
        <v>71.248318776717369</v>
      </c>
      <c r="F2092" s="34"/>
      <c r="G2092" s="34"/>
      <c r="H2092" s="34"/>
    </row>
    <row r="2093" spans="1:8" x14ac:dyDescent="0.3">
      <c r="A2093" t="s">
        <v>1136</v>
      </c>
      <c r="B2093" s="3">
        <f t="shared" si="28"/>
        <v>45017</v>
      </c>
      <c r="C2093" s="2" t="str">
        <f>VLOOKUP(MONTH(Tabela1[[#This Row],[Periodo]]),NUMMESES,2,FALSE)</f>
        <v>Abril</v>
      </c>
      <c r="D2093" s="2">
        <f>YEAR(Tabela1[[#This Row],[Periodo]])</f>
        <v>2023</v>
      </c>
      <c r="E2093" s="42">
        <f t="shared" si="27"/>
        <v>52.448224054853064</v>
      </c>
      <c r="F2093" s="34"/>
      <c r="G2093" s="34"/>
      <c r="H2093" s="34"/>
    </row>
    <row r="2094" spans="1:8" x14ac:dyDescent="0.3">
      <c r="A2094" t="s">
        <v>1136</v>
      </c>
      <c r="B2094" s="3">
        <f t="shared" si="28"/>
        <v>45047</v>
      </c>
      <c r="C2094" s="2" t="str">
        <f>VLOOKUP(MONTH(Tabela1[[#This Row],[Periodo]]),NUMMESES,2,FALSE)</f>
        <v>Maio</v>
      </c>
      <c r="D2094" s="2">
        <f>YEAR(Tabela1[[#This Row],[Periodo]])</f>
        <v>2023</v>
      </c>
      <c r="E2094" s="42">
        <f t="shared" si="27"/>
        <v>39.350375043972733</v>
      </c>
      <c r="F2094" s="34"/>
      <c r="G2094" s="34"/>
      <c r="H2094" s="34"/>
    </row>
    <row r="2095" spans="1:8" x14ac:dyDescent="0.3">
      <c r="A2095" t="s">
        <v>1136</v>
      </c>
      <c r="B2095" s="3">
        <f t="shared" si="28"/>
        <v>45078</v>
      </c>
      <c r="C2095" s="2" t="str">
        <f>VLOOKUP(MONTH(Tabela1[[#This Row],[Periodo]]),NUMMESES,2,FALSE)</f>
        <v>Junho</v>
      </c>
      <c r="D2095" s="2">
        <f>YEAR(Tabela1[[#This Row],[Periodo]])</f>
        <v>2023</v>
      </c>
      <c r="E2095" s="42">
        <f t="shared" si="27"/>
        <v>40.133957584280878</v>
      </c>
      <c r="F2095" s="34"/>
      <c r="G2095" s="34"/>
      <c r="H2095" s="34"/>
    </row>
    <row r="2096" spans="1:8" x14ac:dyDescent="0.3">
      <c r="A2096" t="s">
        <v>1136</v>
      </c>
      <c r="B2096" s="3">
        <f t="shared" si="28"/>
        <v>45108</v>
      </c>
      <c r="C2096" s="2" t="str">
        <f>VLOOKUP(MONTH(Tabela1[[#This Row],[Periodo]]),NUMMESES,2,FALSE)</f>
        <v>Julho</v>
      </c>
      <c r="D2096" s="2">
        <f>YEAR(Tabela1[[#This Row],[Periodo]])</f>
        <v>2023</v>
      </c>
      <c r="E2096" s="42">
        <f t="shared" si="27"/>
        <v>83.105566346155598</v>
      </c>
      <c r="F2096" s="34"/>
      <c r="G2096" s="34"/>
      <c r="H2096" s="34"/>
    </row>
    <row r="2097" spans="1:8" x14ac:dyDescent="0.3">
      <c r="A2097" t="s">
        <v>1136</v>
      </c>
      <c r="B2097" s="3">
        <f t="shared" si="28"/>
        <v>45139</v>
      </c>
      <c r="C2097" s="2" t="str">
        <f>VLOOKUP(MONTH(Tabela1[[#This Row],[Periodo]]),NUMMESES,2,FALSE)</f>
        <v>Agosto</v>
      </c>
      <c r="D2097" s="2">
        <f>YEAR(Tabela1[[#This Row],[Periodo]])</f>
        <v>2023</v>
      </c>
      <c r="E2097" s="42">
        <f t="shared" si="27"/>
        <v>37.639087492105375</v>
      </c>
      <c r="F2097" s="34"/>
      <c r="G2097" s="34"/>
      <c r="H2097" s="34"/>
    </row>
    <row r="2098" spans="1:8" x14ac:dyDescent="0.3">
      <c r="A2098" t="s">
        <v>1136</v>
      </c>
      <c r="B2098" s="3">
        <f t="shared" si="28"/>
        <v>45170</v>
      </c>
      <c r="C2098" s="2" t="str">
        <f>VLOOKUP(MONTH(Tabela1[[#This Row],[Periodo]]),NUMMESES,2,FALSE)</f>
        <v>Setembro</v>
      </c>
      <c r="D2098" s="2">
        <f>YEAR(Tabela1[[#This Row],[Periodo]])</f>
        <v>2023</v>
      </c>
      <c r="E2098" s="42">
        <f t="shared" si="27"/>
        <v>62.400784247177967</v>
      </c>
      <c r="F2098" s="34"/>
      <c r="G2098" s="34"/>
      <c r="H2098" s="34"/>
    </row>
    <row r="2099" spans="1:8" x14ac:dyDescent="0.3">
      <c r="A2099" t="s">
        <v>1136</v>
      </c>
      <c r="B2099" s="3">
        <f t="shared" si="28"/>
        <v>45200</v>
      </c>
      <c r="C2099" s="2" t="str">
        <f>VLOOKUP(MONTH(Tabela1[[#This Row],[Periodo]]),NUMMESES,2,FALSE)</f>
        <v>Outubro</v>
      </c>
      <c r="D2099" s="2">
        <f>YEAR(Tabela1[[#This Row],[Periodo]])</f>
        <v>2023</v>
      </c>
      <c r="E2099" s="42">
        <f t="shared" si="27"/>
        <v>42.266723829838803</v>
      </c>
      <c r="F2099" s="34"/>
      <c r="G2099" s="34"/>
      <c r="H2099" s="34"/>
    </row>
    <row r="2100" spans="1:8" x14ac:dyDescent="0.3">
      <c r="A2100" t="s">
        <v>1136</v>
      </c>
      <c r="B2100" s="3">
        <f t="shared" si="28"/>
        <v>45231</v>
      </c>
      <c r="C2100" s="2" t="str">
        <f>VLOOKUP(MONTH(Tabela1[[#This Row],[Periodo]]),NUMMESES,2,FALSE)</f>
        <v>Novembro</v>
      </c>
      <c r="D2100" s="2">
        <f>YEAR(Tabela1[[#This Row],[Periodo]])</f>
        <v>2023</v>
      </c>
      <c r="E2100" s="42">
        <f t="shared" si="27"/>
        <v>90.958360853748374</v>
      </c>
      <c r="F2100" s="34"/>
      <c r="G2100" s="34"/>
      <c r="H2100" s="34"/>
    </row>
    <row r="2101" spans="1:8" x14ac:dyDescent="0.3">
      <c r="A2101" t="s">
        <v>1136</v>
      </c>
      <c r="B2101" s="3">
        <f t="shared" si="28"/>
        <v>45261</v>
      </c>
      <c r="C2101" s="2" t="str">
        <f>VLOOKUP(MONTH(Tabela1[[#This Row],[Periodo]]),NUMMESES,2,FALSE)</f>
        <v>Dezembro</v>
      </c>
      <c r="D2101" s="2">
        <f>YEAR(Tabela1[[#This Row],[Periodo]])</f>
        <v>2023</v>
      </c>
      <c r="E2101" s="42">
        <f t="shared" si="27"/>
        <v>61.930020515640841</v>
      </c>
      <c r="F2101" s="34"/>
      <c r="G2101" s="34"/>
      <c r="H2101" s="34"/>
    </row>
    <row r="2102" spans="1:8" x14ac:dyDescent="0.3">
      <c r="A2102" t="s">
        <v>1136</v>
      </c>
      <c r="B2102" s="3">
        <f t="shared" si="28"/>
        <v>45292</v>
      </c>
      <c r="C2102" s="2" t="str">
        <f>VLOOKUP(MONTH(Tabela1[[#This Row],[Periodo]]),NUMMESES,2,FALSE)</f>
        <v>Janeiro</v>
      </c>
      <c r="D2102" s="2">
        <f>YEAR(Tabela1[[#This Row],[Periodo]])</f>
        <v>2024</v>
      </c>
      <c r="E2102" s="42">
        <f t="shared" si="27"/>
        <v>68.793150412352105</v>
      </c>
      <c r="F2102" s="34"/>
      <c r="G2102" s="34"/>
      <c r="H2102" s="34"/>
    </row>
    <row r="2103" spans="1:8" x14ac:dyDescent="0.3">
      <c r="A2103" t="s">
        <v>1136</v>
      </c>
      <c r="B2103" s="3">
        <f t="shared" si="28"/>
        <v>45323</v>
      </c>
      <c r="C2103" s="2" t="str">
        <f>VLOOKUP(MONTH(Tabela1[[#This Row],[Periodo]]),NUMMESES,2,FALSE)</f>
        <v>Fevereiro</v>
      </c>
      <c r="D2103" s="2">
        <f>YEAR(Tabela1[[#This Row],[Periodo]])</f>
        <v>2024</v>
      </c>
      <c r="E2103" s="42">
        <f t="shared" si="27"/>
        <v>53.037581686481381</v>
      </c>
      <c r="F2103" s="34"/>
      <c r="G2103" s="34"/>
      <c r="H2103" s="34"/>
    </row>
    <row r="2104" spans="1:8" x14ac:dyDescent="0.3">
      <c r="A2104" t="s">
        <v>1136</v>
      </c>
      <c r="B2104" s="3">
        <f t="shared" si="28"/>
        <v>45352</v>
      </c>
      <c r="C2104" s="2" t="str">
        <f>VLOOKUP(MONTH(Tabela1[[#This Row],[Periodo]]),NUMMESES,2,FALSE)</f>
        <v>Março</v>
      </c>
      <c r="D2104" s="2">
        <f>YEAR(Tabela1[[#This Row],[Periodo]])</f>
        <v>2024</v>
      </c>
      <c r="E2104" s="42">
        <f t="shared" si="27"/>
        <v>58.419527814796247</v>
      </c>
      <c r="F2104" s="34"/>
      <c r="G2104" s="34"/>
      <c r="H2104" s="34"/>
    </row>
    <row r="2105" spans="1:8" x14ac:dyDescent="0.3">
      <c r="A2105" t="s">
        <v>1136</v>
      </c>
      <c r="B2105" s="3">
        <f t="shared" si="28"/>
        <v>45383</v>
      </c>
      <c r="C2105" s="2" t="str">
        <f>VLOOKUP(MONTH(Tabela1[[#This Row],[Periodo]]),NUMMESES,2,FALSE)</f>
        <v>Abril</v>
      </c>
      <c r="D2105" s="2">
        <f>YEAR(Tabela1[[#This Row],[Periodo]])</f>
        <v>2024</v>
      </c>
      <c r="E2105" s="42">
        <f t="shared" si="27"/>
        <v>38.281341778006592</v>
      </c>
      <c r="F2105" s="34"/>
      <c r="G2105" s="34"/>
      <c r="H2105" s="34"/>
    </row>
    <row r="2106" spans="1:8" x14ac:dyDescent="0.3">
      <c r="A2106" t="s">
        <v>1136</v>
      </c>
      <c r="B2106" s="3">
        <f t="shared" si="28"/>
        <v>45413</v>
      </c>
      <c r="C2106" s="2" t="str">
        <f>VLOOKUP(MONTH(Tabela1[[#This Row],[Periodo]]),NUMMESES,2,FALSE)</f>
        <v>Maio</v>
      </c>
      <c r="D2106" s="2">
        <f>YEAR(Tabela1[[#This Row],[Periodo]])</f>
        <v>2024</v>
      </c>
      <c r="E2106" s="42">
        <f t="shared" si="27"/>
        <v>9.5298004581383537</v>
      </c>
      <c r="F2106" s="34"/>
      <c r="G2106" s="34"/>
      <c r="H2106" s="34"/>
    </row>
    <row r="2107" spans="1:8" x14ac:dyDescent="0.3">
      <c r="A2107" t="s">
        <v>1136</v>
      </c>
      <c r="B2107" s="3">
        <f t="shared" si="28"/>
        <v>45444</v>
      </c>
      <c r="C2107" s="2" t="str">
        <f>VLOOKUP(MONTH(Tabela1[[#This Row],[Periodo]]),NUMMESES,2,FALSE)</f>
        <v>Junho</v>
      </c>
      <c r="D2107" s="2">
        <f>YEAR(Tabela1[[#This Row],[Periodo]])</f>
        <v>2024</v>
      </c>
      <c r="E2107" s="42">
        <f t="shared" si="27"/>
        <v>54.405527589482809</v>
      </c>
      <c r="F2107" s="34"/>
      <c r="G2107" s="34"/>
      <c r="H2107" s="34"/>
    </row>
    <row r="2108" spans="1:8" x14ac:dyDescent="0.3">
      <c r="A2108" t="s">
        <v>1136</v>
      </c>
      <c r="B2108" s="3">
        <f t="shared" si="28"/>
        <v>45474</v>
      </c>
      <c r="C2108" s="2" t="str">
        <f>VLOOKUP(MONTH(Tabela1[[#This Row],[Periodo]]),NUMMESES,2,FALSE)</f>
        <v>Julho</v>
      </c>
      <c r="D2108" s="2">
        <f>YEAR(Tabela1[[#This Row],[Periodo]])</f>
        <v>2024</v>
      </c>
      <c r="E2108" s="42">
        <f t="shared" si="27"/>
        <v>40.408510665688958</v>
      </c>
      <c r="F2108" s="34"/>
      <c r="G2108" s="34"/>
      <c r="H2108" s="34"/>
    </row>
    <row r="2109" spans="1:8" x14ac:dyDescent="0.3">
      <c r="A2109" t="s">
        <v>1136</v>
      </c>
      <c r="B2109" s="3">
        <f t="shared" si="28"/>
        <v>45505</v>
      </c>
      <c r="C2109" s="2" t="str">
        <f>VLOOKUP(MONTH(Tabela1[[#This Row],[Periodo]]),NUMMESES,2,FALSE)</f>
        <v>Agosto</v>
      </c>
      <c r="D2109" s="2">
        <f>YEAR(Tabela1[[#This Row],[Periodo]])</f>
        <v>2024</v>
      </c>
      <c r="E2109" s="42">
        <f t="shared" si="27"/>
        <v>71.982390166354804</v>
      </c>
      <c r="F2109" s="34"/>
      <c r="G2109" s="34"/>
      <c r="H2109" s="34"/>
    </row>
    <row r="2110" spans="1:8" x14ac:dyDescent="0.3">
      <c r="A2110" t="s">
        <v>1136</v>
      </c>
      <c r="B2110" s="3">
        <f t="shared" si="28"/>
        <v>45536</v>
      </c>
      <c r="C2110" s="2" t="str">
        <f>VLOOKUP(MONTH(Tabela1[[#This Row],[Periodo]]),NUMMESES,2,FALSE)</f>
        <v>Setembro</v>
      </c>
      <c r="D2110" s="2">
        <f>YEAR(Tabela1[[#This Row],[Periodo]])</f>
        <v>2024</v>
      </c>
      <c r="E2110" s="42">
        <f t="shared" ref="E2110:E2126" si="29">E1853-E1956</f>
        <v>67.009749617609913</v>
      </c>
      <c r="F2110" s="34"/>
      <c r="G2110" s="34"/>
      <c r="H2110" s="34"/>
    </row>
    <row r="2111" spans="1:8" x14ac:dyDescent="0.3">
      <c r="A2111" t="s">
        <v>1136</v>
      </c>
      <c r="B2111" s="3">
        <f t="shared" si="28"/>
        <v>45566</v>
      </c>
      <c r="C2111" s="2" t="str">
        <f>VLOOKUP(MONTH(Tabela1[[#This Row],[Periodo]]),NUMMESES,2,FALSE)</f>
        <v>Outubro</v>
      </c>
      <c r="D2111" s="2">
        <f>YEAR(Tabela1[[#This Row],[Periodo]])</f>
        <v>2024</v>
      </c>
      <c r="E2111" s="42">
        <f t="shared" si="29"/>
        <v>82.407516253059143</v>
      </c>
      <c r="F2111" s="34"/>
      <c r="G2111" s="34"/>
      <c r="H2111" s="34"/>
    </row>
    <row r="2112" spans="1:8" x14ac:dyDescent="0.3">
      <c r="A2112" t="s">
        <v>1136</v>
      </c>
      <c r="B2112" s="3">
        <f t="shared" si="28"/>
        <v>45597</v>
      </c>
      <c r="C2112" s="2" t="str">
        <f>VLOOKUP(MONTH(Tabela1[[#This Row],[Periodo]]),NUMMESES,2,FALSE)</f>
        <v>Novembro</v>
      </c>
      <c r="D2112" s="2">
        <f>YEAR(Tabela1[[#This Row],[Periodo]])</f>
        <v>2024</v>
      </c>
      <c r="E2112" s="42">
        <f t="shared" si="29"/>
        <v>64.892925971398739</v>
      </c>
      <c r="F2112" s="34"/>
      <c r="G2112" s="34"/>
      <c r="H2112" s="34"/>
    </row>
    <row r="2113" spans="1:8" x14ac:dyDescent="0.3">
      <c r="A2113" t="s">
        <v>1136</v>
      </c>
      <c r="B2113" s="3">
        <f t="shared" si="28"/>
        <v>45627</v>
      </c>
      <c r="C2113" s="2" t="str">
        <f>VLOOKUP(MONTH(Tabela1[[#This Row],[Periodo]]),NUMMESES,2,FALSE)</f>
        <v>Dezembro</v>
      </c>
      <c r="D2113" s="2">
        <f>YEAR(Tabela1[[#This Row],[Periodo]])</f>
        <v>2024</v>
      </c>
      <c r="E2113" s="42">
        <f t="shared" si="29"/>
        <v>44.11095303440419</v>
      </c>
      <c r="F2113" s="34"/>
      <c r="G2113" s="34"/>
      <c r="H2113" s="34"/>
    </row>
    <row r="2114" spans="1:8" x14ac:dyDescent="0.3">
      <c r="A2114" t="s">
        <v>1136</v>
      </c>
      <c r="B2114" s="3">
        <f t="shared" si="28"/>
        <v>45658</v>
      </c>
      <c r="C2114" s="2" t="str">
        <f>VLOOKUP(MONTH(Tabela1[[#This Row],[Periodo]]),NUMMESES,2,FALSE)</f>
        <v>Janeiro</v>
      </c>
      <c r="D2114" s="2">
        <f>YEAR(Tabela1[[#This Row],[Periodo]])</f>
        <v>2025</v>
      </c>
      <c r="E2114" s="42">
        <f t="shared" si="29"/>
        <v>116.63124053691482</v>
      </c>
      <c r="F2114" s="34"/>
      <c r="G2114" s="34"/>
      <c r="H2114" s="34"/>
    </row>
    <row r="2115" spans="1:8" x14ac:dyDescent="0.3">
      <c r="A2115" t="s">
        <v>1136</v>
      </c>
      <c r="B2115" s="3">
        <f t="shared" si="28"/>
        <v>45689</v>
      </c>
      <c r="C2115" s="2" t="str">
        <f>VLOOKUP(MONTH(Tabela1[[#This Row],[Periodo]]),NUMMESES,2,FALSE)</f>
        <v>Fevereiro</v>
      </c>
      <c r="D2115" s="2">
        <f>YEAR(Tabela1[[#This Row],[Periodo]])</f>
        <v>2025</v>
      </c>
      <c r="E2115" s="42">
        <f t="shared" si="29"/>
        <v>70.248254807252081</v>
      </c>
      <c r="F2115" s="34"/>
      <c r="G2115" s="34"/>
      <c r="H2115" s="34"/>
    </row>
    <row r="2116" spans="1:8" x14ac:dyDescent="0.3">
      <c r="A2116" t="s">
        <v>1136</v>
      </c>
      <c r="B2116" s="3">
        <f t="shared" si="28"/>
        <v>45717</v>
      </c>
      <c r="C2116" s="2" t="str">
        <f>VLOOKUP(MONTH(Tabela1[[#This Row],[Periodo]]),NUMMESES,2,FALSE)</f>
        <v>Março</v>
      </c>
      <c r="D2116" s="2">
        <f>YEAR(Tabela1[[#This Row],[Periodo]])</f>
        <v>2025</v>
      </c>
      <c r="E2116" s="42">
        <f t="shared" si="29"/>
        <v>83.639665813012599</v>
      </c>
      <c r="F2116" s="34"/>
      <c r="G2116" s="34"/>
      <c r="H2116" s="34"/>
    </row>
    <row r="2117" spans="1:8" x14ac:dyDescent="0.3">
      <c r="A2117" t="s">
        <v>1136</v>
      </c>
      <c r="B2117" s="3">
        <f t="shared" si="28"/>
        <v>45748</v>
      </c>
      <c r="C2117" s="2" t="str">
        <f>VLOOKUP(MONTH(Tabela1[[#This Row],[Periodo]]),NUMMESES,2,FALSE)</f>
        <v>Abril</v>
      </c>
      <c r="D2117" s="2">
        <f>YEAR(Tabela1[[#This Row],[Periodo]])</f>
        <v>2025</v>
      </c>
      <c r="E2117" s="42">
        <f t="shared" si="29"/>
        <v>61.286436406770612</v>
      </c>
      <c r="F2117" s="34"/>
      <c r="G2117" s="34"/>
      <c r="H2117" s="34"/>
    </row>
    <row r="2118" spans="1:8" x14ac:dyDescent="0.3">
      <c r="A2118" t="s">
        <v>1136</v>
      </c>
      <c r="B2118" s="3">
        <f t="shared" si="28"/>
        <v>45778</v>
      </c>
      <c r="C2118" s="2" t="str">
        <f>VLOOKUP(MONTH(Tabela1[[#This Row],[Periodo]]),NUMMESES,2,FALSE)</f>
        <v>Maio</v>
      </c>
      <c r="D2118" s="2">
        <f>YEAR(Tabela1[[#This Row],[Periodo]])</f>
        <v>2025</v>
      </c>
      <c r="E2118" s="42">
        <f t="shared" si="29"/>
        <v>83.954160620791157</v>
      </c>
      <c r="F2118" s="34"/>
      <c r="G2118" s="34"/>
      <c r="H2118" s="34"/>
    </row>
    <row r="2119" spans="1:8" x14ac:dyDescent="0.3">
      <c r="A2119" t="s">
        <v>1136</v>
      </c>
      <c r="B2119" s="3">
        <f t="shared" si="28"/>
        <v>45809</v>
      </c>
      <c r="C2119" s="2" t="str">
        <f>VLOOKUP(MONTH(Tabela1[[#This Row],[Periodo]]),NUMMESES,2,FALSE)</f>
        <v>Junho</v>
      </c>
      <c r="D2119" s="2">
        <f>YEAR(Tabela1[[#This Row],[Periodo]])</f>
        <v>2025</v>
      </c>
      <c r="E2119" s="42">
        <f t="shared" si="29"/>
        <v>98.0071927064634</v>
      </c>
      <c r="F2119" s="34"/>
      <c r="G2119" s="34"/>
      <c r="H2119" s="34"/>
    </row>
    <row r="2120" spans="1:8" x14ac:dyDescent="0.3">
      <c r="A2120" t="s">
        <v>1136</v>
      </c>
      <c r="B2120" s="3">
        <f t="shared" si="28"/>
        <v>45839</v>
      </c>
      <c r="C2120" s="2" t="str">
        <f>VLOOKUP(MONTH(Tabela1[[#This Row],[Periodo]]),NUMMESES,2,FALSE)</f>
        <v>Julho</v>
      </c>
      <c r="D2120" s="2">
        <f>YEAR(Tabela1[[#This Row],[Periodo]])</f>
        <v>2025</v>
      </c>
      <c r="E2120" s="42">
        <f t="shared" si="29"/>
        <v>122.4274579832353</v>
      </c>
      <c r="F2120" s="34"/>
      <c r="G2120" s="34"/>
      <c r="H2120" s="34"/>
    </row>
    <row r="2121" spans="1:8" x14ac:dyDescent="0.3">
      <c r="A2121" t="s">
        <v>1136</v>
      </c>
      <c r="B2121" s="3">
        <f t="shared" si="28"/>
        <v>45870</v>
      </c>
      <c r="C2121" s="2" t="str">
        <f>VLOOKUP(MONTH(Tabela1[[#This Row],[Periodo]]),NUMMESES,2,FALSE)</f>
        <v>Agosto</v>
      </c>
      <c r="D2121" s="2">
        <f>YEAR(Tabela1[[#This Row],[Periodo]])</f>
        <v>2025</v>
      </c>
      <c r="E2121" s="42">
        <f t="shared" si="29"/>
        <v>110.52496963880134</v>
      </c>
      <c r="F2121" s="34"/>
      <c r="G2121" s="34"/>
      <c r="H2121" s="34"/>
    </row>
    <row r="2122" spans="1:8" x14ac:dyDescent="0.3">
      <c r="A2122" t="s">
        <v>1136</v>
      </c>
      <c r="B2122" s="3">
        <f t="shared" si="28"/>
        <v>45901</v>
      </c>
      <c r="C2122" s="2" t="str">
        <f>VLOOKUP(MONTH(Tabela1[[#This Row],[Periodo]]),NUMMESES,2,FALSE)</f>
        <v>Setembro</v>
      </c>
      <c r="D2122" s="2">
        <f>YEAR(Tabela1[[#This Row],[Periodo]])</f>
        <v>2025</v>
      </c>
      <c r="E2122" s="42">
        <f t="shared" si="29"/>
        <v>125.73201747717923</v>
      </c>
      <c r="F2122" s="34"/>
      <c r="G2122" s="34"/>
      <c r="H2122" s="34"/>
    </row>
    <row r="2123" spans="1:8" x14ac:dyDescent="0.3">
      <c r="A2123" t="s">
        <v>1136</v>
      </c>
      <c r="B2123" s="3">
        <f t="shared" si="28"/>
        <v>45931</v>
      </c>
      <c r="C2123" s="2" t="str">
        <f>VLOOKUP(MONTH(Tabela1[[#This Row],[Periodo]]),NUMMESES,2,FALSE)</f>
        <v>Outubro</v>
      </c>
      <c r="D2123" s="2">
        <f>YEAR(Tabela1[[#This Row],[Periodo]])</f>
        <v>2025</v>
      </c>
      <c r="E2123" s="42">
        <f t="shared" si="29"/>
        <v>131.09761518350578</v>
      </c>
      <c r="F2123" s="34"/>
      <c r="G2123" s="34"/>
      <c r="H2123" s="34"/>
    </row>
    <row r="2124" spans="1:8" x14ac:dyDescent="0.3">
      <c r="A2124" t="s">
        <v>1136</v>
      </c>
      <c r="B2124" s="3">
        <f t="shared" si="28"/>
        <v>45962</v>
      </c>
      <c r="C2124" s="2" t="str">
        <f>VLOOKUP(MONTH(Tabela1[[#This Row],[Periodo]]),NUMMESES,2,FALSE)</f>
        <v>Novembro</v>
      </c>
      <c r="D2124" s="2">
        <f>YEAR(Tabela1[[#This Row],[Periodo]])</f>
        <v>2025</v>
      </c>
      <c r="E2124" s="42">
        <f t="shared" si="29"/>
        <v>125.47191604011752</v>
      </c>
      <c r="F2124" s="34"/>
      <c r="G2124" s="34"/>
      <c r="H2124" s="34"/>
    </row>
    <row r="2125" spans="1:8" x14ac:dyDescent="0.3">
      <c r="A2125" t="s">
        <v>1136</v>
      </c>
      <c r="B2125" s="3">
        <f t="shared" si="28"/>
        <v>45992</v>
      </c>
      <c r="C2125" s="2" t="str">
        <f>VLOOKUP(MONTH(Tabela1[[#This Row],[Periodo]]),NUMMESES,2,FALSE)</f>
        <v>Dezembro</v>
      </c>
      <c r="D2125" s="2">
        <f>YEAR(Tabela1[[#This Row],[Periodo]])</f>
        <v>2025</v>
      </c>
      <c r="E2125" s="42">
        <f t="shared" si="29"/>
        <v>154.31294998113037</v>
      </c>
      <c r="F2125" s="34"/>
      <c r="G2125" s="34"/>
      <c r="H2125" s="34"/>
    </row>
    <row r="2126" spans="1:8" x14ac:dyDescent="0.3">
      <c r="A2126" t="s">
        <v>1136</v>
      </c>
      <c r="B2126" s="3">
        <f t="shared" si="28"/>
        <v>46023</v>
      </c>
      <c r="C2126" s="2" t="str">
        <f>VLOOKUP(MONTH(Tabela1[[#This Row],[Periodo]]),NUMMESES,2,FALSE)</f>
        <v>Janeiro</v>
      </c>
      <c r="D2126" s="2">
        <f>YEAR(Tabela1[[#This Row],[Periodo]])</f>
        <v>2026</v>
      </c>
      <c r="E2126" s="42">
        <f t="shared" si="29"/>
        <v>103.95919074056998</v>
      </c>
      <c r="F2126" s="34"/>
      <c r="G2126" s="34"/>
      <c r="H2126" s="34"/>
    </row>
    <row r="2127" spans="1:8" x14ac:dyDescent="0.3">
      <c r="B2127" s="3"/>
      <c r="C2127" s="2"/>
      <c r="D2127" s="2"/>
      <c r="E2127" s="42"/>
      <c r="F2127" s="42"/>
      <c r="G2127" s="42"/>
      <c r="H2127" s="34"/>
    </row>
    <row r="2128" spans="1:8" x14ac:dyDescent="0.3">
      <c r="A2128" t="s">
        <v>74</v>
      </c>
      <c r="B2128" s="3">
        <v>41609</v>
      </c>
      <c r="C2128" s="2" t="str">
        <f>VLOOKUP(MONTH(Tabela1[[#This Row],[Periodo]]),NUMMESES,2,FALSE)</f>
        <v>Dezembro</v>
      </c>
      <c r="D2128" s="2">
        <f>YEAR(Tabela1[[#This Row],[Periodo]])</f>
        <v>2013</v>
      </c>
      <c r="E2128" s="16">
        <f>(INDEX(TBBP[],MATCH("2.9",planoContas,0)+1,MATCH(Tabela1[[#This Row],[Periodo]],listaPeriodos,0)))</f>
        <v>7406562.5000000009</v>
      </c>
      <c r="F2128" s="16">
        <v>17000000</v>
      </c>
      <c r="G2128" s="16"/>
      <c r="H2128" s="34"/>
    </row>
    <row r="2129" spans="1:8" x14ac:dyDescent="0.3">
      <c r="A2129" t="s">
        <v>74</v>
      </c>
      <c r="B2129" s="3">
        <v>41974</v>
      </c>
      <c r="C2129" s="2" t="str">
        <f>VLOOKUP(MONTH(Tabela1[[#This Row],[Periodo]]),NUMMESES,2,FALSE)</f>
        <v>Dezembro</v>
      </c>
      <c r="D2129" s="2">
        <f>YEAR(Tabela1[[#This Row],[Periodo]])</f>
        <v>2014</v>
      </c>
      <c r="E2129" s="16">
        <f>(INDEX(TBBP[],MATCH("2.9",planoContas,0)+1,MATCH(Tabela1[[#This Row],[Periodo]],listaPeriodos,0)))</f>
        <v>11278963.076647999</v>
      </c>
      <c r="F2129" s="16">
        <v>17000000</v>
      </c>
      <c r="G2129" s="16"/>
      <c r="H2129" s="34"/>
    </row>
    <row r="2130" spans="1:8" x14ac:dyDescent="0.3">
      <c r="A2130" t="s">
        <v>74</v>
      </c>
      <c r="B2130" s="3">
        <v>42339</v>
      </c>
      <c r="C2130" s="2" t="str">
        <f>VLOOKUP(MONTH(Tabela1[[#This Row],[Periodo]]),NUMMESES,2,FALSE)</f>
        <v>Dezembro</v>
      </c>
      <c r="D2130" s="2">
        <f>YEAR(Tabela1[[#This Row],[Periodo]])</f>
        <v>2015</v>
      </c>
      <c r="E2130" s="16">
        <f>(INDEX(TBBP[],MATCH("2.9",planoContas,0)+1,MATCH(Tabela1[[#This Row],[Periodo]],listaPeriodos,0)))</f>
        <v>14722622.919999996</v>
      </c>
      <c r="F2130" s="16">
        <v>17000000</v>
      </c>
      <c r="G2130" s="16"/>
      <c r="H2130" s="34"/>
    </row>
    <row r="2131" spans="1:8" x14ac:dyDescent="0.3">
      <c r="A2131" t="s">
        <v>74</v>
      </c>
      <c r="B2131" s="3">
        <v>42705</v>
      </c>
      <c r="C2131" s="2" t="str">
        <f>VLOOKUP(MONTH(Tabela1[[#This Row],[Periodo]]),NUMMESES,2,FALSE)</f>
        <v>Dezembro</v>
      </c>
      <c r="D2131" s="2">
        <f>YEAR(Tabela1[[#This Row],[Periodo]])</f>
        <v>2016</v>
      </c>
      <c r="E2131" s="16">
        <f>(INDEX(TBBP[],MATCH("2.9",planoContas,0)+1,MATCH(Tabela1[[#This Row],[Periodo]],listaPeriodos,0)))</f>
        <v>16555484.765553121</v>
      </c>
      <c r="F2131" s="16">
        <v>17000000</v>
      </c>
      <c r="G2131" s="16"/>
      <c r="H2131" s="34"/>
    </row>
    <row r="2132" spans="1:8" x14ac:dyDescent="0.3">
      <c r="A2132" t="s">
        <v>74</v>
      </c>
      <c r="B2132" s="3">
        <v>43070</v>
      </c>
      <c r="C2132" s="2" t="str">
        <f>VLOOKUP(MONTH(Tabela1[[#This Row],[Periodo]]),NUMMESES,2,FALSE)</f>
        <v>Dezembro</v>
      </c>
      <c r="D2132" s="2">
        <f>YEAR(Tabela1[[#This Row],[Periodo]])</f>
        <v>2017</v>
      </c>
      <c r="E2132" s="16">
        <f>(INDEX(TBBP[],MATCH("2.9",planoContas,0)+1,MATCH(Tabela1[[#This Row],[Periodo]],listaPeriodos,0)))</f>
        <v>17340887.759999998</v>
      </c>
      <c r="F2132" s="16">
        <v>17000000</v>
      </c>
      <c r="G2132" s="16"/>
      <c r="H2132" s="34"/>
    </row>
    <row r="2133" spans="1:8" x14ac:dyDescent="0.3">
      <c r="A2133" t="s">
        <v>74</v>
      </c>
      <c r="B2133" s="3">
        <v>43101</v>
      </c>
      <c r="C2133" s="2" t="str">
        <f>VLOOKUP(MONTH(Tabela1[[#This Row],[Periodo]]),NUMMESES,2,FALSE)</f>
        <v>Janeiro</v>
      </c>
      <c r="D2133" s="2">
        <f>YEAR(Tabela1[[#This Row],[Periodo]])</f>
        <v>2018</v>
      </c>
      <c r="E2133" s="16">
        <f>(INDEX(TBBP[],MATCH("2.9",planoContas,0)+1,MATCH(Tabela1[[#This Row],[Periodo]],listaPeriodos,0)))</f>
        <v>17621330.043835998</v>
      </c>
      <c r="F2133" s="16">
        <v>17000000</v>
      </c>
      <c r="G2133" s="16"/>
      <c r="H2133" s="34"/>
    </row>
    <row r="2134" spans="1:8" x14ac:dyDescent="0.3">
      <c r="A2134" t="s">
        <v>74</v>
      </c>
      <c r="B2134" s="3">
        <f t="shared" ref="B2134:B2229" si="30">DATE(YEAR(B2133),MONTH(B2133)+1,DAY(B2133))</f>
        <v>43132</v>
      </c>
      <c r="C2134" s="2" t="str">
        <f>VLOOKUP(MONTH(Tabela1[[#This Row],[Periodo]]),NUMMESES,2,FALSE)</f>
        <v>Fevereiro</v>
      </c>
      <c r="D2134" s="2">
        <f>YEAR(Tabela1[[#This Row],[Periodo]])</f>
        <v>2018</v>
      </c>
      <c r="E2134" s="16">
        <f>(INDEX(TBBP[],MATCH("2.9",planoContas,0)+1,MATCH(Tabela1[[#This Row],[Periodo]],listaPeriodos,0)))</f>
        <v>17857957.427667998</v>
      </c>
      <c r="F2134" s="16">
        <v>17000000</v>
      </c>
      <c r="G2134" s="16"/>
      <c r="H2134" s="34"/>
    </row>
    <row r="2135" spans="1:8" x14ac:dyDescent="0.3">
      <c r="A2135" t="s">
        <v>74</v>
      </c>
      <c r="B2135" s="3">
        <f t="shared" si="30"/>
        <v>43160</v>
      </c>
      <c r="C2135" s="2" t="str">
        <f>VLOOKUP(MONTH(Tabela1[[#This Row],[Periodo]]),NUMMESES,2,FALSE)</f>
        <v>Março</v>
      </c>
      <c r="D2135" s="2">
        <f>YEAR(Tabela1[[#This Row],[Periodo]])</f>
        <v>2018</v>
      </c>
      <c r="E2135" s="16">
        <f>(INDEX(TBBP[],MATCH("2.9",planoContas,0)+1,MATCH(Tabela1[[#This Row],[Periodo]],listaPeriodos,0)))</f>
        <v>18228502.860511996</v>
      </c>
      <c r="F2135" s="16">
        <v>17000000</v>
      </c>
      <c r="G2135" s="16"/>
      <c r="H2135" s="34"/>
    </row>
    <row r="2136" spans="1:8" x14ac:dyDescent="0.3">
      <c r="A2136" t="s">
        <v>74</v>
      </c>
      <c r="B2136" s="3">
        <f t="shared" si="30"/>
        <v>43191</v>
      </c>
      <c r="C2136" s="2" t="str">
        <f>VLOOKUP(MONTH(Tabela1[[#This Row],[Periodo]]),NUMMESES,2,FALSE)</f>
        <v>Abril</v>
      </c>
      <c r="D2136" s="2">
        <f>YEAR(Tabela1[[#This Row],[Periodo]])</f>
        <v>2018</v>
      </c>
      <c r="E2136" s="16">
        <f>(INDEX(TBBP[],MATCH("2.9",planoContas,0)+1,MATCH(Tabela1[[#This Row],[Periodo]],listaPeriodos,0)))</f>
        <v>14362602.809980001</v>
      </c>
      <c r="F2136" s="16">
        <v>17000000</v>
      </c>
      <c r="G2136" s="16"/>
      <c r="H2136" s="34"/>
    </row>
    <row r="2137" spans="1:8" x14ac:dyDescent="0.3">
      <c r="A2137" t="s">
        <v>74</v>
      </c>
      <c r="B2137" s="3">
        <f t="shared" si="30"/>
        <v>43221</v>
      </c>
      <c r="C2137" s="2" t="str">
        <f>VLOOKUP(MONTH(Tabela1[[#This Row],[Periodo]]),NUMMESES,2,FALSE)</f>
        <v>Maio</v>
      </c>
      <c r="D2137" s="2">
        <f>YEAR(Tabela1[[#This Row],[Periodo]])</f>
        <v>2018</v>
      </c>
      <c r="E2137" s="16">
        <f>(INDEX(TBBP[],MATCH("2.9",planoContas,0)+1,MATCH(Tabela1[[#This Row],[Periodo]],listaPeriodos,0)))</f>
        <v>14177832.333176</v>
      </c>
      <c r="F2137" s="16">
        <v>17000000</v>
      </c>
      <c r="G2137" s="16"/>
      <c r="H2137" s="34"/>
    </row>
    <row r="2138" spans="1:8" x14ac:dyDescent="0.3">
      <c r="A2138" t="s">
        <v>74</v>
      </c>
      <c r="B2138" s="3">
        <f t="shared" si="30"/>
        <v>43252</v>
      </c>
      <c r="C2138" s="2" t="str">
        <f>VLOOKUP(MONTH(Tabela1[[#This Row],[Periodo]]),NUMMESES,2,FALSE)</f>
        <v>Junho</v>
      </c>
      <c r="D2138" s="2">
        <f>YEAR(Tabela1[[#This Row],[Periodo]])</f>
        <v>2018</v>
      </c>
      <c r="E2138" s="16">
        <f>(INDEX(TBBP[],MATCH("2.9",planoContas,0)+1,MATCH(Tabela1[[#This Row],[Periodo]],listaPeriodos,0)))</f>
        <v>14356586.19854</v>
      </c>
      <c r="F2138" s="16">
        <v>17000000</v>
      </c>
      <c r="G2138" s="16"/>
      <c r="H2138" s="34"/>
    </row>
    <row r="2139" spans="1:8" x14ac:dyDescent="0.3">
      <c r="A2139" t="s">
        <v>74</v>
      </c>
      <c r="B2139" s="3">
        <f t="shared" si="30"/>
        <v>43282</v>
      </c>
      <c r="C2139" s="2" t="str">
        <f>VLOOKUP(MONTH(Tabela1[[#This Row],[Periodo]]),NUMMESES,2,FALSE)</f>
        <v>Julho</v>
      </c>
      <c r="D2139" s="2">
        <f>YEAR(Tabela1[[#This Row],[Periodo]])</f>
        <v>2018</v>
      </c>
      <c r="E2139" s="16">
        <f>(INDEX(TBBP[],MATCH("2.9",planoContas,0)+1,MATCH(Tabela1[[#This Row],[Periodo]],listaPeriodos,0)))</f>
        <v>14869559.9</v>
      </c>
      <c r="F2139" s="16">
        <v>17000000</v>
      </c>
      <c r="G2139" s="16"/>
      <c r="H2139" s="34"/>
    </row>
    <row r="2140" spans="1:8" x14ac:dyDescent="0.3">
      <c r="A2140" t="s">
        <v>74</v>
      </c>
      <c r="B2140" s="3">
        <f t="shared" si="30"/>
        <v>43313</v>
      </c>
      <c r="C2140" s="2" t="str">
        <f>VLOOKUP(MONTH(Tabela1[[#This Row],[Periodo]]),NUMMESES,2,FALSE)</f>
        <v>Agosto</v>
      </c>
      <c r="D2140" s="2">
        <f>YEAR(Tabela1[[#This Row],[Periodo]])</f>
        <v>2018</v>
      </c>
      <c r="E2140" s="16">
        <f>(INDEX(TBBP[],MATCH("2.9",planoContas,0)+1,MATCH(Tabela1[[#This Row],[Periodo]],listaPeriodos,0)))</f>
        <v>15322531.279999999</v>
      </c>
      <c r="F2140" s="16">
        <v>17000000</v>
      </c>
      <c r="G2140" s="16"/>
      <c r="H2140" s="34"/>
    </row>
    <row r="2141" spans="1:8" x14ac:dyDescent="0.3">
      <c r="A2141" t="s">
        <v>74</v>
      </c>
      <c r="B2141" s="3">
        <f t="shared" si="30"/>
        <v>43344</v>
      </c>
      <c r="C2141" s="2" t="str">
        <f>VLOOKUP(MONTH(Tabela1[[#This Row],[Periodo]]),NUMMESES,2,FALSE)</f>
        <v>Setembro</v>
      </c>
      <c r="D2141" s="2">
        <f>YEAR(Tabela1[[#This Row],[Periodo]])</f>
        <v>2018</v>
      </c>
      <c r="E2141" s="16">
        <f>(INDEX(TBBP[],MATCH("2.9",planoContas,0)+1,MATCH(Tabela1[[#This Row],[Periodo]],listaPeriodos,0)))</f>
        <v>16362815.529999999</v>
      </c>
      <c r="F2141" s="16">
        <v>17000000</v>
      </c>
      <c r="G2141" s="16"/>
      <c r="H2141" s="34"/>
    </row>
    <row r="2142" spans="1:8" x14ac:dyDescent="0.3">
      <c r="A2142" t="s">
        <v>74</v>
      </c>
      <c r="B2142" s="3">
        <f t="shared" si="30"/>
        <v>43374</v>
      </c>
      <c r="C2142" s="2" t="str">
        <f>VLOOKUP(MONTH(Tabela1[[#This Row],[Periodo]]),NUMMESES,2,FALSE)</f>
        <v>Outubro</v>
      </c>
      <c r="D2142" s="2">
        <f>YEAR(Tabela1[[#This Row],[Periodo]])</f>
        <v>2018</v>
      </c>
      <c r="E2142" s="16">
        <f>(INDEX(TBBP[],MATCH("2.9",planoContas,0)+1,MATCH(Tabela1[[#This Row],[Periodo]],listaPeriodos,0)))</f>
        <v>16816302.93854</v>
      </c>
      <c r="F2142" s="16">
        <v>17000000</v>
      </c>
      <c r="G2142" s="16"/>
      <c r="H2142" s="34"/>
    </row>
    <row r="2143" spans="1:8" x14ac:dyDescent="0.3">
      <c r="A2143" t="s">
        <v>74</v>
      </c>
      <c r="B2143" s="3">
        <f t="shared" si="30"/>
        <v>43405</v>
      </c>
      <c r="C2143" s="2" t="str">
        <f>VLOOKUP(MONTH(Tabela1[[#This Row],[Periodo]]),NUMMESES,2,FALSE)</f>
        <v>Novembro</v>
      </c>
      <c r="D2143" s="2">
        <f>YEAR(Tabela1[[#This Row],[Periodo]])</f>
        <v>2018</v>
      </c>
      <c r="E2143" s="16">
        <f>(INDEX(TBBP[],MATCH("2.9",planoContas,0)+1,MATCH(Tabela1[[#This Row],[Periodo]],listaPeriodos,0)))</f>
        <v>16783726.93854</v>
      </c>
      <c r="F2143" s="16">
        <v>17000000</v>
      </c>
      <c r="G2143" s="16"/>
      <c r="H2143" s="34"/>
    </row>
    <row r="2144" spans="1:8" x14ac:dyDescent="0.3">
      <c r="A2144" t="s">
        <v>74</v>
      </c>
      <c r="B2144" s="3">
        <f t="shared" si="30"/>
        <v>43435</v>
      </c>
      <c r="C2144" s="2" t="str">
        <f>VLOOKUP(MONTH(Tabela1[[#This Row],[Periodo]]),NUMMESES,2,FALSE)</f>
        <v>Dezembro</v>
      </c>
      <c r="D2144" s="2">
        <f>YEAR(Tabela1[[#This Row],[Periodo]])</f>
        <v>2018</v>
      </c>
      <c r="E2144" s="16">
        <f>(INDEX(TBBP[],MATCH("2.9",planoContas,0)+1,MATCH(Tabela1[[#This Row],[Periodo]],listaPeriodos,0)))</f>
        <v>16848942.448540002</v>
      </c>
      <c r="F2144" s="16">
        <v>17000000</v>
      </c>
      <c r="G2144" s="16"/>
      <c r="H2144" s="34"/>
    </row>
    <row r="2145" spans="1:8" ht="14.25" customHeight="1" x14ac:dyDescent="0.3">
      <c r="A2145" t="s">
        <v>74</v>
      </c>
      <c r="B2145" s="3">
        <f t="shared" si="30"/>
        <v>43466</v>
      </c>
      <c r="C2145" s="2" t="str">
        <f>VLOOKUP(MONTH(Tabela1[[#This Row],[Periodo]]),NUMMESES,2,FALSE)</f>
        <v>Janeiro</v>
      </c>
      <c r="D2145" s="2">
        <f>YEAR(Tabela1[[#This Row],[Periodo]])</f>
        <v>2019</v>
      </c>
      <c r="E2145" s="16">
        <f>(INDEX(TBBP[],MATCH("2.9",planoContas,0)+1,MATCH(Tabela1[[#This Row],[Periodo]],listaPeriodos,0)))</f>
        <v>17029724.871199999</v>
      </c>
      <c r="F2145" s="16">
        <v>20000000</v>
      </c>
      <c r="G2145" s="16"/>
      <c r="H2145" s="42"/>
    </row>
    <row r="2146" spans="1:8" ht="14.25" customHeight="1" x14ac:dyDescent="0.3">
      <c r="A2146" t="s">
        <v>74</v>
      </c>
      <c r="B2146" s="3">
        <f t="shared" si="30"/>
        <v>43497</v>
      </c>
      <c r="C2146" s="2" t="str">
        <f>VLOOKUP(MONTH(Tabela1[[#This Row],[Periodo]]),NUMMESES,2,FALSE)</f>
        <v>Fevereiro</v>
      </c>
      <c r="D2146" s="2">
        <f>YEAR(Tabela1[[#This Row],[Periodo]])</f>
        <v>2019</v>
      </c>
      <c r="E2146" s="16">
        <f>(INDEX(TBBP[],MATCH("2.9",planoContas,0)+1,MATCH(Tabela1[[#This Row],[Periodo]],listaPeriodos,0)))</f>
        <v>17185622.971199997</v>
      </c>
      <c r="F2146" s="16">
        <v>20000000</v>
      </c>
      <c r="G2146" s="16"/>
      <c r="H2146" s="16"/>
    </row>
    <row r="2147" spans="1:8" ht="14.25" customHeight="1" x14ac:dyDescent="0.3">
      <c r="A2147" t="s">
        <v>74</v>
      </c>
      <c r="B2147" s="3">
        <f t="shared" si="30"/>
        <v>43525</v>
      </c>
      <c r="C2147" s="2" t="str">
        <f>VLOOKUP(MONTH(Tabela1[[#This Row],[Periodo]]),NUMMESES,2,FALSE)</f>
        <v>Março</v>
      </c>
      <c r="D2147" s="2">
        <f>YEAR(Tabela1[[#This Row],[Periodo]])</f>
        <v>2019</v>
      </c>
      <c r="E2147" s="16">
        <f>(INDEX(TBBP[],MATCH("2.9",planoContas,0)+1,MATCH(Tabela1[[#This Row],[Periodo]],listaPeriodos,0)))</f>
        <v>17487833.071199998</v>
      </c>
      <c r="F2147" s="16">
        <v>20000000</v>
      </c>
      <c r="G2147" s="16"/>
      <c r="H2147" s="16"/>
    </row>
    <row r="2148" spans="1:8" ht="14.25" customHeight="1" x14ac:dyDescent="0.3">
      <c r="A2148" t="s">
        <v>74</v>
      </c>
      <c r="B2148" s="3">
        <f t="shared" si="30"/>
        <v>43556</v>
      </c>
      <c r="C2148" s="2" t="str">
        <f>VLOOKUP(MONTH(Tabela1[[#This Row],[Periodo]]),NUMMESES,2,FALSE)</f>
        <v>Abril</v>
      </c>
      <c r="D2148" s="2">
        <f>YEAR(Tabela1[[#This Row],[Periodo]])</f>
        <v>2019</v>
      </c>
      <c r="E2148" s="16">
        <f>(INDEX(TBBP[],MATCH("2.9",planoContas,0)+1,MATCH(Tabela1[[#This Row],[Periodo]],listaPeriodos,0)))</f>
        <v>18032865.821199998</v>
      </c>
      <c r="F2148" s="16">
        <v>20000000</v>
      </c>
      <c r="G2148" s="16"/>
      <c r="H2148" s="16"/>
    </row>
    <row r="2149" spans="1:8" ht="14.25" customHeight="1" x14ac:dyDescent="0.3">
      <c r="A2149" t="s">
        <v>74</v>
      </c>
      <c r="B2149" s="3">
        <f t="shared" si="30"/>
        <v>43586</v>
      </c>
      <c r="C2149" s="2" t="str">
        <f>VLOOKUP(MONTH(Tabela1[[#This Row],[Periodo]]),NUMMESES,2,FALSE)</f>
        <v>Maio</v>
      </c>
      <c r="D2149" s="2">
        <f>YEAR(Tabela1[[#This Row],[Periodo]])</f>
        <v>2019</v>
      </c>
      <c r="E2149" s="16">
        <f>(INDEX(TBBP[],MATCH("2.9",planoContas,0)+1,MATCH(Tabela1[[#This Row],[Periodo]],listaPeriodos,0)))</f>
        <v>18544073.960000001</v>
      </c>
      <c r="F2149" s="16">
        <v>20000000</v>
      </c>
      <c r="G2149" s="16"/>
      <c r="H2149" s="16"/>
    </row>
    <row r="2150" spans="1:8" ht="14.25" customHeight="1" x14ac:dyDescent="0.3">
      <c r="A2150" t="s">
        <v>74</v>
      </c>
      <c r="B2150" s="3">
        <f t="shared" si="30"/>
        <v>43617</v>
      </c>
      <c r="C2150" s="2" t="str">
        <f>VLOOKUP(MONTH(Tabela1[[#This Row],[Periodo]]),NUMMESES,2,FALSE)</f>
        <v>Junho</v>
      </c>
      <c r="D2150" s="2">
        <f>YEAR(Tabela1[[#This Row],[Periodo]])</f>
        <v>2019</v>
      </c>
      <c r="E2150" s="16">
        <f>(INDEX(TBBP[],MATCH("2.9",planoContas,0)+1,MATCH(Tabela1[[#This Row],[Periodo]],listaPeriodos,0)))</f>
        <v>18546398.441200003</v>
      </c>
      <c r="F2150" s="16">
        <v>20000000</v>
      </c>
      <c r="G2150" s="16"/>
      <c r="H2150" s="16"/>
    </row>
    <row r="2151" spans="1:8" x14ac:dyDescent="0.3">
      <c r="A2151" t="s">
        <v>74</v>
      </c>
      <c r="B2151" s="3">
        <f t="shared" si="30"/>
        <v>43647</v>
      </c>
      <c r="C2151" s="2" t="str">
        <f>VLOOKUP(MONTH(Tabela1[[#This Row],[Periodo]]),NUMMESES,2,FALSE)</f>
        <v>Julho</v>
      </c>
      <c r="D2151" s="2">
        <f>YEAR(Tabela1[[#This Row],[Periodo]])</f>
        <v>2019</v>
      </c>
      <c r="E2151" s="16">
        <f>(INDEX(TBBP[],MATCH("2.9",planoContas,0)+1,MATCH(Tabela1[[#This Row],[Periodo]],listaPeriodos,0)))</f>
        <v>19258075.2612</v>
      </c>
      <c r="F2151" s="16">
        <v>20000000</v>
      </c>
      <c r="G2151" s="16"/>
      <c r="H2151" s="16"/>
    </row>
    <row r="2152" spans="1:8" x14ac:dyDescent="0.3">
      <c r="A2152" t="s">
        <v>74</v>
      </c>
      <c r="B2152" s="3">
        <f t="shared" si="30"/>
        <v>43678</v>
      </c>
      <c r="C2152" s="2" t="str">
        <f>VLOOKUP(MONTH(Tabela1[[#This Row],[Periodo]]),NUMMESES,2,FALSE)</f>
        <v>Agosto</v>
      </c>
      <c r="D2152" s="2">
        <f>YEAR(Tabela1[[#This Row],[Periodo]])</f>
        <v>2019</v>
      </c>
      <c r="E2152" s="16">
        <f>(INDEX(TBBP[],MATCH("2.9",planoContas,0)+1,MATCH(Tabela1[[#This Row],[Periodo]],listaPeriodos,0)))</f>
        <v>19568697.071200002</v>
      </c>
      <c r="F2152" s="16">
        <v>20000000</v>
      </c>
      <c r="G2152" s="16"/>
      <c r="H2152" s="16"/>
    </row>
    <row r="2153" spans="1:8" x14ac:dyDescent="0.3">
      <c r="A2153" t="s">
        <v>74</v>
      </c>
      <c r="B2153" s="3">
        <f t="shared" si="30"/>
        <v>43709</v>
      </c>
      <c r="C2153" s="2" t="str">
        <f>VLOOKUP(MONTH(Tabela1[[#This Row],[Periodo]]),NUMMESES,2,FALSE)</f>
        <v>Setembro</v>
      </c>
      <c r="D2153" s="2">
        <f>YEAR(Tabela1[[#This Row],[Periodo]])</f>
        <v>2019</v>
      </c>
      <c r="E2153" s="16">
        <f>(INDEX(TBBP[],MATCH("2.9",planoContas,0)+1,MATCH(Tabela1[[#This Row],[Periodo]],listaPeriodos,0)))</f>
        <v>20353079.621199999</v>
      </c>
      <c r="F2153" s="16">
        <v>20000000</v>
      </c>
      <c r="G2153" s="16"/>
      <c r="H2153" s="16"/>
    </row>
    <row r="2154" spans="1:8" x14ac:dyDescent="0.3">
      <c r="A2154" t="s">
        <v>74</v>
      </c>
      <c r="B2154" s="3">
        <f t="shared" si="30"/>
        <v>43739</v>
      </c>
      <c r="C2154" s="2" t="str">
        <f>VLOOKUP(MONTH(Tabela1[[#This Row],[Periodo]]),NUMMESES,2,FALSE)</f>
        <v>Outubro</v>
      </c>
      <c r="D2154" s="2">
        <f>YEAR(Tabela1[[#This Row],[Periodo]])</f>
        <v>2019</v>
      </c>
      <c r="E2154" s="16">
        <f>(INDEX(TBBP[],MATCH("2.9",planoContas,0)+1,MATCH(Tabela1[[#This Row],[Periodo]],listaPeriodos,0)))</f>
        <v>21168474.371200003</v>
      </c>
      <c r="F2154" s="16">
        <v>20000000</v>
      </c>
      <c r="G2154" s="16"/>
      <c r="H2154" s="16"/>
    </row>
    <row r="2155" spans="1:8" x14ac:dyDescent="0.3">
      <c r="A2155" t="s">
        <v>74</v>
      </c>
      <c r="B2155" s="3">
        <f t="shared" si="30"/>
        <v>43770</v>
      </c>
      <c r="C2155" s="2" t="str">
        <f>VLOOKUP(MONTH(Tabela1[[#This Row],[Periodo]]),NUMMESES,2,FALSE)</f>
        <v>Novembro</v>
      </c>
      <c r="D2155" s="2">
        <f>YEAR(Tabela1[[#This Row],[Periodo]])</f>
        <v>2019</v>
      </c>
      <c r="E2155" s="16">
        <f>(INDEX(TBBP[],MATCH("2.9",planoContas,0)+1,MATCH(Tabela1[[#This Row],[Periodo]],listaPeriodos,0)))</f>
        <v>21490167.191199999</v>
      </c>
      <c r="F2155" s="16">
        <v>20000000</v>
      </c>
      <c r="G2155" s="16"/>
      <c r="H2155" s="16"/>
    </row>
    <row r="2156" spans="1:8" x14ac:dyDescent="0.3">
      <c r="A2156" t="s">
        <v>74</v>
      </c>
      <c r="B2156" s="3">
        <f t="shared" si="30"/>
        <v>43800</v>
      </c>
      <c r="C2156" s="2" t="str">
        <f>VLOOKUP(MONTH(Tabela1[[#This Row],[Periodo]]),NUMMESES,2,FALSE)</f>
        <v>Dezembro</v>
      </c>
      <c r="D2156" s="2">
        <f>YEAR(Tabela1[[#This Row],[Periodo]])</f>
        <v>2019</v>
      </c>
      <c r="E2156" s="16">
        <f>(INDEX(TBBP[],MATCH("2.9",planoContas,0)+1,MATCH(Tabela1[[#This Row],[Periodo]],listaPeriodos,0)))</f>
        <v>21639860.711199999</v>
      </c>
      <c r="F2156" s="16">
        <v>20000000</v>
      </c>
      <c r="G2156" s="16"/>
      <c r="H2156" s="16"/>
    </row>
    <row r="2157" spans="1:8" x14ac:dyDescent="0.3">
      <c r="A2157" t="s">
        <v>74</v>
      </c>
      <c r="B2157" s="3">
        <f t="shared" si="30"/>
        <v>43831</v>
      </c>
      <c r="C2157" s="2" t="str">
        <f>VLOOKUP(MONTH(Tabela1[[#This Row],[Periodo]]),NUMMESES,2,FALSE)</f>
        <v>Janeiro</v>
      </c>
      <c r="D2157" s="2">
        <f>YEAR(Tabela1[[#This Row],[Periodo]])</f>
        <v>2020</v>
      </c>
      <c r="E2157" s="16">
        <f>(INDEX(TBBP[],MATCH("2.9",planoContas,0)+1,MATCH(Tabela1[[#This Row],[Periodo]],listaPeriodos,0)))</f>
        <v>22086675.93</v>
      </c>
      <c r="F2157" s="16">
        <v>25000000</v>
      </c>
      <c r="G2157" s="16"/>
      <c r="H2157" s="16"/>
    </row>
    <row r="2158" spans="1:8" x14ac:dyDescent="0.3">
      <c r="A2158" t="s">
        <v>74</v>
      </c>
      <c r="B2158" s="3">
        <f t="shared" si="30"/>
        <v>43862</v>
      </c>
      <c r="C2158" s="2" t="str">
        <f>VLOOKUP(MONTH(Tabela1[[#This Row],[Periodo]]),NUMMESES,2,FALSE)</f>
        <v>Fevereiro</v>
      </c>
      <c r="D2158" s="2">
        <f>YEAR(Tabela1[[#This Row],[Periodo]])</f>
        <v>2020</v>
      </c>
      <c r="E2158" s="16">
        <f>(INDEX(TBBP[],MATCH("2.9",planoContas,0)+1,MATCH(Tabela1[[#This Row],[Periodo]],listaPeriodos,0)))</f>
        <v>22280910.210000001</v>
      </c>
      <c r="F2158" s="16">
        <v>25000000</v>
      </c>
      <c r="G2158" s="16"/>
      <c r="H2158" s="16"/>
    </row>
    <row r="2159" spans="1:8" x14ac:dyDescent="0.3">
      <c r="A2159" t="s">
        <v>74</v>
      </c>
      <c r="B2159" s="3">
        <f t="shared" si="30"/>
        <v>43891</v>
      </c>
      <c r="C2159" s="2" t="str">
        <f>VLOOKUP(MONTH(Tabela1[[#This Row],[Periodo]]),NUMMESES,2,FALSE)</f>
        <v>Março</v>
      </c>
      <c r="D2159" s="2">
        <f>YEAR(Tabela1[[#This Row],[Periodo]])</f>
        <v>2020</v>
      </c>
      <c r="E2159" s="16">
        <f>(INDEX(TBBP[],MATCH("2.9",planoContas,0)+1,MATCH(Tabela1[[#This Row],[Periodo]],listaPeriodos,0)))</f>
        <v>22209390.509999998</v>
      </c>
      <c r="F2159" s="16">
        <v>25000000</v>
      </c>
      <c r="G2159" s="16"/>
      <c r="H2159" s="16"/>
    </row>
    <row r="2160" spans="1:8" x14ac:dyDescent="0.3">
      <c r="A2160" t="s">
        <v>74</v>
      </c>
      <c r="B2160" s="3">
        <f t="shared" si="30"/>
        <v>43922</v>
      </c>
      <c r="C2160" s="2" t="str">
        <f>VLOOKUP(MONTH(Tabela1[[#This Row],[Periodo]]),NUMMESES,2,FALSE)</f>
        <v>Abril</v>
      </c>
      <c r="D2160" s="2">
        <f>YEAR(Tabela1[[#This Row],[Periodo]])</f>
        <v>2020</v>
      </c>
      <c r="E2160" s="16">
        <f>(INDEX(TBBP[],MATCH("2.9",planoContas,0)+1,MATCH(Tabela1[[#This Row],[Periodo]],listaPeriodos,0)))</f>
        <v>22200762.709999997</v>
      </c>
      <c r="F2160" s="16">
        <v>25000000</v>
      </c>
      <c r="G2160" s="16"/>
      <c r="H2160" s="16"/>
    </row>
    <row r="2161" spans="1:8" x14ac:dyDescent="0.3">
      <c r="A2161" t="s">
        <v>74</v>
      </c>
      <c r="B2161" s="3">
        <f t="shared" si="30"/>
        <v>43952</v>
      </c>
      <c r="C2161" s="2" t="str">
        <f>VLOOKUP(MONTH(Tabela1[[#This Row],[Periodo]]),NUMMESES,2,FALSE)</f>
        <v>Maio</v>
      </c>
      <c r="D2161" s="2">
        <f>YEAR(Tabela1[[#This Row],[Periodo]])</f>
        <v>2020</v>
      </c>
      <c r="E2161" s="16">
        <f>(INDEX(TBBP[],MATCH("2.9",planoContas,0)+1,MATCH(Tabela1[[#This Row],[Periodo]],listaPeriodos,0)))</f>
        <v>22769344.119999997</v>
      </c>
      <c r="F2161" s="16">
        <v>25000000</v>
      </c>
      <c r="G2161" s="16"/>
      <c r="H2161" s="16"/>
    </row>
    <row r="2162" spans="1:8" x14ac:dyDescent="0.3">
      <c r="A2162" t="s">
        <v>74</v>
      </c>
      <c r="B2162" s="3">
        <f t="shared" si="30"/>
        <v>43983</v>
      </c>
      <c r="C2162" s="2" t="str">
        <f>VLOOKUP(MONTH(Tabela1[[#This Row],[Periodo]]),NUMMESES,2,FALSE)</f>
        <v>Junho</v>
      </c>
      <c r="D2162" s="2">
        <f>YEAR(Tabela1[[#This Row],[Periodo]])</f>
        <v>2020</v>
      </c>
      <c r="E2162" s="16">
        <f>(INDEX(TBBP[],MATCH("2.9",planoContas,0)+1,MATCH(Tabela1[[#This Row],[Periodo]],listaPeriodos,0)))</f>
        <v>24209747.02</v>
      </c>
      <c r="F2162" s="16">
        <v>25000000</v>
      </c>
      <c r="G2162" s="16"/>
      <c r="H2162" s="16"/>
    </row>
    <row r="2163" spans="1:8" x14ac:dyDescent="0.3">
      <c r="A2163" t="s">
        <v>74</v>
      </c>
      <c r="B2163" s="3">
        <f t="shared" si="30"/>
        <v>44013</v>
      </c>
      <c r="C2163" s="2" t="str">
        <f>VLOOKUP(MONTH(Tabela1[[#This Row],[Periodo]]),NUMMESES,2,FALSE)</f>
        <v>Julho</v>
      </c>
      <c r="D2163" s="2">
        <f>YEAR(Tabela1[[#This Row],[Periodo]])</f>
        <v>2020</v>
      </c>
      <c r="E2163" s="16">
        <f>(INDEX(TBBP[],MATCH("2.9",planoContas,0)+1,MATCH(Tabela1[[#This Row],[Periodo]],listaPeriodos,0)))</f>
        <v>25384364.049999997</v>
      </c>
      <c r="F2163" s="16">
        <v>25000000</v>
      </c>
      <c r="G2163" s="16"/>
      <c r="H2163" s="16"/>
    </row>
    <row r="2164" spans="1:8" x14ac:dyDescent="0.3">
      <c r="A2164" t="s">
        <v>74</v>
      </c>
      <c r="B2164" s="3">
        <f t="shared" si="30"/>
        <v>44044</v>
      </c>
      <c r="C2164" s="2" t="str">
        <f>VLOOKUP(MONTH(Tabela1[[#This Row],[Periodo]]),NUMMESES,2,FALSE)</f>
        <v>Agosto</v>
      </c>
      <c r="D2164" s="2">
        <f>YEAR(Tabela1[[#This Row],[Periodo]])</f>
        <v>2020</v>
      </c>
      <c r="E2164" s="16">
        <f>(INDEX(TBBP[],MATCH("2.9",planoContas,0)+1,MATCH(Tabela1[[#This Row],[Periodo]],listaPeriodos,0)))</f>
        <v>26485491.219999999</v>
      </c>
      <c r="F2164" s="16">
        <v>25000000</v>
      </c>
      <c r="G2164" s="16"/>
      <c r="H2164" s="16"/>
    </row>
    <row r="2165" spans="1:8" x14ac:dyDescent="0.3">
      <c r="A2165" t="s">
        <v>74</v>
      </c>
      <c r="B2165" s="3">
        <f t="shared" si="30"/>
        <v>44075</v>
      </c>
      <c r="C2165" s="2" t="str">
        <f>VLOOKUP(MONTH(Tabela1[[#This Row],[Periodo]]),NUMMESES,2,FALSE)</f>
        <v>Setembro</v>
      </c>
      <c r="D2165" s="2">
        <f>YEAR(Tabela1[[#This Row],[Periodo]])</f>
        <v>2020</v>
      </c>
      <c r="E2165" s="16">
        <f>(INDEX(TBBP[],MATCH("2.9",planoContas,0)+1,MATCH(Tabela1[[#This Row],[Periodo]],listaPeriodos,0)))</f>
        <v>27859585.299999997</v>
      </c>
      <c r="F2165" s="16">
        <v>25000000</v>
      </c>
      <c r="G2165" s="16"/>
      <c r="H2165" s="16"/>
    </row>
    <row r="2166" spans="1:8" x14ac:dyDescent="0.3">
      <c r="A2166" t="s">
        <v>74</v>
      </c>
      <c r="B2166" s="3">
        <f t="shared" si="30"/>
        <v>44105</v>
      </c>
      <c r="C2166" s="2" t="str">
        <f>VLOOKUP(MONTH(Tabela1[[#This Row],[Periodo]]),NUMMESES,2,FALSE)</f>
        <v>Outubro</v>
      </c>
      <c r="D2166" s="2">
        <f>YEAR(Tabela1[[#This Row],[Periodo]])</f>
        <v>2020</v>
      </c>
      <c r="E2166" s="16">
        <f>(INDEX(TBBP[],MATCH("2.9",planoContas,0)+1,MATCH(Tabela1[[#This Row],[Periodo]],listaPeriodos,0)))</f>
        <v>29470882.860000003</v>
      </c>
      <c r="F2166" s="16">
        <v>25000000</v>
      </c>
      <c r="G2166" s="16"/>
      <c r="H2166" s="16"/>
    </row>
    <row r="2167" spans="1:8" x14ac:dyDescent="0.3">
      <c r="A2167" t="s">
        <v>74</v>
      </c>
      <c r="B2167" s="3">
        <f t="shared" si="30"/>
        <v>44136</v>
      </c>
      <c r="C2167" s="2" t="str">
        <f>VLOOKUP(MONTH(Tabela1[[#This Row],[Periodo]]),NUMMESES,2,FALSE)</f>
        <v>Novembro</v>
      </c>
      <c r="D2167" s="2">
        <f>YEAR(Tabela1[[#This Row],[Periodo]])</f>
        <v>2020</v>
      </c>
      <c r="E2167" s="16">
        <f>(INDEX(TBBP[],MATCH("2.9",planoContas,0)+1,MATCH(Tabela1[[#This Row],[Periodo]],listaPeriodos,0)))</f>
        <v>30426822.580000002</v>
      </c>
      <c r="F2167" s="16">
        <v>25000000</v>
      </c>
      <c r="G2167" s="16"/>
      <c r="H2167" s="16"/>
    </row>
    <row r="2168" spans="1:8" x14ac:dyDescent="0.3">
      <c r="A2168" t="s">
        <v>74</v>
      </c>
      <c r="B2168" s="3">
        <f t="shared" si="30"/>
        <v>44166</v>
      </c>
      <c r="C2168" s="2" t="str">
        <f>VLOOKUP(MONTH(Tabela1[[#This Row],[Periodo]]),NUMMESES,2,FALSE)</f>
        <v>Dezembro</v>
      </c>
      <c r="D2168" s="2">
        <f>YEAR(Tabela1[[#This Row],[Periodo]])</f>
        <v>2020</v>
      </c>
      <c r="E2168" s="16">
        <f>(INDEX(TBBP[],MATCH("2.9",planoContas,0)+1,MATCH(Tabela1[[#This Row],[Periodo]],listaPeriodos,0)))</f>
        <v>31501111.270000007</v>
      </c>
      <c r="F2168" s="16">
        <v>25000000</v>
      </c>
      <c r="G2168" s="16"/>
      <c r="H2168" s="16"/>
    </row>
    <row r="2169" spans="1:8" x14ac:dyDescent="0.3">
      <c r="A2169" t="s">
        <v>74</v>
      </c>
      <c r="B2169" s="3">
        <f t="shared" si="30"/>
        <v>44197</v>
      </c>
      <c r="C2169" s="2" t="str">
        <f>VLOOKUP(MONTH(Tabela1[[#This Row],[Periodo]]),NUMMESES,2,FALSE)</f>
        <v>Janeiro</v>
      </c>
      <c r="D2169" s="2">
        <f>YEAR(Tabela1[[#This Row],[Periodo]])</f>
        <v>2021</v>
      </c>
      <c r="E2169" s="16">
        <f>(INDEX(TBBP[],MATCH("2.9",planoContas,0)+1,MATCH(Tabela1[[#This Row],[Periodo]],listaPeriodos,0)))</f>
        <v>32800011.300000001</v>
      </c>
      <c r="F2169" s="16">
        <v>35000000</v>
      </c>
      <c r="G2169" s="16"/>
      <c r="H2169" s="16"/>
    </row>
    <row r="2170" spans="1:8" x14ac:dyDescent="0.3">
      <c r="A2170" t="s">
        <v>74</v>
      </c>
      <c r="B2170" s="3">
        <f t="shared" si="30"/>
        <v>44228</v>
      </c>
      <c r="C2170" s="2" t="str">
        <f>VLOOKUP(MONTH(Tabela1[[#This Row],[Periodo]]),NUMMESES,2,FALSE)</f>
        <v>Fevereiro</v>
      </c>
      <c r="D2170" s="2">
        <f>YEAR(Tabela1[[#This Row],[Periodo]])</f>
        <v>2021</v>
      </c>
      <c r="E2170" s="16">
        <f>(INDEX(TBBP[],MATCH("2.9",planoContas,0)+1,MATCH(Tabela1[[#This Row],[Periodo]],listaPeriodos,0)))</f>
        <v>33541957.220000003</v>
      </c>
      <c r="F2170" s="16">
        <v>35000000</v>
      </c>
      <c r="G2170" s="16"/>
      <c r="H2170" s="16"/>
    </row>
    <row r="2171" spans="1:8" x14ac:dyDescent="0.3">
      <c r="A2171" t="s">
        <v>74</v>
      </c>
      <c r="B2171" s="3">
        <f t="shared" si="30"/>
        <v>44256</v>
      </c>
      <c r="C2171" s="2" t="str">
        <f>VLOOKUP(MONTH(Tabela1[[#This Row],[Periodo]]),NUMMESES,2,FALSE)</f>
        <v>Março</v>
      </c>
      <c r="D2171" s="2">
        <f>YEAR(Tabela1[[#This Row],[Periodo]])</f>
        <v>2021</v>
      </c>
      <c r="E2171" s="16">
        <f>(INDEX(TBBP[],MATCH("2.9",planoContas,0)+1,MATCH(Tabela1[[#This Row],[Periodo]],listaPeriodos,0)))</f>
        <v>35195999.420000002</v>
      </c>
      <c r="F2171" s="16">
        <v>35000000</v>
      </c>
      <c r="G2171" s="16"/>
      <c r="H2171" s="16"/>
    </row>
    <row r="2172" spans="1:8" x14ac:dyDescent="0.3">
      <c r="A2172" t="s">
        <v>74</v>
      </c>
      <c r="B2172" s="3">
        <f t="shared" si="30"/>
        <v>44287</v>
      </c>
      <c r="C2172" s="2" t="str">
        <f>VLOOKUP(MONTH(Tabela1[[#This Row],[Periodo]]),NUMMESES,2,FALSE)</f>
        <v>Abril</v>
      </c>
      <c r="D2172" s="2">
        <f>YEAR(Tabela1[[#This Row],[Periodo]])</f>
        <v>2021</v>
      </c>
      <c r="E2172" s="16">
        <f>(INDEX(TBBP[],MATCH("2.9",planoContas,0)+1,MATCH(Tabela1[[#This Row],[Periodo]],listaPeriodos,0)))</f>
        <v>37470596.560000002</v>
      </c>
      <c r="F2172" s="16">
        <v>35000000</v>
      </c>
      <c r="G2172" s="16"/>
      <c r="H2172" s="16"/>
    </row>
    <row r="2173" spans="1:8" x14ac:dyDescent="0.3">
      <c r="A2173" t="s">
        <v>74</v>
      </c>
      <c r="B2173" s="3">
        <f t="shared" si="30"/>
        <v>44317</v>
      </c>
      <c r="C2173" s="2" t="str">
        <f>VLOOKUP(MONTH(Tabela1[[#This Row],[Periodo]]),NUMMESES,2,FALSE)</f>
        <v>Maio</v>
      </c>
      <c r="D2173" s="2">
        <f>YEAR(Tabela1[[#This Row],[Periodo]])</f>
        <v>2021</v>
      </c>
      <c r="E2173" s="16">
        <f>(INDEX(TBBP[],MATCH("2.9",planoContas,0)+1,MATCH(Tabela1[[#This Row],[Periodo]],listaPeriodos,0)))</f>
        <v>39513180.20000001</v>
      </c>
      <c r="F2173" s="16">
        <v>35000000</v>
      </c>
      <c r="G2173" s="16"/>
      <c r="H2173" s="16"/>
    </row>
    <row r="2174" spans="1:8" x14ac:dyDescent="0.3">
      <c r="A2174" t="s">
        <v>74</v>
      </c>
      <c r="B2174" s="3">
        <f t="shared" si="30"/>
        <v>44348</v>
      </c>
      <c r="C2174" s="2" t="str">
        <f>VLOOKUP(MONTH(Tabela1[[#This Row],[Periodo]]),NUMMESES,2,FALSE)</f>
        <v>Junho</v>
      </c>
      <c r="D2174" s="2">
        <f>YEAR(Tabela1[[#This Row],[Periodo]])</f>
        <v>2021</v>
      </c>
      <c r="E2174" s="16">
        <f>(INDEX(TBBP[],MATCH("2.9",planoContas,0)+1,MATCH(Tabela1[[#This Row],[Periodo]],listaPeriodos,0)))</f>
        <v>39502439</v>
      </c>
      <c r="F2174" s="16">
        <v>35000000</v>
      </c>
      <c r="G2174" s="16"/>
      <c r="H2174" s="16"/>
    </row>
    <row r="2175" spans="1:8" x14ac:dyDescent="0.3">
      <c r="A2175" t="s">
        <v>74</v>
      </c>
      <c r="B2175" s="3">
        <f t="shared" si="30"/>
        <v>44378</v>
      </c>
      <c r="C2175" s="2" t="str">
        <f>VLOOKUP(MONTH(Tabela1[[#This Row],[Periodo]]),NUMMESES,2,FALSE)</f>
        <v>Julho</v>
      </c>
      <c r="D2175" s="2">
        <f>YEAR(Tabela1[[#This Row],[Periodo]])</f>
        <v>2021</v>
      </c>
      <c r="E2175" s="16">
        <f>(INDEX(TBBP[],MATCH("2.9",planoContas,0)+1,MATCH(Tabela1[[#This Row],[Periodo]],listaPeriodos,0)))</f>
        <v>42234676.320000008</v>
      </c>
      <c r="F2175" s="16">
        <v>35000000</v>
      </c>
      <c r="G2175" s="16"/>
      <c r="H2175" s="16"/>
    </row>
    <row r="2176" spans="1:8" x14ac:dyDescent="0.3">
      <c r="A2176" t="s">
        <v>74</v>
      </c>
      <c r="B2176" s="3">
        <f t="shared" si="30"/>
        <v>44409</v>
      </c>
      <c r="C2176" s="2" t="str">
        <f>VLOOKUP(MONTH(Tabela1[[#This Row],[Periodo]]),NUMMESES,2,FALSE)</f>
        <v>Agosto</v>
      </c>
      <c r="D2176" s="2">
        <f>YEAR(Tabela1[[#This Row],[Periodo]])</f>
        <v>2021</v>
      </c>
      <c r="E2176" s="16">
        <f>(INDEX(TBBP[],MATCH("2.9",planoContas,0)+1,MATCH(Tabela1[[#This Row],[Periodo]],listaPeriodos,0)))</f>
        <v>44815316.570000008</v>
      </c>
      <c r="F2176" s="16">
        <v>35000000</v>
      </c>
      <c r="G2176" s="16"/>
      <c r="H2176" s="16"/>
    </row>
    <row r="2177" spans="1:8" x14ac:dyDescent="0.3">
      <c r="A2177" t="s">
        <v>74</v>
      </c>
      <c r="B2177" s="3">
        <f t="shared" si="30"/>
        <v>44440</v>
      </c>
      <c r="C2177" s="2" t="str">
        <f>VLOOKUP(MONTH(Tabela1[[#This Row],[Periodo]]),NUMMESES,2,FALSE)</f>
        <v>Setembro</v>
      </c>
      <c r="D2177" s="2">
        <f>YEAR(Tabela1[[#This Row],[Periodo]])</f>
        <v>2021</v>
      </c>
      <c r="E2177" s="16">
        <f>(INDEX(TBBP[],MATCH("2.9",planoContas,0)+1,MATCH(Tabela1[[#This Row],[Periodo]],listaPeriodos,0)))</f>
        <v>47805513.170000009</v>
      </c>
      <c r="F2177" s="16">
        <v>35000000</v>
      </c>
      <c r="G2177" s="16"/>
      <c r="H2177" s="16"/>
    </row>
    <row r="2178" spans="1:8" x14ac:dyDescent="0.3">
      <c r="A2178" t="s">
        <v>74</v>
      </c>
      <c r="B2178" s="3">
        <f t="shared" si="30"/>
        <v>44470</v>
      </c>
      <c r="C2178" s="2" t="str">
        <f>VLOOKUP(MONTH(Tabela1[[#This Row],[Periodo]]),NUMMESES,2,FALSE)</f>
        <v>Outubro</v>
      </c>
      <c r="D2178" s="2">
        <f>YEAR(Tabela1[[#This Row],[Periodo]])</f>
        <v>2021</v>
      </c>
      <c r="E2178" s="16">
        <f>(INDEX(TBBP[],MATCH("2.9",planoContas,0)+1,MATCH(Tabela1[[#This Row],[Periodo]],listaPeriodos,0)))</f>
        <v>49087177.159999996</v>
      </c>
      <c r="F2178" s="16">
        <v>35000000</v>
      </c>
      <c r="G2178" s="16"/>
      <c r="H2178" s="16"/>
    </row>
    <row r="2179" spans="1:8" x14ac:dyDescent="0.3">
      <c r="A2179" t="s">
        <v>74</v>
      </c>
      <c r="B2179" s="3">
        <f t="shared" si="30"/>
        <v>44501</v>
      </c>
      <c r="C2179" s="2" t="str">
        <f>VLOOKUP(MONTH(Tabela1[[#This Row],[Periodo]]),NUMMESES,2,FALSE)</f>
        <v>Novembro</v>
      </c>
      <c r="D2179" s="2">
        <f>YEAR(Tabela1[[#This Row],[Periodo]])</f>
        <v>2021</v>
      </c>
      <c r="E2179" s="16">
        <f>(INDEX(TBBP[],MATCH("2.9",planoContas,0)+1,MATCH(Tabela1[[#This Row],[Periodo]],listaPeriodos,0)))</f>
        <v>50392193.5</v>
      </c>
      <c r="F2179" s="16">
        <v>35000000</v>
      </c>
      <c r="G2179" s="16"/>
      <c r="H2179" s="16"/>
    </row>
    <row r="2180" spans="1:8" x14ac:dyDescent="0.3">
      <c r="A2180" t="s">
        <v>74</v>
      </c>
      <c r="B2180" s="3">
        <f t="shared" si="30"/>
        <v>44531</v>
      </c>
      <c r="C2180" s="2" t="str">
        <f>VLOOKUP(MONTH(Tabela1[[#This Row],[Periodo]]),NUMMESES,2,FALSE)</f>
        <v>Dezembro</v>
      </c>
      <c r="D2180" s="2">
        <f>YEAR(Tabela1[[#This Row],[Periodo]])</f>
        <v>2021</v>
      </c>
      <c r="E2180" s="16">
        <f>(INDEX(TBBP[],MATCH("2.9",planoContas,0)+1,MATCH(Tabela1[[#This Row],[Periodo]],listaPeriodos,0)))</f>
        <v>50965544.420000002</v>
      </c>
      <c r="F2180" s="16">
        <v>35000000</v>
      </c>
      <c r="G2180" s="16"/>
      <c r="H2180" s="16"/>
    </row>
    <row r="2181" spans="1:8" x14ac:dyDescent="0.3">
      <c r="A2181" t="s">
        <v>74</v>
      </c>
      <c r="B2181" s="3">
        <f t="shared" si="30"/>
        <v>44562</v>
      </c>
      <c r="C2181" s="2" t="str">
        <f>VLOOKUP(MONTH(Tabela1[[#This Row],[Periodo]]),NUMMESES,2,FALSE)</f>
        <v>Janeiro</v>
      </c>
      <c r="D2181" s="2">
        <f>YEAR(Tabela1[[#This Row],[Periodo]])</f>
        <v>2022</v>
      </c>
      <c r="E2181" s="16">
        <f>(INDEX(TBBP[],MATCH("2.9",planoContas,0)+1,MATCH(Tabela1[[#This Row],[Periodo]],listaPeriodos,0)))</f>
        <v>51602863.980000004</v>
      </c>
      <c r="F2181" s="16">
        <v>35000000</v>
      </c>
      <c r="G2181" s="16"/>
      <c r="H2181" s="16"/>
    </row>
    <row r="2182" spans="1:8" x14ac:dyDescent="0.3">
      <c r="A2182" t="s">
        <v>74</v>
      </c>
      <c r="B2182" s="3">
        <f t="shared" si="30"/>
        <v>44593</v>
      </c>
      <c r="C2182" s="2" t="str">
        <f>VLOOKUP(MONTH(Tabela1[[#This Row],[Periodo]]),NUMMESES,2,FALSE)</f>
        <v>Fevereiro</v>
      </c>
      <c r="D2182" s="2">
        <f>YEAR(Tabela1[[#This Row],[Periodo]])</f>
        <v>2022</v>
      </c>
      <c r="E2182" s="16">
        <f>(INDEX(TBBP[],MATCH("2.9",planoContas,0)+1,MATCH(Tabela1[[#This Row],[Periodo]],listaPeriodos,0)))</f>
        <v>52624444.939999998</v>
      </c>
      <c r="F2182" s="16">
        <v>35000000</v>
      </c>
      <c r="G2182" s="16"/>
      <c r="H2182" s="16"/>
    </row>
    <row r="2183" spans="1:8" x14ac:dyDescent="0.3">
      <c r="A2183" t="s">
        <v>74</v>
      </c>
      <c r="B2183" s="3">
        <f t="shared" si="30"/>
        <v>44621</v>
      </c>
      <c r="C2183" s="2" t="str">
        <f>VLOOKUP(MONTH(Tabela1[[#This Row],[Periodo]]),NUMMESES,2,FALSE)</f>
        <v>Março</v>
      </c>
      <c r="D2183" s="2">
        <f>YEAR(Tabela1[[#This Row],[Periodo]])</f>
        <v>2022</v>
      </c>
      <c r="E2183" s="16">
        <f>(INDEX(TBBP[],MATCH("2.9",planoContas,0)+1,MATCH(Tabela1[[#This Row],[Periodo]],listaPeriodos,0)))</f>
        <v>54134100.719999999</v>
      </c>
      <c r="F2183" s="16">
        <v>35000000</v>
      </c>
      <c r="G2183" s="16"/>
      <c r="H2183" s="16"/>
    </row>
    <row r="2184" spans="1:8" x14ac:dyDescent="0.3">
      <c r="A2184" t="s">
        <v>74</v>
      </c>
      <c r="B2184" s="3">
        <f t="shared" si="30"/>
        <v>44652</v>
      </c>
      <c r="C2184" s="2" t="str">
        <f>VLOOKUP(MONTH(Tabela1[[#This Row],[Periodo]]),NUMMESES,2,FALSE)</f>
        <v>Abril</v>
      </c>
      <c r="D2184" s="2">
        <f>YEAR(Tabela1[[#This Row],[Periodo]])</f>
        <v>2022</v>
      </c>
      <c r="E2184" s="16">
        <f>(INDEX(TBBP[],MATCH("2.9",planoContas,0)+1,MATCH(Tabela1[[#This Row],[Periodo]],listaPeriodos,0)))</f>
        <v>55787171.909999996</v>
      </c>
      <c r="F2184" s="16">
        <v>35000000</v>
      </c>
      <c r="G2184" s="16"/>
      <c r="H2184" s="16"/>
    </row>
    <row r="2185" spans="1:8" x14ac:dyDescent="0.3">
      <c r="A2185" t="s">
        <v>74</v>
      </c>
      <c r="B2185" s="3">
        <f t="shared" si="30"/>
        <v>44682</v>
      </c>
      <c r="C2185" s="2" t="str">
        <f>VLOOKUP(MONTH(Tabela1[[#This Row],[Periodo]]),NUMMESES,2,FALSE)</f>
        <v>Maio</v>
      </c>
      <c r="D2185" s="2">
        <f>YEAR(Tabela1[[#This Row],[Periodo]])</f>
        <v>2022</v>
      </c>
      <c r="E2185" s="16">
        <f>(INDEX(TBBP[],MATCH("2.9",planoContas,0)+1,MATCH(Tabela1[[#This Row],[Periodo]],listaPeriodos,0)))</f>
        <v>57188862.310000002</v>
      </c>
      <c r="F2185" s="16">
        <v>35000000</v>
      </c>
      <c r="G2185" s="16"/>
      <c r="H2185" s="16"/>
    </row>
    <row r="2186" spans="1:8" x14ac:dyDescent="0.3">
      <c r="A2186" t="s">
        <v>74</v>
      </c>
      <c r="B2186" s="3">
        <f t="shared" si="30"/>
        <v>44713</v>
      </c>
      <c r="C2186" s="2" t="str">
        <f>VLOOKUP(MONTH(Tabela1[[#This Row],[Periodo]]),NUMMESES,2,FALSE)</f>
        <v>Junho</v>
      </c>
      <c r="D2186" s="2">
        <f>YEAR(Tabela1[[#This Row],[Periodo]])</f>
        <v>2022</v>
      </c>
      <c r="E2186" s="16">
        <f>(INDEX(TBBP[],MATCH("2.9",planoContas,0)+1,MATCH(Tabela1[[#This Row],[Periodo]],listaPeriodos,0)))</f>
        <v>58463193.250000007</v>
      </c>
      <c r="F2186" s="16">
        <v>35000000</v>
      </c>
      <c r="G2186" s="16"/>
      <c r="H2186" s="16"/>
    </row>
    <row r="2187" spans="1:8" x14ac:dyDescent="0.3">
      <c r="A2187" t="s">
        <v>74</v>
      </c>
      <c r="B2187" s="3">
        <f t="shared" si="30"/>
        <v>44743</v>
      </c>
      <c r="C2187" s="2" t="str">
        <f>VLOOKUP(MONTH(Tabela1[[#This Row],[Periodo]]),NUMMESES,2,FALSE)</f>
        <v>Julho</v>
      </c>
      <c r="D2187" s="2">
        <f>YEAR(Tabela1[[#This Row],[Periodo]])</f>
        <v>2022</v>
      </c>
      <c r="E2187" s="16">
        <f>(INDEX(TBBP[],MATCH("2.9",planoContas,0)+1,MATCH(Tabela1[[#This Row],[Periodo]],listaPeriodos,0)))</f>
        <v>60398160.869999997</v>
      </c>
      <c r="F2187" s="16">
        <v>35000000</v>
      </c>
      <c r="G2187" s="16"/>
      <c r="H2187" s="16"/>
    </row>
    <row r="2188" spans="1:8" x14ac:dyDescent="0.3">
      <c r="A2188" t="s">
        <v>74</v>
      </c>
      <c r="B2188" s="3">
        <f t="shared" si="30"/>
        <v>44774</v>
      </c>
      <c r="C2188" s="2" t="str">
        <f>VLOOKUP(MONTH(Tabela1[[#This Row],[Periodo]]),NUMMESES,2,FALSE)</f>
        <v>Agosto</v>
      </c>
      <c r="D2188" s="2">
        <f>YEAR(Tabela1[[#This Row],[Periodo]])</f>
        <v>2022</v>
      </c>
      <c r="E2188" s="16">
        <f>(INDEX(TBBP[],MATCH("2.9",planoContas,0)+1,MATCH(Tabela1[[#This Row],[Periodo]],listaPeriodos,0)))</f>
        <v>61224456.859999999</v>
      </c>
      <c r="F2188" s="16">
        <v>35000000</v>
      </c>
      <c r="G2188" s="16"/>
      <c r="H2188" s="16"/>
    </row>
    <row r="2189" spans="1:8" x14ac:dyDescent="0.3">
      <c r="A2189" t="s">
        <v>74</v>
      </c>
      <c r="B2189" s="3">
        <f t="shared" si="30"/>
        <v>44805</v>
      </c>
      <c r="C2189" s="2" t="str">
        <f>VLOOKUP(MONTH(Tabela1[[#This Row],[Periodo]]),NUMMESES,2,FALSE)</f>
        <v>Setembro</v>
      </c>
      <c r="D2189" s="2">
        <f>YEAR(Tabela1[[#This Row],[Periodo]])</f>
        <v>2022</v>
      </c>
      <c r="E2189" s="16">
        <f>(INDEX(TBBP[],MATCH("2.9",planoContas,0)+1,MATCH(Tabela1[[#This Row],[Periodo]],listaPeriodos,0)))</f>
        <v>62554114.880000003</v>
      </c>
      <c r="F2189" s="16">
        <v>35000000</v>
      </c>
      <c r="G2189" s="16"/>
      <c r="H2189" s="16"/>
    </row>
    <row r="2190" spans="1:8" x14ac:dyDescent="0.3">
      <c r="A2190" t="s">
        <v>74</v>
      </c>
      <c r="B2190" s="3">
        <f t="shared" si="30"/>
        <v>44835</v>
      </c>
      <c r="C2190" s="2" t="str">
        <f>VLOOKUP(MONTH(Tabela1[[#This Row],[Periodo]]),NUMMESES,2,FALSE)</f>
        <v>Outubro</v>
      </c>
      <c r="D2190" s="2">
        <f>YEAR(Tabela1[[#This Row],[Periodo]])</f>
        <v>2022</v>
      </c>
      <c r="E2190" s="16">
        <f>(INDEX(TBBP[],MATCH("2.9",planoContas,0)+1,MATCH(Tabela1[[#This Row],[Periodo]],listaPeriodos,0)))</f>
        <v>62896927.120000005</v>
      </c>
      <c r="F2190" s="16">
        <v>35000000</v>
      </c>
      <c r="G2190" s="16"/>
      <c r="H2190" s="16"/>
    </row>
    <row r="2191" spans="1:8" x14ac:dyDescent="0.3">
      <c r="A2191" t="s">
        <v>74</v>
      </c>
      <c r="B2191" s="3">
        <f t="shared" si="30"/>
        <v>44866</v>
      </c>
      <c r="C2191" s="2" t="str">
        <f>VLOOKUP(MONTH(Tabela1[[#This Row],[Periodo]]),NUMMESES,2,FALSE)</f>
        <v>Novembro</v>
      </c>
      <c r="D2191" s="2">
        <f>YEAR(Tabela1[[#This Row],[Periodo]])</f>
        <v>2022</v>
      </c>
      <c r="E2191" s="16">
        <f>(INDEX(TBBP[],MATCH("2.9",planoContas,0)+1,MATCH(Tabela1[[#This Row],[Periodo]],listaPeriodos,0)))</f>
        <v>64333794.82</v>
      </c>
      <c r="F2191" s="16">
        <v>35000000</v>
      </c>
      <c r="G2191" s="16"/>
      <c r="H2191" s="16"/>
    </row>
    <row r="2192" spans="1:8" x14ac:dyDescent="0.3">
      <c r="A2192" t="s">
        <v>74</v>
      </c>
      <c r="B2192" s="3">
        <f t="shared" si="30"/>
        <v>44896</v>
      </c>
      <c r="C2192" s="2" t="str">
        <f>VLOOKUP(MONTH(Tabela1[[#This Row],[Periodo]]),NUMMESES,2,FALSE)</f>
        <v>Dezembro</v>
      </c>
      <c r="D2192" s="2">
        <f>YEAR(Tabela1[[#This Row],[Periodo]])</f>
        <v>2022</v>
      </c>
      <c r="E2192" s="16">
        <f>(INDEX(TBBP[],MATCH("2.9",planoContas,0)+1,MATCH(Tabela1[[#This Row],[Periodo]],listaPeriodos,0)))</f>
        <v>64315063.965000011</v>
      </c>
      <c r="F2192" s="16">
        <v>35000000</v>
      </c>
      <c r="G2192" s="16"/>
      <c r="H2192" s="16"/>
    </row>
    <row r="2193" spans="1:8" x14ac:dyDescent="0.3">
      <c r="A2193" t="s">
        <v>74</v>
      </c>
      <c r="B2193" s="3">
        <f t="shared" si="30"/>
        <v>44927</v>
      </c>
      <c r="C2193" s="2" t="str">
        <f>VLOOKUP(MONTH(Tabela1[[#This Row],[Periodo]]),NUMMESES,2,FALSE)</f>
        <v>Janeiro</v>
      </c>
      <c r="D2193" s="2">
        <f>YEAR(Tabela1[[#This Row],[Periodo]])</f>
        <v>2023</v>
      </c>
      <c r="E2193" s="16">
        <f>(INDEX(TBBP[],MATCH("2.9",planoContas,0)+1,MATCH(Tabela1[[#This Row],[Periodo]],listaPeriodos,0)))</f>
        <v>64752368.382599995</v>
      </c>
      <c r="F2193" s="16">
        <v>80000000</v>
      </c>
      <c r="G2193" s="16"/>
      <c r="H2193" s="16"/>
    </row>
    <row r="2194" spans="1:8" x14ac:dyDescent="0.3">
      <c r="A2194" t="s">
        <v>74</v>
      </c>
      <c r="B2194" s="3">
        <f t="shared" si="30"/>
        <v>44958</v>
      </c>
      <c r="C2194" s="2" t="str">
        <f>VLOOKUP(MONTH(Tabela1[[#This Row],[Periodo]]),NUMMESES,2,FALSE)</f>
        <v>Fevereiro</v>
      </c>
      <c r="D2194" s="2">
        <f>YEAR(Tabela1[[#This Row],[Periodo]])</f>
        <v>2023</v>
      </c>
      <c r="E2194" s="16">
        <f>(INDEX(TBBP[],MATCH("2.9",planoContas,0)+1,MATCH(Tabela1[[#This Row],[Periodo]],listaPeriodos,0)))</f>
        <v>64847126.418399997</v>
      </c>
      <c r="F2194" s="16">
        <v>80000000</v>
      </c>
      <c r="G2194" s="16"/>
      <c r="H2194" s="16"/>
    </row>
    <row r="2195" spans="1:8" x14ac:dyDescent="0.3">
      <c r="A2195" t="s">
        <v>74</v>
      </c>
      <c r="B2195" s="3">
        <f t="shared" si="30"/>
        <v>44986</v>
      </c>
      <c r="C2195" s="2" t="str">
        <f>VLOOKUP(MONTH(Tabela1[[#This Row],[Periodo]]),NUMMESES,2,FALSE)</f>
        <v>Março</v>
      </c>
      <c r="D2195" s="2">
        <f>YEAR(Tabela1[[#This Row],[Periodo]])</f>
        <v>2023</v>
      </c>
      <c r="E2195" s="16">
        <f>(INDEX(TBBP[],MATCH("2.9",planoContas,0)+1,MATCH(Tabela1[[#This Row],[Periodo]],listaPeriodos,0)))</f>
        <v>65472615.634199999</v>
      </c>
      <c r="F2195" s="16">
        <v>80000000</v>
      </c>
      <c r="G2195" s="16"/>
      <c r="H2195" s="16"/>
    </row>
    <row r="2196" spans="1:8" x14ac:dyDescent="0.3">
      <c r="A2196" t="s">
        <v>74</v>
      </c>
      <c r="B2196" s="3">
        <f t="shared" si="30"/>
        <v>45017</v>
      </c>
      <c r="C2196" s="2" t="str">
        <f>VLOOKUP(MONTH(Tabela1[[#This Row],[Periodo]]),NUMMESES,2,FALSE)</f>
        <v>Abril</v>
      </c>
      <c r="D2196" s="2">
        <f>YEAR(Tabela1[[#This Row],[Periodo]])</f>
        <v>2023</v>
      </c>
      <c r="E2196" s="16">
        <f>(INDEX(TBBP[],MATCH("2.9",planoContas,0)+1,MATCH(Tabela1[[#This Row],[Periodo]],listaPeriodos,0)))</f>
        <v>66241802.044799998</v>
      </c>
      <c r="F2196" s="16">
        <v>80000000</v>
      </c>
      <c r="G2196" s="16"/>
      <c r="H2196" s="16"/>
    </row>
    <row r="2197" spans="1:8" x14ac:dyDescent="0.3">
      <c r="A2197" t="s">
        <v>74</v>
      </c>
      <c r="B2197" s="3">
        <f t="shared" si="30"/>
        <v>45047</v>
      </c>
      <c r="C2197" s="2" t="str">
        <f>VLOOKUP(MONTH(Tabela1[[#This Row],[Periodo]]),NUMMESES,2,FALSE)</f>
        <v>Maio</v>
      </c>
      <c r="D2197" s="2">
        <f>YEAR(Tabela1[[#This Row],[Periodo]])</f>
        <v>2023</v>
      </c>
      <c r="E2197" s="16">
        <f>(INDEX(TBBP[],MATCH("2.9",planoContas,0)+1,MATCH(Tabela1[[#This Row],[Periodo]],listaPeriodos,0)))</f>
        <v>67996601.790399998</v>
      </c>
      <c r="F2197" s="16">
        <v>80000000</v>
      </c>
      <c r="G2197" s="16"/>
      <c r="H2197" s="16"/>
    </row>
    <row r="2198" spans="1:8" x14ac:dyDescent="0.3">
      <c r="A2198" t="s">
        <v>74</v>
      </c>
      <c r="B2198" s="3">
        <f t="shared" si="30"/>
        <v>45078</v>
      </c>
      <c r="C2198" s="2" t="str">
        <f>VLOOKUP(MONTH(Tabela1[[#This Row],[Periodo]]),NUMMESES,2,FALSE)</f>
        <v>Junho</v>
      </c>
      <c r="D2198" s="2">
        <f>YEAR(Tabela1[[#This Row],[Periodo]])</f>
        <v>2023</v>
      </c>
      <c r="E2198" s="16">
        <f>(INDEX(TBBP[],MATCH("2.9",planoContas,0)+1,MATCH(Tabela1[[#This Row],[Periodo]],listaPeriodos,0)))</f>
        <v>69366709.0792</v>
      </c>
      <c r="F2198" s="16">
        <v>80000000</v>
      </c>
      <c r="G2198" s="16"/>
      <c r="H2198" s="16"/>
    </row>
    <row r="2199" spans="1:8" x14ac:dyDescent="0.3">
      <c r="A2199" t="s">
        <v>74</v>
      </c>
      <c r="B2199" s="3">
        <f t="shared" si="30"/>
        <v>45108</v>
      </c>
      <c r="C2199" s="2" t="str">
        <f>VLOOKUP(MONTH(Tabela1[[#This Row],[Periodo]]),NUMMESES,2,FALSE)</f>
        <v>Julho</v>
      </c>
      <c r="D2199" s="2">
        <f>YEAR(Tabela1[[#This Row],[Periodo]])</f>
        <v>2023</v>
      </c>
      <c r="E2199" s="16">
        <f>(INDEX(TBBP[],MATCH("2.9",planoContas,0)+1,MATCH(Tabela1[[#This Row],[Periodo]],listaPeriodos,0)))</f>
        <v>69564180.778200001</v>
      </c>
      <c r="F2199" s="16">
        <v>80000000</v>
      </c>
      <c r="G2199" s="16"/>
      <c r="H2199" s="16"/>
    </row>
    <row r="2200" spans="1:8" x14ac:dyDescent="0.3">
      <c r="A2200" t="s">
        <v>74</v>
      </c>
      <c r="B2200" s="3">
        <f t="shared" si="30"/>
        <v>45139</v>
      </c>
      <c r="C2200" s="2" t="str">
        <f>VLOOKUP(MONTH(Tabela1[[#This Row],[Periodo]]),NUMMESES,2,FALSE)</f>
        <v>Agosto</v>
      </c>
      <c r="D2200" s="2">
        <f>YEAR(Tabela1[[#This Row],[Periodo]])</f>
        <v>2023</v>
      </c>
      <c r="E2200" s="16">
        <f>(INDEX(TBBP[],MATCH("2.9",planoContas,0)+1,MATCH(Tabela1[[#This Row],[Periodo]],listaPeriodos,0)))</f>
        <v>70520835.981600001</v>
      </c>
      <c r="F2200" s="16">
        <v>80000000</v>
      </c>
      <c r="G2200" s="16"/>
      <c r="H2200" s="16"/>
    </row>
    <row r="2201" spans="1:8" x14ac:dyDescent="0.3">
      <c r="A2201" t="s">
        <v>74</v>
      </c>
      <c r="B2201" s="3">
        <f t="shared" si="30"/>
        <v>45170</v>
      </c>
      <c r="C2201" s="2" t="str">
        <f>VLOOKUP(MONTH(Tabela1[[#This Row],[Periodo]]),NUMMESES,2,FALSE)</f>
        <v>Setembro</v>
      </c>
      <c r="D2201" s="2">
        <f>YEAR(Tabela1[[#This Row],[Periodo]])</f>
        <v>2023</v>
      </c>
      <c r="E2201" s="16">
        <f>(INDEX(TBBP[],MATCH("2.9",planoContas,0)+1,MATCH(Tabela1[[#This Row],[Periodo]],listaPeriodos,0)))</f>
        <v>71026496.044199988</v>
      </c>
      <c r="F2201" s="16">
        <v>80000000</v>
      </c>
      <c r="G2201" s="16"/>
      <c r="H2201" s="16"/>
    </row>
    <row r="2202" spans="1:8" x14ac:dyDescent="0.3">
      <c r="A2202" t="s">
        <v>74</v>
      </c>
      <c r="B2202" s="3">
        <f t="shared" si="30"/>
        <v>45200</v>
      </c>
      <c r="C2202" s="2" t="str">
        <f>VLOOKUP(MONTH(Tabela1[[#This Row],[Periodo]]),NUMMESES,2,FALSE)</f>
        <v>Outubro</v>
      </c>
      <c r="D2202" s="2">
        <f>YEAR(Tabela1[[#This Row],[Periodo]])</f>
        <v>2023</v>
      </c>
      <c r="E2202" s="16">
        <f>(INDEX(TBBP[],MATCH("2.9",planoContas,0)+1,MATCH(Tabela1[[#This Row],[Periodo]],listaPeriodos,0)))</f>
        <v>72288389.948999986</v>
      </c>
      <c r="F2202" s="16">
        <v>80000000</v>
      </c>
      <c r="G2202" s="16"/>
      <c r="H2202" s="16"/>
    </row>
    <row r="2203" spans="1:8" x14ac:dyDescent="0.3">
      <c r="A2203" t="s">
        <v>74</v>
      </c>
      <c r="B2203" s="3">
        <f t="shared" si="30"/>
        <v>45231</v>
      </c>
      <c r="C2203" s="2" t="str">
        <f>VLOOKUP(MONTH(Tabela1[[#This Row],[Periodo]]),NUMMESES,2,FALSE)</f>
        <v>Novembro</v>
      </c>
      <c r="D2203" s="2">
        <f>YEAR(Tabela1[[#This Row],[Periodo]])</f>
        <v>2023</v>
      </c>
      <c r="E2203" s="16">
        <f>(INDEX(TBBP[],MATCH("2.9",planoContas,0)+1,MATCH(Tabela1[[#This Row],[Periodo]],listaPeriodos,0)))</f>
        <v>72565391.825399995</v>
      </c>
      <c r="F2203" s="16">
        <v>80000000</v>
      </c>
      <c r="G2203" s="16"/>
      <c r="H2203" s="16"/>
    </row>
    <row r="2204" spans="1:8" x14ac:dyDescent="0.3">
      <c r="A2204" t="s">
        <v>74</v>
      </c>
      <c r="B2204" s="3">
        <f t="shared" si="30"/>
        <v>45261</v>
      </c>
      <c r="C2204" s="2" t="str">
        <f>VLOOKUP(MONTH(Tabela1[[#This Row],[Periodo]]),NUMMESES,2,FALSE)</f>
        <v>Dezembro</v>
      </c>
      <c r="D2204" s="2">
        <f>YEAR(Tabela1[[#This Row],[Periodo]])</f>
        <v>2023</v>
      </c>
      <c r="E2204" s="16">
        <f>(INDEX(TBBP[],MATCH("2.9",planoContas,0)+1,MATCH(Tabela1[[#This Row],[Periodo]],listaPeriodos,0)))</f>
        <v>73979584.895799994</v>
      </c>
      <c r="F2204" s="16">
        <v>80000000</v>
      </c>
      <c r="G2204" s="16"/>
      <c r="H2204" s="16"/>
    </row>
    <row r="2205" spans="1:8" x14ac:dyDescent="0.3">
      <c r="A2205" t="s">
        <v>74</v>
      </c>
      <c r="B2205" s="3">
        <f t="shared" si="30"/>
        <v>45292</v>
      </c>
      <c r="C2205" s="2" t="str">
        <f>VLOOKUP(MONTH(Tabela1[[#This Row],[Periodo]]),NUMMESES,2,FALSE)</f>
        <v>Janeiro</v>
      </c>
      <c r="D2205" s="2">
        <f>YEAR(Tabela1[[#This Row],[Periodo]])</f>
        <v>2024</v>
      </c>
      <c r="E2205" s="16">
        <f>(INDEX(TBBP[],MATCH("2.9",planoContas,0)+1,MATCH(Tabela1[[#This Row],[Periodo]],listaPeriodos,0)))</f>
        <v>75550268.034199998</v>
      </c>
      <c r="F2205" s="16">
        <v>80000000</v>
      </c>
      <c r="G2205" s="16"/>
      <c r="H2205" s="16"/>
    </row>
    <row r="2206" spans="1:8" x14ac:dyDescent="0.3">
      <c r="A2206" t="s">
        <v>74</v>
      </c>
      <c r="B2206" s="3">
        <f t="shared" si="30"/>
        <v>45323</v>
      </c>
      <c r="C2206" s="2" t="str">
        <f>VLOOKUP(MONTH(Tabela1[[#This Row],[Periodo]]),NUMMESES,2,FALSE)</f>
        <v>Fevereiro</v>
      </c>
      <c r="D2206" s="2">
        <f>YEAR(Tabela1[[#This Row],[Periodo]])</f>
        <v>2024</v>
      </c>
      <c r="E2206" s="16">
        <f>(INDEX(TBBP[],MATCH("2.9",planoContas,0)+1,MATCH(Tabela1[[#This Row],[Periodo]],listaPeriodos,0)))</f>
        <v>76706190.331</v>
      </c>
      <c r="F2206" s="16">
        <v>80000000</v>
      </c>
      <c r="G2206" s="16"/>
      <c r="H2206" s="16"/>
    </row>
    <row r="2207" spans="1:8" x14ac:dyDescent="0.3">
      <c r="A2207" t="s">
        <v>74</v>
      </c>
      <c r="B2207" s="3">
        <f t="shared" si="30"/>
        <v>45352</v>
      </c>
      <c r="C2207" s="2" t="str">
        <f>VLOOKUP(MONTH(Tabela1[[#This Row],[Periodo]]),NUMMESES,2,FALSE)</f>
        <v>Março</v>
      </c>
      <c r="D2207" s="2">
        <f>YEAR(Tabela1[[#This Row],[Periodo]])</f>
        <v>2024</v>
      </c>
      <c r="E2207" s="16">
        <f>(INDEX(TBBP[],MATCH("2.9",planoContas,0)+1,MATCH(Tabela1[[#This Row],[Periodo]],listaPeriodos,0)))</f>
        <v>77155700.352400005</v>
      </c>
      <c r="F2207" s="16">
        <v>80000000</v>
      </c>
      <c r="G2207" s="16"/>
      <c r="H2207" s="16"/>
    </row>
    <row r="2208" spans="1:8" x14ac:dyDescent="0.3">
      <c r="A2208" t="s">
        <v>74</v>
      </c>
      <c r="B2208" s="3">
        <f t="shared" si="30"/>
        <v>45383</v>
      </c>
      <c r="C2208" s="2" t="str">
        <f>VLOOKUP(MONTH(Tabela1[[#This Row],[Periodo]]),NUMMESES,2,FALSE)</f>
        <v>Abril</v>
      </c>
      <c r="D2208" s="2">
        <f>YEAR(Tabela1[[#This Row],[Periodo]])</f>
        <v>2024</v>
      </c>
      <c r="E2208" s="16">
        <f>(INDEX(TBBP[],MATCH("2.9",planoContas,0)+1,MATCH(Tabela1[[#This Row],[Periodo]],listaPeriodos,0)))</f>
        <v>79092185.045000002</v>
      </c>
      <c r="F2208" s="16">
        <v>80000000</v>
      </c>
      <c r="G2208" s="16"/>
      <c r="H2208" s="16"/>
    </row>
    <row r="2209" spans="1:8" x14ac:dyDescent="0.3">
      <c r="A2209" t="s">
        <v>74</v>
      </c>
      <c r="B2209" s="3">
        <f t="shared" si="30"/>
        <v>45413</v>
      </c>
      <c r="C2209" s="2" t="str">
        <f>VLOOKUP(MONTH(Tabela1[[#This Row],[Periodo]]),NUMMESES,2,FALSE)</f>
        <v>Maio</v>
      </c>
      <c r="D2209" s="2">
        <f>YEAR(Tabela1[[#This Row],[Periodo]])</f>
        <v>2024</v>
      </c>
      <c r="E2209" s="16">
        <f>(INDEX(TBBP[],MATCH("2.9",planoContas,0)+1,MATCH(Tabela1[[#This Row],[Periodo]],listaPeriodos,0)))</f>
        <v>79455214.836600006</v>
      </c>
      <c r="F2209" s="16">
        <v>80000000</v>
      </c>
      <c r="G2209" s="16"/>
      <c r="H2209" s="16"/>
    </row>
    <row r="2210" spans="1:8" x14ac:dyDescent="0.3">
      <c r="A2210" t="s">
        <v>74</v>
      </c>
      <c r="B2210" s="3">
        <f t="shared" si="30"/>
        <v>45444</v>
      </c>
      <c r="C2210" s="2" t="str">
        <f>VLOOKUP(MONTH(Tabela1[[#This Row],[Periodo]]),NUMMESES,2,FALSE)</f>
        <v>Junho</v>
      </c>
      <c r="D2210" s="2">
        <f>YEAR(Tabela1[[#This Row],[Periodo]])</f>
        <v>2024</v>
      </c>
      <c r="E2210" s="16">
        <f>(INDEX(TBBP[],MATCH("2.9",planoContas,0)+1,MATCH(Tabela1[[#This Row],[Periodo]],listaPeriodos,0)))</f>
        <v>80554045.504099995</v>
      </c>
      <c r="F2210" s="16">
        <v>80000000</v>
      </c>
      <c r="G2210" s="16"/>
      <c r="H2210" s="16"/>
    </row>
    <row r="2211" spans="1:8" x14ac:dyDescent="0.3">
      <c r="A2211" t="s">
        <v>74</v>
      </c>
      <c r="B2211" s="3">
        <f t="shared" si="30"/>
        <v>45474</v>
      </c>
      <c r="C2211" s="2" t="str">
        <f>VLOOKUP(MONTH(Tabela1[[#This Row],[Periodo]]),NUMMESES,2,FALSE)</f>
        <v>Julho</v>
      </c>
      <c r="D2211" s="2">
        <f>YEAR(Tabela1[[#This Row],[Periodo]])</f>
        <v>2024</v>
      </c>
      <c r="E2211" s="16">
        <f>(INDEX(TBBP[],MATCH("2.9",planoContas,0)+1,MATCH(Tabela1[[#This Row],[Periodo]],listaPeriodos,0)))</f>
        <v>81702416.044100001</v>
      </c>
      <c r="F2211" s="16">
        <v>80000000</v>
      </c>
      <c r="G2211" s="16"/>
      <c r="H2211" s="16"/>
    </row>
    <row r="2212" spans="1:8" x14ac:dyDescent="0.3">
      <c r="A2212" t="s">
        <v>74</v>
      </c>
      <c r="B2212" s="3">
        <f t="shared" si="30"/>
        <v>45505</v>
      </c>
      <c r="C2212" s="2" t="str">
        <f>VLOOKUP(MONTH(Tabela1[[#This Row],[Periodo]]),NUMMESES,2,FALSE)</f>
        <v>Agosto</v>
      </c>
      <c r="D2212" s="2">
        <f>YEAR(Tabela1[[#This Row],[Periodo]])</f>
        <v>2024</v>
      </c>
      <c r="E2212" s="16">
        <f>(INDEX(TBBP[],MATCH("2.9",planoContas,0)+1,MATCH(Tabela1[[#This Row],[Periodo]],listaPeriodos,0)))</f>
        <v>82378519.614099994</v>
      </c>
      <c r="F2212" s="16">
        <v>80000000</v>
      </c>
      <c r="G2212" s="16"/>
      <c r="H2212" s="16"/>
    </row>
    <row r="2213" spans="1:8" x14ac:dyDescent="0.3">
      <c r="A2213" t="s">
        <v>74</v>
      </c>
      <c r="B2213" s="3">
        <f t="shared" si="30"/>
        <v>45536</v>
      </c>
      <c r="C2213" s="2" t="str">
        <f>VLOOKUP(MONTH(Tabela1[[#This Row],[Periodo]]),NUMMESES,2,FALSE)</f>
        <v>Setembro</v>
      </c>
      <c r="D2213" s="2">
        <f>YEAR(Tabela1[[#This Row],[Periodo]])</f>
        <v>2024</v>
      </c>
      <c r="E2213" s="16">
        <f>(INDEX(TBBP[],MATCH("2.9",planoContas,0)+1,MATCH(Tabela1[[#This Row],[Periodo]],listaPeriodos,0)))</f>
        <v>83661785.834100008</v>
      </c>
      <c r="F2213" s="16">
        <v>80000000</v>
      </c>
      <c r="G2213" s="16"/>
      <c r="H2213" s="16"/>
    </row>
    <row r="2214" spans="1:8" x14ac:dyDescent="0.3">
      <c r="A2214" t="s">
        <v>74</v>
      </c>
      <c r="B2214" s="3">
        <f t="shared" si="30"/>
        <v>45566</v>
      </c>
      <c r="C2214" s="2" t="str">
        <f>VLOOKUP(MONTH(Tabela1[[#This Row],[Periodo]]),NUMMESES,2,FALSE)</f>
        <v>Outubro</v>
      </c>
      <c r="D2214" s="2">
        <f>YEAR(Tabela1[[#This Row],[Periodo]])</f>
        <v>2024</v>
      </c>
      <c r="E2214" s="16">
        <f>(INDEX(TBBP[],MATCH("2.9",planoContas,0)+1,MATCH(Tabela1[[#This Row],[Periodo]],listaPeriodos,0)))</f>
        <v>83947859.074100003</v>
      </c>
      <c r="F2214" s="16">
        <v>80000000</v>
      </c>
      <c r="G2214" s="16"/>
      <c r="H2214" s="16"/>
    </row>
    <row r="2215" spans="1:8" x14ac:dyDescent="0.3">
      <c r="A2215" t="s">
        <v>74</v>
      </c>
      <c r="B2215" s="3">
        <f t="shared" si="30"/>
        <v>45597</v>
      </c>
      <c r="C2215" s="2" t="str">
        <f>VLOOKUP(MONTH(Tabela1[[#This Row],[Periodo]]),NUMMESES,2,FALSE)</f>
        <v>Novembro</v>
      </c>
      <c r="D2215" s="2">
        <f>YEAR(Tabela1[[#This Row],[Periodo]])</f>
        <v>2024</v>
      </c>
      <c r="E2215" s="16">
        <f>(INDEX(TBBP[],MATCH("2.9",planoContas,0)+1,MATCH(Tabela1[[#This Row],[Periodo]],listaPeriodos,0)))</f>
        <v>83372919.424099997</v>
      </c>
      <c r="F2215" s="16">
        <v>80000000</v>
      </c>
      <c r="G2215" s="16"/>
      <c r="H2215" s="16"/>
    </row>
    <row r="2216" spans="1:8" x14ac:dyDescent="0.3">
      <c r="A2216" t="s">
        <v>74</v>
      </c>
      <c r="B2216" s="3">
        <f t="shared" si="30"/>
        <v>45627</v>
      </c>
      <c r="C2216" s="2" t="str">
        <f>VLOOKUP(MONTH(Tabela1[[#This Row],[Periodo]]),NUMMESES,2,FALSE)</f>
        <v>Dezembro</v>
      </c>
      <c r="D2216" s="2">
        <f>YEAR(Tabela1[[#This Row],[Periodo]])</f>
        <v>2024</v>
      </c>
      <c r="E2216" s="16">
        <f>(INDEX(TBBP[],MATCH("2.9",planoContas,0)+1,MATCH(Tabela1[[#This Row],[Periodo]],listaPeriodos,0)))</f>
        <v>85034056.894099995</v>
      </c>
      <c r="F2216" s="16">
        <v>80000000</v>
      </c>
      <c r="G2216" s="16"/>
      <c r="H2216" s="16"/>
    </row>
    <row r="2217" spans="1:8" x14ac:dyDescent="0.3">
      <c r="A2217" t="s">
        <v>74</v>
      </c>
      <c r="B2217" s="3">
        <f t="shared" si="30"/>
        <v>45658</v>
      </c>
      <c r="C2217" s="2" t="str">
        <f>VLOOKUP(MONTH(Tabela1[[#This Row],[Periodo]]),NUMMESES,2,FALSE)</f>
        <v>Janeiro</v>
      </c>
      <c r="D2217" s="2">
        <f>YEAR(Tabela1[[#This Row],[Periodo]])</f>
        <v>2025</v>
      </c>
      <c r="E2217" s="16">
        <f>(INDEX(TBBP[],MATCH("2.9",planoContas,0)+1,MATCH(Tabela1[[#This Row],[Periodo]],listaPeriodos,0)))</f>
        <v>86221181.761800006</v>
      </c>
      <c r="F2217" s="16">
        <v>80000000</v>
      </c>
      <c r="G2217" s="16"/>
      <c r="H2217" s="16"/>
    </row>
    <row r="2218" spans="1:8" x14ac:dyDescent="0.3">
      <c r="A2218" t="s">
        <v>74</v>
      </c>
      <c r="B2218" s="3">
        <f t="shared" si="30"/>
        <v>45689</v>
      </c>
      <c r="C2218" s="2" t="str">
        <f>VLOOKUP(MONTH(Tabela1[[#This Row],[Periodo]]),NUMMESES,2,FALSE)</f>
        <v>Fevereiro</v>
      </c>
      <c r="D2218" s="2">
        <f>YEAR(Tabela1[[#This Row],[Periodo]])</f>
        <v>2025</v>
      </c>
      <c r="E2218" s="16">
        <f>(INDEX(TBBP[],MATCH("2.9",planoContas,0)+1,MATCH(Tabela1[[#This Row],[Periodo]],listaPeriodos,0)))</f>
        <v>86936468.326800004</v>
      </c>
      <c r="F2218" s="16">
        <v>80000000</v>
      </c>
      <c r="G2218" s="16"/>
      <c r="H2218" s="16"/>
    </row>
    <row r="2219" spans="1:8" x14ac:dyDescent="0.3">
      <c r="A2219" t="s">
        <v>74</v>
      </c>
      <c r="B2219" s="3">
        <f t="shared" si="30"/>
        <v>45717</v>
      </c>
      <c r="C2219" s="2" t="str">
        <f>VLOOKUP(MONTH(Tabela1[[#This Row],[Periodo]]),NUMMESES,2,FALSE)</f>
        <v>Março</v>
      </c>
      <c r="D2219" s="2">
        <f>YEAR(Tabela1[[#This Row],[Periodo]])</f>
        <v>2025</v>
      </c>
      <c r="E2219" s="16">
        <f>(INDEX(TBBP[],MATCH("2.9",planoContas,0)+1,MATCH(Tabela1[[#This Row],[Periodo]],listaPeriodos,0)))</f>
        <v>87979819.488000005</v>
      </c>
      <c r="F2219" s="16">
        <v>80000000</v>
      </c>
      <c r="G2219" s="16"/>
      <c r="H2219" s="16"/>
    </row>
    <row r="2220" spans="1:8" x14ac:dyDescent="0.3">
      <c r="A2220" t="s">
        <v>74</v>
      </c>
      <c r="B2220" s="3">
        <f t="shared" si="30"/>
        <v>45748</v>
      </c>
      <c r="C2220" s="2" t="str">
        <f>VLOOKUP(MONTH(Tabela1[[#This Row],[Periodo]]),NUMMESES,2,FALSE)</f>
        <v>Abril</v>
      </c>
      <c r="D2220" s="2">
        <f>YEAR(Tabela1[[#This Row],[Periodo]])</f>
        <v>2025</v>
      </c>
      <c r="E2220" s="16">
        <f>(INDEX(TBBP[],MATCH("2.9",planoContas,0)+1,MATCH(Tabela1[[#This Row],[Periodo]],listaPeriodos,0)))</f>
        <v>89896773.424199998</v>
      </c>
      <c r="F2220" s="16">
        <v>80000000</v>
      </c>
      <c r="G2220" s="16"/>
      <c r="H2220" s="16"/>
    </row>
    <row r="2221" spans="1:8" x14ac:dyDescent="0.3">
      <c r="A2221" t="s">
        <v>74</v>
      </c>
      <c r="B2221" s="3">
        <f t="shared" si="30"/>
        <v>45778</v>
      </c>
      <c r="C2221" s="2" t="str">
        <f>VLOOKUP(MONTH(Tabela1[[#This Row],[Periodo]]),NUMMESES,2,FALSE)</f>
        <v>Maio</v>
      </c>
      <c r="D2221" s="2">
        <f>YEAR(Tabela1[[#This Row],[Periodo]])</f>
        <v>2025</v>
      </c>
      <c r="E2221" s="16">
        <f>(INDEX(TBBP[],MATCH("2.9",planoContas,0)+1,MATCH(Tabela1[[#This Row],[Periodo]],listaPeriodos,0)))</f>
        <v>91951973.131199986</v>
      </c>
      <c r="F2221" s="16">
        <v>80000000</v>
      </c>
      <c r="G2221" s="16"/>
      <c r="H2221" s="16"/>
    </row>
    <row r="2222" spans="1:8" x14ac:dyDescent="0.3">
      <c r="A2222" t="s">
        <v>74</v>
      </c>
      <c r="B2222" s="3">
        <f t="shared" si="30"/>
        <v>45809</v>
      </c>
      <c r="C2222" s="2" t="str">
        <f>VLOOKUP(MONTH(Tabela1[[#This Row],[Periodo]]),NUMMESES,2,FALSE)</f>
        <v>Junho</v>
      </c>
      <c r="D2222" s="2">
        <f>YEAR(Tabela1[[#This Row],[Periodo]])</f>
        <v>2025</v>
      </c>
      <c r="E2222" s="16">
        <f>(INDEX(TBBP[],MATCH("2.9",planoContas,0)+1,MATCH(Tabela1[[#This Row],[Periodo]],listaPeriodos,0)))</f>
        <v>91366986.498699993</v>
      </c>
      <c r="F2222" s="16">
        <v>80000000</v>
      </c>
      <c r="G2222" s="16"/>
      <c r="H2222" s="16"/>
    </row>
    <row r="2223" spans="1:8" x14ac:dyDescent="0.3">
      <c r="A2223" t="s">
        <v>74</v>
      </c>
      <c r="B2223" s="3">
        <f t="shared" si="30"/>
        <v>45839</v>
      </c>
      <c r="C2223" s="2" t="str">
        <f>VLOOKUP(MONTH(Tabela1[[#This Row],[Periodo]]),NUMMESES,2,FALSE)</f>
        <v>Julho</v>
      </c>
      <c r="D2223" s="2">
        <f>YEAR(Tabela1[[#This Row],[Periodo]])</f>
        <v>2025</v>
      </c>
      <c r="E2223" s="16">
        <f>(INDEX(TBBP[],MATCH("2.9",planoContas,0)+1,MATCH(Tabela1[[#This Row],[Periodo]],listaPeriodos,0)))</f>
        <v>91340963.814899996</v>
      </c>
      <c r="F2223" s="16">
        <v>80000000</v>
      </c>
      <c r="G2223" s="16"/>
      <c r="H2223" s="16"/>
    </row>
    <row r="2224" spans="1:8" x14ac:dyDescent="0.3">
      <c r="A2224" t="s">
        <v>74</v>
      </c>
      <c r="B2224" s="3">
        <f t="shared" si="30"/>
        <v>45870</v>
      </c>
      <c r="C2224" s="2" t="str">
        <f>VLOOKUP(MONTH(Tabela1[[#This Row],[Periodo]]),NUMMESES,2,FALSE)</f>
        <v>Agosto</v>
      </c>
      <c r="D2224" s="2">
        <f>YEAR(Tabela1[[#This Row],[Periodo]])</f>
        <v>2025</v>
      </c>
      <c r="E2224" s="16">
        <f>(INDEX(TBBP[],MATCH("2.9",planoContas,0)+1,MATCH(Tabela1[[#This Row],[Periodo]],listaPeriodos,0)))</f>
        <v>92380256.394899994</v>
      </c>
      <c r="F2224" s="16">
        <v>80000000</v>
      </c>
      <c r="G2224" s="16"/>
      <c r="H2224" s="16"/>
    </row>
    <row r="2225" spans="1:8" x14ac:dyDescent="0.3">
      <c r="A2225" t="s">
        <v>74</v>
      </c>
      <c r="B2225" s="3">
        <f t="shared" si="30"/>
        <v>45901</v>
      </c>
      <c r="C2225" s="2" t="str">
        <f>VLOOKUP(MONTH(Tabela1[[#This Row],[Periodo]]),NUMMESES,2,FALSE)</f>
        <v>Setembro</v>
      </c>
      <c r="D2225" s="2">
        <f>YEAR(Tabela1[[#This Row],[Periodo]])</f>
        <v>2025</v>
      </c>
      <c r="E2225" s="16">
        <f>(INDEX(TBBP[],MATCH("2.9",planoContas,0)+1,MATCH(Tabela1[[#This Row],[Periodo]],listaPeriodos,0)))</f>
        <v>92673619.861099988</v>
      </c>
      <c r="F2225" s="16">
        <v>80000000</v>
      </c>
      <c r="G2225" s="16"/>
      <c r="H2225" s="16"/>
    </row>
    <row r="2226" spans="1:8" x14ac:dyDescent="0.3">
      <c r="A2226" t="s">
        <v>74</v>
      </c>
      <c r="B2226" s="3">
        <f t="shared" si="30"/>
        <v>45931</v>
      </c>
      <c r="C2226" s="2" t="str">
        <f>VLOOKUP(MONTH(Tabela1[[#This Row],[Periodo]]),NUMMESES,2,FALSE)</f>
        <v>Outubro</v>
      </c>
      <c r="D2226" s="2">
        <f>YEAR(Tabela1[[#This Row],[Periodo]])</f>
        <v>2025</v>
      </c>
      <c r="E2226" s="16">
        <f>(INDEX(TBBP[],MATCH("2.9",planoContas,0)+1,MATCH(Tabela1[[#This Row],[Periodo]],listaPeriodos,0)))</f>
        <v>92036628.880699992</v>
      </c>
      <c r="F2226" s="16">
        <v>80000000</v>
      </c>
      <c r="G2226" s="16"/>
      <c r="H2226" s="16"/>
    </row>
    <row r="2227" spans="1:8" x14ac:dyDescent="0.3">
      <c r="A2227" t="s">
        <v>74</v>
      </c>
      <c r="B2227" s="3">
        <f t="shared" si="30"/>
        <v>45962</v>
      </c>
      <c r="C2227" s="2" t="str">
        <f>VLOOKUP(MONTH(Tabela1[[#This Row],[Periodo]]),NUMMESES,2,FALSE)</f>
        <v>Novembro</v>
      </c>
      <c r="D2227" s="2">
        <f>YEAR(Tabela1[[#This Row],[Periodo]])</f>
        <v>2025</v>
      </c>
      <c r="E2227" s="16">
        <f>(INDEX(TBBP[],MATCH("2.9",planoContas,0)+1,MATCH(Tabela1[[#This Row],[Periodo]],listaPeriodos,0)))</f>
        <v>92562076.316100001</v>
      </c>
      <c r="F2227" s="16">
        <v>80000000</v>
      </c>
      <c r="G2227" s="16"/>
      <c r="H2227" s="16"/>
    </row>
    <row r="2228" spans="1:8" x14ac:dyDescent="0.3">
      <c r="A2228" t="s">
        <v>74</v>
      </c>
      <c r="B2228" s="3">
        <f t="shared" si="30"/>
        <v>45992</v>
      </c>
      <c r="C2228" s="2" t="str">
        <f>VLOOKUP(MONTH(Tabela1[[#This Row],[Periodo]]),NUMMESES,2,FALSE)</f>
        <v>Dezembro</v>
      </c>
      <c r="D2228" s="2">
        <f>YEAR(Tabela1[[#This Row],[Periodo]])</f>
        <v>2025</v>
      </c>
      <c r="E2228" s="16">
        <f>(INDEX(TBBP[],MATCH("2.9",planoContas,0)+1,MATCH(Tabela1[[#This Row],[Periodo]],listaPeriodos,0)))</f>
        <v>78291799.752900004</v>
      </c>
      <c r="F2228" s="16">
        <v>80000000</v>
      </c>
      <c r="G2228" s="16"/>
      <c r="H2228" s="16"/>
    </row>
    <row r="2229" spans="1:8" x14ac:dyDescent="0.3">
      <c r="A2229" t="s">
        <v>74</v>
      </c>
      <c r="B2229" s="3">
        <f t="shared" si="30"/>
        <v>46023</v>
      </c>
      <c r="C2229" s="2" t="str">
        <f>VLOOKUP(MONTH(Tabela1[[#This Row],[Periodo]]),NUMMESES,2,FALSE)</f>
        <v>Janeiro</v>
      </c>
      <c r="D2229" s="2">
        <f>YEAR(Tabela1[[#This Row],[Periodo]])</f>
        <v>2026</v>
      </c>
      <c r="E2229" s="16">
        <f>(INDEX(TBBP[],MATCH("2.9",planoContas,0)+1,MATCH(Tabela1[[#This Row],[Periodo]],listaPeriodos,0)))</f>
        <v>79103422.259200007</v>
      </c>
      <c r="F2229" s="16">
        <v>80000000</v>
      </c>
      <c r="G2229" s="16"/>
      <c r="H2229" s="16"/>
    </row>
    <row r="2230" spans="1:8" x14ac:dyDescent="0.3">
      <c r="B2230" s="3"/>
      <c r="C2230" s="2"/>
      <c r="D2230" s="2"/>
      <c r="E2230" s="16"/>
      <c r="F2230" s="16"/>
      <c r="G2230" s="16"/>
      <c r="H2230" s="16"/>
    </row>
    <row r="2231" spans="1:8" x14ac:dyDescent="0.3">
      <c r="A2231" t="s">
        <v>716</v>
      </c>
      <c r="B2231" s="3">
        <v>41609</v>
      </c>
      <c r="C2231" s="2" t="str">
        <f>VLOOKUP(MONTH(Tabela1[[#This Row],[Periodo]]),NUMMESES,2,FALSE)</f>
        <v>Dezembro</v>
      </c>
      <c r="D2231" s="2">
        <f>YEAR(Tabela1[[#This Row],[Periodo]])</f>
        <v>2013</v>
      </c>
      <c r="E2231" s="16">
        <f>(INDEX(TBBP[],MATCH("1.1.1.3.01",planoContas,0)+1,MATCH(Tabela1[[#This Row],[Periodo]],listaPeriodos,0)))</f>
        <v>2125514.88</v>
      </c>
      <c r="F2231" s="16"/>
      <c r="G2231" s="16"/>
      <c r="H2231" s="16"/>
    </row>
    <row r="2232" spans="1:8" x14ac:dyDescent="0.3">
      <c r="A2232" t="s">
        <v>716</v>
      </c>
      <c r="B2232" s="3">
        <v>41974</v>
      </c>
      <c r="C2232" s="2" t="str">
        <f>VLOOKUP(MONTH(Tabela1[[#This Row],[Periodo]]),NUMMESES,2,FALSE)</f>
        <v>Dezembro</v>
      </c>
      <c r="D2232" s="2">
        <f>YEAR(Tabela1[[#This Row],[Periodo]])</f>
        <v>2014</v>
      </c>
      <c r="E2232" s="16">
        <f>(INDEX(TBBP[],MATCH("1.1.1.3.01",planoContas,0)+1,MATCH(Tabela1[[#This Row],[Periodo]],listaPeriodos,0)))</f>
        <v>3653840.3400000003</v>
      </c>
      <c r="F2232" s="16"/>
      <c r="G2232" s="16"/>
      <c r="H2232" s="16"/>
    </row>
    <row r="2233" spans="1:8" x14ac:dyDescent="0.3">
      <c r="A2233" t="s">
        <v>716</v>
      </c>
      <c r="B2233" s="3">
        <v>42339</v>
      </c>
      <c r="C2233" s="2" t="str">
        <f>VLOOKUP(MONTH(Tabela1[[#This Row],[Periodo]]),NUMMESES,2,FALSE)</f>
        <v>Dezembro</v>
      </c>
      <c r="D2233" s="2">
        <f>YEAR(Tabela1[[#This Row],[Periodo]])</f>
        <v>2015</v>
      </c>
      <c r="E2233" s="16">
        <f>(INDEX(TBBP[],MATCH("1.1.1.3.01",planoContas,0)+1,MATCH(Tabela1[[#This Row],[Periodo]],listaPeriodos,0)))</f>
        <v>5164967.38</v>
      </c>
      <c r="F2233" s="16"/>
      <c r="G2233" s="16"/>
      <c r="H2233" s="16"/>
    </row>
    <row r="2234" spans="1:8" x14ac:dyDescent="0.3">
      <c r="A2234" t="s">
        <v>716</v>
      </c>
      <c r="B2234" s="3">
        <v>42705</v>
      </c>
      <c r="C2234" s="2" t="str">
        <f>VLOOKUP(MONTH(Tabela1[[#This Row],[Periodo]]),NUMMESES,2,FALSE)</f>
        <v>Dezembro</v>
      </c>
      <c r="D2234" s="2">
        <f>YEAR(Tabela1[[#This Row],[Periodo]])</f>
        <v>2016</v>
      </c>
      <c r="E2234" s="16">
        <f>(INDEX(TBBP[],MATCH("1.1.1.3.01",planoContas,0)+1,MATCH(Tabela1[[#This Row],[Periodo]],listaPeriodos,0)))</f>
        <v>5472169.8600000003</v>
      </c>
      <c r="F2234" s="16"/>
      <c r="G2234" s="16"/>
      <c r="H2234" s="16"/>
    </row>
    <row r="2235" spans="1:8" x14ac:dyDescent="0.3">
      <c r="A2235" t="s">
        <v>716</v>
      </c>
      <c r="B2235" s="3">
        <v>43070</v>
      </c>
      <c r="C2235" s="2" t="str">
        <f>VLOOKUP(MONTH(Tabela1[[#This Row],[Periodo]]),NUMMESES,2,FALSE)</f>
        <v>Dezembro</v>
      </c>
      <c r="D2235" s="2">
        <f>YEAR(Tabela1[[#This Row],[Periodo]])</f>
        <v>2017</v>
      </c>
      <c r="E2235" s="16">
        <f>(INDEX(TBBP[],MATCH("1.1.1.3.01",planoContas,0)+1,MATCH(Tabela1[[#This Row],[Periodo]],listaPeriodos,0)))</f>
        <v>5000216.88</v>
      </c>
      <c r="F2235" s="16"/>
      <c r="G2235" s="16"/>
      <c r="H2235" s="16"/>
    </row>
    <row r="2236" spans="1:8" x14ac:dyDescent="0.3">
      <c r="A2236" t="s">
        <v>716</v>
      </c>
      <c r="B2236" s="3">
        <v>43101</v>
      </c>
      <c r="C2236" s="2" t="str">
        <f>VLOOKUP(MONTH(Tabela1[[#This Row],[Periodo]]),NUMMESES,2,FALSE)</f>
        <v>Janeiro</v>
      </c>
      <c r="D2236" s="2">
        <f>YEAR(Tabela1[[#This Row],[Periodo]])</f>
        <v>2018</v>
      </c>
      <c r="E2236" s="16">
        <f>(INDEX(TBBP[],MATCH("1.1.1.3.01",planoContas,0)+1,MATCH(Tabela1[[#This Row],[Periodo]],listaPeriodos,0)))</f>
        <v>5115280.13</v>
      </c>
      <c r="F2236" s="16"/>
      <c r="G2236" s="16"/>
      <c r="H2236" s="16"/>
    </row>
    <row r="2237" spans="1:8" x14ac:dyDescent="0.3">
      <c r="A2237" t="s">
        <v>716</v>
      </c>
      <c r="B2237" s="3">
        <f t="shared" ref="B2237:B2332" si="31">DATE(YEAR(B2236),MONTH(B2236)+1,DAY(B2236))</f>
        <v>43132</v>
      </c>
      <c r="C2237" s="2" t="str">
        <f>VLOOKUP(MONTH(Tabela1[[#This Row],[Periodo]]),NUMMESES,2,FALSE)</f>
        <v>Fevereiro</v>
      </c>
      <c r="D2237" s="2">
        <f>YEAR(Tabela1[[#This Row],[Periodo]])</f>
        <v>2018</v>
      </c>
      <c r="E2237" s="16">
        <f>(INDEX(TBBP[],MATCH("1.1.1.3.01",planoContas,0)+1,MATCH(Tabela1[[#This Row],[Periodo]],listaPeriodos,0)))</f>
        <v>5402705.1799999997</v>
      </c>
      <c r="F2237" s="16"/>
      <c r="G2237" s="16"/>
      <c r="H2237" s="16"/>
    </row>
    <row r="2238" spans="1:8" x14ac:dyDescent="0.3">
      <c r="A2238" t="s">
        <v>716</v>
      </c>
      <c r="B2238" s="3">
        <f t="shared" si="31"/>
        <v>43160</v>
      </c>
      <c r="C2238" s="2" t="str">
        <f>VLOOKUP(MONTH(Tabela1[[#This Row],[Periodo]]),NUMMESES,2,FALSE)</f>
        <v>Março</v>
      </c>
      <c r="D2238" s="2">
        <f>YEAR(Tabela1[[#This Row],[Periodo]])</f>
        <v>2018</v>
      </c>
      <c r="E2238" s="16">
        <f>(INDEX(TBBP[],MATCH("1.1.1.3.01",planoContas,0)+1,MATCH(Tabela1[[#This Row],[Periodo]],listaPeriodos,0)))</f>
        <v>5797133.2300000004</v>
      </c>
      <c r="F2238" s="16"/>
      <c r="G2238" s="16"/>
      <c r="H2238" s="16"/>
    </row>
    <row r="2239" spans="1:8" x14ac:dyDescent="0.3">
      <c r="A2239" t="s">
        <v>716</v>
      </c>
      <c r="B2239" s="3">
        <f t="shared" si="31"/>
        <v>43191</v>
      </c>
      <c r="C2239" s="2" t="str">
        <f>VLOOKUP(MONTH(Tabela1[[#This Row],[Periodo]]),NUMMESES,2,FALSE)</f>
        <v>Abril</v>
      </c>
      <c r="D2239" s="2">
        <f>YEAR(Tabela1[[#This Row],[Periodo]])</f>
        <v>2018</v>
      </c>
      <c r="E2239" s="16">
        <f>(INDEX(TBBP[],MATCH("1.1.1.3.01",planoContas,0)+1,MATCH(Tabela1[[#This Row],[Periodo]],listaPeriodos,0)))</f>
        <v>6028053.4199999999</v>
      </c>
      <c r="F2239" s="16"/>
      <c r="G2239" s="16"/>
      <c r="H2239" s="16"/>
    </row>
    <row r="2240" spans="1:8" x14ac:dyDescent="0.3">
      <c r="A2240" t="s">
        <v>716</v>
      </c>
      <c r="B2240" s="3">
        <f t="shared" si="31"/>
        <v>43221</v>
      </c>
      <c r="C2240" s="2" t="str">
        <f>VLOOKUP(MONTH(Tabela1[[#This Row],[Periodo]]),NUMMESES,2,FALSE)</f>
        <v>Maio</v>
      </c>
      <c r="D2240" s="2">
        <f>YEAR(Tabela1[[#This Row],[Periodo]])</f>
        <v>2018</v>
      </c>
      <c r="E2240" s="16">
        <f>(INDEX(TBBP[],MATCH("1.1.1.3.01",planoContas,0)+1,MATCH(Tabela1[[#This Row],[Periodo]],listaPeriodos,0)))</f>
        <v>5880480.5999999996</v>
      </c>
      <c r="F2240" s="16"/>
      <c r="G2240" s="16"/>
      <c r="H2240" s="16"/>
    </row>
    <row r="2241" spans="1:8" x14ac:dyDescent="0.3">
      <c r="A2241" t="s">
        <v>716</v>
      </c>
      <c r="B2241" s="3">
        <f t="shared" si="31"/>
        <v>43252</v>
      </c>
      <c r="C2241" s="2" t="str">
        <f>VLOOKUP(MONTH(Tabela1[[#This Row],[Periodo]]),NUMMESES,2,FALSE)</f>
        <v>Junho</v>
      </c>
      <c r="D2241" s="2">
        <f>YEAR(Tabela1[[#This Row],[Periodo]])</f>
        <v>2018</v>
      </c>
      <c r="E2241" s="16">
        <f>(INDEX(TBBP[],MATCH("1.1.1.3.01",planoContas,0)+1,MATCH(Tabela1[[#This Row],[Periodo]],listaPeriodos,0)))</f>
        <v>5887242.6200000001</v>
      </c>
      <c r="F2241" s="16"/>
      <c r="G2241" s="16"/>
      <c r="H2241" s="16"/>
    </row>
    <row r="2242" spans="1:8" x14ac:dyDescent="0.3">
      <c r="A2242" t="s">
        <v>716</v>
      </c>
      <c r="B2242" s="3">
        <f t="shared" si="31"/>
        <v>43282</v>
      </c>
      <c r="C2242" s="2" t="str">
        <f>VLOOKUP(MONTH(Tabela1[[#This Row],[Periodo]]),NUMMESES,2,FALSE)</f>
        <v>Julho</v>
      </c>
      <c r="D2242" s="2">
        <f>YEAR(Tabela1[[#This Row],[Periodo]])</f>
        <v>2018</v>
      </c>
      <c r="E2242" s="16">
        <f>(INDEX(TBBP[],MATCH("1.1.1.3.01",planoContas,0)+1,MATCH(Tabela1[[#This Row],[Periodo]],listaPeriodos,0)))</f>
        <v>7290991.6200000001</v>
      </c>
      <c r="F2242" s="16"/>
      <c r="G2242" s="16"/>
      <c r="H2242" s="16"/>
    </row>
    <row r="2243" spans="1:8" x14ac:dyDescent="0.3">
      <c r="A2243" t="s">
        <v>716</v>
      </c>
      <c r="B2243" s="3">
        <f t="shared" si="31"/>
        <v>43313</v>
      </c>
      <c r="C2243" s="2" t="str">
        <f>VLOOKUP(MONTH(Tabela1[[#This Row],[Periodo]]),NUMMESES,2,FALSE)</f>
        <v>Agosto</v>
      </c>
      <c r="D2243" s="2">
        <f>YEAR(Tabela1[[#This Row],[Periodo]])</f>
        <v>2018</v>
      </c>
      <c r="E2243" s="16">
        <f>(INDEX(TBBP[],MATCH("1.1.1.3.01",planoContas,0)+1,MATCH(Tabela1[[#This Row],[Periodo]],listaPeriodos,0)))</f>
        <v>7748973.7800000003</v>
      </c>
      <c r="F2243" s="16"/>
      <c r="G2243" s="16"/>
      <c r="H2243" s="16"/>
    </row>
    <row r="2244" spans="1:8" x14ac:dyDescent="0.3">
      <c r="A2244" t="s">
        <v>716</v>
      </c>
      <c r="B2244" s="3">
        <f t="shared" si="31"/>
        <v>43344</v>
      </c>
      <c r="C2244" s="2" t="str">
        <f>VLOOKUP(MONTH(Tabela1[[#This Row],[Periodo]]),NUMMESES,2,FALSE)</f>
        <v>Setembro</v>
      </c>
      <c r="D2244" s="2">
        <f>YEAR(Tabela1[[#This Row],[Periodo]])</f>
        <v>2018</v>
      </c>
      <c r="E2244" s="16">
        <f>(INDEX(TBBP[],MATCH("1.1.1.3.01",planoContas,0)+1,MATCH(Tabela1[[#This Row],[Periodo]],listaPeriodos,0)))</f>
        <v>9404547.0500000007</v>
      </c>
      <c r="F2244" s="16"/>
      <c r="G2244" s="16"/>
      <c r="H2244" s="16"/>
    </row>
    <row r="2245" spans="1:8" x14ac:dyDescent="0.3">
      <c r="A2245" t="s">
        <v>716</v>
      </c>
      <c r="B2245" s="3">
        <f t="shared" si="31"/>
        <v>43374</v>
      </c>
      <c r="C2245" s="2" t="str">
        <f>VLOOKUP(MONTH(Tabela1[[#This Row],[Periodo]]),NUMMESES,2,FALSE)</f>
        <v>Outubro</v>
      </c>
      <c r="D2245" s="2">
        <f>YEAR(Tabela1[[#This Row],[Periodo]])</f>
        <v>2018</v>
      </c>
      <c r="E2245" s="16">
        <f>(INDEX(TBBP[],MATCH("1.1.1.3.01",planoContas,0)+1,MATCH(Tabela1[[#This Row],[Periodo]],listaPeriodos,0)))</f>
        <v>8747359.3300000001</v>
      </c>
      <c r="F2245" s="16"/>
      <c r="G2245" s="16"/>
      <c r="H2245" s="16"/>
    </row>
    <row r="2246" spans="1:8" x14ac:dyDescent="0.3">
      <c r="A2246" t="s">
        <v>716</v>
      </c>
      <c r="B2246" s="3">
        <f t="shared" si="31"/>
        <v>43405</v>
      </c>
      <c r="C2246" s="2" t="str">
        <f>VLOOKUP(MONTH(Tabela1[[#This Row],[Periodo]]),NUMMESES,2,FALSE)</f>
        <v>Novembro</v>
      </c>
      <c r="D2246" s="2">
        <f>YEAR(Tabela1[[#This Row],[Periodo]])</f>
        <v>2018</v>
      </c>
      <c r="E2246" s="16">
        <f>(INDEX(TBBP[],MATCH("1.1.1.3.01",planoContas,0)+1,MATCH(Tabela1[[#This Row],[Periodo]],listaPeriodos,0)))</f>
        <v>8362919.3499999996</v>
      </c>
      <c r="F2246" s="16"/>
      <c r="G2246" s="16"/>
      <c r="H2246" s="16"/>
    </row>
    <row r="2247" spans="1:8" x14ac:dyDescent="0.3">
      <c r="A2247" t="s">
        <v>716</v>
      </c>
      <c r="B2247" s="3">
        <f t="shared" si="31"/>
        <v>43435</v>
      </c>
      <c r="C2247" s="2" t="str">
        <f>VLOOKUP(MONTH(Tabela1[[#This Row],[Periodo]]),NUMMESES,2,FALSE)</f>
        <v>Dezembro</v>
      </c>
      <c r="D2247" s="2">
        <f>YEAR(Tabela1[[#This Row],[Periodo]])</f>
        <v>2018</v>
      </c>
      <c r="E2247" s="16">
        <f>(INDEX(TBBP[],MATCH("1.1.1.3.01",planoContas,0)+1,MATCH(Tabela1[[#This Row],[Periodo]],listaPeriodos,0)))</f>
        <v>8000617.8300000001</v>
      </c>
      <c r="F2247" s="16"/>
      <c r="G2247" s="16"/>
      <c r="H2247" s="16"/>
    </row>
    <row r="2248" spans="1:8" x14ac:dyDescent="0.3">
      <c r="A2248" t="s">
        <v>716</v>
      </c>
      <c r="B2248" s="3">
        <f t="shared" si="31"/>
        <v>43466</v>
      </c>
      <c r="C2248" s="2" t="str">
        <f>VLOOKUP(MONTH(Tabela1[[#This Row],[Periodo]]),NUMMESES,2,FALSE)</f>
        <v>Janeiro</v>
      </c>
      <c r="D2248" s="2">
        <f>YEAR(Tabela1[[#This Row],[Periodo]])</f>
        <v>2019</v>
      </c>
      <c r="E2248" s="16">
        <f>(INDEX(TBBP[],MATCH("1.1.1.3.01",planoContas,0)+1,MATCH(Tabela1[[#This Row],[Periodo]],listaPeriodos,0)))</f>
        <v>7925688.0199999996</v>
      </c>
      <c r="F2248" s="16"/>
      <c r="G2248" s="16"/>
      <c r="H2248" s="16"/>
    </row>
    <row r="2249" spans="1:8" x14ac:dyDescent="0.3">
      <c r="A2249" t="s">
        <v>716</v>
      </c>
      <c r="B2249" s="3">
        <f t="shared" si="31"/>
        <v>43497</v>
      </c>
      <c r="C2249" s="2" t="str">
        <f>VLOOKUP(MONTH(Tabela1[[#This Row],[Periodo]]),NUMMESES,2,FALSE)</f>
        <v>Fevereiro</v>
      </c>
      <c r="D2249" s="2">
        <f>YEAR(Tabela1[[#This Row],[Periodo]])</f>
        <v>2019</v>
      </c>
      <c r="E2249" s="16">
        <f>(INDEX(TBBP[],MATCH("1.1.1.3.01",planoContas,0)+1,MATCH(Tabela1[[#This Row],[Periodo]],listaPeriodos,0)))</f>
        <v>7837368.2699999996</v>
      </c>
      <c r="F2249" s="16"/>
      <c r="G2249" s="16"/>
      <c r="H2249" s="16"/>
    </row>
    <row r="2250" spans="1:8" x14ac:dyDescent="0.3">
      <c r="A2250" t="s">
        <v>716</v>
      </c>
      <c r="B2250" s="3">
        <f t="shared" si="31"/>
        <v>43525</v>
      </c>
      <c r="C2250" s="2" t="str">
        <f>VLOOKUP(MONTH(Tabela1[[#This Row],[Periodo]]),NUMMESES,2,FALSE)</f>
        <v>Março</v>
      </c>
      <c r="D2250" s="2">
        <f>YEAR(Tabela1[[#This Row],[Periodo]])</f>
        <v>2019</v>
      </c>
      <c r="E2250" s="16">
        <f>(INDEX(TBBP[],MATCH("1.1.1.3.01",planoContas,0)+1,MATCH(Tabela1[[#This Row],[Periodo]],listaPeriodos,0)))</f>
        <v>7918032.7199999997</v>
      </c>
      <c r="F2250" s="16"/>
      <c r="G2250" s="16"/>
      <c r="H2250" s="16"/>
    </row>
    <row r="2251" spans="1:8" x14ac:dyDescent="0.3">
      <c r="A2251" t="s">
        <v>716</v>
      </c>
      <c r="B2251" s="3">
        <f t="shared" si="31"/>
        <v>43556</v>
      </c>
      <c r="C2251" s="2" t="str">
        <f>VLOOKUP(MONTH(Tabela1[[#This Row],[Periodo]]),NUMMESES,2,FALSE)</f>
        <v>Abril</v>
      </c>
      <c r="D2251" s="2">
        <f>YEAR(Tabela1[[#This Row],[Periodo]])</f>
        <v>2019</v>
      </c>
      <c r="E2251" s="16">
        <f>(INDEX(TBBP[],MATCH("1.1.1.3.01",planoContas,0)+1,MATCH(Tabela1[[#This Row],[Periodo]],listaPeriodos,0)))</f>
        <v>8469576.7799999993</v>
      </c>
      <c r="F2251" s="16"/>
      <c r="G2251" s="16"/>
      <c r="H2251" s="16"/>
    </row>
    <row r="2252" spans="1:8" x14ac:dyDescent="0.3">
      <c r="A2252" t="s">
        <v>716</v>
      </c>
      <c r="B2252" s="3">
        <f t="shared" si="31"/>
        <v>43586</v>
      </c>
      <c r="C2252" s="2" t="str">
        <f>VLOOKUP(MONTH(Tabela1[[#This Row],[Periodo]]),NUMMESES,2,FALSE)</f>
        <v>Maio</v>
      </c>
      <c r="D2252" s="2">
        <f>YEAR(Tabela1[[#This Row],[Periodo]])</f>
        <v>2019</v>
      </c>
      <c r="E2252" s="16">
        <f>(INDEX(TBBP[],MATCH("1.1.1.3.01",planoContas,0)+1,MATCH(Tabela1[[#This Row],[Periodo]],listaPeriodos,0)))</f>
        <v>8698423.9700000007</v>
      </c>
      <c r="F2252" s="16"/>
      <c r="G2252" s="16"/>
      <c r="H2252" s="16"/>
    </row>
    <row r="2253" spans="1:8" x14ac:dyDescent="0.3">
      <c r="A2253" t="s">
        <v>716</v>
      </c>
      <c r="B2253" s="3">
        <f t="shared" si="31"/>
        <v>43617</v>
      </c>
      <c r="C2253" s="2" t="str">
        <f>VLOOKUP(MONTH(Tabela1[[#This Row],[Periodo]]),NUMMESES,2,FALSE)</f>
        <v>Junho</v>
      </c>
      <c r="D2253" s="2">
        <f>YEAR(Tabela1[[#This Row],[Periodo]])</f>
        <v>2019</v>
      </c>
      <c r="E2253" s="16">
        <f>(INDEX(TBBP[],MATCH("1.1.1.3.01",planoContas,0)+1,MATCH(Tabela1[[#This Row],[Periodo]],listaPeriodos,0)))</f>
        <v>9063208.4100000001</v>
      </c>
      <c r="F2253" s="16"/>
      <c r="G2253" s="16"/>
      <c r="H2253" s="16"/>
    </row>
    <row r="2254" spans="1:8" x14ac:dyDescent="0.3">
      <c r="A2254" t="s">
        <v>716</v>
      </c>
      <c r="B2254" s="3">
        <f t="shared" si="31"/>
        <v>43647</v>
      </c>
      <c r="C2254" s="2" t="str">
        <f>VLOOKUP(MONTH(Tabela1[[#This Row],[Periodo]]),NUMMESES,2,FALSE)</f>
        <v>Julho</v>
      </c>
      <c r="D2254" s="2">
        <f>YEAR(Tabela1[[#This Row],[Periodo]])</f>
        <v>2019</v>
      </c>
      <c r="E2254" s="16">
        <f>(INDEX(TBBP[],MATCH("1.1.1.3.01",planoContas,0)+1,MATCH(Tabela1[[#This Row],[Periodo]],listaPeriodos,0)))</f>
        <v>9426364.5500000007</v>
      </c>
      <c r="F2254" s="16"/>
      <c r="G2254" s="16"/>
      <c r="H2254" s="16"/>
    </row>
    <row r="2255" spans="1:8" x14ac:dyDescent="0.3">
      <c r="A2255" t="s">
        <v>716</v>
      </c>
      <c r="B2255" s="3">
        <f t="shared" si="31"/>
        <v>43678</v>
      </c>
      <c r="C2255" s="2" t="str">
        <f>VLOOKUP(MONTH(Tabela1[[#This Row],[Periodo]]),NUMMESES,2,FALSE)</f>
        <v>Agosto</v>
      </c>
      <c r="D2255" s="2">
        <f>YEAR(Tabela1[[#This Row],[Periodo]])</f>
        <v>2019</v>
      </c>
      <c r="E2255" s="16">
        <f>(INDEX(TBBP[],MATCH("1.1.1.3.01",planoContas,0)+1,MATCH(Tabela1[[#This Row],[Periodo]],listaPeriodos,0)))</f>
        <v>8996834.0199999996</v>
      </c>
      <c r="F2255" s="16"/>
      <c r="G2255" s="16"/>
      <c r="H2255" s="16"/>
    </row>
    <row r="2256" spans="1:8" x14ac:dyDescent="0.3">
      <c r="A2256" t="s">
        <v>716</v>
      </c>
      <c r="B2256" s="3">
        <f t="shared" si="31"/>
        <v>43709</v>
      </c>
      <c r="C2256" s="2" t="str">
        <f>VLOOKUP(MONTH(Tabela1[[#This Row],[Periodo]]),NUMMESES,2,FALSE)</f>
        <v>Setembro</v>
      </c>
      <c r="D2256" s="2">
        <f>YEAR(Tabela1[[#This Row],[Periodo]])</f>
        <v>2019</v>
      </c>
      <c r="E2256" s="16">
        <f>(INDEX(TBBP[],MATCH("1.1.1.3.01",planoContas,0)+1,MATCH(Tabela1[[#This Row],[Periodo]],listaPeriodos,0)))</f>
        <v>9934162.8499999996</v>
      </c>
      <c r="F2256" s="16"/>
      <c r="G2256" s="16"/>
      <c r="H2256" s="16"/>
    </row>
    <row r="2257" spans="1:8" x14ac:dyDescent="0.3">
      <c r="A2257" t="s">
        <v>716</v>
      </c>
      <c r="B2257" s="3">
        <f t="shared" si="31"/>
        <v>43739</v>
      </c>
      <c r="C2257" s="2" t="str">
        <f>VLOOKUP(MONTH(Tabela1[[#This Row],[Periodo]]),NUMMESES,2,FALSE)</f>
        <v>Outubro</v>
      </c>
      <c r="D2257" s="2">
        <f>YEAR(Tabela1[[#This Row],[Periodo]])</f>
        <v>2019</v>
      </c>
      <c r="E2257" s="16">
        <f>(INDEX(TBBP[],MATCH("1.1.1.3.01",planoContas,0)+1,MATCH(Tabela1[[#This Row],[Periodo]],listaPeriodos,0)))</f>
        <v>11188258.83</v>
      </c>
      <c r="F2257" s="16"/>
      <c r="G2257" s="16"/>
      <c r="H2257" s="16"/>
    </row>
    <row r="2258" spans="1:8" x14ac:dyDescent="0.3">
      <c r="A2258" t="s">
        <v>716</v>
      </c>
      <c r="B2258" s="3">
        <f t="shared" si="31"/>
        <v>43770</v>
      </c>
      <c r="C2258" s="2" t="str">
        <f>VLOOKUP(MONTH(Tabela1[[#This Row],[Periodo]]),NUMMESES,2,FALSE)</f>
        <v>Novembro</v>
      </c>
      <c r="D2258" s="2">
        <f>YEAR(Tabela1[[#This Row],[Periodo]])</f>
        <v>2019</v>
      </c>
      <c r="E2258" s="16">
        <f>(INDEX(TBBP[],MATCH("1.1.1.3.01",planoContas,0)+1,MATCH(Tabela1[[#This Row],[Periodo]],listaPeriodos,0)))</f>
        <v>11403819.619999999</v>
      </c>
      <c r="F2258" s="16"/>
      <c r="G2258" s="16"/>
      <c r="H2258" s="16"/>
    </row>
    <row r="2259" spans="1:8" x14ac:dyDescent="0.3">
      <c r="A2259" t="s">
        <v>716</v>
      </c>
      <c r="B2259" s="3">
        <f t="shared" si="31"/>
        <v>43800</v>
      </c>
      <c r="C2259" s="2" t="str">
        <f>VLOOKUP(MONTH(Tabela1[[#This Row],[Periodo]]),NUMMESES,2,FALSE)</f>
        <v>Dezembro</v>
      </c>
      <c r="D2259" s="2">
        <f>YEAR(Tabela1[[#This Row],[Periodo]])</f>
        <v>2019</v>
      </c>
      <c r="E2259" s="16">
        <f>(INDEX(TBBP[],MATCH("1.1.1.3.01",planoContas,0)+1,MATCH(Tabela1[[#This Row],[Periodo]],listaPeriodos,0)))</f>
        <v>10184387.82</v>
      </c>
      <c r="F2259" s="16"/>
      <c r="G2259" s="16"/>
      <c r="H2259" s="16"/>
    </row>
    <row r="2260" spans="1:8" x14ac:dyDescent="0.3">
      <c r="A2260" t="s">
        <v>716</v>
      </c>
      <c r="B2260" s="3">
        <f t="shared" si="31"/>
        <v>43831</v>
      </c>
      <c r="C2260" s="2" t="str">
        <f>VLOOKUP(MONTH(Tabela1[[#This Row],[Periodo]]),NUMMESES,2,FALSE)</f>
        <v>Janeiro</v>
      </c>
      <c r="D2260" s="2">
        <f>YEAR(Tabela1[[#This Row],[Periodo]])</f>
        <v>2020</v>
      </c>
      <c r="E2260" s="16">
        <f>(INDEX(TBBP[],MATCH("1.1.1.3.01",planoContas,0)+1,MATCH(Tabela1[[#This Row],[Periodo]],listaPeriodos,0)))</f>
        <v>10591964.029999999</v>
      </c>
      <c r="F2260" s="16"/>
      <c r="G2260" s="16"/>
      <c r="H2260" s="16"/>
    </row>
    <row r="2261" spans="1:8" x14ac:dyDescent="0.3">
      <c r="A2261" t="s">
        <v>716</v>
      </c>
      <c r="B2261" s="3">
        <f t="shared" si="31"/>
        <v>43862</v>
      </c>
      <c r="C2261" s="2" t="str">
        <f>VLOOKUP(MONTH(Tabela1[[#This Row],[Periodo]]),NUMMESES,2,FALSE)</f>
        <v>Fevereiro</v>
      </c>
      <c r="D2261" s="2">
        <f>YEAR(Tabela1[[#This Row],[Periodo]])</f>
        <v>2020</v>
      </c>
      <c r="E2261" s="16">
        <f>(INDEX(TBBP[],MATCH("1.1.1.3.01",planoContas,0)+1,MATCH(Tabela1[[#This Row],[Periodo]],listaPeriodos,0)))</f>
        <v>10033952.560000001</v>
      </c>
      <c r="F2261" s="16"/>
      <c r="G2261" s="16"/>
      <c r="H2261" s="16"/>
    </row>
    <row r="2262" spans="1:8" x14ac:dyDescent="0.3">
      <c r="A2262" t="s">
        <v>716</v>
      </c>
      <c r="B2262" s="3">
        <f t="shared" si="31"/>
        <v>43891</v>
      </c>
      <c r="C2262" s="2" t="str">
        <f>VLOOKUP(MONTH(Tabela1[[#This Row],[Periodo]]),NUMMESES,2,FALSE)</f>
        <v>Março</v>
      </c>
      <c r="D2262" s="2">
        <f>YEAR(Tabela1[[#This Row],[Periodo]])</f>
        <v>2020</v>
      </c>
      <c r="E2262" s="16">
        <f>(INDEX(TBBP[],MATCH("1.1.1.3.01",planoContas,0)+1,MATCH(Tabela1[[#This Row],[Periodo]],listaPeriodos,0)))</f>
        <v>9491216.2100000009</v>
      </c>
      <c r="F2262" s="16"/>
      <c r="G2262" s="16"/>
      <c r="H2262" s="16"/>
    </row>
    <row r="2263" spans="1:8" x14ac:dyDescent="0.3">
      <c r="A2263" t="s">
        <v>716</v>
      </c>
      <c r="B2263" s="3">
        <f t="shared" si="31"/>
        <v>43922</v>
      </c>
      <c r="C2263" s="2" t="str">
        <f>VLOOKUP(MONTH(Tabela1[[#This Row],[Periodo]]),NUMMESES,2,FALSE)</f>
        <v>Abril</v>
      </c>
      <c r="D2263" s="2">
        <f>YEAR(Tabela1[[#This Row],[Periodo]])</f>
        <v>2020</v>
      </c>
      <c r="E2263" s="16">
        <f>(INDEX(TBBP[],MATCH("1.1.1.3.01",planoContas,0)+1,MATCH(Tabela1[[#This Row],[Periodo]],listaPeriodos,0)))</f>
        <v>8579551.0700000003</v>
      </c>
      <c r="F2263" s="16"/>
      <c r="G2263" s="16"/>
      <c r="H2263" s="16"/>
    </row>
    <row r="2264" spans="1:8" x14ac:dyDescent="0.3">
      <c r="A2264" t="s">
        <v>716</v>
      </c>
      <c r="B2264" s="3">
        <f t="shared" si="31"/>
        <v>43952</v>
      </c>
      <c r="C2264" s="2" t="str">
        <f>VLOOKUP(MONTH(Tabela1[[#This Row],[Periodo]]),NUMMESES,2,FALSE)</f>
        <v>Maio</v>
      </c>
      <c r="D2264" s="2">
        <f>YEAR(Tabela1[[#This Row],[Periodo]])</f>
        <v>2020</v>
      </c>
      <c r="E2264" s="16">
        <f>(INDEX(TBBP[],MATCH("1.1.1.3.01",planoContas,0)+1,MATCH(Tabela1[[#This Row],[Periodo]],listaPeriodos,0)))</f>
        <v>8632663.7400000002</v>
      </c>
      <c r="F2264" s="16"/>
      <c r="G2264" s="16"/>
      <c r="H2264" s="16"/>
    </row>
    <row r="2265" spans="1:8" x14ac:dyDescent="0.3">
      <c r="A2265" t="s">
        <v>716</v>
      </c>
      <c r="B2265" s="3">
        <f t="shared" si="31"/>
        <v>43983</v>
      </c>
      <c r="C2265" s="2" t="str">
        <f>VLOOKUP(MONTH(Tabela1[[#This Row],[Periodo]]),NUMMESES,2,FALSE)</f>
        <v>Junho</v>
      </c>
      <c r="D2265" s="2">
        <f>YEAR(Tabela1[[#This Row],[Periodo]])</f>
        <v>2020</v>
      </c>
      <c r="E2265" s="16">
        <f>(INDEX(TBBP[],MATCH("1.1.1.3.01",planoContas,0)+1,MATCH(Tabela1[[#This Row],[Periodo]],listaPeriodos,0)))</f>
        <v>9637886.0700000003</v>
      </c>
      <c r="F2265" s="16"/>
      <c r="G2265" s="16"/>
      <c r="H2265" s="16"/>
    </row>
    <row r="2266" spans="1:8" x14ac:dyDescent="0.3">
      <c r="A2266" t="s">
        <v>716</v>
      </c>
      <c r="B2266" s="3">
        <f t="shared" si="31"/>
        <v>44013</v>
      </c>
      <c r="C2266" s="2" t="str">
        <f>VLOOKUP(MONTH(Tabela1[[#This Row],[Periodo]]),NUMMESES,2,FALSE)</f>
        <v>Julho</v>
      </c>
      <c r="D2266" s="2">
        <f>YEAR(Tabela1[[#This Row],[Periodo]])</f>
        <v>2020</v>
      </c>
      <c r="E2266" s="16">
        <f>(INDEX(TBBP[],MATCH("1.1.1.3.01",planoContas,0)+1,MATCH(Tabela1[[#This Row],[Periodo]],listaPeriodos,0)))</f>
        <v>10633389.75</v>
      </c>
      <c r="F2266" s="16"/>
      <c r="G2266" s="16"/>
      <c r="H2266" s="16"/>
    </row>
    <row r="2267" spans="1:8" x14ac:dyDescent="0.3">
      <c r="A2267" t="s">
        <v>716</v>
      </c>
      <c r="B2267" s="3">
        <f t="shared" si="31"/>
        <v>44044</v>
      </c>
      <c r="C2267" s="2" t="str">
        <f>VLOOKUP(MONTH(Tabela1[[#This Row],[Periodo]]),NUMMESES,2,FALSE)</f>
        <v>Agosto</v>
      </c>
      <c r="D2267" s="2">
        <f>YEAR(Tabela1[[#This Row],[Periodo]])</f>
        <v>2020</v>
      </c>
      <c r="E2267" s="16">
        <f>(INDEX(TBBP[],MATCH("1.1.1.3.01",planoContas,0)+1,MATCH(Tabela1[[#This Row],[Periodo]],listaPeriodos,0)))</f>
        <v>12114533.279999999</v>
      </c>
      <c r="F2267" s="16"/>
      <c r="G2267" s="16"/>
      <c r="H2267" s="16"/>
    </row>
    <row r="2268" spans="1:8" x14ac:dyDescent="0.3">
      <c r="A2268" t="s">
        <v>716</v>
      </c>
      <c r="B2268" s="3">
        <f t="shared" si="31"/>
        <v>44075</v>
      </c>
      <c r="C2268" s="2" t="str">
        <f>VLOOKUP(MONTH(Tabela1[[#This Row],[Periodo]]),NUMMESES,2,FALSE)</f>
        <v>Setembro</v>
      </c>
      <c r="D2268" s="2">
        <f>YEAR(Tabela1[[#This Row],[Periodo]])</f>
        <v>2020</v>
      </c>
      <c r="E2268" s="16">
        <f>(INDEX(TBBP[],MATCH("1.1.1.3.01",planoContas,0)+1,MATCH(Tabela1[[#This Row],[Periodo]],listaPeriodos,0)))</f>
        <v>12931647.09</v>
      </c>
      <c r="F2268" s="16"/>
      <c r="G2268" s="16"/>
      <c r="H2268" s="16"/>
    </row>
    <row r="2269" spans="1:8" x14ac:dyDescent="0.3">
      <c r="A2269" t="s">
        <v>716</v>
      </c>
      <c r="B2269" s="3">
        <f t="shared" si="31"/>
        <v>44105</v>
      </c>
      <c r="C2269" s="2" t="str">
        <f>VLOOKUP(MONTH(Tabela1[[#This Row],[Periodo]]),NUMMESES,2,FALSE)</f>
        <v>Outubro</v>
      </c>
      <c r="D2269" s="2">
        <f>YEAR(Tabela1[[#This Row],[Periodo]])</f>
        <v>2020</v>
      </c>
      <c r="E2269" s="16">
        <f>(INDEX(TBBP[],MATCH("1.1.1.3.01",planoContas,0)+1,MATCH(Tabela1[[#This Row],[Periodo]],listaPeriodos,0)))</f>
        <v>14227434.029999999</v>
      </c>
      <c r="F2269" s="16"/>
      <c r="G2269" s="16"/>
      <c r="H2269" s="16"/>
    </row>
    <row r="2270" spans="1:8" x14ac:dyDescent="0.3">
      <c r="A2270" t="s">
        <v>716</v>
      </c>
      <c r="B2270" s="3">
        <f t="shared" si="31"/>
        <v>44136</v>
      </c>
      <c r="C2270" s="2" t="str">
        <f>VLOOKUP(MONTH(Tabela1[[#This Row],[Periodo]]),NUMMESES,2,FALSE)</f>
        <v>Novembro</v>
      </c>
      <c r="D2270" s="2">
        <f>YEAR(Tabela1[[#This Row],[Periodo]])</f>
        <v>2020</v>
      </c>
      <c r="E2270" s="16">
        <f>(INDEX(TBBP[],MATCH("1.1.1.3.01",planoContas,0)+1,MATCH(Tabela1[[#This Row],[Periodo]],listaPeriodos,0)))</f>
        <v>14898400.82</v>
      </c>
      <c r="F2270" s="16"/>
      <c r="G2270" s="16"/>
      <c r="H2270" s="16"/>
    </row>
    <row r="2271" spans="1:8" x14ac:dyDescent="0.3">
      <c r="A2271" t="s">
        <v>716</v>
      </c>
      <c r="B2271" s="3">
        <f t="shared" si="31"/>
        <v>44166</v>
      </c>
      <c r="C2271" s="2" t="str">
        <f>VLOOKUP(MONTH(Tabela1[[#This Row],[Periodo]]),NUMMESES,2,FALSE)</f>
        <v>Dezembro</v>
      </c>
      <c r="D2271" s="2">
        <f>YEAR(Tabela1[[#This Row],[Periodo]])</f>
        <v>2020</v>
      </c>
      <c r="E2271" s="16">
        <f>(INDEX(TBBP[],MATCH("1.1.1.3.01",planoContas,0)+1,MATCH(Tabela1[[#This Row],[Periodo]],listaPeriodos,0)))</f>
        <v>15214152.359999999</v>
      </c>
      <c r="F2271" s="16"/>
      <c r="G2271" s="16"/>
      <c r="H2271" s="16"/>
    </row>
    <row r="2272" spans="1:8" x14ac:dyDescent="0.3">
      <c r="A2272" t="s">
        <v>716</v>
      </c>
      <c r="B2272" s="3">
        <f t="shared" si="31"/>
        <v>44197</v>
      </c>
      <c r="C2272" s="2" t="str">
        <f>VLOOKUP(MONTH(Tabela1[[#This Row],[Periodo]]),NUMMESES,2,FALSE)</f>
        <v>Janeiro</v>
      </c>
      <c r="D2272" s="2">
        <f>YEAR(Tabela1[[#This Row],[Periodo]])</f>
        <v>2021</v>
      </c>
      <c r="E2272" s="16">
        <f>(INDEX(TBBP[],MATCH("1.1.1.3.01",planoContas,0)+1,MATCH(Tabela1[[#This Row],[Periodo]],listaPeriodos,0)))</f>
        <v>15875040.449999999</v>
      </c>
      <c r="F2272" s="16"/>
      <c r="G2272" s="16"/>
      <c r="H2272" s="16"/>
    </row>
    <row r="2273" spans="1:8" x14ac:dyDescent="0.3">
      <c r="A2273" t="s">
        <v>716</v>
      </c>
      <c r="B2273" s="3">
        <f t="shared" si="31"/>
        <v>44228</v>
      </c>
      <c r="C2273" s="2" t="str">
        <f>VLOOKUP(MONTH(Tabela1[[#This Row],[Periodo]]),NUMMESES,2,FALSE)</f>
        <v>Fevereiro</v>
      </c>
      <c r="D2273" s="2">
        <f>YEAR(Tabela1[[#This Row],[Periodo]])</f>
        <v>2021</v>
      </c>
      <c r="E2273" s="16">
        <f>(INDEX(TBBP[],MATCH("1.1.1.3.01",planoContas,0)+1,MATCH(Tabela1[[#This Row],[Periodo]],listaPeriodos,0)))</f>
        <v>17495834.780000001</v>
      </c>
      <c r="F2273" s="16"/>
      <c r="G2273" s="16"/>
      <c r="H2273" s="16"/>
    </row>
    <row r="2274" spans="1:8" x14ac:dyDescent="0.3">
      <c r="A2274" t="s">
        <v>716</v>
      </c>
      <c r="B2274" s="3">
        <f t="shared" si="31"/>
        <v>44256</v>
      </c>
      <c r="C2274" s="2" t="str">
        <f>VLOOKUP(MONTH(Tabela1[[#This Row],[Periodo]]),NUMMESES,2,FALSE)</f>
        <v>Março</v>
      </c>
      <c r="D2274" s="2">
        <f>YEAR(Tabela1[[#This Row],[Periodo]])</f>
        <v>2021</v>
      </c>
      <c r="E2274" s="16">
        <f>(INDEX(TBBP[],MATCH("1.1.1.3.01",planoContas,0)+1,MATCH(Tabela1[[#This Row],[Periodo]],listaPeriodos,0)))</f>
        <v>18173048</v>
      </c>
      <c r="F2274" s="16"/>
      <c r="G2274" s="16"/>
      <c r="H2274" s="16"/>
    </row>
    <row r="2275" spans="1:8" x14ac:dyDescent="0.3">
      <c r="A2275" t="s">
        <v>716</v>
      </c>
      <c r="B2275" s="3">
        <f t="shared" si="31"/>
        <v>44287</v>
      </c>
      <c r="C2275" s="2" t="str">
        <f>VLOOKUP(MONTH(Tabela1[[#This Row],[Periodo]]),NUMMESES,2,FALSE)</f>
        <v>Abril</v>
      </c>
      <c r="D2275" s="2">
        <f>YEAR(Tabela1[[#This Row],[Periodo]])</f>
        <v>2021</v>
      </c>
      <c r="E2275" s="16">
        <f>(INDEX(TBBP[],MATCH("1.1.1.3.01",planoContas,0)+1,MATCH(Tabela1[[#This Row],[Periodo]],listaPeriodos,0)))</f>
        <v>18869956.09</v>
      </c>
      <c r="F2275" s="16"/>
      <c r="G2275" s="16"/>
      <c r="H2275" s="16"/>
    </row>
    <row r="2276" spans="1:8" x14ac:dyDescent="0.3">
      <c r="A2276" t="s">
        <v>716</v>
      </c>
      <c r="B2276" s="3">
        <f t="shared" si="31"/>
        <v>44317</v>
      </c>
      <c r="C2276" s="2" t="str">
        <f>VLOOKUP(MONTH(Tabela1[[#This Row],[Periodo]]),NUMMESES,2,FALSE)</f>
        <v>Maio</v>
      </c>
      <c r="D2276" s="2">
        <f>YEAR(Tabela1[[#This Row],[Periodo]])</f>
        <v>2021</v>
      </c>
      <c r="E2276" s="16">
        <f>(INDEX(TBBP[],MATCH("1.1.1.3.01",planoContas,0)+1,MATCH(Tabela1[[#This Row],[Periodo]],listaPeriodos,0)))</f>
        <v>19423618.510000002</v>
      </c>
      <c r="F2276" s="16"/>
      <c r="G2276" s="16"/>
      <c r="H2276" s="16"/>
    </row>
    <row r="2277" spans="1:8" x14ac:dyDescent="0.3">
      <c r="A2277" t="s">
        <v>716</v>
      </c>
      <c r="B2277" s="3">
        <f t="shared" si="31"/>
        <v>44348</v>
      </c>
      <c r="C2277" s="2" t="str">
        <f>VLOOKUP(MONTH(Tabela1[[#This Row],[Periodo]]),NUMMESES,2,FALSE)</f>
        <v>Junho</v>
      </c>
      <c r="D2277" s="2">
        <f>YEAR(Tabela1[[#This Row],[Periodo]])</f>
        <v>2021</v>
      </c>
      <c r="E2277" s="16">
        <f>(INDEX(TBBP[],MATCH("1.1.1.3.01",planoContas,0)+1,MATCH(Tabela1[[#This Row],[Periodo]],listaPeriodos,0)))</f>
        <v>22124561.16</v>
      </c>
      <c r="F2277" s="16"/>
      <c r="G2277" s="16"/>
      <c r="H2277" s="16"/>
    </row>
    <row r="2278" spans="1:8" x14ac:dyDescent="0.3">
      <c r="A2278" t="s">
        <v>716</v>
      </c>
      <c r="B2278" s="3">
        <f t="shared" si="31"/>
        <v>44378</v>
      </c>
      <c r="C2278" s="2" t="str">
        <f>VLOOKUP(MONTH(Tabela1[[#This Row],[Periodo]]),NUMMESES,2,FALSE)</f>
        <v>Julho</v>
      </c>
      <c r="D2278" s="2">
        <f>YEAR(Tabela1[[#This Row],[Periodo]])</f>
        <v>2021</v>
      </c>
      <c r="E2278" s="16">
        <f>(INDEX(TBBP[],MATCH("1.1.1.3.01",planoContas,0)+1,MATCH(Tabela1[[#This Row],[Periodo]],listaPeriodos,0)))</f>
        <v>25348956.620000001</v>
      </c>
      <c r="F2278" s="16"/>
      <c r="G2278" s="16"/>
      <c r="H2278" s="16"/>
    </row>
    <row r="2279" spans="1:8" x14ac:dyDescent="0.3">
      <c r="A2279" t="s">
        <v>716</v>
      </c>
      <c r="B2279" s="3">
        <f t="shared" si="31"/>
        <v>44409</v>
      </c>
      <c r="C2279" s="2" t="str">
        <f>VLOOKUP(MONTH(Tabela1[[#This Row],[Periodo]]),NUMMESES,2,FALSE)</f>
        <v>Agosto</v>
      </c>
      <c r="D2279" s="2">
        <f>YEAR(Tabela1[[#This Row],[Periodo]])</f>
        <v>2021</v>
      </c>
      <c r="E2279" s="16">
        <f>(INDEX(TBBP[],MATCH("1.1.1.3.01",planoContas,0)+1,MATCH(Tabela1[[#This Row],[Periodo]],listaPeriodos,0)))</f>
        <v>25852456.120000001</v>
      </c>
      <c r="F2279" s="16"/>
      <c r="G2279" s="16"/>
      <c r="H2279" s="16"/>
    </row>
    <row r="2280" spans="1:8" x14ac:dyDescent="0.3">
      <c r="A2280" t="s">
        <v>716</v>
      </c>
      <c r="B2280" s="3">
        <f t="shared" si="31"/>
        <v>44440</v>
      </c>
      <c r="C2280" s="2" t="str">
        <f>VLOOKUP(MONTH(Tabela1[[#This Row],[Periodo]]),NUMMESES,2,FALSE)</f>
        <v>Setembro</v>
      </c>
      <c r="D2280" s="2">
        <f>YEAR(Tabela1[[#This Row],[Periodo]])</f>
        <v>2021</v>
      </c>
      <c r="E2280" s="16">
        <f>(INDEX(TBBP[],MATCH("1.1.1.3.01",planoContas,0)+1,MATCH(Tabela1[[#This Row],[Periodo]],listaPeriodos,0)))</f>
        <v>27426545.579999998</v>
      </c>
      <c r="F2280" s="16"/>
      <c r="G2280" s="16"/>
      <c r="H2280" s="16"/>
    </row>
    <row r="2281" spans="1:8" x14ac:dyDescent="0.3">
      <c r="A2281" t="s">
        <v>716</v>
      </c>
      <c r="B2281" s="3">
        <f t="shared" si="31"/>
        <v>44470</v>
      </c>
      <c r="C2281" s="2" t="str">
        <f>VLOOKUP(MONTH(Tabela1[[#This Row],[Periodo]]),NUMMESES,2,FALSE)</f>
        <v>Outubro</v>
      </c>
      <c r="D2281" s="2">
        <f>YEAR(Tabela1[[#This Row],[Periodo]])</f>
        <v>2021</v>
      </c>
      <c r="E2281" s="16">
        <f>(INDEX(TBBP[],MATCH("1.1.1.3.01",planoContas,0)+1,MATCH(Tabela1[[#This Row],[Periodo]],listaPeriodos,0)))</f>
        <v>27258592.09</v>
      </c>
      <c r="F2281" s="16"/>
      <c r="G2281" s="16"/>
      <c r="H2281" s="16"/>
    </row>
    <row r="2282" spans="1:8" x14ac:dyDescent="0.3">
      <c r="A2282" t="s">
        <v>716</v>
      </c>
      <c r="B2282" s="3">
        <f t="shared" si="31"/>
        <v>44501</v>
      </c>
      <c r="C2282" s="2" t="str">
        <f>VLOOKUP(MONTH(Tabela1[[#This Row],[Periodo]]),NUMMESES,2,FALSE)</f>
        <v>Novembro</v>
      </c>
      <c r="D2282" s="2">
        <f>YEAR(Tabela1[[#This Row],[Periodo]])</f>
        <v>2021</v>
      </c>
      <c r="E2282" s="16">
        <f>(INDEX(TBBP[],MATCH("1.1.1.3.01",planoContas,0)+1,MATCH(Tabela1[[#This Row],[Periodo]],listaPeriodos,0)))</f>
        <v>26529405.120000001</v>
      </c>
      <c r="F2282" s="16"/>
      <c r="G2282" s="16"/>
      <c r="H2282" s="16"/>
    </row>
    <row r="2283" spans="1:8" x14ac:dyDescent="0.3">
      <c r="A2283" t="s">
        <v>716</v>
      </c>
      <c r="B2283" s="3">
        <f t="shared" si="31"/>
        <v>44531</v>
      </c>
      <c r="C2283" s="2" t="str">
        <f>VLOOKUP(MONTH(Tabela1[[#This Row],[Periodo]]),NUMMESES,2,FALSE)</f>
        <v>Dezembro</v>
      </c>
      <c r="D2283" s="2">
        <f>YEAR(Tabela1[[#This Row],[Periodo]])</f>
        <v>2021</v>
      </c>
      <c r="E2283" s="16">
        <f>(INDEX(TBBP[],MATCH("1.1.1.3.01",planoContas,0)+1,MATCH(Tabela1[[#This Row],[Periodo]],listaPeriodos,0)))</f>
        <v>24708720.460000001</v>
      </c>
      <c r="F2283" s="16"/>
      <c r="G2283" s="16"/>
      <c r="H2283" s="16"/>
    </row>
    <row r="2284" spans="1:8" x14ac:dyDescent="0.3">
      <c r="A2284" t="s">
        <v>716</v>
      </c>
      <c r="B2284" s="3">
        <f t="shared" si="31"/>
        <v>44562</v>
      </c>
      <c r="C2284" s="2" t="str">
        <f>VLOOKUP(MONTH(Tabela1[[#This Row],[Periodo]]),NUMMESES,2,FALSE)</f>
        <v>Janeiro</v>
      </c>
      <c r="D2284" s="2">
        <f>YEAR(Tabela1[[#This Row],[Periodo]])</f>
        <v>2022</v>
      </c>
      <c r="E2284" s="16">
        <f>(INDEX(TBBP[],MATCH("1.1.1.3.01",planoContas,0)+1,MATCH(Tabela1[[#This Row],[Periodo]],listaPeriodos,0)))</f>
        <v>24658572.079999998</v>
      </c>
      <c r="F2284" s="16"/>
      <c r="G2284" s="16"/>
      <c r="H2284" s="16"/>
    </row>
    <row r="2285" spans="1:8" x14ac:dyDescent="0.3">
      <c r="A2285" t="s">
        <v>716</v>
      </c>
      <c r="B2285" s="3">
        <f t="shared" si="31"/>
        <v>44593</v>
      </c>
      <c r="C2285" s="2" t="str">
        <f>VLOOKUP(MONTH(Tabela1[[#This Row],[Periodo]]),NUMMESES,2,FALSE)</f>
        <v>Fevereiro</v>
      </c>
      <c r="D2285" s="2">
        <f>YEAR(Tabela1[[#This Row],[Periodo]])</f>
        <v>2022</v>
      </c>
      <c r="E2285" s="16">
        <f>(INDEX(TBBP[],MATCH("1.1.1.3.01",planoContas,0)+1,MATCH(Tabela1[[#This Row],[Periodo]],listaPeriodos,0)))</f>
        <v>26234597.32</v>
      </c>
      <c r="F2285" s="16"/>
      <c r="G2285" s="16"/>
      <c r="H2285" s="16"/>
    </row>
    <row r="2286" spans="1:8" x14ac:dyDescent="0.3">
      <c r="A2286" t="s">
        <v>716</v>
      </c>
      <c r="B2286" s="3">
        <f t="shared" si="31"/>
        <v>44621</v>
      </c>
      <c r="C2286" s="2" t="str">
        <f>VLOOKUP(MONTH(Tabela1[[#This Row],[Periodo]]),NUMMESES,2,FALSE)</f>
        <v>Março</v>
      </c>
      <c r="D2286" s="2">
        <f>YEAR(Tabela1[[#This Row],[Periodo]])</f>
        <v>2022</v>
      </c>
      <c r="E2286" s="16">
        <f>(INDEX(TBBP[],MATCH("1.1.1.3.01",planoContas,0)+1,MATCH(Tabela1[[#This Row],[Periodo]],listaPeriodos,0)))</f>
        <v>28761118.600000001</v>
      </c>
      <c r="F2286" s="16"/>
      <c r="G2286" s="16"/>
      <c r="H2286" s="16"/>
    </row>
    <row r="2287" spans="1:8" x14ac:dyDescent="0.3">
      <c r="A2287" t="s">
        <v>716</v>
      </c>
      <c r="B2287" s="3">
        <f t="shared" si="31"/>
        <v>44652</v>
      </c>
      <c r="C2287" s="2" t="str">
        <f>VLOOKUP(MONTH(Tabela1[[#This Row],[Periodo]]),NUMMESES,2,FALSE)</f>
        <v>Abril</v>
      </c>
      <c r="D2287" s="2">
        <f>YEAR(Tabela1[[#This Row],[Periodo]])</f>
        <v>2022</v>
      </c>
      <c r="E2287" s="16">
        <f>(INDEX(TBBP[],MATCH("1.1.1.3.01",planoContas,0)+1,MATCH(Tabela1[[#This Row],[Periodo]],listaPeriodos,0)))</f>
        <v>29699141.780000001</v>
      </c>
      <c r="F2287" s="16"/>
      <c r="G2287" s="16"/>
      <c r="H2287" s="16"/>
    </row>
    <row r="2288" spans="1:8" ht="15.75" customHeight="1" x14ac:dyDescent="0.3">
      <c r="A2288" t="s">
        <v>716</v>
      </c>
      <c r="B2288" s="3">
        <f t="shared" si="31"/>
        <v>44682</v>
      </c>
      <c r="C2288" s="2" t="str">
        <f>VLOOKUP(MONTH(Tabela1[[#This Row],[Periodo]]),NUMMESES,2,FALSE)</f>
        <v>Maio</v>
      </c>
      <c r="D2288" s="2">
        <f>YEAR(Tabela1[[#This Row],[Periodo]])</f>
        <v>2022</v>
      </c>
      <c r="E2288" s="16">
        <f>(INDEX(TBBP[],MATCH("1.1.1.3.01",planoContas,0)+1,MATCH(Tabela1[[#This Row],[Periodo]],listaPeriodos,0)))</f>
        <v>27501012.32</v>
      </c>
      <c r="F2288" s="16"/>
      <c r="G2288" s="16"/>
      <c r="H2288" s="16"/>
    </row>
    <row r="2289" spans="1:8" ht="15.75" customHeight="1" x14ac:dyDescent="0.3">
      <c r="A2289" t="s">
        <v>716</v>
      </c>
      <c r="B2289" s="3">
        <f t="shared" si="31"/>
        <v>44713</v>
      </c>
      <c r="C2289" s="2" t="str">
        <f>VLOOKUP(MONTH(Tabela1[[#This Row],[Periodo]]),NUMMESES,2,FALSE)</f>
        <v>Junho</v>
      </c>
      <c r="D2289" s="2">
        <f>YEAR(Tabela1[[#This Row],[Periodo]])</f>
        <v>2022</v>
      </c>
      <c r="E2289" s="16">
        <f>(INDEX(TBBP[],MATCH("1.1.1.3.01",planoContas,0)+1,MATCH(Tabela1[[#This Row],[Periodo]],listaPeriodos,0)))</f>
        <v>29575085.030000001</v>
      </c>
      <c r="F2289" s="16"/>
      <c r="G2289" s="16"/>
      <c r="H2289" s="16"/>
    </row>
    <row r="2290" spans="1:8" ht="15.75" customHeight="1" x14ac:dyDescent="0.3">
      <c r="A2290" t="s">
        <v>716</v>
      </c>
      <c r="B2290" s="3">
        <f t="shared" si="31"/>
        <v>44743</v>
      </c>
      <c r="C2290" s="2" t="str">
        <f>VLOOKUP(MONTH(Tabela1[[#This Row],[Periodo]]),NUMMESES,2,FALSE)</f>
        <v>Julho</v>
      </c>
      <c r="D2290" s="2">
        <f>YEAR(Tabela1[[#This Row],[Periodo]])</f>
        <v>2022</v>
      </c>
      <c r="E2290" s="16">
        <f>(INDEX(TBBP[],MATCH("1.1.1.3.01",planoContas,0)+1,MATCH(Tabela1[[#This Row],[Periodo]],listaPeriodos,0)))</f>
        <v>30008788.77</v>
      </c>
      <c r="F2290" s="16"/>
      <c r="G2290" s="16"/>
      <c r="H2290" s="16"/>
    </row>
    <row r="2291" spans="1:8" ht="15.75" customHeight="1" x14ac:dyDescent="0.3">
      <c r="A2291" t="s">
        <v>716</v>
      </c>
      <c r="B2291" s="3">
        <f t="shared" si="31"/>
        <v>44774</v>
      </c>
      <c r="C2291" s="2" t="str">
        <f>VLOOKUP(MONTH(Tabela1[[#This Row],[Periodo]]),NUMMESES,2,FALSE)</f>
        <v>Agosto</v>
      </c>
      <c r="D2291" s="2">
        <f>YEAR(Tabela1[[#This Row],[Periodo]])</f>
        <v>2022</v>
      </c>
      <c r="E2291" s="16">
        <f>(INDEX(TBBP[],MATCH("1.1.1.3.01",planoContas,0)+1,MATCH(Tabela1[[#This Row],[Periodo]],listaPeriodos,0)))</f>
        <v>29736502.260000002</v>
      </c>
      <c r="F2291" s="16"/>
      <c r="G2291" s="16"/>
      <c r="H2291" s="16"/>
    </row>
    <row r="2292" spans="1:8" ht="15.75" customHeight="1" x14ac:dyDescent="0.3">
      <c r="A2292" t="s">
        <v>716</v>
      </c>
      <c r="B2292" s="3">
        <f t="shared" si="31"/>
        <v>44805</v>
      </c>
      <c r="C2292" s="2" t="str">
        <f>VLOOKUP(MONTH(Tabela1[[#This Row],[Periodo]]),NUMMESES,2,FALSE)</f>
        <v>Setembro</v>
      </c>
      <c r="D2292" s="2">
        <f>YEAR(Tabela1[[#This Row],[Periodo]])</f>
        <v>2022</v>
      </c>
      <c r="E2292" s="16">
        <f>(INDEX(TBBP[],MATCH("1.1.1.3.01",planoContas,0)+1,MATCH(Tabela1[[#This Row],[Periodo]],listaPeriodos,0)))</f>
        <v>30399001.359999999</v>
      </c>
      <c r="F2292" s="16"/>
      <c r="G2292" s="16"/>
      <c r="H2292" s="16"/>
    </row>
    <row r="2293" spans="1:8" ht="15.75" customHeight="1" x14ac:dyDescent="0.3">
      <c r="A2293" t="s">
        <v>716</v>
      </c>
      <c r="B2293" s="3">
        <f t="shared" si="31"/>
        <v>44835</v>
      </c>
      <c r="C2293" s="2" t="str">
        <f>VLOOKUP(MONTH(Tabela1[[#This Row],[Periodo]]),NUMMESES,2,FALSE)</f>
        <v>Outubro</v>
      </c>
      <c r="D2293" s="2">
        <f>YEAR(Tabela1[[#This Row],[Periodo]])</f>
        <v>2022</v>
      </c>
      <c r="E2293" s="16">
        <f>(INDEX(TBBP[],MATCH("1.1.1.3.01",planoContas,0)+1,MATCH(Tabela1[[#This Row],[Periodo]],listaPeriodos,0)))</f>
        <v>29660876.190000001</v>
      </c>
      <c r="F2293" s="16"/>
      <c r="G2293" s="16"/>
      <c r="H2293" s="16"/>
    </row>
    <row r="2294" spans="1:8" ht="15.75" customHeight="1" x14ac:dyDescent="0.3">
      <c r="A2294" t="s">
        <v>716</v>
      </c>
      <c r="B2294" s="3">
        <f t="shared" si="31"/>
        <v>44866</v>
      </c>
      <c r="C2294" s="2" t="str">
        <f>VLOOKUP(MONTH(Tabela1[[#This Row],[Periodo]]),NUMMESES,2,FALSE)</f>
        <v>Novembro</v>
      </c>
      <c r="D2294" s="2">
        <f>YEAR(Tabela1[[#This Row],[Periodo]])</f>
        <v>2022</v>
      </c>
      <c r="E2294" s="16">
        <f>(INDEX(TBBP[],MATCH("1.1.1.3.01",planoContas,0)+1,MATCH(Tabela1[[#This Row],[Periodo]],listaPeriodos,0)))</f>
        <v>28550498.02</v>
      </c>
      <c r="F2294" s="16"/>
      <c r="G2294" s="16"/>
      <c r="H2294" s="16"/>
    </row>
    <row r="2295" spans="1:8" ht="15.75" customHeight="1" x14ac:dyDescent="0.3">
      <c r="A2295" t="s">
        <v>716</v>
      </c>
      <c r="B2295" s="3">
        <f t="shared" si="31"/>
        <v>44896</v>
      </c>
      <c r="C2295" s="2" t="str">
        <f>VLOOKUP(MONTH(Tabela1[[#This Row],[Periodo]]),NUMMESES,2,FALSE)</f>
        <v>Dezembro</v>
      </c>
      <c r="D2295" s="2">
        <f>YEAR(Tabela1[[#This Row],[Periodo]])</f>
        <v>2022</v>
      </c>
      <c r="E2295" s="16">
        <f>(INDEX(TBBP[],MATCH("1.1.1.3.01",planoContas,0)+1,MATCH(Tabela1[[#This Row],[Periodo]],listaPeriodos,0)))</f>
        <v>26273938.719999999</v>
      </c>
      <c r="F2295" s="16"/>
      <c r="G2295" s="16"/>
      <c r="H2295" s="16"/>
    </row>
    <row r="2296" spans="1:8" ht="15.75" customHeight="1" x14ac:dyDescent="0.3">
      <c r="A2296" t="s">
        <v>716</v>
      </c>
      <c r="B2296" s="3">
        <f t="shared" si="31"/>
        <v>44927</v>
      </c>
      <c r="C2296" s="2" t="str">
        <f>VLOOKUP(MONTH(Tabela1[[#This Row],[Periodo]]),NUMMESES,2,FALSE)</f>
        <v>Janeiro</v>
      </c>
      <c r="D2296" s="2">
        <f>YEAR(Tabela1[[#This Row],[Periodo]])</f>
        <v>2023</v>
      </c>
      <c r="E2296" s="16">
        <f>(INDEX(TBBP[],MATCH("1.1.1.3.01",planoContas,0)+1,MATCH(Tabela1[[#This Row],[Periodo]],listaPeriodos,0)))</f>
        <v>23736817.829999998</v>
      </c>
      <c r="F2296" s="16"/>
      <c r="G2296" s="16"/>
      <c r="H2296" s="16"/>
    </row>
    <row r="2297" spans="1:8" ht="15.75" customHeight="1" x14ac:dyDescent="0.3">
      <c r="A2297" t="s">
        <v>716</v>
      </c>
      <c r="B2297" s="3">
        <f t="shared" si="31"/>
        <v>44958</v>
      </c>
      <c r="C2297" s="2" t="str">
        <f>VLOOKUP(MONTH(Tabela1[[#This Row],[Periodo]]),NUMMESES,2,FALSE)</f>
        <v>Fevereiro</v>
      </c>
      <c r="D2297" s="2">
        <f>YEAR(Tabela1[[#This Row],[Periodo]])</f>
        <v>2023</v>
      </c>
      <c r="E2297" s="16">
        <f>(INDEX(TBBP[],MATCH("1.1.1.3.01",planoContas,0)+1,MATCH(Tabela1[[#This Row],[Periodo]],listaPeriodos,0)))</f>
        <v>24110186.710000001</v>
      </c>
      <c r="F2297" s="16"/>
      <c r="G2297" s="16"/>
      <c r="H2297" s="16"/>
    </row>
    <row r="2298" spans="1:8" ht="15.75" customHeight="1" x14ac:dyDescent="0.3">
      <c r="A2298" t="s">
        <v>716</v>
      </c>
      <c r="B2298" s="3">
        <f t="shared" si="31"/>
        <v>44986</v>
      </c>
      <c r="C2298" s="2" t="str">
        <f>VLOOKUP(MONTH(Tabela1[[#This Row],[Periodo]]),NUMMESES,2,FALSE)</f>
        <v>Março</v>
      </c>
      <c r="D2298" s="2">
        <f>YEAR(Tabela1[[#This Row],[Periodo]])</f>
        <v>2023</v>
      </c>
      <c r="E2298" s="16">
        <f>(INDEX(TBBP[],MATCH("1.1.1.3.01",planoContas,0)+1,MATCH(Tabela1[[#This Row],[Periodo]],listaPeriodos,0)))</f>
        <v>25107899.149999999</v>
      </c>
      <c r="F2298" s="16"/>
      <c r="G2298" s="16"/>
      <c r="H2298" s="16"/>
    </row>
    <row r="2299" spans="1:8" ht="15.75" customHeight="1" x14ac:dyDescent="0.3">
      <c r="A2299" t="s">
        <v>716</v>
      </c>
      <c r="B2299" s="3">
        <f t="shared" si="31"/>
        <v>45017</v>
      </c>
      <c r="C2299" s="2" t="str">
        <f>VLOOKUP(MONTH(Tabela1[[#This Row],[Periodo]]),NUMMESES,2,FALSE)</f>
        <v>Abril</v>
      </c>
      <c r="D2299" s="2">
        <f>YEAR(Tabela1[[#This Row],[Periodo]])</f>
        <v>2023</v>
      </c>
      <c r="E2299" s="16">
        <f>(INDEX(TBBP[],MATCH("1.1.1.3.01",planoContas,0)+1,MATCH(Tabela1[[#This Row],[Periodo]],listaPeriodos,0)))</f>
        <v>25574862.870000001</v>
      </c>
      <c r="F2299" s="16"/>
      <c r="G2299" s="16"/>
      <c r="H2299" s="16"/>
    </row>
    <row r="2300" spans="1:8" ht="15.75" customHeight="1" x14ac:dyDescent="0.3">
      <c r="A2300" t="s">
        <v>716</v>
      </c>
      <c r="B2300" s="3">
        <f t="shared" si="31"/>
        <v>45047</v>
      </c>
      <c r="C2300" s="2" t="str">
        <f>VLOOKUP(MONTH(Tabela1[[#This Row],[Periodo]]),NUMMESES,2,FALSE)</f>
        <v>Maio</v>
      </c>
      <c r="D2300" s="2">
        <f>YEAR(Tabela1[[#This Row],[Periodo]])</f>
        <v>2023</v>
      </c>
      <c r="E2300" s="16">
        <f>(INDEX(TBBP[],MATCH("1.1.1.3.01",planoContas,0)+1,MATCH(Tabela1[[#This Row],[Periodo]],listaPeriodos,0)))</f>
        <v>29005282.239999998</v>
      </c>
      <c r="F2300" s="16"/>
      <c r="G2300" s="16"/>
      <c r="H2300" s="16"/>
    </row>
    <row r="2301" spans="1:8" ht="15.75" customHeight="1" x14ac:dyDescent="0.3">
      <c r="A2301" t="s">
        <v>716</v>
      </c>
      <c r="B2301" s="3">
        <f t="shared" si="31"/>
        <v>45078</v>
      </c>
      <c r="C2301" s="2" t="str">
        <f>VLOOKUP(MONTH(Tabela1[[#This Row],[Periodo]]),NUMMESES,2,FALSE)</f>
        <v>Junho</v>
      </c>
      <c r="D2301" s="2">
        <f>YEAR(Tabela1[[#This Row],[Periodo]])</f>
        <v>2023</v>
      </c>
      <c r="E2301" s="16">
        <f>(INDEX(TBBP[],MATCH("1.1.1.3.01",planoContas,0)+1,MATCH(Tabela1[[#This Row],[Periodo]],listaPeriodos,0)))</f>
        <v>31439670.350000001</v>
      </c>
      <c r="F2301" s="16"/>
      <c r="G2301" s="16"/>
      <c r="H2301" s="16"/>
    </row>
    <row r="2302" spans="1:8" ht="15.75" customHeight="1" x14ac:dyDescent="0.3">
      <c r="A2302" t="s">
        <v>716</v>
      </c>
      <c r="B2302" s="3">
        <f t="shared" si="31"/>
        <v>45108</v>
      </c>
      <c r="C2302" s="2" t="str">
        <f>VLOOKUP(MONTH(Tabela1[[#This Row],[Periodo]]),NUMMESES,2,FALSE)</f>
        <v>Julho</v>
      </c>
      <c r="D2302" s="2">
        <f>YEAR(Tabela1[[#This Row],[Periodo]])</f>
        <v>2023</v>
      </c>
      <c r="E2302" s="16">
        <f>(INDEX(TBBP[],MATCH("1.1.1.3.01",planoContas,0)+1,MATCH(Tabela1[[#This Row],[Periodo]],listaPeriodos,0)))</f>
        <v>29550215.989999998</v>
      </c>
      <c r="F2302" s="16"/>
      <c r="G2302" s="16"/>
      <c r="H2302" s="16"/>
    </row>
    <row r="2303" spans="1:8" ht="15.75" customHeight="1" x14ac:dyDescent="0.3">
      <c r="A2303" t="s">
        <v>716</v>
      </c>
      <c r="B2303" s="3">
        <f t="shared" si="31"/>
        <v>45139</v>
      </c>
      <c r="C2303" s="2" t="str">
        <f>VLOOKUP(MONTH(Tabela1[[#This Row],[Periodo]]),NUMMESES,2,FALSE)</f>
        <v>Agosto</v>
      </c>
      <c r="D2303" s="2">
        <f>YEAR(Tabela1[[#This Row],[Periodo]])</f>
        <v>2023</v>
      </c>
      <c r="E2303" s="16">
        <f>(INDEX(TBBP[],MATCH("1.1.1.3.01",planoContas,0)+1,MATCH(Tabela1[[#This Row],[Periodo]],listaPeriodos,0)))</f>
        <v>30722944.309999999</v>
      </c>
      <c r="F2303" s="16"/>
      <c r="G2303" s="16"/>
      <c r="H2303" s="16"/>
    </row>
    <row r="2304" spans="1:8" ht="15.75" customHeight="1" x14ac:dyDescent="0.3">
      <c r="A2304" t="s">
        <v>716</v>
      </c>
      <c r="B2304" s="3">
        <f t="shared" si="31"/>
        <v>45170</v>
      </c>
      <c r="C2304" s="2" t="str">
        <f>VLOOKUP(MONTH(Tabela1[[#This Row],[Periodo]]),NUMMESES,2,FALSE)</f>
        <v>Setembro</v>
      </c>
      <c r="D2304" s="2">
        <f>YEAR(Tabela1[[#This Row],[Periodo]])</f>
        <v>2023</v>
      </c>
      <c r="E2304" s="16">
        <f>(INDEX(TBBP[],MATCH("1.1.1.3.01",planoContas,0)+1,MATCH(Tabela1[[#This Row],[Periodo]],listaPeriodos,0)))</f>
        <v>32564066.640000001</v>
      </c>
      <c r="F2304" s="16"/>
      <c r="G2304" s="16"/>
      <c r="H2304" s="16"/>
    </row>
    <row r="2305" spans="1:8" ht="15.75" customHeight="1" x14ac:dyDescent="0.3">
      <c r="A2305" t="s">
        <v>716</v>
      </c>
      <c r="B2305" s="3">
        <f t="shared" si="31"/>
        <v>45200</v>
      </c>
      <c r="C2305" s="2" t="str">
        <f>VLOOKUP(MONTH(Tabela1[[#This Row],[Periodo]]),NUMMESES,2,FALSE)</f>
        <v>Outubro</v>
      </c>
      <c r="D2305" s="2">
        <f>YEAR(Tabela1[[#This Row],[Periodo]])</f>
        <v>2023</v>
      </c>
      <c r="E2305" s="16">
        <f>(INDEX(TBBP[],MATCH("1.1.1.3.01",planoContas,0)+1,MATCH(Tabela1[[#This Row],[Periodo]],listaPeriodos,0)))</f>
        <v>33920943.450000003</v>
      </c>
      <c r="F2305" s="16"/>
      <c r="G2305" s="16"/>
      <c r="H2305" s="16"/>
    </row>
    <row r="2306" spans="1:8" ht="15.75" customHeight="1" x14ac:dyDescent="0.3">
      <c r="A2306" t="s">
        <v>716</v>
      </c>
      <c r="B2306" s="3">
        <f t="shared" si="31"/>
        <v>45231</v>
      </c>
      <c r="C2306" s="2" t="str">
        <f>VLOOKUP(MONTH(Tabela1[[#This Row],[Periodo]]),NUMMESES,2,FALSE)</f>
        <v>Novembro</v>
      </c>
      <c r="D2306" s="2">
        <f>YEAR(Tabela1[[#This Row],[Periodo]])</f>
        <v>2023</v>
      </c>
      <c r="E2306" s="16">
        <f>(INDEX(TBBP[],MATCH("1.1.1.3.01",planoContas,0)+1,MATCH(Tabela1[[#This Row],[Periodo]],listaPeriodos,0)))</f>
        <v>32750074.960000001</v>
      </c>
      <c r="F2306" s="16"/>
      <c r="G2306" s="16"/>
      <c r="H2306" s="16"/>
    </row>
    <row r="2307" spans="1:8" ht="15.75" customHeight="1" x14ac:dyDescent="0.3">
      <c r="A2307" t="s">
        <v>716</v>
      </c>
      <c r="B2307" s="3">
        <f t="shared" si="31"/>
        <v>45261</v>
      </c>
      <c r="C2307" s="2" t="str">
        <f>VLOOKUP(MONTH(Tabela1[[#This Row],[Periodo]]),NUMMESES,2,FALSE)</f>
        <v>Dezembro</v>
      </c>
      <c r="D2307" s="2">
        <f>YEAR(Tabela1[[#This Row],[Periodo]])</f>
        <v>2023</v>
      </c>
      <c r="E2307" s="16">
        <f>(INDEX(TBBP[],MATCH("1.1.1.3.01",planoContas,0)+1,MATCH(Tabela1[[#This Row],[Periodo]],listaPeriodos,0)))</f>
        <v>33491854.899999999</v>
      </c>
      <c r="F2307" s="16"/>
      <c r="G2307" s="16"/>
      <c r="H2307" s="16"/>
    </row>
    <row r="2308" spans="1:8" ht="15.75" customHeight="1" x14ac:dyDescent="0.3">
      <c r="A2308" t="s">
        <v>716</v>
      </c>
      <c r="B2308" s="3">
        <f t="shared" si="31"/>
        <v>45292</v>
      </c>
      <c r="C2308" s="2" t="str">
        <f>VLOOKUP(MONTH(Tabela1[[#This Row],[Periodo]]),NUMMESES,2,FALSE)</f>
        <v>Janeiro</v>
      </c>
      <c r="D2308" s="2">
        <f>YEAR(Tabela1[[#This Row],[Periodo]])</f>
        <v>2024</v>
      </c>
      <c r="E2308" s="16">
        <f>(INDEX(TBBP[],MATCH("1.1.1.3.01",planoContas,0)+1,MATCH(Tabela1[[#This Row],[Periodo]],listaPeriodos,0)))</f>
        <v>33511490.280000001</v>
      </c>
      <c r="F2308" s="16"/>
      <c r="G2308" s="16"/>
      <c r="H2308" s="16"/>
    </row>
    <row r="2309" spans="1:8" ht="15.75" customHeight="1" x14ac:dyDescent="0.3">
      <c r="A2309" t="s">
        <v>716</v>
      </c>
      <c r="B2309" s="3">
        <f t="shared" si="31"/>
        <v>45323</v>
      </c>
      <c r="C2309" s="2" t="str">
        <f>VLOOKUP(MONTH(Tabela1[[#This Row],[Periodo]]),NUMMESES,2,FALSE)</f>
        <v>Fevereiro</v>
      </c>
      <c r="D2309" s="2">
        <f>YEAR(Tabela1[[#This Row],[Periodo]])</f>
        <v>2024</v>
      </c>
      <c r="E2309" s="16">
        <f>(INDEX(TBBP[],MATCH("1.1.1.3.01",planoContas,0)+1,MATCH(Tabela1[[#This Row],[Periodo]],listaPeriodos,0)))</f>
        <v>35663746.259999998</v>
      </c>
      <c r="F2309" s="16"/>
      <c r="G2309" s="16"/>
      <c r="H2309" s="16"/>
    </row>
    <row r="2310" spans="1:8" ht="15.75" customHeight="1" x14ac:dyDescent="0.3">
      <c r="A2310" t="s">
        <v>716</v>
      </c>
      <c r="B2310" s="3">
        <f t="shared" si="31"/>
        <v>45352</v>
      </c>
      <c r="C2310" s="2" t="str">
        <f>VLOOKUP(MONTH(Tabela1[[#This Row],[Periodo]]),NUMMESES,2,FALSE)</f>
        <v>Março</v>
      </c>
      <c r="D2310" s="2">
        <f>YEAR(Tabela1[[#This Row],[Periodo]])</f>
        <v>2024</v>
      </c>
      <c r="E2310" s="16">
        <f>(INDEX(TBBP[],MATCH("1.1.1.3.01",planoContas,0)+1,MATCH(Tabela1[[#This Row],[Periodo]],listaPeriodos,0)))</f>
        <v>37732470.219999999</v>
      </c>
      <c r="F2310" s="16"/>
      <c r="G2310" s="16"/>
      <c r="H2310" s="16"/>
    </row>
    <row r="2311" spans="1:8" ht="15.75" customHeight="1" x14ac:dyDescent="0.3">
      <c r="A2311" t="s">
        <v>716</v>
      </c>
      <c r="B2311" s="3">
        <f t="shared" si="31"/>
        <v>45383</v>
      </c>
      <c r="C2311" s="2" t="str">
        <f>VLOOKUP(MONTH(Tabela1[[#This Row],[Periodo]]),NUMMESES,2,FALSE)</f>
        <v>Abril</v>
      </c>
      <c r="D2311" s="2">
        <f>YEAR(Tabela1[[#This Row],[Periodo]])</f>
        <v>2024</v>
      </c>
      <c r="E2311" s="16">
        <f>(INDEX(TBBP[],MATCH("1.1.1.3.01",planoContas,0)+1,MATCH(Tabela1[[#This Row],[Periodo]],listaPeriodos,0)))</f>
        <v>39583456.600000001</v>
      </c>
      <c r="F2311" s="16"/>
      <c r="G2311" s="16"/>
      <c r="H2311" s="16"/>
    </row>
    <row r="2312" spans="1:8" ht="15.75" customHeight="1" x14ac:dyDescent="0.3">
      <c r="A2312" t="s">
        <v>716</v>
      </c>
      <c r="B2312" s="3">
        <f t="shared" si="31"/>
        <v>45413</v>
      </c>
      <c r="C2312" s="2" t="str">
        <f>VLOOKUP(MONTH(Tabela1[[#This Row],[Periodo]]),NUMMESES,2,FALSE)</f>
        <v>Maio</v>
      </c>
      <c r="D2312" s="2">
        <f>YEAR(Tabela1[[#This Row],[Periodo]])</f>
        <v>2024</v>
      </c>
      <c r="E2312" s="16">
        <f>(INDEX(TBBP[],MATCH("1.1.1.3.01",planoContas,0)+1,MATCH(Tabela1[[#This Row],[Periodo]],listaPeriodos,0)))</f>
        <v>44141272.380000003</v>
      </c>
      <c r="F2312" s="16"/>
      <c r="G2312" s="16"/>
      <c r="H2312" s="16"/>
    </row>
    <row r="2313" spans="1:8" ht="15.75" customHeight="1" x14ac:dyDescent="0.3">
      <c r="A2313" t="s">
        <v>716</v>
      </c>
      <c r="B2313" s="3">
        <f t="shared" si="31"/>
        <v>45444</v>
      </c>
      <c r="C2313" s="2" t="str">
        <f>VLOOKUP(MONTH(Tabela1[[#This Row],[Periodo]]),NUMMESES,2,FALSE)</f>
        <v>Junho</v>
      </c>
      <c r="D2313" s="2">
        <f>YEAR(Tabela1[[#This Row],[Periodo]])</f>
        <v>2024</v>
      </c>
      <c r="E2313" s="16">
        <f>(INDEX(TBBP[],MATCH("1.1.1.3.01",planoContas,0)+1,MATCH(Tabela1[[#This Row],[Periodo]],listaPeriodos,0)))</f>
        <v>46854804.450000003</v>
      </c>
      <c r="F2313" s="16"/>
      <c r="G2313" s="16"/>
      <c r="H2313" s="16"/>
    </row>
    <row r="2314" spans="1:8" ht="15.75" customHeight="1" x14ac:dyDescent="0.3">
      <c r="A2314" t="s">
        <v>716</v>
      </c>
      <c r="B2314" s="3">
        <f t="shared" si="31"/>
        <v>45474</v>
      </c>
      <c r="C2314" s="2" t="str">
        <f>VLOOKUP(MONTH(Tabela1[[#This Row],[Periodo]]),NUMMESES,2,FALSE)</f>
        <v>Julho</v>
      </c>
      <c r="D2314" s="2">
        <f>YEAR(Tabela1[[#This Row],[Periodo]])</f>
        <v>2024</v>
      </c>
      <c r="E2314" s="16">
        <f>(INDEX(TBBP[],MATCH("1.1.1.3.01",planoContas,0)+1,MATCH(Tabela1[[#This Row],[Periodo]],listaPeriodos,0)))</f>
        <v>48355592.200000003</v>
      </c>
      <c r="F2314" s="16"/>
      <c r="G2314" s="16"/>
      <c r="H2314" s="16"/>
    </row>
    <row r="2315" spans="1:8" ht="15.75" customHeight="1" x14ac:dyDescent="0.3">
      <c r="A2315" t="s">
        <v>716</v>
      </c>
      <c r="B2315" s="3">
        <f t="shared" si="31"/>
        <v>45505</v>
      </c>
      <c r="C2315" s="2" t="str">
        <f>VLOOKUP(MONTH(Tabela1[[#This Row],[Periodo]]),NUMMESES,2,FALSE)</f>
        <v>Agosto</v>
      </c>
      <c r="D2315" s="2">
        <f>YEAR(Tabela1[[#This Row],[Periodo]])</f>
        <v>2024</v>
      </c>
      <c r="E2315" s="16">
        <f>(INDEX(TBBP[],MATCH("1.1.1.3.01",planoContas,0)+1,MATCH(Tabela1[[#This Row],[Periodo]],listaPeriodos,0)))</f>
        <v>49460038.840000004</v>
      </c>
      <c r="F2315" s="16"/>
      <c r="G2315" s="16"/>
      <c r="H2315" s="16"/>
    </row>
    <row r="2316" spans="1:8" ht="15.75" customHeight="1" x14ac:dyDescent="0.3">
      <c r="A2316" t="s">
        <v>716</v>
      </c>
      <c r="B2316" s="3">
        <f t="shared" si="31"/>
        <v>45536</v>
      </c>
      <c r="C2316" s="2" t="str">
        <f>VLOOKUP(MONTH(Tabela1[[#This Row],[Periodo]]),NUMMESES,2,FALSE)</f>
        <v>Setembro</v>
      </c>
      <c r="D2316" s="2">
        <f>YEAR(Tabela1[[#This Row],[Periodo]])</f>
        <v>2024</v>
      </c>
      <c r="E2316" s="16">
        <f>(INDEX(TBBP[],MATCH("1.1.1.3.01",planoContas,0)+1,MATCH(Tabela1[[#This Row],[Periodo]],listaPeriodos,0)))</f>
        <v>51980062.799999997</v>
      </c>
      <c r="F2316" s="16"/>
      <c r="G2316" s="16"/>
      <c r="H2316" s="16"/>
    </row>
    <row r="2317" spans="1:8" ht="15.75" customHeight="1" x14ac:dyDescent="0.3">
      <c r="A2317" t="s">
        <v>716</v>
      </c>
      <c r="B2317" s="3">
        <f t="shared" si="31"/>
        <v>45566</v>
      </c>
      <c r="C2317" s="2" t="str">
        <f>VLOOKUP(MONTH(Tabela1[[#This Row],[Periodo]]),NUMMESES,2,FALSE)</f>
        <v>Outubro</v>
      </c>
      <c r="D2317" s="2">
        <f>YEAR(Tabela1[[#This Row],[Periodo]])</f>
        <v>2024</v>
      </c>
      <c r="E2317" s="16">
        <f>(INDEX(TBBP[],MATCH("1.1.1.3.01",planoContas,0)+1,MATCH(Tabela1[[#This Row],[Periodo]],listaPeriodos,0)))</f>
        <v>52450626.770000003</v>
      </c>
      <c r="F2317" s="16"/>
      <c r="G2317" s="16"/>
      <c r="H2317" s="16"/>
    </row>
    <row r="2318" spans="1:8" ht="15.75" customHeight="1" x14ac:dyDescent="0.3">
      <c r="A2318" t="s">
        <v>716</v>
      </c>
      <c r="B2318" s="3">
        <f t="shared" si="31"/>
        <v>45597</v>
      </c>
      <c r="C2318" s="2" t="str">
        <f>VLOOKUP(MONTH(Tabela1[[#This Row],[Periodo]]),NUMMESES,2,FALSE)</f>
        <v>Novembro</v>
      </c>
      <c r="D2318" s="2">
        <f>YEAR(Tabela1[[#This Row],[Periodo]])</f>
        <v>2024</v>
      </c>
      <c r="E2318" s="16">
        <f>(INDEX(TBBP[],MATCH("1.1.1.3.01",planoContas,0)+1,MATCH(Tabela1[[#This Row],[Periodo]],listaPeriodos,0)))</f>
        <v>53524500.090000004</v>
      </c>
      <c r="F2318" s="16"/>
      <c r="G2318" s="16"/>
      <c r="H2318" s="16"/>
    </row>
    <row r="2319" spans="1:8" ht="15.75" customHeight="1" x14ac:dyDescent="0.3">
      <c r="A2319" t="s">
        <v>716</v>
      </c>
      <c r="B2319" s="3">
        <f t="shared" si="31"/>
        <v>45627</v>
      </c>
      <c r="C2319" s="2" t="str">
        <f>VLOOKUP(MONTH(Tabela1[[#This Row],[Periodo]]),NUMMESES,2,FALSE)</f>
        <v>Dezembro</v>
      </c>
      <c r="D2319" s="2">
        <f>YEAR(Tabela1[[#This Row],[Periodo]])</f>
        <v>2024</v>
      </c>
      <c r="E2319" s="16">
        <f>(INDEX(TBBP[],MATCH("1.1.1.3.01",planoContas,0)+1,MATCH(Tabela1[[#This Row],[Periodo]],listaPeriodos,0)))</f>
        <v>55243276.909999996</v>
      </c>
      <c r="F2319" s="16"/>
      <c r="G2319" s="16"/>
      <c r="H2319" s="16"/>
    </row>
    <row r="2320" spans="1:8" ht="15.75" customHeight="1" x14ac:dyDescent="0.3">
      <c r="A2320" t="s">
        <v>716</v>
      </c>
      <c r="B2320" s="3">
        <f t="shared" si="31"/>
        <v>45658</v>
      </c>
      <c r="C2320" s="2" t="str">
        <f>VLOOKUP(MONTH(Tabela1[[#This Row],[Periodo]]),NUMMESES,2,FALSE)</f>
        <v>Janeiro</v>
      </c>
      <c r="D2320" s="2">
        <f>YEAR(Tabela1[[#This Row],[Periodo]])</f>
        <v>2025</v>
      </c>
      <c r="E2320" s="16">
        <f>(INDEX(TBBP[],MATCH("1.1.1.3.01",planoContas,0)+1,MATCH(Tabela1[[#This Row],[Periodo]],listaPeriodos,0)))</f>
        <v>56472324.530000001</v>
      </c>
      <c r="F2320" s="16"/>
      <c r="G2320" s="16"/>
      <c r="H2320" s="16"/>
    </row>
    <row r="2321" spans="1:8" ht="15.75" customHeight="1" x14ac:dyDescent="0.3">
      <c r="A2321" t="s">
        <v>716</v>
      </c>
      <c r="B2321" s="3">
        <f t="shared" si="31"/>
        <v>45689</v>
      </c>
      <c r="C2321" s="2" t="str">
        <f>VLOOKUP(MONTH(Tabela1[[#This Row],[Periodo]]),NUMMESES,2,FALSE)</f>
        <v>Fevereiro</v>
      </c>
      <c r="D2321" s="2">
        <f>YEAR(Tabela1[[#This Row],[Periodo]])</f>
        <v>2025</v>
      </c>
      <c r="E2321" s="16">
        <f>(INDEX(TBBP[],MATCH("1.1.1.3.01",planoContas,0)+1,MATCH(Tabela1[[#This Row],[Periodo]],listaPeriodos,0)))</f>
        <v>57496059.659999996</v>
      </c>
      <c r="F2321" s="16"/>
      <c r="G2321" s="16"/>
      <c r="H2321" s="16"/>
    </row>
    <row r="2322" spans="1:8" ht="15.75" customHeight="1" x14ac:dyDescent="0.3">
      <c r="A2322" t="s">
        <v>716</v>
      </c>
      <c r="B2322" s="3">
        <f t="shared" si="31"/>
        <v>45717</v>
      </c>
      <c r="C2322" s="2" t="str">
        <f>VLOOKUP(MONTH(Tabela1[[#This Row],[Periodo]]),NUMMESES,2,FALSE)</f>
        <v>Março</v>
      </c>
      <c r="D2322" s="2">
        <f>YEAR(Tabela1[[#This Row],[Periodo]])</f>
        <v>2025</v>
      </c>
      <c r="E2322" s="16">
        <f>(INDEX(TBBP[],MATCH("1.1.1.3.01",planoContas,0)+1,MATCH(Tabela1[[#This Row],[Periodo]],listaPeriodos,0)))</f>
        <v>57119326.07</v>
      </c>
      <c r="F2322" s="16"/>
      <c r="G2322" s="16"/>
      <c r="H2322" s="16"/>
    </row>
    <row r="2323" spans="1:8" ht="15.75" customHeight="1" x14ac:dyDescent="0.3">
      <c r="A2323" t="s">
        <v>716</v>
      </c>
      <c r="B2323" s="3">
        <f t="shared" si="31"/>
        <v>45748</v>
      </c>
      <c r="C2323" s="2" t="str">
        <f>VLOOKUP(MONTH(Tabela1[[#This Row],[Periodo]]),NUMMESES,2,FALSE)</f>
        <v>Abril</v>
      </c>
      <c r="D2323" s="2">
        <f>YEAR(Tabela1[[#This Row],[Periodo]])</f>
        <v>2025</v>
      </c>
      <c r="E2323" s="16">
        <f>(INDEX(TBBP[],MATCH("1.1.1.3.01",planoContas,0)+1,MATCH(Tabela1[[#This Row],[Periodo]],listaPeriodos,0)))</f>
        <v>60748588.359999999</v>
      </c>
      <c r="F2323" s="16"/>
      <c r="G2323" s="16"/>
      <c r="H2323" s="16"/>
    </row>
    <row r="2324" spans="1:8" ht="15.75" customHeight="1" x14ac:dyDescent="0.3">
      <c r="A2324" t="s">
        <v>716</v>
      </c>
      <c r="B2324" s="3">
        <f t="shared" si="31"/>
        <v>45778</v>
      </c>
      <c r="C2324" s="2" t="str">
        <f>VLOOKUP(MONTH(Tabela1[[#This Row],[Periodo]]),NUMMESES,2,FALSE)</f>
        <v>Maio</v>
      </c>
      <c r="D2324" s="2">
        <f>YEAR(Tabela1[[#This Row],[Periodo]])</f>
        <v>2025</v>
      </c>
      <c r="E2324" s="16">
        <f>(INDEX(TBBP[],MATCH("1.1.1.3.01",planoContas,0)+1,MATCH(Tabela1[[#This Row],[Periodo]],listaPeriodos,0)))</f>
        <v>64571138.289999999</v>
      </c>
      <c r="F2324" s="16"/>
      <c r="G2324" s="16"/>
      <c r="H2324" s="16"/>
    </row>
    <row r="2325" spans="1:8" ht="15.75" customHeight="1" x14ac:dyDescent="0.3">
      <c r="A2325" t="s">
        <v>716</v>
      </c>
      <c r="B2325" s="3">
        <f t="shared" si="31"/>
        <v>45809</v>
      </c>
      <c r="C2325" s="2" t="str">
        <f>VLOOKUP(MONTH(Tabela1[[#This Row],[Periodo]]),NUMMESES,2,FALSE)</f>
        <v>Junho</v>
      </c>
      <c r="D2325" s="2">
        <f>YEAR(Tabela1[[#This Row],[Periodo]])</f>
        <v>2025</v>
      </c>
      <c r="E2325" s="16">
        <f>(INDEX(TBBP[],MATCH("1.1.1.3.01",planoContas,0)+1,MATCH(Tabela1[[#This Row],[Periodo]],listaPeriodos,0)))</f>
        <v>65224180.439999998</v>
      </c>
      <c r="F2325" s="16"/>
      <c r="G2325" s="16"/>
      <c r="H2325" s="16"/>
    </row>
    <row r="2326" spans="1:8" ht="15.75" customHeight="1" x14ac:dyDescent="0.3">
      <c r="A2326" t="s">
        <v>716</v>
      </c>
      <c r="B2326" s="3">
        <f t="shared" si="31"/>
        <v>45839</v>
      </c>
      <c r="C2326" s="2" t="str">
        <f>VLOOKUP(MONTH(Tabela1[[#This Row],[Periodo]]),NUMMESES,2,FALSE)</f>
        <v>Julho</v>
      </c>
      <c r="D2326" s="2">
        <f>YEAR(Tabela1[[#This Row],[Periodo]])</f>
        <v>2025</v>
      </c>
      <c r="E2326" s="16">
        <f>(INDEX(TBBP[],MATCH("1.1.1.3.01",planoContas,0)+1,MATCH(Tabela1[[#This Row],[Periodo]],listaPeriodos,0)))</f>
        <v>62344574.939999998</v>
      </c>
      <c r="F2326" s="16"/>
      <c r="G2326" s="16"/>
      <c r="H2326" s="16"/>
    </row>
    <row r="2327" spans="1:8" ht="15.75" customHeight="1" x14ac:dyDescent="0.3">
      <c r="A2327" t="s">
        <v>716</v>
      </c>
      <c r="B2327" s="3">
        <f t="shared" si="31"/>
        <v>45870</v>
      </c>
      <c r="C2327" s="2" t="str">
        <f>VLOOKUP(MONTH(Tabela1[[#This Row],[Periodo]]),NUMMESES,2,FALSE)</f>
        <v>Agosto</v>
      </c>
      <c r="D2327" s="2">
        <f>YEAR(Tabela1[[#This Row],[Periodo]])</f>
        <v>2025</v>
      </c>
      <c r="E2327" s="16">
        <f>(INDEX(TBBP[],MATCH("1.1.1.3.01",planoContas,0)+1,MATCH(Tabela1[[#This Row],[Periodo]],listaPeriodos,0)))</f>
        <v>63454464.259999998</v>
      </c>
      <c r="F2327" s="16"/>
      <c r="G2327" s="16"/>
      <c r="H2327" s="16"/>
    </row>
    <row r="2328" spans="1:8" ht="15.75" customHeight="1" x14ac:dyDescent="0.3">
      <c r="A2328" t="s">
        <v>716</v>
      </c>
      <c r="B2328" s="3">
        <f t="shared" si="31"/>
        <v>45901</v>
      </c>
      <c r="C2328" s="2" t="str">
        <f>VLOOKUP(MONTH(Tabela1[[#This Row],[Periodo]]),NUMMESES,2,FALSE)</f>
        <v>Setembro</v>
      </c>
      <c r="D2328" s="2">
        <f>YEAR(Tabela1[[#This Row],[Periodo]])</f>
        <v>2025</v>
      </c>
      <c r="E2328" s="16">
        <f>(INDEX(TBBP[],MATCH("1.1.1.3.01",planoContas,0)+1,MATCH(Tabela1[[#This Row],[Periodo]],listaPeriodos,0)))</f>
        <v>63019215.219999999</v>
      </c>
      <c r="F2328" s="16"/>
      <c r="G2328" s="16"/>
      <c r="H2328" s="16"/>
    </row>
    <row r="2329" spans="1:8" ht="15.75" customHeight="1" x14ac:dyDescent="0.3">
      <c r="A2329" t="s">
        <v>716</v>
      </c>
      <c r="B2329" s="3">
        <f t="shared" si="31"/>
        <v>45931</v>
      </c>
      <c r="C2329" s="2" t="str">
        <f>VLOOKUP(MONTH(Tabela1[[#This Row],[Periodo]]),NUMMESES,2,FALSE)</f>
        <v>Outubro</v>
      </c>
      <c r="D2329" s="2">
        <f>YEAR(Tabela1[[#This Row],[Periodo]])</f>
        <v>2025</v>
      </c>
      <c r="E2329" s="16">
        <f>(INDEX(TBBP[],MATCH("1.1.1.3.01",planoContas,0)+1,MATCH(Tabela1[[#This Row],[Periodo]],listaPeriodos,0)))</f>
        <v>59050397.990000002</v>
      </c>
      <c r="F2329" s="16"/>
      <c r="G2329" s="16"/>
      <c r="H2329" s="16"/>
    </row>
    <row r="2330" spans="1:8" ht="15.75" customHeight="1" x14ac:dyDescent="0.3">
      <c r="A2330" t="s">
        <v>716</v>
      </c>
      <c r="B2330" s="3">
        <f t="shared" si="31"/>
        <v>45962</v>
      </c>
      <c r="C2330" s="2" t="str">
        <f>VLOOKUP(MONTH(Tabela1[[#This Row],[Periodo]]),NUMMESES,2,FALSE)</f>
        <v>Novembro</v>
      </c>
      <c r="D2330" s="2">
        <f>YEAR(Tabela1[[#This Row],[Periodo]])</f>
        <v>2025</v>
      </c>
      <c r="E2330" s="16">
        <f>(INDEX(TBBP[],MATCH("1.1.1.3.01",planoContas,0)+1,MATCH(Tabela1[[#This Row],[Periodo]],listaPeriodos,0)))</f>
        <v>60181646.270000003</v>
      </c>
      <c r="F2330" s="16"/>
      <c r="G2330" s="16"/>
      <c r="H2330" s="16"/>
    </row>
    <row r="2331" spans="1:8" ht="15.75" customHeight="1" x14ac:dyDescent="0.3">
      <c r="A2331" t="s">
        <v>716</v>
      </c>
      <c r="B2331" s="3">
        <f t="shared" si="31"/>
        <v>45992</v>
      </c>
      <c r="C2331" s="2" t="str">
        <f>VLOOKUP(MONTH(Tabela1[[#This Row],[Periodo]]),NUMMESES,2,FALSE)</f>
        <v>Dezembro</v>
      </c>
      <c r="D2331" s="2">
        <f>YEAR(Tabela1[[#This Row],[Periodo]])</f>
        <v>2025</v>
      </c>
      <c r="E2331" s="16">
        <f>(INDEX(TBBP[],MATCH("1.1.1.3.01",planoContas,0)+1,MATCH(Tabela1[[#This Row],[Periodo]],listaPeriodos,0)))</f>
        <v>56771817.329999998</v>
      </c>
      <c r="F2331" s="16"/>
      <c r="G2331" s="16"/>
      <c r="H2331" s="16"/>
    </row>
    <row r="2332" spans="1:8" ht="15.75" customHeight="1" x14ac:dyDescent="0.3">
      <c r="A2332" t="s">
        <v>716</v>
      </c>
      <c r="B2332" s="3">
        <f t="shared" si="31"/>
        <v>46023</v>
      </c>
      <c r="C2332" s="2" t="str">
        <f>VLOOKUP(MONTH(Tabela1[[#This Row],[Periodo]]),NUMMESES,2,FALSE)</f>
        <v>Janeiro</v>
      </c>
      <c r="D2332" s="2">
        <f>YEAR(Tabela1[[#This Row],[Periodo]])</f>
        <v>2026</v>
      </c>
      <c r="E2332" s="16">
        <f>(INDEX(TBBP[],MATCH("1.1.1.3.01",planoContas,0)+1,MATCH(Tabela1[[#This Row],[Periodo]],listaPeriodos,0)))</f>
        <v>57547496.810000002</v>
      </c>
      <c r="F2332" s="16"/>
      <c r="G2332" s="16"/>
      <c r="H2332" s="16"/>
    </row>
    <row r="2333" spans="1:8" ht="15.75" customHeight="1" x14ac:dyDescent="0.3">
      <c r="B2333" s="3"/>
      <c r="C2333" s="2"/>
      <c r="D2333" s="2"/>
      <c r="E2333" s="16"/>
      <c r="F2333" s="16"/>
      <c r="G2333" s="16"/>
      <c r="H2333" s="16"/>
    </row>
    <row r="2334" spans="1:8" ht="15.75" customHeight="1" x14ac:dyDescent="0.3">
      <c r="A2334" t="s">
        <v>717</v>
      </c>
      <c r="B2334" s="3">
        <v>41609</v>
      </c>
      <c r="C2334" s="2" t="str">
        <f>VLOOKUP(MONTH(Tabela1[[#This Row],[Periodo]]),NUMMESES,2,FALSE)</f>
        <v>Dezembro</v>
      </c>
      <c r="D2334" s="2">
        <f>YEAR(Tabela1[[#This Row],[Periodo]])</f>
        <v>2013</v>
      </c>
      <c r="E2334" s="16">
        <f>(INDEX(TBBP[],MATCH("1.1.1.6",planoContas,0)+1,MATCH(Tabela1[[#This Row],[Periodo]],listaPeriodos,0)))</f>
        <v>2924473.2</v>
      </c>
      <c r="F2334" s="16"/>
      <c r="G2334" s="16"/>
      <c r="H2334" s="16"/>
    </row>
    <row r="2335" spans="1:8" ht="15.75" customHeight="1" x14ac:dyDescent="0.3">
      <c r="A2335" t="s">
        <v>717</v>
      </c>
      <c r="B2335" s="3">
        <v>41974</v>
      </c>
      <c r="C2335" s="2" t="str">
        <f>VLOOKUP(MONTH(Tabela1[[#This Row],[Periodo]]),NUMMESES,2,FALSE)</f>
        <v>Dezembro</v>
      </c>
      <c r="D2335" s="2">
        <f>YEAR(Tabela1[[#This Row],[Periodo]])</f>
        <v>2014</v>
      </c>
      <c r="E2335" s="16">
        <f>(INDEX(TBBP[],MATCH("1.1.1.6",planoContas,0)+1,MATCH(Tabela1[[#This Row],[Periodo]],listaPeriodos,0)))</f>
        <v>4664327</v>
      </c>
      <c r="F2335" s="16"/>
      <c r="G2335" s="16"/>
      <c r="H2335" s="16"/>
    </row>
    <row r="2336" spans="1:8" ht="15.75" customHeight="1" x14ac:dyDescent="0.3">
      <c r="A2336" t="s">
        <v>717</v>
      </c>
      <c r="B2336" s="3">
        <v>42339</v>
      </c>
      <c r="C2336" s="2" t="str">
        <f>VLOOKUP(MONTH(Tabela1[[#This Row],[Periodo]]),NUMMESES,2,FALSE)</f>
        <v>Dezembro</v>
      </c>
      <c r="D2336" s="2">
        <f>YEAR(Tabela1[[#This Row],[Periodo]])</f>
        <v>2015</v>
      </c>
      <c r="E2336" s="16">
        <f>(INDEX(TBBP[],MATCH("1.1.1.6",planoContas,0)+1,MATCH(Tabela1[[#This Row],[Periodo]],listaPeriodos,0)))</f>
        <v>5868331.5899999999</v>
      </c>
      <c r="F2336" s="16"/>
      <c r="G2336" s="16"/>
      <c r="H2336" s="16"/>
    </row>
    <row r="2337" spans="1:8" ht="15.75" customHeight="1" x14ac:dyDescent="0.3">
      <c r="A2337" t="s">
        <v>717</v>
      </c>
      <c r="B2337" s="3">
        <v>42705</v>
      </c>
      <c r="C2337" s="2" t="str">
        <f>VLOOKUP(MONTH(Tabela1[[#This Row],[Periodo]]),NUMMESES,2,FALSE)</f>
        <v>Dezembro</v>
      </c>
      <c r="D2337" s="2">
        <f>YEAR(Tabela1[[#This Row],[Periodo]])</f>
        <v>2016</v>
      </c>
      <c r="E2337" s="16">
        <f>(INDEX(TBBP[],MATCH("1.1.1.6",planoContas,0)+1,MATCH(Tabela1[[#This Row],[Periodo]],listaPeriodos,0)))</f>
        <v>6973934.6900000004</v>
      </c>
      <c r="F2337" s="16"/>
      <c r="G2337" s="16"/>
      <c r="H2337" s="16"/>
    </row>
    <row r="2338" spans="1:8" ht="15.75" customHeight="1" x14ac:dyDescent="0.3">
      <c r="A2338" t="s">
        <v>717</v>
      </c>
      <c r="B2338" s="3">
        <v>43070</v>
      </c>
      <c r="C2338" s="2" t="str">
        <f>VLOOKUP(MONTH(Tabela1[[#This Row],[Periodo]]),NUMMESES,2,FALSE)</f>
        <v>Dezembro</v>
      </c>
      <c r="D2338" s="2">
        <f>YEAR(Tabela1[[#This Row],[Periodo]])</f>
        <v>2017</v>
      </c>
      <c r="E2338" s="16">
        <f>(INDEX(TBBP[],MATCH("1.1.1.6",planoContas,0)+1,MATCH(Tabela1[[#This Row],[Periodo]],listaPeriodos,0)))</f>
        <v>8095381.8700000001</v>
      </c>
      <c r="F2338" s="16"/>
      <c r="G2338" s="16"/>
      <c r="H2338" s="16"/>
    </row>
    <row r="2339" spans="1:8" ht="15.75" customHeight="1" x14ac:dyDescent="0.3">
      <c r="A2339" t="s">
        <v>717</v>
      </c>
      <c r="B2339" s="3">
        <v>43101</v>
      </c>
      <c r="C2339" s="2" t="str">
        <f>VLOOKUP(MONTH(Tabela1[[#This Row],[Periodo]]),NUMMESES,2,FALSE)</f>
        <v>Janeiro</v>
      </c>
      <c r="D2339" s="2">
        <f>YEAR(Tabela1[[#This Row],[Periodo]])</f>
        <v>2018</v>
      </c>
      <c r="E2339" s="16">
        <f>(INDEX(TBBP[],MATCH("1.1.1.6",planoContas,0)+1,MATCH(Tabela1[[#This Row],[Periodo]],listaPeriodos,0)))</f>
        <v>7906204.2400000002</v>
      </c>
      <c r="F2339" s="16"/>
      <c r="G2339" s="16"/>
      <c r="H2339" s="16"/>
    </row>
    <row r="2340" spans="1:8" ht="15.75" customHeight="1" x14ac:dyDescent="0.3">
      <c r="A2340" t="s">
        <v>717</v>
      </c>
      <c r="B2340" s="3">
        <f t="shared" ref="B2340:B2377" si="32">DATE(YEAR(B2339),MONTH(B2339)+1,DAY(B2339))</f>
        <v>43132</v>
      </c>
      <c r="C2340" s="2" t="str">
        <f>VLOOKUP(MONTH(Tabela1[[#This Row],[Periodo]]),NUMMESES,2,FALSE)</f>
        <v>Fevereiro</v>
      </c>
      <c r="D2340" s="2">
        <f>YEAR(Tabela1[[#This Row],[Periodo]])</f>
        <v>2018</v>
      </c>
      <c r="E2340" s="16">
        <f>(INDEX(TBBP[],MATCH("1.1.1.6",planoContas,0)+1,MATCH(Tabela1[[#This Row],[Periodo]],listaPeriodos,0)))</f>
        <v>8234359.8499999996</v>
      </c>
      <c r="F2340" s="16"/>
      <c r="G2340" s="16"/>
      <c r="H2340" s="16"/>
    </row>
    <row r="2341" spans="1:8" ht="15.75" customHeight="1" x14ac:dyDescent="0.3">
      <c r="A2341" t="s">
        <v>717</v>
      </c>
      <c r="B2341" s="3">
        <f t="shared" si="32"/>
        <v>43160</v>
      </c>
      <c r="C2341" s="2" t="str">
        <f>VLOOKUP(MONTH(Tabela1[[#This Row],[Periodo]]),NUMMESES,2,FALSE)</f>
        <v>Março</v>
      </c>
      <c r="D2341" s="2">
        <f>YEAR(Tabela1[[#This Row],[Periodo]])</f>
        <v>2018</v>
      </c>
      <c r="E2341" s="16">
        <f>(INDEX(TBBP[],MATCH("1.1.1.6",planoContas,0)+1,MATCH(Tabela1[[#This Row],[Periodo]],listaPeriodos,0)))</f>
        <v>7556123.4299999997</v>
      </c>
      <c r="F2341" s="16"/>
      <c r="G2341" s="16"/>
      <c r="H2341" s="16"/>
    </row>
    <row r="2342" spans="1:8" ht="15.75" customHeight="1" x14ac:dyDescent="0.3">
      <c r="A2342" t="s">
        <v>717</v>
      </c>
      <c r="B2342" s="3">
        <f t="shared" si="32"/>
        <v>43191</v>
      </c>
      <c r="C2342" s="2" t="str">
        <f>VLOOKUP(MONTH(Tabela1[[#This Row],[Periodo]]),NUMMESES,2,FALSE)</f>
        <v>Abril</v>
      </c>
      <c r="D2342" s="2">
        <f>YEAR(Tabela1[[#This Row],[Periodo]])</f>
        <v>2018</v>
      </c>
      <c r="E2342" s="16">
        <f>(INDEX(TBBP[],MATCH("1.1.1.6",planoContas,0)+1,MATCH(Tabela1[[#This Row],[Periodo]],listaPeriodos,0)))</f>
        <v>7068699.6900000004</v>
      </c>
      <c r="F2342" s="16"/>
      <c r="G2342" s="16"/>
      <c r="H2342" s="16"/>
    </row>
    <row r="2343" spans="1:8" ht="15.75" customHeight="1" x14ac:dyDescent="0.3">
      <c r="A2343" t="s">
        <v>717</v>
      </c>
      <c r="B2343" s="3">
        <f t="shared" si="32"/>
        <v>43221</v>
      </c>
      <c r="C2343" s="2" t="str">
        <f>VLOOKUP(MONTH(Tabela1[[#This Row],[Periodo]]),NUMMESES,2,FALSE)</f>
        <v>Maio</v>
      </c>
      <c r="D2343" s="2">
        <f>YEAR(Tabela1[[#This Row],[Periodo]])</f>
        <v>2018</v>
      </c>
      <c r="E2343" s="16">
        <f>(INDEX(TBBP[],MATCH("1.1.1.6",planoContas,0)+1,MATCH(Tabela1[[#This Row],[Periodo]],listaPeriodos,0)))</f>
        <v>7473081.9900000002</v>
      </c>
      <c r="F2343" s="16"/>
      <c r="G2343" s="16"/>
      <c r="H2343" s="16"/>
    </row>
    <row r="2344" spans="1:8" ht="15.75" customHeight="1" x14ac:dyDescent="0.3">
      <c r="A2344" t="s">
        <v>717</v>
      </c>
      <c r="B2344" s="3">
        <f t="shared" si="32"/>
        <v>43252</v>
      </c>
      <c r="C2344" s="2" t="str">
        <f>VLOOKUP(MONTH(Tabela1[[#This Row],[Periodo]]),NUMMESES,2,FALSE)</f>
        <v>Junho</v>
      </c>
      <c r="D2344" s="2">
        <f>YEAR(Tabela1[[#This Row],[Periodo]])</f>
        <v>2018</v>
      </c>
      <c r="E2344" s="16">
        <f>(INDEX(TBBP[],MATCH("1.1.1.6",planoContas,0)+1,MATCH(Tabela1[[#This Row],[Periodo]],listaPeriodos,0)))</f>
        <v>7622284.8799999999</v>
      </c>
      <c r="F2344" s="16"/>
      <c r="G2344" s="16"/>
      <c r="H2344" s="16"/>
    </row>
    <row r="2345" spans="1:8" ht="15.75" customHeight="1" x14ac:dyDescent="0.3">
      <c r="A2345" t="s">
        <v>717</v>
      </c>
      <c r="B2345" s="3">
        <f t="shared" si="32"/>
        <v>43282</v>
      </c>
      <c r="C2345" s="2" t="str">
        <f>VLOOKUP(MONTH(Tabela1[[#This Row],[Periodo]]),NUMMESES,2,FALSE)</f>
        <v>Julho</v>
      </c>
      <c r="D2345" s="2">
        <f>YEAR(Tabela1[[#This Row],[Periodo]])</f>
        <v>2018</v>
      </c>
      <c r="E2345" s="16">
        <f>(INDEX(TBBP[],MATCH("1.1.1.6",planoContas,0)+1,MATCH(Tabela1[[#This Row],[Periodo]],listaPeriodos,0)))</f>
        <v>6904842.9100000001</v>
      </c>
      <c r="F2345" s="16"/>
      <c r="G2345" s="16"/>
      <c r="H2345" s="16"/>
    </row>
    <row r="2346" spans="1:8" ht="15.75" customHeight="1" x14ac:dyDescent="0.3">
      <c r="A2346" t="s">
        <v>717</v>
      </c>
      <c r="B2346" s="3">
        <f t="shared" si="32"/>
        <v>43313</v>
      </c>
      <c r="C2346" s="2" t="str">
        <f>VLOOKUP(MONTH(Tabela1[[#This Row],[Periodo]]),NUMMESES,2,FALSE)</f>
        <v>Agosto</v>
      </c>
      <c r="D2346" s="2">
        <f>YEAR(Tabela1[[#This Row],[Periodo]])</f>
        <v>2018</v>
      </c>
      <c r="E2346" s="16">
        <f>(INDEX(TBBP[],MATCH("1.1.1.6",planoContas,0)+1,MATCH(Tabela1[[#This Row],[Periodo]],listaPeriodos,0)))</f>
        <v>6854628.5999999996</v>
      </c>
      <c r="F2346" s="16"/>
      <c r="G2346" s="16"/>
      <c r="H2346" s="16"/>
    </row>
    <row r="2347" spans="1:8" ht="15.75" customHeight="1" x14ac:dyDescent="0.3">
      <c r="A2347" t="s">
        <v>717</v>
      </c>
      <c r="B2347" s="3">
        <f t="shared" si="32"/>
        <v>43344</v>
      </c>
      <c r="C2347" s="2" t="str">
        <f>VLOOKUP(MONTH(Tabela1[[#This Row],[Periodo]]),NUMMESES,2,FALSE)</f>
        <v>Setembro</v>
      </c>
      <c r="D2347" s="2">
        <f>YEAR(Tabela1[[#This Row],[Periodo]])</f>
        <v>2018</v>
      </c>
      <c r="E2347" s="16">
        <f>(INDEX(TBBP[],MATCH("1.1.1.6",planoContas,0)+1,MATCH(Tabela1[[#This Row],[Periodo]],listaPeriodos,0)))</f>
        <v>7018042.0199999996</v>
      </c>
      <c r="F2347" s="16"/>
      <c r="G2347" s="16"/>
      <c r="H2347" s="16"/>
    </row>
    <row r="2348" spans="1:8" ht="15.75" customHeight="1" x14ac:dyDescent="0.3">
      <c r="A2348" t="s">
        <v>717</v>
      </c>
      <c r="B2348" s="3">
        <f t="shared" si="32"/>
        <v>43374</v>
      </c>
      <c r="C2348" s="2" t="str">
        <f>VLOOKUP(MONTH(Tabela1[[#This Row],[Periodo]]),NUMMESES,2,FALSE)</f>
        <v>Outubro</v>
      </c>
      <c r="D2348" s="2">
        <f>YEAR(Tabela1[[#This Row],[Periodo]])</f>
        <v>2018</v>
      </c>
      <c r="E2348" s="16">
        <f>(INDEX(TBBP[],MATCH("1.1.1.6",planoContas,0)+1,MATCH(Tabela1[[#This Row],[Periodo]],listaPeriodos,0)))</f>
        <v>6959623.9299999997</v>
      </c>
      <c r="F2348" s="16"/>
      <c r="G2348" s="16"/>
      <c r="H2348" s="16"/>
    </row>
    <row r="2349" spans="1:8" ht="15.75" customHeight="1" x14ac:dyDescent="0.3">
      <c r="A2349" t="s">
        <v>717</v>
      </c>
      <c r="B2349" s="3">
        <f t="shared" si="32"/>
        <v>43405</v>
      </c>
      <c r="C2349" s="2" t="str">
        <f>VLOOKUP(MONTH(Tabela1[[#This Row],[Periodo]]),NUMMESES,2,FALSE)</f>
        <v>Novembro</v>
      </c>
      <c r="D2349" s="2">
        <f>YEAR(Tabela1[[#This Row],[Periodo]])</f>
        <v>2018</v>
      </c>
      <c r="E2349" s="16">
        <f>(INDEX(TBBP[],MATCH("1.1.1.6",planoContas,0)+1,MATCH(Tabela1[[#This Row],[Periodo]],listaPeriodos,0)))</f>
        <v>7084404.3099999996</v>
      </c>
      <c r="F2349" s="16"/>
      <c r="G2349" s="16"/>
      <c r="H2349" s="16"/>
    </row>
    <row r="2350" spans="1:8" ht="15.75" customHeight="1" x14ac:dyDescent="0.3">
      <c r="A2350" t="s">
        <v>717</v>
      </c>
      <c r="B2350" s="3">
        <f t="shared" si="32"/>
        <v>43435</v>
      </c>
      <c r="C2350" s="2" t="str">
        <f>VLOOKUP(MONTH(Tabela1[[#This Row],[Periodo]]),NUMMESES,2,FALSE)</f>
        <v>Dezembro</v>
      </c>
      <c r="D2350" s="2">
        <f>YEAR(Tabela1[[#This Row],[Periodo]])</f>
        <v>2018</v>
      </c>
      <c r="E2350" s="16">
        <f>(INDEX(TBBP[],MATCH("1.1.1.6",planoContas,0)+1,MATCH(Tabela1[[#This Row],[Periodo]],listaPeriodos,0)))</f>
        <v>6994030.21</v>
      </c>
      <c r="F2350" s="16"/>
      <c r="G2350" s="16"/>
      <c r="H2350" s="16"/>
    </row>
    <row r="2351" spans="1:8" ht="15.75" customHeight="1" x14ac:dyDescent="0.3">
      <c r="A2351" t="s">
        <v>717</v>
      </c>
      <c r="B2351" s="3">
        <f t="shared" si="32"/>
        <v>43466</v>
      </c>
      <c r="C2351" s="2" t="str">
        <f>VLOOKUP(MONTH(Tabela1[[#This Row],[Periodo]]),NUMMESES,2,FALSE)</f>
        <v>Janeiro</v>
      </c>
      <c r="D2351" s="2">
        <f>YEAR(Tabela1[[#This Row],[Periodo]])</f>
        <v>2019</v>
      </c>
      <c r="E2351" s="16">
        <f>(INDEX(TBBP[],MATCH("1.1.1.6",planoContas,0)+1,MATCH(Tabela1[[#This Row],[Periodo]],listaPeriodos,0)))</f>
        <v>7444779.7199999997</v>
      </c>
      <c r="F2351" s="16"/>
      <c r="G2351" s="16"/>
      <c r="H2351" s="16"/>
    </row>
    <row r="2352" spans="1:8" ht="15.75" customHeight="1" x14ac:dyDescent="0.3">
      <c r="A2352" t="s">
        <v>717</v>
      </c>
      <c r="B2352" s="3">
        <f t="shared" si="32"/>
        <v>43497</v>
      </c>
      <c r="C2352" s="2" t="str">
        <f>VLOOKUP(MONTH(Tabela1[[#This Row],[Periodo]]),NUMMESES,2,FALSE)</f>
        <v>Fevereiro</v>
      </c>
      <c r="D2352" s="2">
        <f>YEAR(Tabela1[[#This Row],[Periodo]])</f>
        <v>2019</v>
      </c>
      <c r="E2352" s="16">
        <f>(INDEX(TBBP[],MATCH("1.1.1.6",planoContas,0)+1,MATCH(Tabela1[[#This Row],[Periodo]],listaPeriodos,0)))</f>
        <v>7144820.0899999999</v>
      </c>
      <c r="F2352" s="16"/>
      <c r="G2352" s="16"/>
      <c r="H2352" s="16"/>
    </row>
    <row r="2353" spans="1:8" ht="15.75" customHeight="1" x14ac:dyDescent="0.3">
      <c r="A2353" t="s">
        <v>717</v>
      </c>
      <c r="B2353" s="3">
        <f t="shared" si="32"/>
        <v>43525</v>
      </c>
      <c r="C2353" s="2" t="str">
        <f>VLOOKUP(MONTH(Tabela1[[#This Row],[Periodo]]),NUMMESES,2,FALSE)</f>
        <v>Março</v>
      </c>
      <c r="D2353" s="2">
        <f>YEAR(Tabela1[[#This Row],[Periodo]])</f>
        <v>2019</v>
      </c>
      <c r="E2353" s="16">
        <f>(INDEX(TBBP[],MATCH("1.1.1.6",planoContas,0)+1,MATCH(Tabela1[[#This Row],[Periodo]],listaPeriodos,0)))</f>
        <v>7325202.21</v>
      </c>
      <c r="F2353" s="16"/>
      <c r="G2353" s="16"/>
      <c r="H2353" s="16"/>
    </row>
    <row r="2354" spans="1:8" ht="15.75" customHeight="1" x14ac:dyDescent="0.3">
      <c r="A2354" t="s">
        <v>717</v>
      </c>
      <c r="B2354" s="3">
        <f t="shared" si="32"/>
        <v>43556</v>
      </c>
      <c r="C2354" s="2" t="str">
        <f>VLOOKUP(MONTH(Tabela1[[#This Row],[Periodo]]),NUMMESES,2,FALSE)</f>
        <v>Abril</v>
      </c>
      <c r="D2354" s="2">
        <f>YEAR(Tabela1[[#This Row],[Periodo]])</f>
        <v>2019</v>
      </c>
      <c r="E2354" s="16">
        <f>(INDEX(TBBP[],MATCH("1.1.1.6",planoContas,0)+1,MATCH(Tabela1[[#This Row],[Periodo]],listaPeriodos,0)))</f>
        <v>7807555.79</v>
      </c>
      <c r="F2354" s="16"/>
      <c r="G2354" s="16"/>
      <c r="H2354" s="16"/>
    </row>
    <row r="2355" spans="1:8" ht="15.75" customHeight="1" x14ac:dyDescent="0.3">
      <c r="A2355" t="s">
        <v>717</v>
      </c>
      <c r="B2355" s="3">
        <f t="shared" si="32"/>
        <v>43586</v>
      </c>
      <c r="C2355" s="2" t="str">
        <f>VLOOKUP(MONTH(Tabela1[[#This Row],[Periodo]]),NUMMESES,2,FALSE)</f>
        <v>Maio</v>
      </c>
      <c r="D2355" s="2">
        <f>YEAR(Tabela1[[#This Row],[Periodo]])</f>
        <v>2019</v>
      </c>
      <c r="E2355" s="16">
        <f>(INDEX(TBBP[],MATCH("1.1.1.6",planoContas,0)+1,MATCH(Tabela1[[#This Row],[Periodo]],listaPeriodos,0)))</f>
        <v>7966035.1500000004</v>
      </c>
      <c r="F2355" s="16"/>
      <c r="G2355" s="16"/>
      <c r="H2355" s="16"/>
    </row>
    <row r="2356" spans="1:8" ht="15.75" customHeight="1" x14ac:dyDescent="0.3">
      <c r="A2356" t="s">
        <v>717</v>
      </c>
      <c r="B2356" s="3">
        <f t="shared" si="32"/>
        <v>43617</v>
      </c>
      <c r="C2356" s="2" t="str">
        <f>VLOOKUP(MONTH(Tabela1[[#This Row],[Periodo]]),NUMMESES,2,FALSE)</f>
        <v>Junho</v>
      </c>
      <c r="D2356" s="2">
        <f>YEAR(Tabela1[[#This Row],[Periodo]])</f>
        <v>2019</v>
      </c>
      <c r="E2356" s="16">
        <f>(INDEX(TBBP[],MATCH("1.1.1.6",planoContas,0)+1,MATCH(Tabela1[[#This Row],[Periodo]],listaPeriodos,0)))</f>
        <v>8898383.9399999995</v>
      </c>
      <c r="F2356" s="16"/>
      <c r="G2356" s="16"/>
      <c r="H2356" s="16"/>
    </row>
    <row r="2357" spans="1:8" x14ac:dyDescent="0.3">
      <c r="A2357" t="s">
        <v>717</v>
      </c>
      <c r="B2357" s="3">
        <f t="shared" si="32"/>
        <v>43647</v>
      </c>
      <c r="C2357" s="2" t="str">
        <f>VLOOKUP(MONTH(Tabela1[[#This Row],[Periodo]]),NUMMESES,2,FALSE)</f>
        <v>Julho</v>
      </c>
      <c r="D2357" s="2">
        <f>YEAR(Tabela1[[#This Row],[Periodo]])</f>
        <v>2019</v>
      </c>
      <c r="E2357" s="16">
        <f>(INDEX(TBBP[],MATCH("1.1.1.6",planoContas,0)+1,MATCH(Tabela1[[#This Row],[Periodo]],listaPeriodos,0)))</f>
        <v>8891601.5700000003</v>
      </c>
      <c r="F2357" s="16"/>
      <c r="G2357" s="16"/>
      <c r="H2357" s="16"/>
    </row>
    <row r="2358" spans="1:8" x14ac:dyDescent="0.3">
      <c r="A2358" t="s">
        <v>717</v>
      </c>
      <c r="B2358" s="3">
        <f t="shared" si="32"/>
        <v>43678</v>
      </c>
      <c r="C2358" s="2" t="str">
        <f>VLOOKUP(MONTH(Tabela1[[#This Row],[Periodo]]),NUMMESES,2,FALSE)</f>
        <v>Agosto</v>
      </c>
      <c r="D2358" s="2">
        <f>YEAR(Tabela1[[#This Row],[Periodo]])</f>
        <v>2019</v>
      </c>
      <c r="E2358" s="16">
        <f>(INDEX(TBBP[],MATCH("1.1.1.6",planoContas,0)+1,MATCH(Tabela1[[#This Row],[Periodo]],listaPeriodos,0)))</f>
        <v>8432534.9800000004</v>
      </c>
      <c r="F2358" s="16"/>
      <c r="G2358" s="16"/>
      <c r="H2358" s="16"/>
    </row>
    <row r="2359" spans="1:8" x14ac:dyDescent="0.3">
      <c r="A2359" t="s">
        <v>717</v>
      </c>
      <c r="B2359" s="3">
        <f t="shared" si="32"/>
        <v>43709</v>
      </c>
      <c r="C2359" s="2" t="str">
        <f>VLOOKUP(MONTH(Tabela1[[#This Row],[Periodo]]),NUMMESES,2,FALSE)</f>
        <v>Setembro</v>
      </c>
      <c r="D2359" s="2">
        <f>YEAR(Tabela1[[#This Row],[Periodo]])</f>
        <v>2019</v>
      </c>
      <c r="E2359" s="16">
        <f>(INDEX(TBBP[],MATCH("1.1.1.6",planoContas,0)+1,MATCH(Tabela1[[#This Row],[Periodo]],listaPeriodos,0)))</f>
        <v>8377763.0499999998</v>
      </c>
      <c r="F2359" s="16"/>
      <c r="G2359" s="16"/>
      <c r="H2359" s="16"/>
    </row>
    <row r="2360" spans="1:8" x14ac:dyDescent="0.3">
      <c r="A2360" t="s">
        <v>717</v>
      </c>
      <c r="B2360" s="3">
        <f t="shared" si="32"/>
        <v>43739</v>
      </c>
      <c r="C2360" s="2" t="str">
        <f>VLOOKUP(MONTH(Tabela1[[#This Row],[Periodo]]),NUMMESES,2,FALSE)</f>
        <v>Outubro</v>
      </c>
      <c r="D2360" s="2">
        <f>YEAR(Tabela1[[#This Row],[Periodo]])</f>
        <v>2019</v>
      </c>
      <c r="E2360" s="16">
        <f>(INDEX(TBBP[],MATCH("1.1.1.6",planoContas,0)+1,MATCH(Tabela1[[#This Row],[Periodo]],listaPeriodos,0)))</f>
        <v>8077792.1900000004</v>
      </c>
      <c r="F2360" s="16"/>
      <c r="G2360" s="16"/>
      <c r="H2360" s="16"/>
    </row>
    <row r="2361" spans="1:8" x14ac:dyDescent="0.3">
      <c r="A2361" t="s">
        <v>717</v>
      </c>
      <c r="B2361" s="3">
        <f t="shared" si="32"/>
        <v>43770</v>
      </c>
      <c r="C2361" s="2" t="str">
        <f>VLOOKUP(MONTH(Tabela1[[#This Row],[Periodo]]),NUMMESES,2,FALSE)</f>
        <v>Novembro</v>
      </c>
      <c r="D2361" s="2">
        <f>YEAR(Tabela1[[#This Row],[Periodo]])</f>
        <v>2019</v>
      </c>
      <c r="E2361" s="16">
        <f>(INDEX(TBBP[],MATCH("1.1.1.6",planoContas,0)+1,MATCH(Tabela1[[#This Row],[Periodo]],listaPeriodos,0)))</f>
        <v>8307415.8700000001</v>
      </c>
      <c r="F2361" s="16"/>
      <c r="G2361" s="16"/>
      <c r="H2361" s="16"/>
    </row>
    <row r="2362" spans="1:8" x14ac:dyDescent="0.3">
      <c r="A2362" t="s">
        <v>717</v>
      </c>
      <c r="B2362" s="3">
        <f t="shared" si="32"/>
        <v>43800</v>
      </c>
      <c r="C2362" s="2" t="str">
        <f>VLOOKUP(MONTH(Tabela1[[#This Row],[Periodo]]),NUMMESES,2,FALSE)</f>
        <v>Dezembro</v>
      </c>
      <c r="D2362" s="2">
        <f>YEAR(Tabela1[[#This Row],[Periodo]])</f>
        <v>2019</v>
      </c>
      <c r="E2362" s="16">
        <f>(INDEX(TBBP[],MATCH("1.1.1.6",planoContas,0)+1,MATCH(Tabela1[[#This Row],[Periodo]],listaPeriodos,0)))</f>
        <v>8356882.7199999997</v>
      </c>
      <c r="F2362" s="16"/>
      <c r="G2362" s="16"/>
      <c r="H2362" s="16"/>
    </row>
    <row r="2363" spans="1:8" x14ac:dyDescent="0.3">
      <c r="A2363" t="s">
        <v>717</v>
      </c>
      <c r="B2363" s="3">
        <f t="shared" si="32"/>
        <v>43831</v>
      </c>
      <c r="C2363" s="2" t="str">
        <f>VLOOKUP(MONTH(Tabela1[[#This Row],[Periodo]]),NUMMESES,2,FALSE)</f>
        <v>Janeiro</v>
      </c>
      <c r="D2363" s="2">
        <f>YEAR(Tabela1[[#This Row],[Periodo]])</f>
        <v>2020</v>
      </c>
      <c r="E2363" s="16">
        <f>(INDEX(TBBP[],MATCH("1.1.1.6",planoContas,0)+1,MATCH(Tabela1[[#This Row],[Periodo]],listaPeriodos,0)))</f>
        <v>8439188.6899999995</v>
      </c>
      <c r="F2363" s="16"/>
      <c r="G2363" s="16"/>
      <c r="H2363" s="16"/>
    </row>
    <row r="2364" spans="1:8" x14ac:dyDescent="0.3">
      <c r="A2364" t="s">
        <v>717</v>
      </c>
      <c r="B2364" s="3">
        <f t="shared" si="32"/>
        <v>43862</v>
      </c>
      <c r="C2364" s="2" t="str">
        <f>VLOOKUP(MONTH(Tabela1[[#This Row],[Periodo]]),NUMMESES,2,FALSE)</f>
        <v>Fevereiro</v>
      </c>
      <c r="D2364" s="2">
        <f>YEAR(Tabela1[[#This Row],[Periodo]])</f>
        <v>2020</v>
      </c>
      <c r="E2364" s="16">
        <f>(INDEX(TBBP[],MATCH("1.1.1.6",planoContas,0)+1,MATCH(Tabela1[[#This Row],[Periodo]],listaPeriodos,0)))</f>
        <v>9519422.7699999996</v>
      </c>
      <c r="F2364" s="16"/>
      <c r="G2364" s="16"/>
      <c r="H2364" s="16"/>
    </row>
    <row r="2365" spans="1:8" x14ac:dyDescent="0.3">
      <c r="A2365" t="s">
        <v>717</v>
      </c>
      <c r="B2365" s="3">
        <f t="shared" si="32"/>
        <v>43891</v>
      </c>
      <c r="C2365" s="2" t="str">
        <f>VLOOKUP(MONTH(Tabela1[[#This Row],[Periodo]]),NUMMESES,2,FALSE)</f>
        <v>Março</v>
      </c>
      <c r="D2365" s="2">
        <f>YEAR(Tabela1[[#This Row],[Periodo]])</f>
        <v>2020</v>
      </c>
      <c r="E2365" s="16">
        <f>(INDEX(TBBP[],MATCH("1.1.1.6",planoContas,0)+1,MATCH(Tabela1[[#This Row],[Periodo]],listaPeriodos,0)))</f>
        <v>10295639.220000001</v>
      </c>
      <c r="F2365" s="16"/>
      <c r="G2365" s="16"/>
      <c r="H2365" s="16"/>
    </row>
    <row r="2366" spans="1:8" x14ac:dyDescent="0.3">
      <c r="A2366" t="s">
        <v>717</v>
      </c>
      <c r="B2366" s="3">
        <f t="shared" si="32"/>
        <v>43922</v>
      </c>
      <c r="C2366" s="2" t="str">
        <f>VLOOKUP(MONTH(Tabela1[[#This Row],[Periodo]]),NUMMESES,2,FALSE)</f>
        <v>Abril</v>
      </c>
      <c r="D2366" s="2">
        <f>YEAR(Tabela1[[#This Row],[Periodo]])</f>
        <v>2020</v>
      </c>
      <c r="E2366" s="16">
        <f>(INDEX(TBBP[],MATCH("1.1.1.6",planoContas,0)+1,MATCH(Tabela1[[#This Row],[Periodo]],listaPeriodos,0)))</f>
        <v>10476929.59</v>
      </c>
      <c r="F2366" s="16"/>
      <c r="G2366" s="16"/>
      <c r="H2366" s="16"/>
    </row>
    <row r="2367" spans="1:8" x14ac:dyDescent="0.3">
      <c r="A2367" t="s">
        <v>717</v>
      </c>
      <c r="B2367" s="3">
        <f t="shared" si="32"/>
        <v>43952</v>
      </c>
      <c r="C2367" s="2" t="str">
        <f>VLOOKUP(MONTH(Tabela1[[#This Row],[Periodo]]),NUMMESES,2,FALSE)</f>
        <v>Maio</v>
      </c>
      <c r="D2367" s="2">
        <f>YEAR(Tabela1[[#This Row],[Periodo]])</f>
        <v>2020</v>
      </c>
      <c r="E2367" s="16">
        <f>(INDEX(TBBP[],MATCH("1.1.1.6",planoContas,0)+1,MATCH(Tabela1[[#This Row],[Periodo]],listaPeriodos,0)))</f>
        <v>10949630.15</v>
      </c>
      <c r="F2367" s="16"/>
      <c r="G2367" s="16"/>
      <c r="H2367" s="16"/>
    </row>
    <row r="2368" spans="1:8" x14ac:dyDescent="0.3">
      <c r="A2368" t="s">
        <v>717</v>
      </c>
      <c r="B2368" s="3">
        <f t="shared" si="32"/>
        <v>43983</v>
      </c>
      <c r="C2368" s="2" t="str">
        <f>VLOOKUP(MONTH(Tabela1[[#This Row],[Periodo]]),NUMMESES,2,FALSE)</f>
        <v>Junho</v>
      </c>
      <c r="D2368" s="2">
        <f>YEAR(Tabela1[[#This Row],[Periodo]])</f>
        <v>2020</v>
      </c>
      <c r="E2368" s="16">
        <f>(INDEX(TBBP[],MATCH("1.1.1.6",planoContas,0)+1,MATCH(Tabela1[[#This Row],[Periodo]],listaPeriodos,0)))</f>
        <v>9742907.4000000004</v>
      </c>
      <c r="F2368" s="16"/>
      <c r="G2368" s="16"/>
      <c r="H2368" s="16"/>
    </row>
    <row r="2369" spans="1:8" x14ac:dyDescent="0.3">
      <c r="A2369" t="s">
        <v>717</v>
      </c>
      <c r="B2369" s="3">
        <f t="shared" si="32"/>
        <v>44013</v>
      </c>
      <c r="C2369" s="2" t="str">
        <f>VLOOKUP(MONTH(Tabela1[[#This Row],[Periodo]]),NUMMESES,2,FALSE)</f>
        <v>Julho</v>
      </c>
      <c r="D2369" s="2">
        <f>YEAR(Tabela1[[#This Row],[Periodo]])</f>
        <v>2020</v>
      </c>
      <c r="E2369" s="16">
        <f>(INDEX(TBBP[],MATCH("1.1.1.6",planoContas,0)+1,MATCH(Tabela1[[#This Row],[Periodo]],listaPeriodos,0)))</f>
        <v>9615593.7200000007</v>
      </c>
      <c r="F2369" s="16"/>
      <c r="G2369" s="16"/>
      <c r="H2369" s="16"/>
    </row>
    <row r="2370" spans="1:8" x14ac:dyDescent="0.3">
      <c r="A2370" t="s">
        <v>717</v>
      </c>
      <c r="B2370" s="3">
        <f t="shared" si="32"/>
        <v>44044</v>
      </c>
      <c r="C2370" s="2" t="str">
        <f>VLOOKUP(MONTH(Tabela1[[#This Row],[Periodo]]),NUMMESES,2,FALSE)</f>
        <v>Agosto</v>
      </c>
      <c r="D2370" s="2">
        <f>YEAR(Tabela1[[#This Row],[Periodo]])</f>
        <v>2020</v>
      </c>
      <c r="E2370" s="16">
        <f>(INDEX(TBBP[],MATCH("1.1.1.6",planoContas,0)+1,MATCH(Tabela1[[#This Row],[Periodo]],listaPeriodos,0)))</f>
        <v>8887998.7300000004</v>
      </c>
      <c r="F2370" s="16"/>
      <c r="G2370" s="16"/>
      <c r="H2370" s="16"/>
    </row>
    <row r="2371" spans="1:8" x14ac:dyDescent="0.3">
      <c r="A2371" t="s">
        <v>717</v>
      </c>
      <c r="B2371" s="3">
        <f t="shared" si="32"/>
        <v>44075</v>
      </c>
      <c r="C2371" s="2" t="str">
        <f>VLOOKUP(MONTH(Tabela1[[#This Row],[Periodo]]),NUMMESES,2,FALSE)</f>
        <v>Setembro</v>
      </c>
      <c r="D2371" s="2">
        <f>YEAR(Tabela1[[#This Row],[Periodo]])</f>
        <v>2020</v>
      </c>
      <c r="E2371" s="16">
        <f>(INDEX(TBBP[],MATCH("1.1.1.6",planoContas,0)+1,MATCH(Tabela1[[#This Row],[Periodo]],listaPeriodos,0)))</f>
        <v>9174807.0899999999</v>
      </c>
      <c r="F2371" s="16"/>
      <c r="G2371" s="16"/>
      <c r="H2371" s="16"/>
    </row>
    <row r="2372" spans="1:8" x14ac:dyDescent="0.3">
      <c r="A2372" t="s">
        <v>717</v>
      </c>
      <c r="B2372" s="3">
        <f t="shared" si="32"/>
        <v>44105</v>
      </c>
      <c r="C2372" s="2" t="str">
        <f>VLOOKUP(MONTH(Tabela1[[#This Row],[Periodo]]),NUMMESES,2,FALSE)</f>
        <v>Outubro</v>
      </c>
      <c r="D2372" s="2">
        <f>YEAR(Tabela1[[#This Row],[Periodo]])</f>
        <v>2020</v>
      </c>
      <c r="E2372" s="16">
        <f>(INDEX(TBBP[],MATCH("1.1.1.6",planoContas,0)+1,MATCH(Tabela1[[#This Row],[Periodo]],listaPeriodos,0)))</f>
        <v>9436448.5600000005</v>
      </c>
      <c r="F2372" s="16"/>
      <c r="G2372" s="16"/>
      <c r="H2372" s="16"/>
    </row>
    <row r="2373" spans="1:8" x14ac:dyDescent="0.3">
      <c r="A2373" t="s">
        <v>717</v>
      </c>
      <c r="B2373" s="3">
        <f t="shared" si="32"/>
        <v>44136</v>
      </c>
      <c r="C2373" s="2" t="str">
        <f>VLOOKUP(MONTH(Tabela1[[#This Row],[Periodo]]),NUMMESES,2,FALSE)</f>
        <v>Novembro</v>
      </c>
      <c r="D2373" s="2">
        <f>YEAR(Tabela1[[#This Row],[Periodo]])</f>
        <v>2020</v>
      </c>
      <c r="E2373" s="16">
        <f>(INDEX(TBBP[],MATCH("1.1.1.6",planoContas,0)+1,MATCH(Tabela1[[#This Row],[Periodo]],listaPeriodos,0)))</f>
        <v>10280625.1</v>
      </c>
      <c r="F2373" s="16"/>
      <c r="G2373" s="16"/>
      <c r="H2373" s="16"/>
    </row>
    <row r="2374" spans="1:8" x14ac:dyDescent="0.3">
      <c r="A2374" t="s">
        <v>717</v>
      </c>
      <c r="B2374" s="3">
        <f t="shared" si="32"/>
        <v>44166</v>
      </c>
      <c r="C2374" s="2" t="str">
        <f>VLOOKUP(MONTH(Tabela1[[#This Row],[Periodo]]),NUMMESES,2,FALSE)</f>
        <v>Dezembro</v>
      </c>
      <c r="D2374" s="2">
        <f>YEAR(Tabela1[[#This Row],[Periodo]])</f>
        <v>2020</v>
      </c>
      <c r="E2374" s="16">
        <f>(INDEX(TBBP[],MATCH("1.1.1.6",planoContas,0)+1,MATCH(Tabela1[[#This Row],[Periodo]],listaPeriodos,0)))</f>
        <v>9911262.5399999991</v>
      </c>
      <c r="F2374" s="16"/>
      <c r="G2374" s="16"/>
      <c r="H2374" s="16"/>
    </row>
    <row r="2375" spans="1:8" x14ac:dyDescent="0.3">
      <c r="A2375" t="s">
        <v>717</v>
      </c>
      <c r="B2375" s="3">
        <f t="shared" si="32"/>
        <v>44197</v>
      </c>
      <c r="C2375" s="2" t="str">
        <f>VLOOKUP(MONTH(Tabela1[[#This Row],[Periodo]]),NUMMESES,2,FALSE)</f>
        <v>Janeiro</v>
      </c>
      <c r="D2375" s="2">
        <f>YEAR(Tabela1[[#This Row],[Periodo]])</f>
        <v>2021</v>
      </c>
      <c r="E2375" s="16">
        <f>(INDEX(TBBP[],MATCH("1.1.1.6",planoContas,0)+1,MATCH(Tabela1[[#This Row],[Periodo]],listaPeriodos,0)))</f>
        <v>11621824.4</v>
      </c>
      <c r="F2375" s="16"/>
      <c r="G2375" s="16"/>
      <c r="H2375" s="16"/>
    </row>
    <row r="2376" spans="1:8" x14ac:dyDescent="0.3">
      <c r="A2376" t="s">
        <v>717</v>
      </c>
      <c r="B2376" s="3">
        <f t="shared" si="32"/>
        <v>44228</v>
      </c>
      <c r="C2376" s="2" t="str">
        <f>VLOOKUP(MONTH(Tabela1[[#This Row],[Periodo]]),NUMMESES,2,FALSE)</f>
        <v>Fevereiro</v>
      </c>
      <c r="D2376" s="2">
        <f>YEAR(Tabela1[[#This Row],[Periodo]])</f>
        <v>2021</v>
      </c>
      <c r="E2376" s="16">
        <f>(INDEX(TBBP[],MATCH("1.1.1.6",planoContas,0)+1,MATCH(Tabela1[[#This Row],[Periodo]],listaPeriodos,0)))</f>
        <v>13001211.98</v>
      </c>
      <c r="F2376" s="16"/>
      <c r="G2376" s="16"/>
      <c r="H2376" s="16"/>
    </row>
    <row r="2377" spans="1:8" x14ac:dyDescent="0.3">
      <c r="A2377" t="s">
        <v>717</v>
      </c>
      <c r="B2377" s="3">
        <f t="shared" si="32"/>
        <v>44256</v>
      </c>
      <c r="C2377" s="2" t="str">
        <f>VLOOKUP(MONTH(Tabela1[[#This Row],[Periodo]]),NUMMESES,2,FALSE)</f>
        <v>Março</v>
      </c>
      <c r="D2377" s="2">
        <f>YEAR(Tabela1[[#This Row],[Periodo]])</f>
        <v>2021</v>
      </c>
      <c r="E2377" s="16">
        <f>(INDEX(TBBP[],MATCH("1.1.1.6",planoContas,0)+1,MATCH(Tabela1[[#This Row],[Periodo]],listaPeriodos,0)))</f>
        <v>13634107.82</v>
      </c>
      <c r="F2377" s="16"/>
      <c r="G2377" s="16"/>
      <c r="H2377" s="16"/>
    </row>
    <row r="2378" spans="1:8" x14ac:dyDescent="0.3">
      <c r="A2378" t="s">
        <v>717</v>
      </c>
      <c r="B2378" s="3">
        <f t="shared" ref="B2378:B2435" si="33">DATE(YEAR(B2377),MONTH(B2377)+1,DAY(B2377))</f>
        <v>44287</v>
      </c>
      <c r="C2378" s="2" t="str">
        <f>VLOOKUP(MONTH(Tabela1[[#This Row],[Periodo]]),NUMMESES,2,FALSE)</f>
        <v>Abril</v>
      </c>
      <c r="D2378" s="2">
        <f>YEAR(Tabela1[[#This Row],[Periodo]])</f>
        <v>2021</v>
      </c>
      <c r="E2378" s="16">
        <f>(INDEX(TBBP[],MATCH("1.1.1.6",planoContas,0)+1,MATCH(Tabela1[[#This Row],[Periodo]],listaPeriodos,0)))</f>
        <v>15781065.609999999</v>
      </c>
      <c r="F2378" s="16"/>
      <c r="G2378" s="16"/>
      <c r="H2378" s="16"/>
    </row>
    <row r="2379" spans="1:8" x14ac:dyDescent="0.3">
      <c r="A2379" t="s">
        <v>717</v>
      </c>
      <c r="B2379" s="3">
        <f t="shared" si="33"/>
        <v>44317</v>
      </c>
      <c r="C2379" s="2" t="str">
        <f>VLOOKUP(MONTH(Tabela1[[#This Row],[Periodo]]),NUMMESES,2,FALSE)</f>
        <v>Maio</v>
      </c>
      <c r="D2379" s="2">
        <f>YEAR(Tabela1[[#This Row],[Periodo]])</f>
        <v>2021</v>
      </c>
      <c r="E2379" s="16">
        <f>(INDEX(TBBP[],MATCH("1.1.1.6",planoContas,0)+1,MATCH(Tabela1[[#This Row],[Periodo]],listaPeriodos,0)))</f>
        <v>14699793.75</v>
      </c>
      <c r="F2379" s="16"/>
      <c r="G2379" s="16"/>
      <c r="H2379" s="16"/>
    </row>
    <row r="2380" spans="1:8" x14ac:dyDescent="0.3">
      <c r="A2380" t="s">
        <v>717</v>
      </c>
      <c r="B2380" s="3">
        <f t="shared" si="33"/>
        <v>44348</v>
      </c>
      <c r="C2380" s="2" t="str">
        <f>VLOOKUP(MONTH(Tabela1[[#This Row],[Periodo]]),NUMMESES,2,FALSE)</f>
        <v>Junho</v>
      </c>
      <c r="D2380" s="2">
        <f>YEAR(Tabela1[[#This Row],[Periodo]])</f>
        <v>2021</v>
      </c>
      <c r="E2380" s="16">
        <f>(INDEX(TBBP[],MATCH("1.1.1.6",planoContas,0)+1,MATCH(Tabela1[[#This Row],[Periodo]],listaPeriodos,0)))</f>
        <v>14721883</v>
      </c>
      <c r="F2380" s="16"/>
      <c r="G2380" s="16"/>
      <c r="H2380" s="16"/>
    </row>
    <row r="2381" spans="1:8" x14ac:dyDescent="0.3">
      <c r="A2381" t="s">
        <v>717</v>
      </c>
      <c r="B2381" s="3">
        <f t="shared" si="33"/>
        <v>44378</v>
      </c>
      <c r="C2381" s="2" t="str">
        <f>VLOOKUP(MONTH(Tabela1[[#This Row],[Periodo]]),NUMMESES,2,FALSE)</f>
        <v>Julho</v>
      </c>
      <c r="D2381" s="2">
        <f>YEAR(Tabela1[[#This Row],[Periodo]])</f>
        <v>2021</v>
      </c>
      <c r="E2381" s="16">
        <f>(INDEX(TBBP[],MATCH("1.1.1.6",planoContas,0)+1,MATCH(Tabela1[[#This Row],[Periodo]],listaPeriodos,0)))</f>
        <v>14576105.07</v>
      </c>
      <c r="F2381" s="16"/>
      <c r="G2381" s="16"/>
      <c r="H2381" s="16"/>
    </row>
    <row r="2382" spans="1:8" x14ac:dyDescent="0.3">
      <c r="A2382" t="s">
        <v>717</v>
      </c>
      <c r="B2382" s="3">
        <f t="shared" si="33"/>
        <v>44409</v>
      </c>
      <c r="C2382" s="2" t="str">
        <f>VLOOKUP(MONTH(Tabela1[[#This Row],[Periodo]]),NUMMESES,2,FALSE)</f>
        <v>Agosto</v>
      </c>
      <c r="D2382" s="2">
        <f>YEAR(Tabela1[[#This Row],[Periodo]])</f>
        <v>2021</v>
      </c>
      <c r="E2382" s="16">
        <f>(INDEX(TBBP[],MATCH("1.1.1.6",planoContas,0)+1,MATCH(Tabela1[[#This Row],[Periodo]],listaPeriodos,0)))</f>
        <v>15801219.380000001</v>
      </c>
      <c r="F2382" s="16"/>
      <c r="G2382" s="16"/>
      <c r="H2382" s="16"/>
    </row>
    <row r="2383" spans="1:8" x14ac:dyDescent="0.3">
      <c r="A2383" t="s">
        <v>717</v>
      </c>
      <c r="B2383" s="3">
        <f t="shared" si="33"/>
        <v>44440</v>
      </c>
      <c r="C2383" s="2" t="str">
        <f>VLOOKUP(MONTH(Tabela1[[#This Row],[Periodo]]),NUMMESES,2,FALSE)</f>
        <v>Setembro</v>
      </c>
      <c r="D2383" s="2">
        <f>YEAR(Tabela1[[#This Row],[Periodo]])</f>
        <v>2021</v>
      </c>
      <c r="E2383" s="16">
        <f>(INDEX(TBBP[],MATCH("1.1.1.6",planoContas,0)+1,MATCH(Tabela1[[#This Row],[Periodo]],listaPeriodos,0)))</f>
        <v>17739128.600000001</v>
      </c>
      <c r="F2383" s="16"/>
      <c r="G2383" s="16"/>
      <c r="H2383" s="16"/>
    </row>
    <row r="2384" spans="1:8" x14ac:dyDescent="0.3">
      <c r="A2384" t="s">
        <v>717</v>
      </c>
      <c r="B2384" s="3">
        <f t="shared" si="33"/>
        <v>44470</v>
      </c>
      <c r="C2384" s="2" t="str">
        <f>VLOOKUP(MONTH(Tabela1[[#This Row],[Periodo]]),NUMMESES,2,FALSE)</f>
        <v>Outubro</v>
      </c>
      <c r="D2384" s="2">
        <f>YEAR(Tabela1[[#This Row],[Periodo]])</f>
        <v>2021</v>
      </c>
      <c r="E2384" s="16">
        <f>(INDEX(TBBP[],MATCH("1.1.1.6",planoContas,0)+1,MATCH(Tabela1[[#This Row],[Periodo]],listaPeriodos,0)))</f>
        <v>18554583.440000001</v>
      </c>
      <c r="F2384" s="16"/>
      <c r="G2384" s="16"/>
      <c r="H2384" s="16"/>
    </row>
    <row r="2385" spans="1:8" x14ac:dyDescent="0.3">
      <c r="A2385" t="s">
        <v>717</v>
      </c>
      <c r="B2385" s="3">
        <f t="shared" si="33"/>
        <v>44501</v>
      </c>
      <c r="C2385" s="2" t="str">
        <f>VLOOKUP(MONTH(Tabela1[[#This Row],[Periodo]]),NUMMESES,2,FALSE)</f>
        <v>Novembro</v>
      </c>
      <c r="D2385" s="2">
        <f>YEAR(Tabela1[[#This Row],[Periodo]])</f>
        <v>2021</v>
      </c>
      <c r="E2385" s="16">
        <f>(INDEX(TBBP[],MATCH("1.1.1.6",planoContas,0)+1,MATCH(Tabela1[[#This Row],[Periodo]],listaPeriodos,0)))</f>
        <v>18491964.34</v>
      </c>
      <c r="F2385" s="16"/>
      <c r="G2385" s="16"/>
      <c r="H2385" s="16"/>
    </row>
    <row r="2386" spans="1:8" x14ac:dyDescent="0.3">
      <c r="A2386" t="s">
        <v>717</v>
      </c>
      <c r="B2386" s="3">
        <f t="shared" si="33"/>
        <v>44531</v>
      </c>
      <c r="C2386" s="2" t="str">
        <f>VLOOKUP(MONTH(Tabela1[[#This Row],[Periodo]]),NUMMESES,2,FALSE)</f>
        <v>Dezembro</v>
      </c>
      <c r="D2386" s="2">
        <f>YEAR(Tabela1[[#This Row],[Periodo]])</f>
        <v>2021</v>
      </c>
      <c r="E2386" s="16">
        <f>(INDEX(TBBP[],MATCH("1.1.1.6",planoContas,0)+1,MATCH(Tabela1[[#This Row],[Periodo]],listaPeriodos,0)))</f>
        <v>18291401.879999999</v>
      </c>
      <c r="F2386" s="16"/>
      <c r="G2386" s="16"/>
      <c r="H2386" s="16"/>
    </row>
    <row r="2387" spans="1:8" x14ac:dyDescent="0.3">
      <c r="A2387" t="s">
        <v>717</v>
      </c>
      <c r="B2387" s="3">
        <f t="shared" si="33"/>
        <v>44562</v>
      </c>
      <c r="C2387" s="2" t="str">
        <f>VLOOKUP(MONTH(Tabela1[[#This Row],[Periodo]]),NUMMESES,2,FALSE)</f>
        <v>Janeiro</v>
      </c>
      <c r="D2387" s="2">
        <f>YEAR(Tabela1[[#This Row],[Periodo]])</f>
        <v>2022</v>
      </c>
      <c r="E2387" s="16">
        <f>(INDEX(TBBP[],MATCH("1.1.1.6",planoContas,0)+1,MATCH(Tabela1[[#This Row],[Periodo]],listaPeriodos,0)))</f>
        <v>18409369.079999998</v>
      </c>
      <c r="F2387" s="16"/>
      <c r="G2387" s="16"/>
      <c r="H2387" s="16"/>
    </row>
    <row r="2388" spans="1:8" x14ac:dyDescent="0.3">
      <c r="A2388" t="s">
        <v>717</v>
      </c>
      <c r="B2388" s="3">
        <f t="shared" si="33"/>
        <v>44593</v>
      </c>
      <c r="C2388" s="2" t="str">
        <f>VLOOKUP(MONTH(Tabela1[[#This Row],[Periodo]]),NUMMESES,2,FALSE)</f>
        <v>Fevereiro</v>
      </c>
      <c r="D2388" s="2">
        <f>YEAR(Tabela1[[#This Row],[Periodo]])</f>
        <v>2022</v>
      </c>
      <c r="E2388" s="16">
        <f>(INDEX(TBBP[],MATCH("1.1.1.6",planoContas,0)+1,MATCH(Tabela1[[#This Row],[Periodo]],listaPeriodos,0)))</f>
        <v>18994492.07</v>
      </c>
      <c r="F2388" s="16"/>
      <c r="G2388" s="16"/>
      <c r="H2388" s="16"/>
    </row>
    <row r="2389" spans="1:8" x14ac:dyDescent="0.3">
      <c r="A2389" t="s">
        <v>717</v>
      </c>
      <c r="B2389" s="3">
        <f t="shared" si="33"/>
        <v>44621</v>
      </c>
      <c r="C2389" s="2" t="str">
        <f>VLOOKUP(MONTH(Tabela1[[#This Row],[Periodo]]),NUMMESES,2,FALSE)</f>
        <v>Março</v>
      </c>
      <c r="D2389" s="2">
        <f>YEAR(Tabela1[[#This Row],[Periodo]])</f>
        <v>2022</v>
      </c>
      <c r="E2389" s="16">
        <f>(INDEX(TBBP[],MATCH("1.1.1.6",planoContas,0)+1,MATCH(Tabela1[[#This Row],[Periodo]],listaPeriodos,0)))</f>
        <v>18332996.879999999</v>
      </c>
      <c r="F2389" s="16"/>
      <c r="G2389" s="16"/>
      <c r="H2389" s="16"/>
    </row>
    <row r="2390" spans="1:8" x14ac:dyDescent="0.3">
      <c r="A2390" t="s">
        <v>717</v>
      </c>
      <c r="B2390" s="3">
        <f t="shared" si="33"/>
        <v>44652</v>
      </c>
      <c r="C2390" s="2" t="str">
        <f>VLOOKUP(MONTH(Tabela1[[#This Row],[Periodo]]),NUMMESES,2,FALSE)</f>
        <v>Abril</v>
      </c>
      <c r="D2390" s="2">
        <f>YEAR(Tabela1[[#This Row],[Periodo]])</f>
        <v>2022</v>
      </c>
      <c r="E2390" s="16">
        <f>(INDEX(TBBP[],MATCH("1.1.1.6",planoContas,0)+1,MATCH(Tabela1[[#This Row],[Periodo]],listaPeriodos,0)))</f>
        <v>17905140.609999999</v>
      </c>
      <c r="F2390" s="16"/>
      <c r="G2390" s="16"/>
      <c r="H2390" s="16"/>
    </row>
    <row r="2391" spans="1:8" x14ac:dyDescent="0.3">
      <c r="A2391" t="s">
        <v>717</v>
      </c>
      <c r="B2391" s="3">
        <f t="shared" si="33"/>
        <v>44682</v>
      </c>
      <c r="C2391" s="2" t="str">
        <f>VLOOKUP(MONTH(Tabela1[[#This Row],[Periodo]]),NUMMESES,2,FALSE)</f>
        <v>Maio</v>
      </c>
      <c r="D2391" s="2">
        <f>YEAR(Tabela1[[#This Row],[Periodo]])</f>
        <v>2022</v>
      </c>
      <c r="E2391" s="16">
        <f>(INDEX(TBBP[],MATCH("1.1.1.6",planoContas,0)+1,MATCH(Tabela1[[#This Row],[Periodo]],listaPeriodos,0)))</f>
        <v>17285432.850000001</v>
      </c>
      <c r="F2391" s="16"/>
      <c r="G2391" s="16"/>
      <c r="H2391" s="16"/>
    </row>
    <row r="2392" spans="1:8" x14ac:dyDescent="0.3">
      <c r="A2392" t="s">
        <v>717</v>
      </c>
      <c r="B2392" s="3">
        <f t="shared" si="33"/>
        <v>44713</v>
      </c>
      <c r="C2392" s="2" t="str">
        <f>VLOOKUP(MONTH(Tabela1[[#This Row],[Periodo]]),NUMMESES,2,FALSE)</f>
        <v>Junho</v>
      </c>
      <c r="D2392" s="2">
        <f>YEAR(Tabela1[[#This Row],[Periodo]])</f>
        <v>2022</v>
      </c>
      <c r="E2392" s="16">
        <f>(INDEX(TBBP[],MATCH("1.1.1.6",planoContas,0)+1,MATCH(Tabela1[[#This Row],[Periodo]],listaPeriodos,0)))</f>
        <v>18254885.530000001</v>
      </c>
      <c r="F2392" s="16"/>
      <c r="G2392" s="16"/>
      <c r="H2392" s="16"/>
    </row>
    <row r="2393" spans="1:8" x14ac:dyDescent="0.3">
      <c r="A2393" t="s">
        <v>717</v>
      </c>
      <c r="B2393" s="3">
        <f t="shared" si="33"/>
        <v>44743</v>
      </c>
      <c r="C2393" s="2" t="str">
        <f>VLOOKUP(MONTH(Tabela1[[#This Row],[Periodo]]),NUMMESES,2,FALSE)</f>
        <v>Julho</v>
      </c>
      <c r="D2393" s="2">
        <f>YEAR(Tabela1[[#This Row],[Periodo]])</f>
        <v>2022</v>
      </c>
      <c r="E2393" s="16">
        <f>(INDEX(TBBP[],MATCH("1.1.1.6",planoContas,0)+1,MATCH(Tabela1[[#This Row],[Periodo]],listaPeriodos,0)))</f>
        <v>19533008.609999999</v>
      </c>
      <c r="F2393" s="16"/>
      <c r="G2393" s="16"/>
      <c r="H2393" s="16"/>
    </row>
    <row r="2394" spans="1:8" x14ac:dyDescent="0.3">
      <c r="A2394" t="s">
        <v>717</v>
      </c>
      <c r="B2394" s="3">
        <f t="shared" si="33"/>
        <v>44774</v>
      </c>
      <c r="C2394" s="2" t="str">
        <f>VLOOKUP(MONTH(Tabela1[[#This Row],[Periodo]]),NUMMESES,2,FALSE)</f>
        <v>Agosto</v>
      </c>
      <c r="D2394" s="2">
        <f>YEAR(Tabela1[[#This Row],[Periodo]])</f>
        <v>2022</v>
      </c>
      <c r="E2394" s="16">
        <f>(INDEX(TBBP[],MATCH("1.1.1.6",planoContas,0)+1,MATCH(Tabela1[[#This Row],[Periodo]],listaPeriodos,0)))</f>
        <v>20543942.18</v>
      </c>
      <c r="F2394" s="16"/>
      <c r="G2394" s="16"/>
      <c r="H2394" s="16"/>
    </row>
    <row r="2395" spans="1:8" x14ac:dyDescent="0.3">
      <c r="A2395" t="s">
        <v>717</v>
      </c>
      <c r="B2395" s="3">
        <f t="shared" si="33"/>
        <v>44805</v>
      </c>
      <c r="C2395" s="2" t="str">
        <f>VLOOKUP(MONTH(Tabela1[[#This Row],[Periodo]]),NUMMESES,2,FALSE)</f>
        <v>Setembro</v>
      </c>
      <c r="D2395" s="2">
        <f>YEAR(Tabela1[[#This Row],[Periodo]])</f>
        <v>2022</v>
      </c>
      <c r="E2395" s="16">
        <f>(INDEX(TBBP[],MATCH("1.1.1.6",planoContas,0)+1,MATCH(Tabela1[[#This Row],[Periodo]],listaPeriodos,0)))</f>
        <v>21894545.670000002</v>
      </c>
      <c r="F2395" s="16"/>
      <c r="G2395" s="16"/>
      <c r="H2395" s="16"/>
    </row>
    <row r="2396" spans="1:8" x14ac:dyDescent="0.3">
      <c r="A2396" t="s">
        <v>717</v>
      </c>
      <c r="B2396" s="3">
        <f t="shared" si="33"/>
        <v>44835</v>
      </c>
      <c r="C2396" s="2" t="str">
        <f>VLOOKUP(MONTH(Tabela1[[#This Row],[Periodo]]),NUMMESES,2,FALSE)</f>
        <v>Outubro</v>
      </c>
      <c r="D2396" s="2">
        <f>YEAR(Tabela1[[#This Row],[Periodo]])</f>
        <v>2022</v>
      </c>
      <c r="E2396" s="16">
        <f>(INDEX(TBBP[],MATCH("1.1.1.6",planoContas,0)+1,MATCH(Tabela1[[#This Row],[Periodo]],listaPeriodos,0)))</f>
        <v>22278566.149999999</v>
      </c>
      <c r="F2396" s="16"/>
      <c r="G2396" s="16"/>
      <c r="H2396" s="16"/>
    </row>
    <row r="2397" spans="1:8" x14ac:dyDescent="0.3">
      <c r="A2397" t="s">
        <v>717</v>
      </c>
      <c r="B2397" s="3">
        <f t="shared" si="33"/>
        <v>44866</v>
      </c>
      <c r="C2397" s="2" t="str">
        <f>VLOOKUP(MONTH(Tabela1[[#This Row],[Periodo]]),NUMMESES,2,FALSE)</f>
        <v>Novembro</v>
      </c>
      <c r="D2397" s="2">
        <f>YEAR(Tabela1[[#This Row],[Periodo]])</f>
        <v>2022</v>
      </c>
      <c r="E2397" s="16">
        <f>(INDEX(TBBP[],MATCH("1.1.1.6",planoContas,0)+1,MATCH(Tabela1[[#This Row],[Periodo]],listaPeriodos,0)))</f>
        <v>22025418.550000001</v>
      </c>
      <c r="F2397" s="16"/>
      <c r="G2397" s="16"/>
      <c r="H2397" s="16"/>
    </row>
    <row r="2398" spans="1:8" x14ac:dyDescent="0.3">
      <c r="A2398" t="s">
        <v>717</v>
      </c>
      <c r="B2398" s="3">
        <f t="shared" si="33"/>
        <v>44896</v>
      </c>
      <c r="C2398" s="2" t="str">
        <f>VLOOKUP(MONTH(Tabela1[[#This Row],[Periodo]]),NUMMESES,2,FALSE)</f>
        <v>Dezembro</v>
      </c>
      <c r="D2398" s="2">
        <f>YEAR(Tabela1[[#This Row],[Periodo]])</f>
        <v>2022</v>
      </c>
      <c r="E2398" s="16">
        <f>(INDEX(TBBP[],MATCH("1.1.1.6",planoContas,0)+1,MATCH(Tabela1[[#This Row],[Periodo]],listaPeriodos,0)))</f>
        <v>22997369.18</v>
      </c>
      <c r="F2398" s="16"/>
      <c r="G2398" s="16"/>
      <c r="H2398" s="16"/>
    </row>
    <row r="2399" spans="1:8" x14ac:dyDescent="0.3">
      <c r="A2399" t="s">
        <v>717</v>
      </c>
      <c r="B2399" s="3">
        <f t="shared" si="33"/>
        <v>44927</v>
      </c>
      <c r="C2399" s="2" t="str">
        <f>VLOOKUP(MONTH(Tabela1[[#This Row],[Periodo]]),NUMMESES,2,FALSE)</f>
        <v>Janeiro</v>
      </c>
      <c r="D2399" s="2">
        <f>YEAR(Tabela1[[#This Row],[Periodo]])</f>
        <v>2023</v>
      </c>
      <c r="E2399" s="16">
        <f>(INDEX(TBBP[],MATCH("1.1.1.6",planoContas,0)+1,MATCH(Tabela1[[#This Row],[Periodo]],listaPeriodos,0)))</f>
        <v>22886998.16</v>
      </c>
      <c r="F2399" s="16"/>
      <c r="G2399" s="16"/>
      <c r="H2399" s="16"/>
    </row>
    <row r="2400" spans="1:8" x14ac:dyDescent="0.3">
      <c r="A2400" t="s">
        <v>717</v>
      </c>
      <c r="B2400" s="3">
        <f t="shared" si="33"/>
        <v>44958</v>
      </c>
      <c r="C2400" s="2" t="str">
        <f>VLOOKUP(MONTH(Tabela1[[#This Row],[Periodo]]),NUMMESES,2,FALSE)</f>
        <v>Fevereiro</v>
      </c>
      <c r="D2400" s="2">
        <f>YEAR(Tabela1[[#This Row],[Periodo]])</f>
        <v>2023</v>
      </c>
      <c r="E2400" s="16">
        <f>(INDEX(TBBP[],MATCH("1.1.1.6",planoContas,0)+1,MATCH(Tabela1[[#This Row],[Periodo]],listaPeriodos,0)))</f>
        <v>22837277.98</v>
      </c>
      <c r="F2400" s="16"/>
      <c r="G2400" s="16"/>
      <c r="H2400" s="16"/>
    </row>
    <row r="2401" spans="1:8" x14ac:dyDescent="0.3">
      <c r="A2401" t="s">
        <v>717</v>
      </c>
      <c r="B2401" s="3">
        <f t="shared" si="33"/>
        <v>44986</v>
      </c>
      <c r="C2401" s="2" t="str">
        <f>VLOOKUP(MONTH(Tabela1[[#This Row],[Periodo]]),NUMMESES,2,FALSE)</f>
        <v>Março</v>
      </c>
      <c r="D2401" s="2">
        <f>YEAR(Tabela1[[#This Row],[Periodo]])</f>
        <v>2023</v>
      </c>
      <c r="E2401" s="16">
        <f>(INDEX(TBBP[],MATCH("1.1.1.6",planoContas,0)+1,MATCH(Tabela1[[#This Row],[Periodo]],listaPeriodos,0)))</f>
        <v>24261870.949999999</v>
      </c>
      <c r="F2401" s="16"/>
      <c r="G2401" s="16"/>
      <c r="H2401" s="16"/>
    </row>
    <row r="2402" spans="1:8" x14ac:dyDescent="0.3">
      <c r="A2402" t="s">
        <v>717</v>
      </c>
      <c r="B2402" s="3">
        <f t="shared" si="33"/>
        <v>45017</v>
      </c>
      <c r="C2402" s="2" t="str">
        <f>VLOOKUP(MONTH(Tabela1[[#This Row],[Periodo]]),NUMMESES,2,FALSE)</f>
        <v>Abril</v>
      </c>
      <c r="D2402" s="2">
        <f>YEAR(Tabela1[[#This Row],[Periodo]])</f>
        <v>2023</v>
      </c>
      <c r="E2402" s="16">
        <f>(INDEX(TBBP[],MATCH("1.1.1.6",planoContas,0)+1,MATCH(Tabela1[[#This Row],[Periodo]],listaPeriodos,0)))</f>
        <v>23475597.420000002</v>
      </c>
      <c r="F2402" s="16"/>
      <c r="G2402" s="16"/>
      <c r="H2402" s="16"/>
    </row>
    <row r="2403" spans="1:8" x14ac:dyDescent="0.3">
      <c r="A2403" t="s">
        <v>717</v>
      </c>
      <c r="B2403" s="3">
        <f t="shared" si="33"/>
        <v>45047</v>
      </c>
      <c r="C2403" s="2" t="str">
        <f>VLOOKUP(MONTH(Tabela1[[#This Row],[Periodo]]),NUMMESES,2,FALSE)</f>
        <v>Maio</v>
      </c>
      <c r="D2403" s="2">
        <f>YEAR(Tabela1[[#This Row],[Periodo]])</f>
        <v>2023</v>
      </c>
      <c r="E2403" s="16">
        <f>(INDEX(TBBP[],MATCH("1.1.1.6",planoContas,0)+1,MATCH(Tabela1[[#This Row],[Periodo]],listaPeriodos,0)))</f>
        <v>23509849.280000001</v>
      </c>
      <c r="F2403" s="16"/>
      <c r="G2403" s="16"/>
      <c r="H2403" s="16"/>
    </row>
    <row r="2404" spans="1:8" x14ac:dyDescent="0.3">
      <c r="A2404" t="s">
        <v>717</v>
      </c>
      <c r="B2404" s="3">
        <f t="shared" si="33"/>
        <v>45078</v>
      </c>
      <c r="C2404" s="2" t="str">
        <f>VLOOKUP(MONTH(Tabela1[[#This Row],[Periodo]]),NUMMESES,2,FALSE)</f>
        <v>Junho</v>
      </c>
      <c r="D2404" s="2">
        <f>YEAR(Tabela1[[#This Row],[Periodo]])</f>
        <v>2023</v>
      </c>
      <c r="E2404" s="16">
        <f>(INDEX(TBBP[],MATCH("1.1.1.6",planoContas,0)+1,MATCH(Tabela1[[#This Row],[Periodo]],listaPeriodos,0)))</f>
        <v>22842595.829999998</v>
      </c>
      <c r="F2404" s="16"/>
      <c r="G2404" s="16"/>
      <c r="H2404" s="16"/>
    </row>
    <row r="2405" spans="1:8" x14ac:dyDescent="0.3">
      <c r="A2405" t="s">
        <v>717</v>
      </c>
      <c r="B2405" s="3">
        <f t="shared" si="33"/>
        <v>45108</v>
      </c>
      <c r="C2405" s="2" t="str">
        <f>VLOOKUP(MONTH(Tabela1[[#This Row],[Periodo]]),NUMMESES,2,FALSE)</f>
        <v>Julho</v>
      </c>
      <c r="D2405" s="2">
        <f>YEAR(Tabela1[[#This Row],[Periodo]])</f>
        <v>2023</v>
      </c>
      <c r="E2405" s="16">
        <f>(INDEX(TBBP[],MATCH("1.1.1.6",planoContas,0)+1,MATCH(Tabela1[[#This Row],[Periodo]],listaPeriodos,0)))</f>
        <v>24746789.890000001</v>
      </c>
      <c r="F2405" s="16"/>
      <c r="G2405" s="16"/>
      <c r="H2405" s="16"/>
    </row>
    <row r="2406" spans="1:8" x14ac:dyDescent="0.3">
      <c r="A2406" t="s">
        <v>717</v>
      </c>
      <c r="B2406" s="3">
        <f t="shared" si="33"/>
        <v>45139</v>
      </c>
      <c r="C2406" s="2" t="str">
        <f>VLOOKUP(MONTH(Tabela1[[#This Row],[Periodo]]),NUMMESES,2,FALSE)</f>
        <v>Agosto</v>
      </c>
      <c r="D2406" s="2">
        <f>YEAR(Tabela1[[#This Row],[Periodo]])</f>
        <v>2023</v>
      </c>
      <c r="E2406" s="16">
        <f>(INDEX(TBBP[],MATCH("1.1.1.6",planoContas,0)+1,MATCH(Tabela1[[#This Row],[Periodo]],listaPeriodos,0)))</f>
        <v>23579720.16</v>
      </c>
      <c r="F2406" s="16"/>
      <c r="G2406" s="16"/>
      <c r="H2406" s="16"/>
    </row>
    <row r="2407" spans="1:8" x14ac:dyDescent="0.3">
      <c r="A2407" t="s">
        <v>717</v>
      </c>
      <c r="B2407" s="3">
        <f t="shared" si="33"/>
        <v>45170</v>
      </c>
      <c r="C2407" s="2" t="str">
        <f>VLOOKUP(MONTH(Tabela1[[#This Row],[Periodo]]),NUMMESES,2,FALSE)</f>
        <v>Setembro</v>
      </c>
      <c r="D2407" s="2">
        <f>YEAR(Tabela1[[#This Row],[Periodo]])</f>
        <v>2023</v>
      </c>
      <c r="E2407" s="16">
        <f>(INDEX(TBBP[],MATCH("1.1.1.6",planoContas,0)+1,MATCH(Tabela1[[#This Row],[Periodo]],listaPeriodos,0)))</f>
        <v>24817492.75</v>
      </c>
      <c r="F2407" s="16"/>
      <c r="G2407" s="16"/>
      <c r="H2407" s="16"/>
    </row>
    <row r="2408" spans="1:8" x14ac:dyDescent="0.3">
      <c r="A2408" t="s">
        <v>717</v>
      </c>
      <c r="B2408" s="3">
        <f t="shared" si="33"/>
        <v>45200</v>
      </c>
      <c r="C2408" s="2" t="str">
        <f>VLOOKUP(MONTH(Tabela1[[#This Row],[Periodo]]),NUMMESES,2,FALSE)</f>
        <v>Outubro</v>
      </c>
      <c r="D2408" s="2">
        <f>YEAR(Tabela1[[#This Row],[Periodo]])</f>
        <v>2023</v>
      </c>
      <c r="E2408" s="16">
        <f>(INDEX(TBBP[],MATCH("1.1.1.6",planoContas,0)+1,MATCH(Tabela1[[#This Row],[Periodo]],listaPeriodos,0)))</f>
        <v>24654821.489999998</v>
      </c>
      <c r="F2408" s="16"/>
      <c r="G2408" s="16"/>
      <c r="H2408" s="16"/>
    </row>
    <row r="2409" spans="1:8" x14ac:dyDescent="0.3">
      <c r="A2409" t="s">
        <v>717</v>
      </c>
      <c r="B2409" s="3">
        <f t="shared" si="33"/>
        <v>45231</v>
      </c>
      <c r="C2409" s="2" t="str">
        <f>VLOOKUP(MONTH(Tabela1[[#This Row],[Periodo]]),NUMMESES,2,FALSE)</f>
        <v>Novembro</v>
      </c>
      <c r="D2409" s="2">
        <f>YEAR(Tabela1[[#This Row],[Periodo]])</f>
        <v>2023</v>
      </c>
      <c r="E2409" s="16">
        <f>(INDEX(TBBP[],MATCH("1.1.1.6",planoContas,0)+1,MATCH(Tabela1[[#This Row],[Periodo]],listaPeriodos,0)))</f>
        <v>25539862.07</v>
      </c>
      <c r="F2409" s="16"/>
      <c r="G2409" s="16"/>
      <c r="H2409" s="16"/>
    </row>
    <row r="2410" spans="1:8" x14ac:dyDescent="0.3">
      <c r="A2410" t="s">
        <v>717</v>
      </c>
      <c r="B2410" s="3">
        <f t="shared" si="33"/>
        <v>45261</v>
      </c>
      <c r="C2410" s="2" t="str">
        <f>VLOOKUP(MONTH(Tabela1[[#This Row],[Periodo]]),NUMMESES,2,FALSE)</f>
        <v>Dezembro</v>
      </c>
      <c r="D2410" s="2">
        <f>YEAR(Tabela1[[#This Row],[Periodo]])</f>
        <v>2023</v>
      </c>
      <c r="E2410" s="16">
        <f>(INDEX(TBBP[],MATCH("1.1.1.6",planoContas,0)+1,MATCH(Tabela1[[#This Row],[Periodo]],listaPeriodos,0)))</f>
        <v>25926588.920000002</v>
      </c>
      <c r="F2410" s="16"/>
      <c r="G2410" s="16"/>
      <c r="H2410" s="16"/>
    </row>
    <row r="2411" spans="1:8" x14ac:dyDescent="0.3">
      <c r="A2411" t="s">
        <v>717</v>
      </c>
      <c r="B2411" s="3">
        <f t="shared" si="33"/>
        <v>45292</v>
      </c>
      <c r="C2411" s="2" t="str">
        <f>VLOOKUP(MONTH(Tabela1[[#This Row],[Periodo]]),NUMMESES,2,FALSE)</f>
        <v>Janeiro</v>
      </c>
      <c r="D2411" s="2">
        <f>YEAR(Tabela1[[#This Row],[Periodo]])</f>
        <v>2024</v>
      </c>
      <c r="E2411" s="16">
        <f>(INDEX(TBBP[],MATCH("1.1.1.6",planoContas,0)+1,MATCH(Tabela1[[#This Row],[Periodo]],listaPeriodos,0)))</f>
        <v>26849770.09</v>
      </c>
      <c r="F2411" s="16"/>
      <c r="G2411" s="16"/>
      <c r="H2411" s="16"/>
    </row>
    <row r="2412" spans="1:8" x14ac:dyDescent="0.3">
      <c r="A2412" t="s">
        <v>717</v>
      </c>
      <c r="B2412" s="3">
        <f t="shared" si="33"/>
        <v>45323</v>
      </c>
      <c r="C2412" s="2" t="str">
        <f>VLOOKUP(MONTH(Tabela1[[#This Row],[Periodo]]),NUMMESES,2,FALSE)</f>
        <v>Fevereiro</v>
      </c>
      <c r="D2412" s="2">
        <f>YEAR(Tabela1[[#This Row],[Periodo]])</f>
        <v>2024</v>
      </c>
      <c r="E2412" s="16">
        <f>(INDEX(TBBP[],MATCH("1.1.1.6",planoContas,0)+1,MATCH(Tabela1[[#This Row],[Periodo]],listaPeriodos,0)))</f>
        <v>27094835.489999998</v>
      </c>
      <c r="F2412" s="16"/>
      <c r="G2412" s="16"/>
      <c r="H2412" s="16"/>
    </row>
    <row r="2413" spans="1:8" x14ac:dyDescent="0.3">
      <c r="A2413" t="s">
        <v>717</v>
      </c>
      <c r="B2413" s="3">
        <f t="shared" si="33"/>
        <v>45352</v>
      </c>
      <c r="C2413" s="2" t="str">
        <f>VLOOKUP(MONTH(Tabela1[[#This Row],[Periodo]]),NUMMESES,2,FALSE)</f>
        <v>Março</v>
      </c>
      <c r="D2413" s="2">
        <f>YEAR(Tabela1[[#This Row],[Periodo]])</f>
        <v>2024</v>
      </c>
      <c r="E2413" s="16">
        <f>(INDEX(TBBP[],MATCH("1.1.1.6",planoContas,0)+1,MATCH(Tabela1[[#This Row],[Periodo]],listaPeriodos,0)))</f>
        <v>27292852</v>
      </c>
      <c r="F2413" s="16"/>
      <c r="G2413" s="16"/>
      <c r="H2413" s="16"/>
    </row>
    <row r="2414" spans="1:8" x14ac:dyDescent="0.3">
      <c r="A2414" t="s">
        <v>717</v>
      </c>
      <c r="B2414" s="3">
        <f t="shared" si="33"/>
        <v>45383</v>
      </c>
      <c r="C2414" s="2" t="str">
        <f>VLOOKUP(MONTH(Tabela1[[#This Row],[Periodo]]),NUMMESES,2,FALSE)</f>
        <v>Abril</v>
      </c>
      <c r="D2414" s="2">
        <f>YEAR(Tabela1[[#This Row],[Periodo]])</f>
        <v>2024</v>
      </c>
      <c r="E2414" s="16">
        <f>(INDEX(TBBP[],MATCH("1.1.1.6",planoContas,0)+1,MATCH(Tabela1[[#This Row],[Periodo]],listaPeriodos,0)))</f>
        <v>27463235.559999999</v>
      </c>
      <c r="F2414" s="16"/>
      <c r="G2414" s="16"/>
      <c r="H2414" s="16"/>
    </row>
    <row r="2415" spans="1:8" x14ac:dyDescent="0.3">
      <c r="A2415" t="s">
        <v>717</v>
      </c>
      <c r="B2415" s="3">
        <f t="shared" si="33"/>
        <v>45413</v>
      </c>
      <c r="C2415" s="2" t="str">
        <f>VLOOKUP(MONTH(Tabela1[[#This Row],[Periodo]]),NUMMESES,2,FALSE)</f>
        <v>Maio</v>
      </c>
      <c r="D2415" s="2">
        <f>YEAR(Tabela1[[#This Row],[Periodo]])</f>
        <v>2024</v>
      </c>
      <c r="E2415" s="16">
        <f>(INDEX(TBBP[],MATCH("1.1.1.6",planoContas,0)+1,MATCH(Tabela1[[#This Row],[Periodo]],listaPeriodos,0)))</f>
        <v>27271151.850000001</v>
      </c>
      <c r="F2415" s="16"/>
      <c r="G2415" s="16"/>
      <c r="H2415" s="16"/>
    </row>
    <row r="2416" spans="1:8" x14ac:dyDescent="0.3">
      <c r="A2416" t="s">
        <v>717</v>
      </c>
      <c r="B2416" s="3">
        <f t="shared" si="33"/>
        <v>45444</v>
      </c>
      <c r="C2416" s="2" t="str">
        <f>VLOOKUP(MONTH(Tabela1[[#This Row],[Periodo]]),NUMMESES,2,FALSE)</f>
        <v>Junho</v>
      </c>
      <c r="D2416" s="2">
        <f>YEAR(Tabela1[[#This Row],[Periodo]])</f>
        <v>2024</v>
      </c>
      <c r="E2416" s="16">
        <f>(INDEX(TBBP[],MATCH("1.1.1.6",planoContas,0)+1,MATCH(Tabela1[[#This Row],[Periodo]],listaPeriodos,0)))</f>
        <v>28533292.890000001</v>
      </c>
      <c r="F2416" s="16"/>
      <c r="G2416" s="16"/>
      <c r="H2416" s="16"/>
    </row>
    <row r="2417" spans="1:8" x14ac:dyDescent="0.3">
      <c r="A2417" t="s">
        <v>717</v>
      </c>
      <c r="B2417" s="3">
        <f t="shared" si="33"/>
        <v>45474</v>
      </c>
      <c r="C2417" s="2" t="str">
        <f>VLOOKUP(MONTH(Tabela1[[#This Row],[Periodo]]),NUMMESES,2,FALSE)</f>
        <v>Julho</v>
      </c>
      <c r="D2417" s="2">
        <f>YEAR(Tabela1[[#This Row],[Periodo]])</f>
        <v>2024</v>
      </c>
      <c r="E2417" s="16">
        <f>(INDEX(TBBP[],MATCH("1.1.1.6",planoContas,0)+1,MATCH(Tabela1[[#This Row],[Periodo]],listaPeriodos,0)))</f>
        <v>26991904.280000001</v>
      </c>
      <c r="F2417" s="16"/>
      <c r="G2417" s="16"/>
      <c r="H2417" s="16"/>
    </row>
    <row r="2418" spans="1:8" x14ac:dyDescent="0.3">
      <c r="A2418" t="s">
        <v>717</v>
      </c>
      <c r="B2418" s="3">
        <f t="shared" si="33"/>
        <v>45505</v>
      </c>
      <c r="C2418" s="2" t="str">
        <f>VLOOKUP(MONTH(Tabela1[[#This Row],[Periodo]]),NUMMESES,2,FALSE)</f>
        <v>Agosto</v>
      </c>
      <c r="D2418" s="2">
        <f>YEAR(Tabela1[[#This Row],[Periodo]])</f>
        <v>2024</v>
      </c>
      <c r="E2418" s="16">
        <f>(INDEX(TBBP[],MATCH("1.1.1.6",planoContas,0)+1,MATCH(Tabela1[[#This Row],[Periodo]],listaPeriodos,0)))</f>
        <v>27685161.27</v>
      </c>
      <c r="F2418" s="16"/>
      <c r="G2418" s="16"/>
      <c r="H2418" s="16"/>
    </row>
    <row r="2419" spans="1:8" x14ac:dyDescent="0.3">
      <c r="A2419" t="s">
        <v>717</v>
      </c>
      <c r="B2419" s="3">
        <f t="shared" si="33"/>
        <v>45536</v>
      </c>
      <c r="C2419" s="2" t="str">
        <f>VLOOKUP(MONTH(Tabela1[[#This Row],[Periodo]]),NUMMESES,2,FALSE)</f>
        <v>Setembro</v>
      </c>
      <c r="D2419" s="2">
        <f>YEAR(Tabela1[[#This Row],[Periodo]])</f>
        <v>2024</v>
      </c>
      <c r="E2419" s="16">
        <f>(INDEX(TBBP[],MATCH("1.1.1.6",planoContas,0)+1,MATCH(Tabela1[[#This Row],[Periodo]],listaPeriodos,0)))</f>
        <v>27895759.57</v>
      </c>
      <c r="F2419" s="16"/>
      <c r="G2419" s="16"/>
      <c r="H2419" s="16"/>
    </row>
    <row r="2420" spans="1:8" x14ac:dyDescent="0.3">
      <c r="A2420" t="s">
        <v>717</v>
      </c>
      <c r="B2420" s="3">
        <f t="shared" si="33"/>
        <v>45566</v>
      </c>
      <c r="C2420" s="2" t="str">
        <f>VLOOKUP(MONTH(Tabela1[[#This Row],[Periodo]]),NUMMESES,2,FALSE)</f>
        <v>Outubro</v>
      </c>
      <c r="D2420" s="2">
        <f>YEAR(Tabela1[[#This Row],[Periodo]])</f>
        <v>2024</v>
      </c>
      <c r="E2420" s="16">
        <f>(INDEX(TBBP[],MATCH("1.1.1.6",planoContas,0)+1,MATCH(Tabela1[[#This Row],[Periodo]],listaPeriodos,0)))</f>
        <v>29722285.210000001</v>
      </c>
      <c r="F2420" s="16"/>
      <c r="G2420" s="16"/>
      <c r="H2420" s="16"/>
    </row>
    <row r="2421" spans="1:8" x14ac:dyDescent="0.3">
      <c r="A2421" t="s">
        <v>717</v>
      </c>
      <c r="B2421" s="3">
        <f t="shared" si="33"/>
        <v>45597</v>
      </c>
      <c r="C2421" s="2" t="str">
        <f>VLOOKUP(MONTH(Tabela1[[#This Row],[Periodo]]),NUMMESES,2,FALSE)</f>
        <v>Novembro</v>
      </c>
      <c r="D2421" s="2">
        <f>YEAR(Tabela1[[#This Row],[Periodo]])</f>
        <v>2024</v>
      </c>
      <c r="E2421" s="16">
        <f>(INDEX(TBBP[],MATCH("1.1.1.6",planoContas,0)+1,MATCH(Tabela1[[#This Row],[Periodo]],listaPeriodos,0)))</f>
        <v>30488788.850000001</v>
      </c>
      <c r="F2421" s="16"/>
      <c r="G2421" s="16"/>
      <c r="H2421" s="16"/>
    </row>
    <row r="2422" spans="1:8" x14ac:dyDescent="0.3">
      <c r="A2422" t="s">
        <v>717</v>
      </c>
      <c r="B2422" s="3">
        <f t="shared" si="33"/>
        <v>45627</v>
      </c>
      <c r="C2422" s="2" t="str">
        <f>VLOOKUP(MONTH(Tabela1[[#This Row],[Periodo]]),NUMMESES,2,FALSE)</f>
        <v>Dezembro</v>
      </c>
      <c r="D2422" s="2">
        <f>YEAR(Tabela1[[#This Row],[Periodo]])</f>
        <v>2024</v>
      </c>
      <c r="E2422" s="16">
        <f>(INDEX(TBBP[],MATCH("1.1.1.6",planoContas,0)+1,MATCH(Tabela1[[#This Row],[Periodo]],listaPeriodos,0)))</f>
        <v>28358377.210000001</v>
      </c>
      <c r="F2422" s="16"/>
      <c r="G2422" s="16"/>
      <c r="H2422" s="16"/>
    </row>
    <row r="2423" spans="1:8" x14ac:dyDescent="0.3">
      <c r="A2423" t="s">
        <v>717</v>
      </c>
      <c r="B2423" s="3">
        <f t="shared" si="33"/>
        <v>45658</v>
      </c>
      <c r="C2423" s="2" t="str">
        <f>VLOOKUP(MONTH(Tabela1[[#This Row],[Periodo]]),NUMMESES,2,FALSE)</f>
        <v>Janeiro</v>
      </c>
      <c r="D2423" s="2">
        <f>YEAR(Tabela1[[#This Row],[Periodo]])</f>
        <v>2025</v>
      </c>
      <c r="E2423" s="16">
        <f>(INDEX(TBBP[],MATCH("1.1.1.6",planoContas,0)+1,MATCH(Tabela1[[#This Row],[Periodo]],listaPeriodos,0)))</f>
        <v>30759078.059999999</v>
      </c>
      <c r="F2423" s="16"/>
      <c r="G2423" s="16"/>
      <c r="H2423" s="16"/>
    </row>
    <row r="2424" spans="1:8" x14ac:dyDescent="0.3">
      <c r="A2424" t="s">
        <v>717</v>
      </c>
      <c r="B2424" s="3">
        <f t="shared" si="33"/>
        <v>45689</v>
      </c>
      <c r="C2424" s="2" t="str">
        <f>VLOOKUP(MONTH(Tabela1[[#This Row],[Periodo]]),NUMMESES,2,FALSE)</f>
        <v>Fevereiro</v>
      </c>
      <c r="D2424" s="2">
        <f>YEAR(Tabela1[[#This Row],[Periodo]])</f>
        <v>2025</v>
      </c>
      <c r="E2424" s="16">
        <f>(INDEX(TBBP[],MATCH("1.1.1.6",planoContas,0)+1,MATCH(Tabela1[[#This Row],[Periodo]],listaPeriodos,0)))</f>
        <v>30039837.460000001</v>
      </c>
      <c r="F2424" s="16"/>
      <c r="G2424" s="16"/>
      <c r="H2424" s="16"/>
    </row>
    <row r="2425" spans="1:8" x14ac:dyDescent="0.3">
      <c r="A2425" t="s">
        <v>717</v>
      </c>
      <c r="B2425" s="3">
        <f t="shared" si="33"/>
        <v>45717</v>
      </c>
      <c r="C2425" s="2" t="str">
        <f>VLOOKUP(MONTH(Tabela1[[#This Row],[Periodo]]),NUMMESES,2,FALSE)</f>
        <v>Março</v>
      </c>
      <c r="D2425" s="2">
        <f>YEAR(Tabela1[[#This Row],[Periodo]])</f>
        <v>2025</v>
      </c>
      <c r="E2425" s="16">
        <f>(INDEX(TBBP[],MATCH("1.1.1.6",planoContas,0)+1,MATCH(Tabela1[[#This Row],[Periodo]],listaPeriodos,0)))</f>
        <v>29892099.329999998</v>
      </c>
      <c r="F2425" s="16"/>
      <c r="G2425" s="16"/>
      <c r="H2425" s="16"/>
    </row>
    <row r="2426" spans="1:8" x14ac:dyDescent="0.3">
      <c r="A2426" t="s">
        <v>717</v>
      </c>
      <c r="B2426" s="3">
        <f t="shared" si="33"/>
        <v>45748</v>
      </c>
      <c r="C2426" s="2" t="str">
        <f>VLOOKUP(MONTH(Tabela1[[#This Row],[Periodo]]),NUMMESES,2,FALSE)</f>
        <v>Abril</v>
      </c>
      <c r="D2426" s="2">
        <f>YEAR(Tabela1[[#This Row],[Periodo]])</f>
        <v>2025</v>
      </c>
      <c r="E2426" s="16">
        <f>(INDEX(TBBP[],MATCH("1.1.1.6",planoContas,0)+1,MATCH(Tabela1[[#This Row],[Periodo]],listaPeriodos,0)))</f>
        <v>26769339.100000001</v>
      </c>
      <c r="F2426" s="16"/>
      <c r="G2426" s="16"/>
      <c r="H2426" s="16"/>
    </row>
    <row r="2427" spans="1:8" x14ac:dyDescent="0.3">
      <c r="A2427" t="s">
        <v>717</v>
      </c>
      <c r="B2427" s="3">
        <f t="shared" si="33"/>
        <v>45778</v>
      </c>
      <c r="C2427" s="2" t="str">
        <f>VLOOKUP(MONTH(Tabela1[[#This Row],[Periodo]]),NUMMESES,2,FALSE)</f>
        <v>Maio</v>
      </c>
      <c r="D2427" s="2">
        <f>YEAR(Tabela1[[#This Row],[Periodo]])</f>
        <v>2025</v>
      </c>
      <c r="E2427" s="16">
        <f>(INDEX(TBBP[],MATCH("1.1.1.6",planoContas,0)+1,MATCH(Tabela1[[#This Row],[Periodo]],listaPeriodos,0)))</f>
        <v>24196604.489999998</v>
      </c>
      <c r="F2427" s="16"/>
      <c r="G2427" s="16"/>
      <c r="H2427" s="16"/>
    </row>
    <row r="2428" spans="1:8" x14ac:dyDescent="0.3">
      <c r="A2428" t="s">
        <v>717</v>
      </c>
      <c r="B2428" s="3">
        <f t="shared" si="33"/>
        <v>45809</v>
      </c>
      <c r="C2428" s="2" t="str">
        <f>VLOOKUP(MONTH(Tabela1[[#This Row],[Periodo]]),NUMMESES,2,FALSE)</f>
        <v>Junho</v>
      </c>
      <c r="D2428" s="2">
        <f>YEAR(Tabela1[[#This Row],[Periodo]])</f>
        <v>2025</v>
      </c>
      <c r="E2428" s="16">
        <f>(INDEX(TBBP[],MATCH("1.1.1.6",planoContas,0)+1,MATCH(Tabela1[[#This Row],[Periodo]],listaPeriodos,0)))</f>
        <v>26459292.190000001</v>
      </c>
      <c r="F2428" s="16"/>
      <c r="G2428" s="16"/>
      <c r="H2428" s="16"/>
    </row>
    <row r="2429" spans="1:8" x14ac:dyDescent="0.3">
      <c r="A2429" t="s">
        <v>717</v>
      </c>
      <c r="B2429" s="3">
        <f t="shared" si="33"/>
        <v>45839</v>
      </c>
      <c r="C2429" s="2" t="str">
        <f>VLOOKUP(MONTH(Tabela1[[#This Row],[Periodo]]),NUMMESES,2,FALSE)</f>
        <v>Julho</v>
      </c>
      <c r="D2429" s="2">
        <f>YEAR(Tabela1[[#This Row],[Periodo]])</f>
        <v>2025</v>
      </c>
      <c r="E2429" s="16">
        <f>(INDEX(TBBP[],MATCH("1.1.1.6",planoContas,0)+1,MATCH(Tabela1[[#This Row],[Periodo]],listaPeriodos,0)))</f>
        <v>27045880.440000001</v>
      </c>
      <c r="F2429" s="16"/>
      <c r="G2429" s="16"/>
      <c r="H2429" s="16"/>
    </row>
    <row r="2430" spans="1:8" x14ac:dyDescent="0.3">
      <c r="A2430" t="s">
        <v>717</v>
      </c>
      <c r="B2430" s="3">
        <f t="shared" si="33"/>
        <v>45870</v>
      </c>
      <c r="C2430" s="2" t="str">
        <f>VLOOKUP(MONTH(Tabela1[[#This Row],[Periodo]]),NUMMESES,2,FALSE)</f>
        <v>Agosto</v>
      </c>
      <c r="D2430" s="2">
        <f>YEAR(Tabela1[[#This Row],[Periodo]])</f>
        <v>2025</v>
      </c>
      <c r="E2430" s="16">
        <f>(INDEX(TBBP[],MATCH("1.1.1.6",planoContas,0)+1,MATCH(Tabela1[[#This Row],[Periodo]],listaPeriodos,0)))</f>
        <v>25938397.59</v>
      </c>
      <c r="F2430" s="16"/>
      <c r="G2430" s="16"/>
      <c r="H2430" s="16"/>
    </row>
    <row r="2431" spans="1:8" x14ac:dyDescent="0.3">
      <c r="A2431" t="s">
        <v>717</v>
      </c>
      <c r="B2431" s="3">
        <f t="shared" si="33"/>
        <v>45901</v>
      </c>
      <c r="C2431" s="2" t="str">
        <f>VLOOKUP(MONTH(Tabela1[[#This Row],[Periodo]]),NUMMESES,2,FALSE)</f>
        <v>Setembro</v>
      </c>
      <c r="D2431" s="2">
        <f>YEAR(Tabela1[[#This Row],[Periodo]])</f>
        <v>2025</v>
      </c>
      <c r="E2431" s="16">
        <f>(INDEX(TBBP[],MATCH("1.1.1.6",planoContas,0)+1,MATCH(Tabela1[[#This Row],[Periodo]],listaPeriodos,0)))</f>
        <v>25995491.309999999</v>
      </c>
      <c r="F2431" s="16"/>
      <c r="G2431" s="16"/>
      <c r="H2431" s="16"/>
    </row>
    <row r="2432" spans="1:8" x14ac:dyDescent="0.3">
      <c r="A2432" t="s">
        <v>717</v>
      </c>
      <c r="B2432" s="3">
        <f t="shared" si="33"/>
        <v>45931</v>
      </c>
      <c r="C2432" s="2" t="str">
        <f>VLOOKUP(MONTH(Tabela1[[#This Row],[Periodo]]),NUMMESES,2,FALSE)</f>
        <v>Outubro</v>
      </c>
      <c r="D2432" s="2">
        <f>YEAR(Tabela1[[#This Row],[Periodo]])</f>
        <v>2025</v>
      </c>
      <c r="E2432" s="16">
        <f>(INDEX(TBBP[],MATCH("1.1.1.6",planoContas,0)+1,MATCH(Tabela1[[#This Row],[Periodo]],listaPeriodos,0)))</f>
        <v>26672942.800000001</v>
      </c>
      <c r="F2432" s="16"/>
      <c r="G2432" s="16"/>
      <c r="H2432" s="16"/>
    </row>
    <row r="2433" spans="1:8" x14ac:dyDescent="0.3">
      <c r="A2433" t="s">
        <v>717</v>
      </c>
      <c r="B2433" s="3">
        <f t="shared" si="33"/>
        <v>45962</v>
      </c>
      <c r="C2433" s="2" t="str">
        <f>VLOOKUP(MONTH(Tabela1[[#This Row],[Periodo]]),NUMMESES,2,FALSE)</f>
        <v>Novembro</v>
      </c>
      <c r="D2433" s="2">
        <f>YEAR(Tabela1[[#This Row],[Periodo]])</f>
        <v>2025</v>
      </c>
      <c r="E2433" s="16">
        <f>(INDEX(TBBP[],MATCH("1.1.1.6",planoContas,0)+1,MATCH(Tabela1[[#This Row],[Periodo]],listaPeriodos,0)))</f>
        <v>26031675.789999999</v>
      </c>
      <c r="F2433" s="16"/>
      <c r="G2433" s="16"/>
      <c r="H2433" s="16"/>
    </row>
    <row r="2434" spans="1:8" x14ac:dyDescent="0.3">
      <c r="A2434" t="s">
        <v>717</v>
      </c>
      <c r="B2434" s="3">
        <f t="shared" si="33"/>
        <v>45992</v>
      </c>
      <c r="C2434" s="2" t="str">
        <f>VLOOKUP(MONTH(Tabela1[[#This Row],[Periodo]]),NUMMESES,2,FALSE)</f>
        <v>Dezembro</v>
      </c>
      <c r="D2434" s="2">
        <f>YEAR(Tabela1[[#This Row],[Periodo]])</f>
        <v>2025</v>
      </c>
      <c r="E2434" s="16">
        <f>(INDEX(TBBP[],MATCH("1.1.1.6",planoContas,0)+1,MATCH(Tabela1[[#This Row],[Periodo]],listaPeriodos,0)))</f>
        <v>27286693.039999999</v>
      </c>
      <c r="F2434" s="16"/>
      <c r="G2434" s="16"/>
      <c r="H2434" s="16"/>
    </row>
    <row r="2435" spans="1:8" x14ac:dyDescent="0.3">
      <c r="A2435" t="s">
        <v>717</v>
      </c>
      <c r="B2435" s="3">
        <f t="shared" si="33"/>
        <v>46023</v>
      </c>
      <c r="C2435" s="2" t="str">
        <f>VLOOKUP(MONTH(Tabela1[[#This Row],[Periodo]]),NUMMESES,2,FALSE)</f>
        <v>Janeiro</v>
      </c>
      <c r="D2435" s="2">
        <f>YEAR(Tabela1[[#This Row],[Periodo]])</f>
        <v>2026</v>
      </c>
      <c r="E2435" s="16">
        <f>(INDEX(TBBP[],MATCH("1.1.1.6",planoContas,0)+1,MATCH(Tabela1[[#This Row],[Periodo]],listaPeriodos,0)))</f>
        <v>26862697.190000001</v>
      </c>
      <c r="F2435" s="16"/>
      <c r="G2435" s="16"/>
      <c r="H2435" s="16"/>
    </row>
    <row r="2436" spans="1:8" x14ac:dyDescent="0.3">
      <c r="B2436" s="3"/>
      <c r="C2436" s="2"/>
      <c r="D2436" s="2"/>
      <c r="E2436" s="16"/>
      <c r="F2436" s="16"/>
      <c r="G2436" s="16"/>
      <c r="H2436" s="16"/>
    </row>
    <row r="2437" spans="1:8" x14ac:dyDescent="0.3">
      <c r="A2437" t="s">
        <v>726</v>
      </c>
      <c r="B2437" s="3">
        <v>43070</v>
      </c>
      <c r="C2437" s="2" t="str">
        <f>VLOOKUP(MONTH(Tabela1[[#This Row],[Periodo]]),NUMMESES,2,FALSE)</f>
        <v>Dezembro</v>
      </c>
      <c r="D2437" s="2">
        <f>YEAR(Tabela1[[#This Row],[Periodo]])</f>
        <v>2017</v>
      </c>
      <c r="E2437" s="33" t="e">
        <f>((INDEX(TBBP[],MATCH("C13",planoContas,0)+1,MATCH(Tabela1[[#This Row],[Periodo]],listaPeriodos,0))/INDEX(TBBP[],MATCH("RL10",planoContas,0)+1,MATCH(Tabela1[[#This Row],[Periodo]],listaPeriodos,0))))</f>
        <v>#DIV/0!</v>
      </c>
      <c r="F2437" s="16"/>
      <c r="G2437" s="16"/>
      <c r="H2437" s="16"/>
    </row>
    <row r="2438" spans="1:8" x14ac:dyDescent="0.3">
      <c r="A2438" t="s">
        <v>726</v>
      </c>
      <c r="B2438" s="3">
        <v>41609</v>
      </c>
      <c r="C2438" s="2" t="str">
        <f>VLOOKUP(MONTH(Tabela1[[#This Row],[Periodo]]),NUMMESES,2,FALSE)</f>
        <v>Dezembro</v>
      </c>
      <c r="D2438" s="2">
        <f>YEAR(Tabela1[[#This Row],[Periodo]])</f>
        <v>2013</v>
      </c>
      <c r="E2438" s="33" t="e">
        <f>((INDEX(TBBP[],MATCH("C13",planoContas,0)+1,MATCH(Tabela1[[#This Row],[Periodo]],listaPeriodos,0))/INDEX(TBBP[],MATCH("RL10",planoContas,0)+1,MATCH(Tabela1[[#This Row],[Periodo]],listaPeriodos,0))))</f>
        <v>#DIV/0!</v>
      </c>
      <c r="F2438" s="16"/>
      <c r="G2438" s="16"/>
      <c r="H2438" s="16"/>
    </row>
    <row r="2439" spans="1:8" x14ac:dyDescent="0.3">
      <c r="A2439" t="s">
        <v>726</v>
      </c>
      <c r="B2439" s="3">
        <v>41974</v>
      </c>
      <c r="C2439" s="2" t="str">
        <f>VLOOKUP(MONTH(Tabela1[[#This Row],[Periodo]]),NUMMESES,2,FALSE)</f>
        <v>Dezembro</v>
      </c>
      <c r="D2439" s="2">
        <f>YEAR(Tabela1[[#This Row],[Periodo]])</f>
        <v>2014</v>
      </c>
      <c r="E2439" s="33" t="e">
        <f>((INDEX(TBBP[],MATCH("C13",planoContas,0)+1,MATCH(Tabela1[[#This Row],[Periodo]],listaPeriodos,0))/INDEX(TBBP[],MATCH("RL10",planoContas,0)+1,MATCH(Tabela1[[#This Row],[Periodo]],listaPeriodos,0))))</f>
        <v>#DIV/0!</v>
      </c>
      <c r="F2439" s="16"/>
      <c r="G2439" s="16"/>
      <c r="H2439" s="16"/>
    </row>
    <row r="2440" spans="1:8" x14ac:dyDescent="0.3">
      <c r="A2440" t="s">
        <v>726</v>
      </c>
      <c r="B2440" s="3">
        <v>42339</v>
      </c>
      <c r="C2440" s="2" t="str">
        <f>VLOOKUP(MONTH(Tabela1[[#This Row],[Periodo]]),NUMMESES,2,FALSE)</f>
        <v>Dezembro</v>
      </c>
      <c r="D2440" s="2">
        <f>YEAR(Tabela1[[#This Row],[Periodo]])</f>
        <v>2015</v>
      </c>
      <c r="E2440" s="33" t="e">
        <f>((INDEX(TBBP[],MATCH("C13",planoContas,0)+1,MATCH(Tabela1[[#This Row],[Periodo]],listaPeriodos,0))/INDEX(TBBP[],MATCH("RL10",planoContas,0)+1,MATCH(Tabela1[[#This Row],[Periodo]],listaPeriodos,0))))</f>
        <v>#DIV/0!</v>
      </c>
      <c r="F2440" s="16"/>
      <c r="G2440" s="16"/>
      <c r="H2440" s="16"/>
    </row>
    <row r="2441" spans="1:8" x14ac:dyDescent="0.3">
      <c r="A2441" t="s">
        <v>726</v>
      </c>
      <c r="B2441" s="3">
        <v>42705</v>
      </c>
      <c r="C2441" s="2" t="str">
        <f>VLOOKUP(MONTH(Tabela1[[#This Row],[Periodo]]),NUMMESES,2,FALSE)</f>
        <v>Dezembro</v>
      </c>
      <c r="D2441" s="2">
        <f>YEAR(Tabela1[[#This Row],[Periodo]])</f>
        <v>2016</v>
      </c>
      <c r="E2441" s="33" t="e">
        <f>((INDEX(TBBP[],MATCH("C13",planoContas,0)+1,MATCH(Tabela1[[#This Row],[Periodo]],listaPeriodos,0))/INDEX(TBBP[],MATCH("RL10",planoContas,0)+1,MATCH(Tabela1[[#This Row],[Periodo]],listaPeriodos,0))))</f>
        <v>#DIV/0!</v>
      </c>
      <c r="F2441" s="16"/>
      <c r="G2441" s="16"/>
      <c r="H2441" s="16"/>
    </row>
    <row r="2442" spans="1:8" x14ac:dyDescent="0.3">
      <c r="A2442" t="s">
        <v>726</v>
      </c>
      <c r="B2442" s="3">
        <v>43070</v>
      </c>
      <c r="C2442" s="2" t="str">
        <f>VLOOKUP(MONTH(Tabela1[[#This Row],[Periodo]]),NUMMESES,2,FALSE)</f>
        <v>Dezembro</v>
      </c>
      <c r="D2442" s="2">
        <f>YEAR(Tabela1[[#This Row],[Periodo]])</f>
        <v>2017</v>
      </c>
      <c r="E2442" s="33" t="e">
        <f>((INDEX(TBBP[],MATCH("C13",planoContas,0)+1,MATCH(Tabela1[[#This Row],[Periodo]],listaPeriodos,0))/INDEX(TBBP[],MATCH("RL10",planoContas,0)+1,MATCH(Tabela1[[#This Row],[Periodo]],listaPeriodos,0))))</f>
        <v>#DIV/0!</v>
      </c>
      <c r="F2442" s="16"/>
      <c r="G2442" s="16"/>
      <c r="H2442" s="16"/>
    </row>
    <row r="2443" spans="1:8" x14ac:dyDescent="0.3">
      <c r="A2443" t="s">
        <v>726</v>
      </c>
      <c r="B2443" s="3">
        <v>43101</v>
      </c>
      <c r="C2443" s="2" t="str">
        <f>VLOOKUP(MONTH(Tabela1[[#This Row],[Periodo]]),NUMMESES,2,FALSE)</f>
        <v>Janeiro</v>
      </c>
      <c r="D2443" s="2">
        <f>YEAR(Tabela1[[#This Row],[Periodo]])</f>
        <v>2018</v>
      </c>
      <c r="E2443" s="33">
        <f>((INDEX(TBBP[],MATCH("C13",planoContas,0)+1,MATCH(Tabela1[[#This Row],[Periodo]],listaPeriodos,0))/INDEX(TBBP[],MATCH("RL10",planoContas,0)+1,MATCH(Tabela1[[#This Row],[Periodo]],listaPeriodos,0))))</f>
        <v>0.42279896417242435</v>
      </c>
      <c r="F2443" s="16"/>
      <c r="G2443" s="16"/>
      <c r="H2443" s="16"/>
    </row>
    <row r="2444" spans="1:8" x14ac:dyDescent="0.3">
      <c r="A2444" t="s">
        <v>726</v>
      </c>
      <c r="B2444" s="3">
        <f t="shared" ref="B2444:B2539" si="34">DATE(YEAR(B2443),MONTH(B2443)+1,DAY(B2443))</f>
        <v>43132</v>
      </c>
      <c r="C2444" s="2" t="str">
        <f>VLOOKUP(MONTH(Tabela1[[#This Row],[Periodo]]),NUMMESES,2,FALSE)</f>
        <v>Fevereiro</v>
      </c>
      <c r="D2444" s="2">
        <f>YEAR(Tabela1[[#This Row],[Periodo]])</f>
        <v>2018</v>
      </c>
      <c r="E2444" s="33">
        <f>((INDEX(TBBP[],MATCH("C13",planoContas,0)+1,MATCH(Tabela1[[#This Row],[Periodo]],listaPeriodos,0))/INDEX(TBBP[],MATCH("RL10",planoContas,0)+1,MATCH(Tabela1[[#This Row],[Periodo]],listaPeriodos,0))))</f>
        <v>0.50299902615439207</v>
      </c>
      <c r="F2444" s="16"/>
      <c r="G2444" s="16"/>
      <c r="H2444" s="16"/>
    </row>
    <row r="2445" spans="1:8" x14ac:dyDescent="0.3">
      <c r="A2445" t="s">
        <v>726</v>
      </c>
      <c r="B2445" s="3">
        <f t="shared" si="34"/>
        <v>43160</v>
      </c>
      <c r="C2445" s="2" t="str">
        <f>VLOOKUP(MONTH(Tabela1[[#This Row],[Periodo]]),NUMMESES,2,FALSE)</f>
        <v>Março</v>
      </c>
      <c r="D2445" s="2">
        <f>YEAR(Tabela1[[#This Row],[Periodo]])</f>
        <v>2018</v>
      </c>
      <c r="E2445" s="33">
        <f>((INDEX(TBBP[],MATCH("C13",planoContas,0)+1,MATCH(Tabela1[[#This Row],[Periodo]],listaPeriodos,0))/INDEX(TBBP[],MATCH("RL10",planoContas,0)+1,MATCH(Tabela1[[#This Row],[Periodo]],listaPeriodos,0))))</f>
        <v>0.39510055828297336</v>
      </c>
      <c r="F2445" s="16"/>
      <c r="G2445" s="16"/>
      <c r="H2445" s="16"/>
    </row>
    <row r="2446" spans="1:8" x14ac:dyDescent="0.3">
      <c r="A2446" t="s">
        <v>726</v>
      </c>
      <c r="B2446" s="3">
        <f t="shared" si="34"/>
        <v>43191</v>
      </c>
      <c r="C2446" s="2" t="str">
        <f>VLOOKUP(MONTH(Tabela1[[#This Row],[Periodo]]),NUMMESES,2,FALSE)</f>
        <v>Abril</v>
      </c>
      <c r="D2446" s="2">
        <f>YEAR(Tabela1[[#This Row],[Periodo]])</f>
        <v>2018</v>
      </c>
      <c r="E2446" s="33">
        <f>((INDEX(TBBP[],MATCH("C13",planoContas,0)+1,MATCH(Tabela1[[#This Row],[Periodo]],listaPeriodos,0))/INDEX(TBBP[],MATCH("RL10",planoContas,0)+1,MATCH(Tabela1[[#This Row],[Periodo]],listaPeriodos,0))))</f>
        <v>0.51780261744143119</v>
      </c>
      <c r="F2446" s="16"/>
      <c r="G2446" s="16"/>
      <c r="H2446" s="16"/>
    </row>
    <row r="2447" spans="1:8" x14ac:dyDescent="0.3">
      <c r="A2447" t="s">
        <v>726</v>
      </c>
      <c r="B2447" s="3">
        <f t="shared" si="34"/>
        <v>43221</v>
      </c>
      <c r="C2447" s="2" t="str">
        <f>VLOOKUP(MONTH(Tabela1[[#This Row],[Periodo]]),NUMMESES,2,FALSE)</f>
        <v>Maio</v>
      </c>
      <c r="D2447" s="2">
        <f>YEAR(Tabela1[[#This Row],[Periodo]])</f>
        <v>2018</v>
      </c>
      <c r="E2447" s="33">
        <f>((INDEX(TBBP[],MATCH("C13",planoContas,0)+1,MATCH(Tabela1[[#This Row],[Periodo]],listaPeriodos,0))/INDEX(TBBP[],MATCH("RL10",planoContas,0)+1,MATCH(Tabela1[[#This Row],[Periodo]],listaPeriodos,0))))</f>
        <v>0.43047010359740984</v>
      </c>
      <c r="F2447" s="16"/>
      <c r="G2447" s="16"/>
      <c r="H2447" s="16"/>
    </row>
    <row r="2448" spans="1:8" x14ac:dyDescent="0.3">
      <c r="A2448" t="s">
        <v>726</v>
      </c>
      <c r="B2448" s="3">
        <f t="shared" si="34"/>
        <v>43252</v>
      </c>
      <c r="C2448" s="2" t="str">
        <f>VLOOKUP(MONTH(Tabela1[[#This Row],[Periodo]]),NUMMESES,2,FALSE)</f>
        <v>Junho</v>
      </c>
      <c r="D2448" s="2">
        <f>YEAR(Tabela1[[#This Row],[Periodo]])</f>
        <v>2018</v>
      </c>
      <c r="E2448" s="33">
        <f>((INDEX(TBBP[],MATCH("C13",planoContas,0)+1,MATCH(Tabela1[[#This Row],[Periodo]],listaPeriodos,0))/INDEX(TBBP[],MATCH("RL10",planoContas,0)+1,MATCH(Tabela1[[#This Row],[Periodo]],listaPeriodos,0))))</f>
        <v>0.53637758765415067</v>
      </c>
      <c r="F2448" s="16"/>
      <c r="G2448" s="16"/>
      <c r="H2448" s="16"/>
    </row>
    <row r="2449" spans="1:8" x14ac:dyDescent="0.3">
      <c r="A2449" t="s">
        <v>726</v>
      </c>
      <c r="B2449" s="3">
        <f t="shared" si="34"/>
        <v>43282</v>
      </c>
      <c r="C2449" s="2" t="str">
        <f>VLOOKUP(MONTH(Tabela1[[#This Row],[Periodo]]),NUMMESES,2,FALSE)</f>
        <v>Julho</v>
      </c>
      <c r="D2449" s="2">
        <f>YEAR(Tabela1[[#This Row],[Periodo]])</f>
        <v>2018</v>
      </c>
      <c r="E2449" s="33">
        <f>((INDEX(TBBP[],MATCH("C13",planoContas,0)+1,MATCH(Tabela1[[#This Row],[Periodo]],listaPeriodos,0))/INDEX(TBBP[],MATCH("RL10",planoContas,0)+1,MATCH(Tabela1[[#This Row],[Periodo]],listaPeriodos,0))))</f>
        <v>0.53711246514836919</v>
      </c>
      <c r="F2449" s="16"/>
      <c r="G2449" s="16"/>
      <c r="H2449" s="16"/>
    </row>
    <row r="2450" spans="1:8" x14ac:dyDescent="0.3">
      <c r="A2450" t="s">
        <v>726</v>
      </c>
      <c r="B2450" s="3">
        <f t="shared" si="34"/>
        <v>43313</v>
      </c>
      <c r="C2450" s="2" t="str">
        <f>VLOOKUP(MONTH(Tabela1[[#This Row],[Periodo]]),NUMMESES,2,FALSE)</f>
        <v>Agosto</v>
      </c>
      <c r="D2450" s="2">
        <f>YEAR(Tabela1[[#This Row],[Periodo]])</f>
        <v>2018</v>
      </c>
      <c r="E2450" s="33">
        <f>((INDEX(TBBP[],MATCH("C13",planoContas,0)+1,MATCH(Tabela1[[#This Row],[Periodo]],listaPeriodos,0))/INDEX(TBBP[],MATCH("RL10",planoContas,0)+1,MATCH(Tabela1[[#This Row],[Periodo]],listaPeriodos,0))))</f>
        <v>0.50000342445583557</v>
      </c>
      <c r="F2450" s="16"/>
      <c r="G2450" s="16"/>
      <c r="H2450" s="16"/>
    </row>
    <row r="2451" spans="1:8" x14ac:dyDescent="0.3">
      <c r="A2451" t="s">
        <v>726</v>
      </c>
      <c r="B2451" s="3">
        <f t="shared" si="34"/>
        <v>43344</v>
      </c>
      <c r="C2451" s="2" t="str">
        <f>VLOOKUP(MONTH(Tabela1[[#This Row],[Periodo]]),NUMMESES,2,FALSE)</f>
        <v>Setembro</v>
      </c>
      <c r="D2451" s="2">
        <f>YEAR(Tabela1[[#This Row],[Periodo]])</f>
        <v>2018</v>
      </c>
      <c r="E2451" s="33">
        <f>((INDEX(TBBP[],MATCH("C13",planoContas,0)+1,MATCH(Tabela1[[#This Row],[Periodo]],listaPeriodos,0))/INDEX(TBBP[],MATCH("RL10",planoContas,0)+1,MATCH(Tabela1[[#This Row],[Periodo]],listaPeriodos,0))))</f>
        <v>0.56419797889154177</v>
      </c>
      <c r="F2451" s="16"/>
      <c r="G2451" s="16"/>
      <c r="H2451" s="16"/>
    </row>
    <row r="2452" spans="1:8" x14ac:dyDescent="0.3">
      <c r="A2452" t="s">
        <v>726</v>
      </c>
      <c r="B2452" s="3">
        <f t="shared" si="34"/>
        <v>43374</v>
      </c>
      <c r="C2452" s="2" t="str">
        <f>VLOOKUP(MONTH(Tabela1[[#This Row],[Periodo]]),NUMMESES,2,FALSE)</f>
        <v>Outubro</v>
      </c>
      <c r="D2452" s="2">
        <f>YEAR(Tabela1[[#This Row],[Periodo]])</f>
        <v>2018</v>
      </c>
      <c r="E2452" s="33">
        <f>((INDEX(TBBP[],MATCH("C13",planoContas,0)+1,MATCH(Tabela1[[#This Row],[Periodo]],listaPeriodos,0))/INDEX(TBBP[],MATCH("RL10",planoContas,0)+1,MATCH(Tabela1[[#This Row],[Periodo]],listaPeriodos,0))))</f>
        <v>0.54098500349896916</v>
      </c>
      <c r="F2452" s="16"/>
      <c r="G2452" s="16"/>
      <c r="H2452" s="16"/>
    </row>
    <row r="2453" spans="1:8" x14ac:dyDescent="0.3">
      <c r="A2453" t="s">
        <v>726</v>
      </c>
      <c r="B2453" s="3">
        <f t="shared" si="34"/>
        <v>43405</v>
      </c>
      <c r="C2453" s="2" t="str">
        <f>VLOOKUP(MONTH(Tabela1[[#This Row],[Periodo]]),NUMMESES,2,FALSE)</f>
        <v>Novembro</v>
      </c>
      <c r="D2453" s="2">
        <f>YEAR(Tabela1[[#This Row],[Periodo]])</f>
        <v>2018</v>
      </c>
      <c r="E2453" s="33">
        <f>((INDEX(TBBP[],MATCH("C13",planoContas,0)+1,MATCH(Tabela1[[#This Row],[Periodo]],listaPeriodos,0))/INDEX(TBBP[],MATCH("RL10",planoContas,0)+1,MATCH(Tabela1[[#This Row],[Periodo]],listaPeriodos,0))))</f>
        <v>0.49915021521154929</v>
      </c>
      <c r="F2453" s="16"/>
      <c r="G2453" s="16"/>
      <c r="H2453" s="16"/>
    </row>
    <row r="2454" spans="1:8" x14ac:dyDescent="0.3">
      <c r="A2454" t="s">
        <v>726</v>
      </c>
      <c r="B2454" s="3">
        <f t="shared" si="34"/>
        <v>43435</v>
      </c>
      <c r="C2454" s="2" t="str">
        <f>VLOOKUP(MONTH(Tabela1[[#This Row],[Periodo]]),NUMMESES,2,FALSE)</f>
        <v>Dezembro</v>
      </c>
      <c r="D2454" s="2">
        <f>YEAR(Tabela1[[#This Row],[Periodo]])</f>
        <v>2018</v>
      </c>
      <c r="E2454" s="33">
        <f>((INDEX(TBBP[],MATCH("C13",planoContas,0)+1,MATCH(Tabela1[[#This Row],[Periodo]],listaPeriodos,0))/INDEX(TBBP[],MATCH("RL10",planoContas,0)+1,MATCH(Tabela1[[#This Row],[Periodo]],listaPeriodos,0))))</f>
        <v>0.46665679878862176</v>
      </c>
      <c r="F2454" s="16"/>
      <c r="G2454" s="16"/>
      <c r="H2454" s="16"/>
    </row>
    <row r="2455" spans="1:8" x14ac:dyDescent="0.3">
      <c r="A2455" t="s">
        <v>726</v>
      </c>
      <c r="B2455" s="3">
        <f t="shared" si="34"/>
        <v>43466</v>
      </c>
      <c r="C2455" s="2" t="str">
        <f>VLOOKUP(MONTH(Tabela1[[#This Row],[Periodo]]),NUMMESES,2,FALSE)</f>
        <v>Janeiro</v>
      </c>
      <c r="D2455" s="2">
        <f>YEAR(Tabela1[[#This Row],[Periodo]])</f>
        <v>2019</v>
      </c>
      <c r="E2455" s="33">
        <f>((INDEX(TBBP[],MATCH("C13",planoContas,0)+1,MATCH(Tabela1[[#This Row],[Periodo]],listaPeriodos,0))/INDEX(TBBP[],MATCH("RL10",planoContas,0)+1,MATCH(Tabela1[[#This Row],[Periodo]],listaPeriodos,0))))</f>
        <v>0.58617172761666014</v>
      </c>
      <c r="F2455" s="16"/>
      <c r="G2455" s="16"/>
      <c r="H2455" s="16"/>
    </row>
    <row r="2456" spans="1:8" x14ac:dyDescent="0.3">
      <c r="A2456" t="s">
        <v>726</v>
      </c>
      <c r="B2456" s="3">
        <f t="shared" si="34"/>
        <v>43497</v>
      </c>
      <c r="C2456" s="2" t="str">
        <f>VLOOKUP(MONTH(Tabela1[[#This Row],[Periodo]]),NUMMESES,2,FALSE)</f>
        <v>Fevereiro</v>
      </c>
      <c r="D2456" s="2">
        <f>YEAR(Tabela1[[#This Row],[Periodo]])</f>
        <v>2019</v>
      </c>
      <c r="E2456" s="33">
        <f>((INDEX(TBBP[],MATCH("C13",planoContas,0)+1,MATCH(Tabela1[[#This Row],[Periodo]],listaPeriodos,0))/INDEX(TBBP[],MATCH("RL10",planoContas,0)+1,MATCH(Tabela1[[#This Row],[Periodo]],listaPeriodos,0))))</f>
        <v>0.51053316372895696</v>
      </c>
      <c r="F2456" s="16"/>
      <c r="G2456" s="16"/>
      <c r="H2456" s="16"/>
    </row>
    <row r="2457" spans="1:8" x14ac:dyDescent="0.3">
      <c r="A2457" t="s">
        <v>726</v>
      </c>
      <c r="B2457" s="3">
        <f t="shared" si="34"/>
        <v>43525</v>
      </c>
      <c r="C2457" s="2" t="str">
        <f>VLOOKUP(MONTH(Tabela1[[#This Row],[Periodo]]),NUMMESES,2,FALSE)</f>
        <v>Março</v>
      </c>
      <c r="D2457" s="2">
        <f>YEAR(Tabela1[[#This Row],[Periodo]])</f>
        <v>2019</v>
      </c>
      <c r="E2457" s="33">
        <f>((INDEX(TBBP[],MATCH("C13",planoContas,0)+1,MATCH(Tabela1[[#This Row],[Periodo]],listaPeriodos,0))/INDEX(TBBP[],MATCH("RL10",planoContas,0)+1,MATCH(Tabela1[[#This Row],[Periodo]],listaPeriodos,0))))</f>
        <v>0.58750687529730716</v>
      </c>
      <c r="F2457" s="16"/>
      <c r="G2457" s="16"/>
      <c r="H2457" s="16"/>
    </row>
    <row r="2458" spans="1:8" x14ac:dyDescent="0.3">
      <c r="A2458" t="s">
        <v>726</v>
      </c>
      <c r="B2458" s="3">
        <f t="shared" si="34"/>
        <v>43556</v>
      </c>
      <c r="C2458" s="2" t="str">
        <f>VLOOKUP(MONTH(Tabela1[[#This Row],[Periodo]]),NUMMESES,2,FALSE)</f>
        <v>Abril</v>
      </c>
      <c r="D2458" s="2">
        <f>YEAR(Tabela1[[#This Row],[Periodo]])</f>
        <v>2019</v>
      </c>
      <c r="E2458" s="33">
        <f>((INDEX(TBBP[],MATCH("C13",planoContas,0)+1,MATCH(Tabela1[[#This Row],[Periodo]],listaPeriodos,0))/INDEX(TBBP[],MATCH("RL10",planoContas,0)+1,MATCH(Tabela1[[#This Row],[Periodo]],listaPeriodos,0))))</f>
        <v>0.46793611486225695</v>
      </c>
      <c r="F2458" s="16"/>
      <c r="G2458" s="16"/>
      <c r="H2458" s="16"/>
    </row>
    <row r="2459" spans="1:8" x14ac:dyDescent="0.3">
      <c r="A2459" t="s">
        <v>726</v>
      </c>
      <c r="B2459" s="3">
        <f t="shared" si="34"/>
        <v>43586</v>
      </c>
      <c r="C2459" s="2" t="str">
        <f>VLOOKUP(MONTH(Tabela1[[#This Row],[Periodo]]),NUMMESES,2,FALSE)</f>
        <v>Maio</v>
      </c>
      <c r="D2459" s="2">
        <f>YEAR(Tabela1[[#This Row],[Periodo]])</f>
        <v>2019</v>
      </c>
      <c r="E2459" s="33">
        <f>((INDEX(TBBP[],MATCH("C13",planoContas,0)+1,MATCH(Tabela1[[#This Row],[Periodo]],listaPeriodos,0))/INDEX(TBBP[],MATCH("RL10",planoContas,0)+1,MATCH(Tabela1[[#This Row],[Periodo]],listaPeriodos,0))))</f>
        <v>0.50648514684988222</v>
      </c>
      <c r="F2459" s="16"/>
      <c r="G2459" s="16"/>
      <c r="H2459" s="16"/>
    </row>
    <row r="2460" spans="1:8" x14ac:dyDescent="0.3">
      <c r="A2460" t="s">
        <v>726</v>
      </c>
      <c r="B2460" s="3">
        <f t="shared" si="34"/>
        <v>43617</v>
      </c>
      <c r="C2460" s="2" t="str">
        <f>VLOOKUP(MONTH(Tabela1[[#This Row],[Periodo]]),NUMMESES,2,FALSE)</f>
        <v>Junho</v>
      </c>
      <c r="D2460" s="2">
        <f>YEAR(Tabela1[[#This Row],[Periodo]])</f>
        <v>2019</v>
      </c>
      <c r="E2460" s="33">
        <f>((INDEX(TBBP[],MATCH("C13",planoContas,0)+1,MATCH(Tabela1[[#This Row],[Periodo]],listaPeriodos,0))/INDEX(TBBP[],MATCH("RL10",planoContas,0)+1,MATCH(Tabela1[[#This Row],[Periodo]],listaPeriodos,0))))</f>
        <v>0.51842976839483712</v>
      </c>
      <c r="F2460" s="16"/>
      <c r="G2460" s="16"/>
      <c r="H2460" s="16"/>
    </row>
    <row r="2461" spans="1:8" x14ac:dyDescent="0.3">
      <c r="A2461" t="s">
        <v>726</v>
      </c>
      <c r="B2461" s="3">
        <f t="shared" si="34"/>
        <v>43647</v>
      </c>
      <c r="C2461" s="2" t="str">
        <f>VLOOKUP(MONTH(Tabela1[[#This Row],[Periodo]]),NUMMESES,2,FALSE)</f>
        <v>Julho</v>
      </c>
      <c r="D2461" s="2">
        <f>YEAR(Tabela1[[#This Row],[Periodo]])</f>
        <v>2019</v>
      </c>
      <c r="E2461" s="33">
        <f>((INDEX(TBBP[],MATCH("C13",planoContas,0)+1,MATCH(Tabela1[[#This Row],[Periodo]],listaPeriodos,0))/INDEX(TBBP[],MATCH("RL10",planoContas,0)+1,MATCH(Tabela1[[#This Row],[Periodo]],listaPeriodos,0))))</f>
        <v>0.48125721535381938</v>
      </c>
      <c r="F2461" s="16"/>
      <c r="G2461" s="16"/>
      <c r="H2461" s="16"/>
    </row>
    <row r="2462" spans="1:8" x14ac:dyDescent="0.3">
      <c r="A2462" t="s">
        <v>726</v>
      </c>
      <c r="B2462" s="3">
        <f t="shared" si="34"/>
        <v>43678</v>
      </c>
      <c r="C2462" s="2" t="str">
        <f>VLOOKUP(MONTH(Tabela1[[#This Row],[Periodo]]),NUMMESES,2,FALSE)</f>
        <v>Agosto</v>
      </c>
      <c r="D2462" s="2">
        <f>YEAR(Tabela1[[#This Row],[Periodo]])</f>
        <v>2019</v>
      </c>
      <c r="E2462" s="33">
        <f>((INDEX(TBBP[],MATCH("C13",planoContas,0)+1,MATCH(Tabela1[[#This Row],[Periodo]],listaPeriodos,0))/INDEX(TBBP[],MATCH("RL10",planoContas,0)+1,MATCH(Tabela1[[#This Row],[Periodo]],listaPeriodos,0))))</f>
        <v>0.51665022725685228</v>
      </c>
      <c r="F2462" s="16"/>
      <c r="G2462" s="16"/>
      <c r="H2462" s="16"/>
    </row>
    <row r="2463" spans="1:8" x14ac:dyDescent="0.3">
      <c r="A2463" t="s">
        <v>726</v>
      </c>
      <c r="B2463" s="3">
        <f t="shared" si="34"/>
        <v>43709</v>
      </c>
      <c r="C2463" s="2" t="str">
        <f>VLOOKUP(MONTH(Tabela1[[#This Row],[Periodo]]),NUMMESES,2,FALSE)</f>
        <v>Setembro</v>
      </c>
      <c r="D2463" s="2">
        <f>YEAR(Tabela1[[#This Row],[Periodo]])</f>
        <v>2019</v>
      </c>
      <c r="E2463" s="33">
        <f>((INDEX(TBBP[],MATCH("C13",planoContas,0)+1,MATCH(Tabela1[[#This Row],[Periodo]],listaPeriodos,0))/INDEX(TBBP[],MATCH("RL10",planoContas,0)+1,MATCH(Tabela1[[#This Row],[Periodo]],listaPeriodos,0))))</f>
        <v>0.47568846191961844</v>
      </c>
      <c r="F2463" s="16"/>
      <c r="G2463" s="16"/>
      <c r="H2463" s="16"/>
    </row>
    <row r="2464" spans="1:8" x14ac:dyDescent="0.3">
      <c r="A2464" t="s">
        <v>726</v>
      </c>
      <c r="B2464" s="3">
        <f t="shared" si="34"/>
        <v>43739</v>
      </c>
      <c r="C2464" s="2" t="str">
        <f>VLOOKUP(MONTH(Tabela1[[#This Row],[Periodo]]),NUMMESES,2,FALSE)</f>
        <v>Outubro</v>
      </c>
      <c r="D2464" s="2">
        <f>YEAR(Tabela1[[#This Row],[Periodo]])</f>
        <v>2019</v>
      </c>
      <c r="E2464" s="33">
        <f>((INDEX(TBBP[],MATCH("C13",planoContas,0)+1,MATCH(Tabela1[[#This Row],[Periodo]],listaPeriodos,0))/INDEX(TBBP[],MATCH("RL10",planoContas,0)+1,MATCH(Tabela1[[#This Row],[Periodo]],listaPeriodos,0))))</f>
        <v>0.54374507354464674</v>
      </c>
      <c r="F2464" s="16"/>
      <c r="G2464" s="16"/>
      <c r="H2464" s="16"/>
    </row>
    <row r="2465" spans="1:8" x14ac:dyDescent="0.3">
      <c r="A2465" t="s">
        <v>726</v>
      </c>
      <c r="B2465" s="3">
        <f t="shared" si="34"/>
        <v>43770</v>
      </c>
      <c r="C2465" s="2" t="str">
        <f>VLOOKUP(MONTH(Tabela1[[#This Row],[Periodo]]),NUMMESES,2,FALSE)</f>
        <v>Novembro</v>
      </c>
      <c r="D2465" s="2">
        <f>YEAR(Tabela1[[#This Row],[Periodo]])</f>
        <v>2019</v>
      </c>
      <c r="E2465" s="33">
        <f>((INDEX(TBBP[],MATCH("C13",planoContas,0)+1,MATCH(Tabela1[[#This Row],[Periodo]],listaPeriodos,0))/INDEX(TBBP[],MATCH("RL10",planoContas,0)+1,MATCH(Tabela1[[#This Row],[Periodo]],listaPeriodos,0))))</f>
        <v>0.49990212841964166</v>
      </c>
      <c r="F2465" s="16"/>
      <c r="G2465" s="16"/>
      <c r="H2465" s="16"/>
    </row>
    <row r="2466" spans="1:8" x14ac:dyDescent="0.3">
      <c r="A2466" t="s">
        <v>726</v>
      </c>
      <c r="B2466" s="3">
        <f t="shared" si="34"/>
        <v>43800</v>
      </c>
      <c r="C2466" s="2" t="str">
        <f>VLOOKUP(MONTH(Tabela1[[#This Row],[Periodo]]),NUMMESES,2,FALSE)</f>
        <v>Dezembro</v>
      </c>
      <c r="D2466" s="2">
        <f>YEAR(Tabela1[[#This Row],[Periodo]])</f>
        <v>2019</v>
      </c>
      <c r="E2466" s="33">
        <f>((INDEX(TBBP[],MATCH("C13",planoContas,0)+1,MATCH(Tabela1[[#This Row],[Periodo]],listaPeriodos,0))/INDEX(TBBP[],MATCH("RL10",planoContas,0)+1,MATCH(Tabela1[[#This Row],[Periodo]],listaPeriodos,0))))</f>
        <v>0.51695671981691593</v>
      </c>
      <c r="F2466" s="16"/>
      <c r="G2466" s="16"/>
      <c r="H2466" s="16"/>
    </row>
    <row r="2467" spans="1:8" x14ac:dyDescent="0.3">
      <c r="A2467" t="s">
        <v>726</v>
      </c>
      <c r="B2467" s="3">
        <f t="shared" si="34"/>
        <v>43831</v>
      </c>
      <c r="C2467" s="2" t="str">
        <f>VLOOKUP(MONTH(Tabela1[[#This Row],[Periodo]]),NUMMESES,2,FALSE)</f>
        <v>Janeiro</v>
      </c>
      <c r="D2467" s="2">
        <f>YEAR(Tabela1[[#This Row],[Periodo]])</f>
        <v>2020</v>
      </c>
      <c r="E2467" s="33">
        <f>((INDEX(TBBP[],MATCH("C13",planoContas,0)+1,MATCH(Tabela1[[#This Row],[Periodo]],listaPeriodos,0))/INDEX(TBBP[],MATCH("RL10",planoContas,0)+1,MATCH(Tabela1[[#This Row],[Periodo]],listaPeriodos,0))))</f>
        <v>0.46235107890784727</v>
      </c>
      <c r="F2467" s="16"/>
      <c r="G2467" s="16"/>
      <c r="H2467" s="16"/>
    </row>
    <row r="2468" spans="1:8" x14ac:dyDescent="0.3">
      <c r="A2468" t="s">
        <v>726</v>
      </c>
      <c r="B2468" s="3">
        <f t="shared" si="34"/>
        <v>43862</v>
      </c>
      <c r="C2468" s="2" t="str">
        <f>VLOOKUP(MONTH(Tabela1[[#This Row],[Periodo]]),NUMMESES,2,FALSE)</f>
        <v>Fevereiro</v>
      </c>
      <c r="D2468" s="2">
        <f>YEAR(Tabela1[[#This Row],[Periodo]])</f>
        <v>2020</v>
      </c>
      <c r="E2468" s="33">
        <f>((INDEX(TBBP[],MATCH("C13",planoContas,0)+1,MATCH(Tabela1[[#This Row],[Periodo]],listaPeriodos,0))/INDEX(TBBP[],MATCH("RL10",planoContas,0)+1,MATCH(Tabela1[[#This Row],[Periodo]],listaPeriodos,0))))</f>
        <v>0.48796156093625026</v>
      </c>
      <c r="F2468" s="16"/>
      <c r="G2468" s="16"/>
      <c r="H2468" s="16"/>
    </row>
    <row r="2469" spans="1:8" x14ac:dyDescent="0.3">
      <c r="A2469" t="s">
        <v>726</v>
      </c>
      <c r="B2469" s="3">
        <f t="shared" si="34"/>
        <v>43891</v>
      </c>
      <c r="C2469" s="2" t="str">
        <f>VLOOKUP(MONTH(Tabela1[[#This Row],[Periodo]]),NUMMESES,2,FALSE)</f>
        <v>Março</v>
      </c>
      <c r="D2469" s="2">
        <f>YEAR(Tabela1[[#This Row],[Periodo]])</f>
        <v>2020</v>
      </c>
      <c r="E2469" s="33">
        <f>((INDEX(TBBP[],MATCH("C13",planoContas,0)+1,MATCH(Tabela1[[#This Row],[Periodo]],listaPeriodos,0))/INDEX(TBBP[],MATCH("RL10",planoContas,0)+1,MATCH(Tabela1[[#This Row],[Periodo]],listaPeriodos,0))))</f>
        <v>0.54636332567991763</v>
      </c>
      <c r="F2469" s="16"/>
      <c r="G2469" s="16"/>
      <c r="H2469" s="16"/>
    </row>
    <row r="2470" spans="1:8" x14ac:dyDescent="0.3">
      <c r="A2470" t="s">
        <v>726</v>
      </c>
      <c r="B2470" s="3">
        <f t="shared" si="34"/>
        <v>43922</v>
      </c>
      <c r="C2470" s="2" t="str">
        <f>VLOOKUP(MONTH(Tabela1[[#This Row],[Periodo]]),NUMMESES,2,FALSE)</f>
        <v>Abril</v>
      </c>
      <c r="D2470" s="2">
        <f>YEAR(Tabela1[[#This Row],[Periodo]])</f>
        <v>2020</v>
      </c>
      <c r="E2470" s="33">
        <f>((INDEX(TBBP[],MATCH("C13",planoContas,0)+1,MATCH(Tabela1[[#This Row],[Periodo]],listaPeriodos,0))/INDEX(TBBP[],MATCH("RL10",planoContas,0)+1,MATCH(Tabela1[[#This Row],[Periodo]],listaPeriodos,0))))</f>
        <v>0.49364491404276195</v>
      </c>
      <c r="F2470" s="16"/>
      <c r="G2470" s="16"/>
      <c r="H2470" s="16"/>
    </row>
    <row r="2471" spans="1:8" x14ac:dyDescent="0.3">
      <c r="A2471" t="s">
        <v>726</v>
      </c>
      <c r="B2471" s="3">
        <f t="shared" si="34"/>
        <v>43952</v>
      </c>
      <c r="C2471" s="2" t="str">
        <f>VLOOKUP(MONTH(Tabela1[[#This Row],[Periodo]]),NUMMESES,2,FALSE)</f>
        <v>Maio</v>
      </c>
      <c r="D2471" s="2">
        <f>YEAR(Tabela1[[#This Row],[Periodo]])</f>
        <v>2020</v>
      </c>
      <c r="E2471" s="33">
        <f>((INDEX(TBBP[],MATCH("C13",planoContas,0)+1,MATCH(Tabela1[[#This Row],[Periodo]],listaPeriodos,0))/INDEX(TBBP[],MATCH("RL10",planoContas,0)+1,MATCH(Tabela1[[#This Row],[Periodo]],listaPeriodos,0))))</f>
        <v>0.51057727284704435</v>
      </c>
      <c r="F2471" s="16"/>
      <c r="G2471" s="16"/>
      <c r="H2471" s="16"/>
    </row>
    <row r="2472" spans="1:8" x14ac:dyDescent="0.3">
      <c r="A2472" t="s">
        <v>726</v>
      </c>
      <c r="B2472" s="3">
        <f t="shared" si="34"/>
        <v>43983</v>
      </c>
      <c r="C2472" s="2" t="str">
        <f>VLOOKUP(MONTH(Tabela1[[#This Row],[Periodo]]),NUMMESES,2,FALSE)</f>
        <v>Junho</v>
      </c>
      <c r="D2472" s="2">
        <f>YEAR(Tabela1[[#This Row],[Periodo]])</f>
        <v>2020</v>
      </c>
      <c r="E2472" s="33">
        <f>((INDEX(TBBP[],MATCH("C13",planoContas,0)+1,MATCH(Tabela1[[#This Row],[Periodo]],listaPeriodos,0))/INDEX(TBBP[],MATCH("RL10",planoContas,0)+1,MATCH(Tabela1[[#This Row],[Periodo]],listaPeriodos,0))))</f>
        <v>0.4553911711428823</v>
      </c>
      <c r="F2472" s="16"/>
      <c r="G2472" s="16"/>
      <c r="H2472" s="16"/>
    </row>
    <row r="2473" spans="1:8" x14ac:dyDescent="0.3">
      <c r="A2473" t="s">
        <v>726</v>
      </c>
      <c r="B2473" s="3">
        <f t="shared" si="34"/>
        <v>44013</v>
      </c>
      <c r="C2473" s="2" t="str">
        <f>VLOOKUP(MONTH(Tabela1[[#This Row],[Periodo]]),NUMMESES,2,FALSE)</f>
        <v>Julho</v>
      </c>
      <c r="D2473" s="2">
        <f>YEAR(Tabela1[[#This Row],[Periodo]])</f>
        <v>2020</v>
      </c>
      <c r="E2473" s="33">
        <f>((INDEX(TBBP[],MATCH("C13",planoContas,0)+1,MATCH(Tabela1[[#This Row],[Periodo]],listaPeriodos,0))/INDEX(TBBP[],MATCH("RL10",planoContas,0)+1,MATCH(Tabela1[[#This Row],[Periodo]],listaPeriodos,0))))</f>
        <v>0.54485206853415047</v>
      </c>
      <c r="F2473" s="16"/>
      <c r="G2473" s="16"/>
      <c r="H2473" s="16"/>
    </row>
    <row r="2474" spans="1:8" x14ac:dyDescent="0.3">
      <c r="A2474" t="s">
        <v>726</v>
      </c>
      <c r="B2474" s="3">
        <f t="shared" si="34"/>
        <v>44044</v>
      </c>
      <c r="C2474" s="2" t="str">
        <f>VLOOKUP(MONTH(Tabela1[[#This Row],[Periodo]]),NUMMESES,2,FALSE)</f>
        <v>Agosto</v>
      </c>
      <c r="D2474" s="2">
        <f>YEAR(Tabela1[[#This Row],[Periodo]])</f>
        <v>2020</v>
      </c>
      <c r="E2474" s="33">
        <f>((INDEX(TBBP[],MATCH("C13",planoContas,0)+1,MATCH(Tabela1[[#This Row],[Periodo]],listaPeriodos,0))/INDEX(TBBP[],MATCH("RL10",planoContas,0)+1,MATCH(Tabela1[[#This Row],[Periodo]],listaPeriodos,0))))</f>
        <v>0.49827124984919358</v>
      </c>
      <c r="F2474" s="16"/>
      <c r="G2474" s="16"/>
      <c r="H2474" s="16"/>
    </row>
    <row r="2475" spans="1:8" x14ac:dyDescent="0.3">
      <c r="A2475" t="s">
        <v>726</v>
      </c>
      <c r="B2475" s="3">
        <f t="shared" si="34"/>
        <v>44075</v>
      </c>
      <c r="C2475" s="2" t="str">
        <f>VLOOKUP(MONTH(Tabela1[[#This Row],[Periodo]]),NUMMESES,2,FALSE)</f>
        <v>Setembro</v>
      </c>
      <c r="D2475" s="2">
        <f>YEAR(Tabela1[[#This Row],[Periodo]])</f>
        <v>2020</v>
      </c>
      <c r="E2475" s="33">
        <f>((INDEX(TBBP[],MATCH("C13",planoContas,0)+1,MATCH(Tabela1[[#This Row],[Periodo]],listaPeriodos,0))/INDEX(TBBP[],MATCH("RL10",planoContas,0)+1,MATCH(Tabela1[[#This Row],[Periodo]],listaPeriodos,0))))</f>
        <v>0.45968664980130941</v>
      </c>
      <c r="F2475" s="16"/>
      <c r="G2475" s="16"/>
      <c r="H2475" s="16"/>
    </row>
    <row r="2476" spans="1:8" x14ac:dyDescent="0.3">
      <c r="A2476" t="s">
        <v>726</v>
      </c>
      <c r="B2476" s="3">
        <f t="shared" si="34"/>
        <v>44105</v>
      </c>
      <c r="C2476" s="2" t="str">
        <f>VLOOKUP(MONTH(Tabela1[[#This Row],[Periodo]]),NUMMESES,2,FALSE)</f>
        <v>Outubro</v>
      </c>
      <c r="D2476" s="2">
        <f>YEAR(Tabela1[[#This Row],[Periodo]])</f>
        <v>2020</v>
      </c>
      <c r="E2476" s="33">
        <f>((INDEX(TBBP[],MATCH("C13",planoContas,0)+1,MATCH(Tabela1[[#This Row],[Periodo]],listaPeriodos,0))/INDEX(TBBP[],MATCH("RL10",planoContas,0)+1,MATCH(Tabela1[[#This Row],[Periodo]],listaPeriodos,0))))</f>
        <v>0.44657681679551281</v>
      </c>
      <c r="F2476" s="16"/>
      <c r="G2476" s="16"/>
      <c r="H2476" s="16"/>
    </row>
    <row r="2477" spans="1:8" x14ac:dyDescent="0.3">
      <c r="A2477" t="s">
        <v>726</v>
      </c>
      <c r="B2477" s="3">
        <f t="shared" si="34"/>
        <v>44136</v>
      </c>
      <c r="C2477" s="2" t="str">
        <f>VLOOKUP(MONTH(Tabela1[[#This Row],[Periodo]]),NUMMESES,2,FALSE)</f>
        <v>Novembro</v>
      </c>
      <c r="D2477" s="2">
        <f>YEAR(Tabela1[[#This Row],[Periodo]])</f>
        <v>2020</v>
      </c>
      <c r="E2477" s="33">
        <f>((INDEX(TBBP[],MATCH("C13",planoContas,0)+1,MATCH(Tabela1[[#This Row],[Periodo]],listaPeriodos,0))/INDEX(TBBP[],MATCH("RL10",planoContas,0)+1,MATCH(Tabela1[[#This Row],[Periodo]],listaPeriodos,0))))</f>
        <v>0.47734788041337134</v>
      </c>
      <c r="F2477" s="16"/>
      <c r="G2477" s="16"/>
      <c r="H2477" s="16"/>
    </row>
    <row r="2478" spans="1:8" x14ac:dyDescent="0.3">
      <c r="A2478" t="s">
        <v>726</v>
      </c>
      <c r="B2478" s="3">
        <f t="shared" si="34"/>
        <v>44166</v>
      </c>
      <c r="C2478" s="2" t="str">
        <f>VLOOKUP(MONTH(Tabela1[[#This Row],[Periodo]]),NUMMESES,2,FALSE)</f>
        <v>Dezembro</v>
      </c>
      <c r="D2478" s="2">
        <f>YEAR(Tabela1[[#This Row],[Periodo]])</f>
        <v>2020</v>
      </c>
      <c r="E2478" s="33">
        <f>((INDEX(TBBP[],MATCH("C13",planoContas,0)+1,MATCH(Tabela1[[#This Row],[Periodo]],listaPeriodos,0))/INDEX(TBBP[],MATCH("RL10",planoContas,0)+1,MATCH(Tabela1[[#This Row],[Periodo]],listaPeriodos,0))))</f>
        <v>0.50144899584186442</v>
      </c>
      <c r="F2478" s="16"/>
      <c r="G2478" s="16"/>
      <c r="H2478" s="16"/>
    </row>
    <row r="2479" spans="1:8" x14ac:dyDescent="0.3">
      <c r="A2479" t="s">
        <v>726</v>
      </c>
      <c r="B2479" s="3">
        <f t="shared" si="34"/>
        <v>44197</v>
      </c>
      <c r="C2479" s="2" t="str">
        <f>VLOOKUP(MONTH(Tabela1[[#This Row],[Periodo]]),NUMMESES,2,FALSE)</f>
        <v>Janeiro</v>
      </c>
      <c r="D2479" s="2">
        <f>YEAR(Tabela1[[#This Row],[Periodo]])</f>
        <v>2021</v>
      </c>
      <c r="E2479" s="33">
        <f>((INDEX(TBBP[],MATCH("C13",planoContas,0)+1,MATCH(Tabela1[[#This Row],[Periodo]],listaPeriodos,0))/INDEX(TBBP[],MATCH("RL10",planoContas,0)+1,MATCH(Tabela1[[#This Row],[Periodo]],listaPeriodos,0))))</f>
        <v>0.47188910107754739</v>
      </c>
      <c r="F2479" s="16"/>
      <c r="G2479" s="16"/>
      <c r="H2479" s="16"/>
    </row>
    <row r="2480" spans="1:8" x14ac:dyDescent="0.3">
      <c r="A2480" t="s">
        <v>726</v>
      </c>
      <c r="B2480" s="3">
        <f t="shared" si="34"/>
        <v>44228</v>
      </c>
      <c r="C2480" s="2" t="str">
        <f>VLOOKUP(MONTH(Tabela1[[#This Row],[Periodo]]),NUMMESES,2,FALSE)</f>
        <v>Fevereiro</v>
      </c>
      <c r="D2480" s="2">
        <f>YEAR(Tabela1[[#This Row],[Periodo]])</f>
        <v>2021</v>
      </c>
      <c r="E2480" s="33">
        <f>((INDEX(TBBP[],MATCH("C13",planoContas,0)+1,MATCH(Tabela1[[#This Row],[Periodo]],listaPeriodos,0))/INDEX(TBBP[],MATCH("RL10",planoContas,0)+1,MATCH(Tabela1[[#This Row],[Periodo]],listaPeriodos,0))))</f>
        <v>0.47641557598210532</v>
      </c>
      <c r="F2480" s="16"/>
      <c r="G2480" s="16"/>
      <c r="H2480" s="16"/>
    </row>
    <row r="2481" spans="1:8" x14ac:dyDescent="0.3">
      <c r="A2481" t="s">
        <v>726</v>
      </c>
      <c r="B2481" s="3">
        <f t="shared" si="34"/>
        <v>44256</v>
      </c>
      <c r="C2481" s="2" t="str">
        <f>VLOOKUP(MONTH(Tabela1[[#This Row],[Periodo]]),NUMMESES,2,FALSE)</f>
        <v>Março</v>
      </c>
      <c r="D2481" s="2">
        <f>YEAR(Tabela1[[#This Row],[Periodo]])</f>
        <v>2021</v>
      </c>
      <c r="E2481" s="33">
        <f>((INDEX(TBBP[],MATCH("C13",planoContas,0)+1,MATCH(Tabela1[[#This Row],[Periodo]],listaPeriodos,0))/INDEX(TBBP[],MATCH("RL10",planoContas,0)+1,MATCH(Tabela1[[#This Row],[Periodo]],listaPeriodos,0))))</f>
        <v>0.47301970139789229</v>
      </c>
      <c r="F2481" s="16"/>
      <c r="G2481" s="16"/>
      <c r="H2481" s="16"/>
    </row>
    <row r="2482" spans="1:8" x14ac:dyDescent="0.3">
      <c r="A2482" t="s">
        <v>726</v>
      </c>
      <c r="B2482" s="3">
        <f t="shared" si="34"/>
        <v>44287</v>
      </c>
      <c r="C2482" s="2" t="str">
        <f>VLOOKUP(MONTH(Tabela1[[#This Row],[Periodo]]),NUMMESES,2,FALSE)</f>
        <v>Abril</v>
      </c>
      <c r="D2482" s="2">
        <f>YEAR(Tabela1[[#This Row],[Periodo]])</f>
        <v>2021</v>
      </c>
      <c r="E2482" s="33">
        <f>((INDEX(TBBP[],MATCH("C13",planoContas,0)+1,MATCH(Tabela1[[#This Row],[Periodo]],listaPeriodos,0))/INDEX(TBBP[],MATCH("RL10",planoContas,0)+1,MATCH(Tabela1[[#This Row],[Periodo]],listaPeriodos,0))))</f>
        <v>0.45459253179780501</v>
      </c>
      <c r="F2482" s="16"/>
      <c r="G2482" s="16"/>
      <c r="H2482" s="16"/>
    </row>
    <row r="2483" spans="1:8" x14ac:dyDescent="0.3">
      <c r="A2483" t="s">
        <v>726</v>
      </c>
      <c r="B2483" s="3">
        <f t="shared" si="34"/>
        <v>44317</v>
      </c>
      <c r="C2483" s="2" t="str">
        <f>VLOOKUP(MONTH(Tabela1[[#This Row],[Periodo]]),NUMMESES,2,FALSE)</f>
        <v>Maio</v>
      </c>
      <c r="D2483" s="2">
        <f>YEAR(Tabela1[[#This Row],[Periodo]])</f>
        <v>2021</v>
      </c>
      <c r="E2483" s="33">
        <f>((INDEX(TBBP[],MATCH("C13",planoContas,0)+1,MATCH(Tabela1[[#This Row],[Periodo]],listaPeriodos,0))/INDEX(TBBP[],MATCH("RL10",planoContas,0)+1,MATCH(Tabela1[[#This Row],[Periodo]],listaPeriodos,0))))</f>
        <v>0.47767216371937193</v>
      </c>
      <c r="F2483" s="16"/>
      <c r="G2483" s="16"/>
      <c r="H2483" s="16"/>
    </row>
    <row r="2484" spans="1:8" x14ac:dyDescent="0.3">
      <c r="A2484" t="s">
        <v>726</v>
      </c>
      <c r="B2484" s="3">
        <f t="shared" si="34"/>
        <v>44348</v>
      </c>
      <c r="C2484" s="2" t="str">
        <f>VLOOKUP(MONTH(Tabela1[[#This Row],[Periodo]]),NUMMESES,2,FALSE)</f>
        <v>Junho</v>
      </c>
      <c r="D2484" s="2">
        <f>YEAR(Tabela1[[#This Row],[Periodo]])</f>
        <v>2021</v>
      </c>
      <c r="E2484" s="33">
        <f>((INDEX(TBBP[],MATCH("C13",planoContas,0)+1,MATCH(Tabela1[[#This Row],[Periodo]],listaPeriodos,0))/INDEX(TBBP[],MATCH("RL10",planoContas,0)+1,MATCH(Tabela1[[#This Row],[Periodo]],listaPeriodos,0))))</f>
        <v>0.48748500239949222</v>
      </c>
      <c r="F2484" s="16"/>
      <c r="G2484" s="16"/>
      <c r="H2484" s="16"/>
    </row>
    <row r="2485" spans="1:8" x14ac:dyDescent="0.3">
      <c r="A2485" t="s">
        <v>726</v>
      </c>
      <c r="B2485" s="3">
        <f t="shared" si="34"/>
        <v>44378</v>
      </c>
      <c r="C2485" s="2" t="str">
        <f>VLOOKUP(MONTH(Tabela1[[#This Row],[Periodo]]),NUMMESES,2,FALSE)</f>
        <v>Julho</v>
      </c>
      <c r="D2485" s="2">
        <f>YEAR(Tabela1[[#This Row],[Periodo]])</f>
        <v>2021</v>
      </c>
      <c r="E2485" s="33">
        <f>((INDEX(TBBP[],MATCH("C13",planoContas,0)+1,MATCH(Tabela1[[#This Row],[Periodo]],listaPeriodos,0))/INDEX(TBBP[],MATCH("RL10",planoContas,0)+1,MATCH(Tabela1[[#This Row],[Periodo]],listaPeriodos,0))))</f>
        <v>0.48777117962968036</v>
      </c>
      <c r="F2485" s="16"/>
      <c r="G2485" s="16"/>
      <c r="H2485" s="16"/>
    </row>
    <row r="2486" spans="1:8" x14ac:dyDescent="0.3">
      <c r="A2486" t="s">
        <v>726</v>
      </c>
      <c r="B2486" s="3">
        <f t="shared" si="34"/>
        <v>44409</v>
      </c>
      <c r="C2486" s="2" t="str">
        <f>VLOOKUP(MONTH(Tabela1[[#This Row],[Periodo]]),NUMMESES,2,FALSE)</f>
        <v>Agosto</v>
      </c>
      <c r="D2486" s="2">
        <f>YEAR(Tabela1[[#This Row],[Periodo]])</f>
        <v>2021</v>
      </c>
      <c r="E2486" s="33">
        <f>((INDEX(TBBP[],MATCH("C13",planoContas,0)+1,MATCH(Tabela1[[#This Row],[Periodo]],listaPeriodos,0))/INDEX(TBBP[],MATCH("RL10",planoContas,0)+1,MATCH(Tabela1[[#This Row],[Periodo]],listaPeriodos,0))))</f>
        <v>0.4860991800675194</v>
      </c>
      <c r="F2486" s="16"/>
      <c r="G2486" s="16"/>
      <c r="H2486" s="16"/>
    </row>
    <row r="2487" spans="1:8" x14ac:dyDescent="0.3">
      <c r="A2487" t="s">
        <v>726</v>
      </c>
      <c r="B2487" s="3">
        <f t="shared" si="34"/>
        <v>44440</v>
      </c>
      <c r="C2487" s="2" t="str">
        <f>VLOOKUP(MONTH(Tabela1[[#This Row],[Periodo]]),NUMMESES,2,FALSE)</f>
        <v>Setembro</v>
      </c>
      <c r="D2487" s="2">
        <f>YEAR(Tabela1[[#This Row],[Periodo]])</f>
        <v>2021</v>
      </c>
      <c r="E2487" s="33">
        <f>((INDEX(TBBP[],MATCH("C13",planoContas,0)+1,MATCH(Tabela1[[#This Row],[Periodo]],listaPeriodos,0))/INDEX(TBBP[],MATCH("RL10",planoContas,0)+1,MATCH(Tabela1[[#This Row],[Periodo]],listaPeriodos,0))))</f>
        <v>0.44647378035815205</v>
      </c>
      <c r="F2487" s="16"/>
      <c r="G2487" s="16"/>
      <c r="H2487" s="16"/>
    </row>
    <row r="2488" spans="1:8" x14ac:dyDescent="0.3">
      <c r="A2488" t="s">
        <v>726</v>
      </c>
      <c r="B2488" s="3">
        <f t="shared" si="34"/>
        <v>44470</v>
      </c>
      <c r="C2488" s="2" t="str">
        <f>VLOOKUP(MONTH(Tabela1[[#This Row],[Periodo]]),NUMMESES,2,FALSE)</f>
        <v>Outubro</v>
      </c>
      <c r="D2488" s="2">
        <f>YEAR(Tabela1[[#This Row],[Periodo]])</f>
        <v>2021</v>
      </c>
      <c r="E2488" s="33">
        <f>((INDEX(TBBP[],MATCH("C13",planoContas,0)+1,MATCH(Tabela1[[#This Row],[Periodo]],listaPeriodos,0))/INDEX(TBBP[],MATCH("RL10",planoContas,0)+1,MATCH(Tabela1[[#This Row],[Periodo]],listaPeriodos,0))))</f>
        <v>0.4922589012094436</v>
      </c>
      <c r="F2488" s="16"/>
      <c r="G2488" s="16"/>
      <c r="H2488" s="16"/>
    </row>
    <row r="2489" spans="1:8" x14ac:dyDescent="0.3">
      <c r="A2489" t="s">
        <v>726</v>
      </c>
      <c r="B2489" s="3">
        <f t="shared" si="34"/>
        <v>44501</v>
      </c>
      <c r="C2489" s="2" t="str">
        <f>VLOOKUP(MONTH(Tabela1[[#This Row],[Periodo]]),NUMMESES,2,FALSE)</f>
        <v>Novembro</v>
      </c>
      <c r="D2489" s="2">
        <f>YEAR(Tabela1[[#This Row],[Periodo]])</f>
        <v>2021</v>
      </c>
      <c r="E2489" s="33">
        <f>((INDEX(TBBP[],MATCH("C13",planoContas,0)+1,MATCH(Tabela1[[#This Row],[Periodo]],listaPeriodos,0))/INDEX(TBBP[],MATCH("RL10",planoContas,0)+1,MATCH(Tabela1[[#This Row],[Periodo]],listaPeriodos,0))))</f>
        <v>0.48632588697037771</v>
      </c>
      <c r="F2489" s="16"/>
      <c r="G2489" s="16"/>
      <c r="H2489" s="16"/>
    </row>
    <row r="2490" spans="1:8" x14ac:dyDescent="0.3">
      <c r="A2490" t="s">
        <v>726</v>
      </c>
      <c r="B2490" s="3">
        <f t="shared" si="34"/>
        <v>44531</v>
      </c>
      <c r="C2490" s="2" t="str">
        <f>VLOOKUP(MONTH(Tabela1[[#This Row],[Periodo]]),NUMMESES,2,FALSE)</f>
        <v>Dezembro</v>
      </c>
      <c r="D2490" s="2">
        <f>YEAR(Tabela1[[#This Row],[Periodo]])</f>
        <v>2021</v>
      </c>
      <c r="E2490" s="33">
        <f>((INDEX(TBBP[],MATCH("C13",planoContas,0)+1,MATCH(Tabela1[[#This Row],[Periodo]],listaPeriodos,0))/INDEX(TBBP[],MATCH("RL10",planoContas,0)+1,MATCH(Tabela1[[#This Row],[Periodo]],listaPeriodos,0))))</f>
        <v>0.49973905710261224</v>
      </c>
      <c r="F2490" s="16"/>
      <c r="G2490" s="16"/>
      <c r="H2490" s="16"/>
    </row>
    <row r="2491" spans="1:8" x14ac:dyDescent="0.3">
      <c r="A2491" t="s">
        <v>726</v>
      </c>
      <c r="B2491" s="3">
        <f t="shared" si="34"/>
        <v>44562</v>
      </c>
      <c r="C2491" s="2" t="str">
        <f>VLOOKUP(MONTH(Tabela1[[#This Row],[Periodo]]),NUMMESES,2,FALSE)</f>
        <v>Janeiro</v>
      </c>
      <c r="D2491" s="2">
        <f>YEAR(Tabela1[[#This Row],[Periodo]])</f>
        <v>2022</v>
      </c>
      <c r="E2491" s="33">
        <f>((INDEX(TBBP[],MATCH("C13",planoContas,0)+1,MATCH(Tabela1[[#This Row],[Periodo]],listaPeriodos,0))/INDEX(TBBP[],MATCH("RL10",planoContas,0)+1,MATCH(Tabela1[[#This Row],[Periodo]],listaPeriodos,0))))</f>
        <v>0.48517444455198377</v>
      </c>
      <c r="F2491" s="16"/>
      <c r="G2491" s="16"/>
      <c r="H2491" s="16"/>
    </row>
    <row r="2492" spans="1:8" x14ac:dyDescent="0.3">
      <c r="A2492" t="s">
        <v>726</v>
      </c>
      <c r="B2492" s="3">
        <f t="shared" si="34"/>
        <v>44593</v>
      </c>
      <c r="C2492" s="2" t="str">
        <f>VLOOKUP(MONTH(Tabela1[[#This Row],[Periodo]]),NUMMESES,2,FALSE)</f>
        <v>Fevereiro</v>
      </c>
      <c r="D2492" s="2">
        <f>YEAR(Tabela1[[#This Row],[Periodo]])</f>
        <v>2022</v>
      </c>
      <c r="E2492" s="33">
        <f>((INDEX(TBBP[],MATCH("C13",planoContas,0)+1,MATCH(Tabela1[[#This Row],[Periodo]],listaPeriodos,0))/INDEX(TBBP[],MATCH("RL10",planoContas,0)+1,MATCH(Tabela1[[#This Row],[Periodo]],listaPeriodos,0))))</f>
        <v>0.4826960411940846</v>
      </c>
      <c r="F2492" s="16"/>
      <c r="G2492" s="16"/>
      <c r="H2492" s="16"/>
    </row>
    <row r="2493" spans="1:8" x14ac:dyDescent="0.3">
      <c r="A2493" t="s">
        <v>726</v>
      </c>
      <c r="B2493" s="3">
        <f t="shared" si="34"/>
        <v>44621</v>
      </c>
      <c r="C2493" s="2" t="str">
        <f>VLOOKUP(MONTH(Tabela1[[#This Row],[Periodo]]),NUMMESES,2,FALSE)</f>
        <v>Março</v>
      </c>
      <c r="D2493" s="2">
        <f>YEAR(Tabela1[[#This Row],[Periodo]])</f>
        <v>2022</v>
      </c>
      <c r="E2493" s="33">
        <f>((INDEX(TBBP[],MATCH("C13",planoContas,0)+1,MATCH(Tabela1[[#This Row],[Periodo]],listaPeriodos,0))/INDEX(TBBP[],MATCH("RL10",planoContas,0)+1,MATCH(Tabela1[[#This Row],[Periodo]],listaPeriodos,0))))</f>
        <v>0.52025118894235733</v>
      </c>
      <c r="F2493" s="16"/>
      <c r="G2493" s="16"/>
      <c r="H2493" s="16"/>
    </row>
    <row r="2494" spans="1:8" x14ac:dyDescent="0.3">
      <c r="A2494" t="s">
        <v>726</v>
      </c>
      <c r="B2494" s="3">
        <f t="shared" si="34"/>
        <v>44652</v>
      </c>
      <c r="C2494" s="2" t="str">
        <f>VLOOKUP(MONTH(Tabela1[[#This Row],[Periodo]]),NUMMESES,2,FALSE)</f>
        <v>Abril</v>
      </c>
      <c r="D2494" s="2">
        <f>YEAR(Tabela1[[#This Row],[Periodo]])</f>
        <v>2022</v>
      </c>
      <c r="E2494" s="33">
        <f>((INDEX(TBBP[],MATCH("C13",planoContas,0)+1,MATCH(Tabela1[[#This Row],[Periodo]],listaPeriodos,0))/INDEX(TBBP[],MATCH("RL10",planoContas,0)+1,MATCH(Tabela1[[#This Row],[Periodo]],listaPeriodos,0))))</f>
        <v>0.48957633329217648</v>
      </c>
      <c r="F2494" s="16"/>
      <c r="G2494" s="16"/>
      <c r="H2494" s="16"/>
    </row>
    <row r="2495" spans="1:8" x14ac:dyDescent="0.3">
      <c r="A2495" t="s">
        <v>726</v>
      </c>
      <c r="B2495" s="3">
        <f t="shared" si="34"/>
        <v>44682</v>
      </c>
      <c r="C2495" s="2" t="str">
        <f>VLOOKUP(MONTH(Tabela1[[#This Row],[Periodo]]),NUMMESES,2,FALSE)</f>
        <v>Maio</v>
      </c>
      <c r="D2495" s="2">
        <f>YEAR(Tabela1[[#This Row],[Periodo]])</f>
        <v>2022</v>
      </c>
      <c r="E2495" s="33">
        <f>((INDEX(TBBP[],MATCH("C13",planoContas,0)+1,MATCH(Tabela1[[#This Row],[Periodo]],listaPeriodos,0))/INDEX(TBBP[],MATCH("RL10",planoContas,0)+1,MATCH(Tabela1[[#This Row],[Periodo]],listaPeriodos,0))))</f>
        <v>0.4821387009562253</v>
      </c>
      <c r="F2495" s="16"/>
      <c r="G2495" s="16"/>
      <c r="H2495" s="16"/>
    </row>
    <row r="2496" spans="1:8" x14ac:dyDescent="0.3">
      <c r="A2496" t="s">
        <v>726</v>
      </c>
      <c r="B2496" s="3">
        <f t="shared" si="34"/>
        <v>44713</v>
      </c>
      <c r="C2496" s="2" t="str">
        <f>VLOOKUP(MONTH(Tabela1[[#This Row],[Periodo]]),NUMMESES,2,FALSE)</f>
        <v>Junho</v>
      </c>
      <c r="D2496" s="2">
        <f>YEAR(Tabela1[[#This Row],[Periodo]])</f>
        <v>2022</v>
      </c>
      <c r="E2496" s="33">
        <f>((INDEX(TBBP[],MATCH("C13",planoContas,0)+1,MATCH(Tabela1[[#This Row],[Periodo]],listaPeriodos,0))/INDEX(TBBP[],MATCH("RL10",planoContas,0)+1,MATCH(Tabela1[[#This Row],[Periodo]],listaPeriodos,0))))</f>
        <v>0.47519106062876076</v>
      </c>
      <c r="F2496" s="16"/>
      <c r="G2496" s="16"/>
      <c r="H2496" s="16"/>
    </row>
    <row r="2497" spans="1:8" x14ac:dyDescent="0.3">
      <c r="A2497" t="s">
        <v>726</v>
      </c>
      <c r="B2497" s="3">
        <f t="shared" si="34"/>
        <v>44743</v>
      </c>
      <c r="C2497" s="2" t="str">
        <f>VLOOKUP(MONTH(Tabela1[[#This Row],[Periodo]]),NUMMESES,2,FALSE)</f>
        <v>Julho</v>
      </c>
      <c r="D2497" s="2">
        <f>YEAR(Tabela1[[#This Row],[Periodo]])</f>
        <v>2022</v>
      </c>
      <c r="E2497" s="33">
        <f>((INDEX(TBBP[],MATCH("C13",planoContas,0)+1,MATCH(Tabela1[[#This Row],[Periodo]],listaPeriodos,0))/INDEX(TBBP[],MATCH("RL10",planoContas,0)+1,MATCH(Tabela1[[#This Row],[Periodo]],listaPeriodos,0))))</f>
        <v>0.4618136673350397</v>
      </c>
      <c r="F2497" s="16"/>
      <c r="G2497" s="16"/>
      <c r="H2497" s="16"/>
    </row>
    <row r="2498" spans="1:8" x14ac:dyDescent="0.3">
      <c r="A2498" t="s">
        <v>726</v>
      </c>
      <c r="B2498" s="3">
        <f t="shared" si="34"/>
        <v>44774</v>
      </c>
      <c r="C2498" s="2" t="str">
        <f>VLOOKUP(MONTH(Tabela1[[#This Row],[Periodo]]),NUMMESES,2,FALSE)</f>
        <v>Agosto</v>
      </c>
      <c r="D2498" s="2">
        <f>YEAR(Tabela1[[#This Row],[Periodo]])</f>
        <v>2022</v>
      </c>
      <c r="E2498" s="33">
        <f>((INDEX(TBBP[],MATCH("C13",planoContas,0)+1,MATCH(Tabela1[[#This Row],[Periodo]],listaPeriodos,0))/INDEX(TBBP[],MATCH("RL10",planoContas,0)+1,MATCH(Tabela1[[#This Row],[Periodo]],listaPeriodos,0))))</f>
        <v>0.4774802653569874</v>
      </c>
      <c r="F2498" s="16"/>
      <c r="G2498" s="16"/>
      <c r="H2498" s="16"/>
    </row>
    <row r="2499" spans="1:8" x14ac:dyDescent="0.3">
      <c r="A2499" t="s">
        <v>726</v>
      </c>
      <c r="B2499" s="3">
        <f t="shared" si="34"/>
        <v>44805</v>
      </c>
      <c r="C2499" s="2" t="str">
        <f>VLOOKUP(MONTH(Tabela1[[#This Row],[Periodo]]),NUMMESES,2,FALSE)</f>
        <v>Setembro</v>
      </c>
      <c r="D2499" s="2">
        <f>YEAR(Tabela1[[#This Row],[Periodo]])</f>
        <v>2022</v>
      </c>
      <c r="E2499" s="33">
        <f>((INDEX(TBBP[],MATCH("C13",planoContas,0)+1,MATCH(Tabela1[[#This Row],[Periodo]],listaPeriodos,0))/INDEX(TBBP[],MATCH("RL10",planoContas,0)+1,MATCH(Tabela1[[#This Row],[Periodo]],listaPeriodos,0))))</f>
        <v>0.49477906589852166</v>
      </c>
      <c r="F2499" s="16"/>
      <c r="G2499" s="16"/>
      <c r="H2499" s="16"/>
    </row>
    <row r="2500" spans="1:8" x14ac:dyDescent="0.3">
      <c r="A2500" t="s">
        <v>726</v>
      </c>
      <c r="B2500" s="3">
        <f t="shared" si="34"/>
        <v>44835</v>
      </c>
      <c r="C2500" s="2" t="str">
        <f>VLOOKUP(MONTH(Tabela1[[#This Row],[Periodo]]),NUMMESES,2,FALSE)</f>
        <v>Outubro</v>
      </c>
      <c r="D2500" s="2">
        <f>YEAR(Tabela1[[#This Row],[Periodo]])</f>
        <v>2022</v>
      </c>
      <c r="E2500" s="33">
        <f>((INDEX(TBBP[],MATCH("C13",planoContas,0)+1,MATCH(Tabela1[[#This Row],[Periodo]],listaPeriodos,0))/INDEX(TBBP[],MATCH("RL10",planoContas,0)+1,MATCH(Tabela1[[#This Row],[Periodo]],listaPeriodos,0))))</f>
        <v>0.47760586172356151</v>
      </c>
      <c r="F2500" s="16"/>
      <c r="G2500" s="16"/>
      <c r="H2500" s="16"/>
    </row>
    <row r="2501" spans="1:8" x14ac:dyDescent="0.3">
      <c r="A2501" t="s">
        <v>726</v>
      </c>
      <c r="B2501" s="3">
        <f t="shared" si="34"/>
        <v>44866</v>
      </c>
      <c r="C2501" s="2" t="str">
        <f>VLOOKUP(MONTH(Tabela1[[#This Row],[Periodo]]),NUMMESES,2,FALSE)</f>
        <v>Novembro</v>
      </c>
      <c r="D2501" s="2">
        <f>YEAR(Tabela1[[#This Row],[Periodo]])</f>
        <v>2022</v>
      </c>
      <c r="E2501" s="33">
        <f>((INDEX(TBBP[],MATCH("C13",planoContas,0)+1,MATCH(Tabela1[[#This Row],[Periodo]],listaPeriodos,0))/INDEX(TBBP[],MATCH("RL10",planoContas,0)+1,MATCH(Tabela1[[#This Row],[Periodo]],listaPeriodos,0))))</f>
        <v>0.51648658212347576</v>
      </c>
      <c r="F2501" s="16"/>
      <c r="G2501" s="16"/>
      <c r="H2501" s="16"/>
    </row>
    <row r="2502" spans="1:8" x14ac:dyDescent="0.3">
      <c r="A2502" t="s">
        <v>726</v>
      </c>
      <c r="B2502" s="3">
        <f t="shared" si="34"/>
        <v>44896</v>
      </c>
      <c r="C2502" s="2" t="str">
        <f>VLOOKUP(MONTH(Tabela1[[#This Row],[Periodo]]),NUMMESES,2,FALSE)</f>
        <v>Dezembro</v>
      </c>
      <c r="D2502" s="2">
        <f>YEAR(Tabela1[[#This Row],[Periodo]])</f>
        <v>2022</v>
      </c>
      <c r="E2502" s="33">
        <f>((INDEX(TBBP[],MATCH("C13",planoContas,0)+1,MATCH(Tabela1[[#This Row],[Periodo]],listaPeriodos,0))/INDEX(TBBP[],MATCH("RL10",planoContas,0)+1,MATCH(Tabela1[[#This Row],[Periodo]],listaPeriodos,0))))</f>
        <v>0.4865604221086377</v>
      </c>
      <c r="F2502" s="16"/>
      <c r="G2502" s="16"/>
      <c r="H2502" s="16"/>
    </row>
    <row r="2503" spans="1:8" x14ac:dyDescent="0.3">
      <c r="A2503" t="s">
        <v>726</v>
      </c>
      <c r="B2503" s="3">
        <f t="shared" si="34"/>
        <v>44927</v>
      </c>
      <c r="C2503" s="2" t="str">
        <f>VLOOKUP(MONTH(Tabela1[[#This Row],[Periodo]]),NUMMESES,2,FALSE)</f>
        <v>Janeiro</v>
      </c>
      <c r="D2503" s="2">
        <f>YEAR(Tabela1[[#This Row],[Periodo]])</f>
        <v>2023</v>
      </c>
      <c r="E2503" s="33">
        <f>((INDEX(TBBP[],MATCH("C13",planoContas,0)+1,MATCH(Tabela1[[#This Row],[Periodo]],listaPeriodos,0))/INDEX(TBBP[],MATCH("RL10",planoContas,0)+1,MATCH(Tabela1[[#This Row],[Periodo]],listaPeriodos,0))))</f>
        <v>0.52668497319332153</v>
      </c>
      <c r="F2503" s="16"/>
      <c r="G2503" s="16"/>
      <c r="H2503" s="16"/>
    </row>
    <row r="2504" spans="1:8" x14ac:dyDescent="0.3">
      <c r="A2504" t="s">
        <v>726</v>
      </c>
      <c r="B2504" s="3">
        <f t="shared" si="34"/>
        <v>44958</v>
      </c>
      <c r="C2504" s="2" t="str">
        <f>VLOOKUP(MONTH(Tabela1[[#This Row],[Periodo]]),NUMMESES,2,FALSE)</f>
        <v>Fevereiro</v>
      </c>
      <c r="D2504" s="2">
        <f>YEAR(Tabela1[[#This Row],[Periodo]])</f>
        <v>2023</v>
      </c>
      <c r="E2504" s="33">
        <f>((INDEX(TBBP[],MATCH("C13",planoContas,0)+1,MATCH(Tabela1[[#This Row],[Periodo]],listaPeriodos,0))/INDEX(TBBP[],MATCH("RL10",planoContas,0)+1,MATCH(Tabela1[[#This Row],[Periodo]],listaPeriodos,0))))</f>
        <v>0.48181282391886454</v>
      </c>
      <c r="F2504" s="16"/>
      <c r="G2504" s="16"/>
      <c r="H2504" s="16"/>
    </row>
    <row r="2505" spans="1:8" x14ac:dyDescent="0.3">
      <c r="A2505" t="s">
        <v>726</v>
      </c>
      <c r="B2505" s="3">
        <f t="shared" si="34"/>
        <v>44986</v>
      </c>
      <c r="C2505" s="2" t="str">
        <f>VLOOKUP(MONTH(Tabela1[[#This Row],[Periodo]]),NUMMESES,2,FALSE)</f>
        <v>Março</v>
      </c>
      <c r="D2505" s="2">
        <f>YEAR(Tabela1[[#This Row],[Periodo]])</f>
        <v>2023</v>
      </c>
      <c r="E2505" s="33">
        <f>((INDEX(TBBP[],MATCH("C13",planoContas,0)+1,MATCH(Tabela1[[#This Row],[Periodo]],listaPeriodos,0))/INDEX(TBBP[],MATCH("RL10",planoContas,0)+1,MATCH(Tabela1[[#This Row],[Periodo]],listaPeriodos,0))))</f>
        <v>0.51305691370451634</v>
      </c>
      <c r="F2505" s="16"/>
      <c r="G2505" s="16"/>
      <c r="H2505" s="16"/>
    </row>
    <row r="2506" spans="1:8" x14ac:dyDescent="0.3">
      <c r="A2506" t="s">
        <v>726</v>
      </c>
      <c r="B2506" s="3">
        <f t="shared" si="34"/>
        <v>45017</v>
      </c>
      <c r="C2506" s="2" t="str">
        <f>VLOOKUP(MONTH(Tabela1[[#This Row],[Periodo]]),NUMMESES,2,FALSE)</f>
        <v>Abril</v>
      </c>
      <c r="D2506" s="2">
        <f>YEAR(Tabela1[[#This Row],[Periodo]])</f>
        <v>2023</v>
      </c>
      <c r="E2506" s="33">
        <f>((INDEX(TBBP[],MATCH("C13",planoContas,0)+1,MATCH(Tabela1[[#This Row],[Periodo]],listaPeriodos,0))/INDEX(TBBP[],MATCH("RL10",planoContas,0)+1,MATCH(Tabela1[[#This Row],[Periodo]],listaPeriodos,0))))</f>
        <v>0.50473440270935388</v>
      </c>
      <c r="F2506" s="16"/>
      <c r="G2506" s="16"/>
      <c r="H2506" s="16"/>
    </row>
    <row r="2507" spans="1:8" x14ac:dyDescent="0.3">
      <c r="A2507" t="s">
        <v>726</v>
      </c>
      <c r="B2507" s="3">
        <f t="shared" si="34"/>
        <v>45047</v>
      </c>
      <c r="C2507" s="2" t="str">
        <f>VLOOKUP(MONTH(Tabela1[[#This Row],[Periodo]]),NUMMESES,2,FALSE)</f>
        <v>Maio</v>
      </c>
      <c r="D2507" s="2">
        <f>YEAR(Tabela1[[#This Row],[Periodo]])</f>
        <v>2023</v>
      </c>
      <c r="E2507" s="33">
        <f>((INDEX(TBBP[],MATCH("C13",planoContas,0)+1,MATCH(Tabela1[[#This Row],[Periodo]],listaPeriodos,0))/INDEX(TBBP[],MATCH("RL10",planoContas,0)+1,MATCH(Tabela1[[#This Row],[Periodo]],listaPeriodos,0))))</f>
        <v>0.46999875830873827</v>
      </c>
      <c r="F2507" s="16"/>
      <c r="G2507" s="16"/>
      <c r="H2507" s="16"/>
    </row>
    <row r="2508" spans="1:8" x14ac:dyDescent="0.3">
      <c r="A2508" t="s">
        <v>726</v>
      </c>
      <c r="B2508" s="3">
        <f t="shared" si="34"/>
        <v>45078</v>
      </c>
      <c r="C2508" s="2" t="str">
        <f>VLOOKUP(MONTH(Tabela1[[#This Row],[Periodo]]),NUMMESES,2,FALSE)</f>
        <v>Junho</v>
      </c>
      <c r="D2508" s="2">
        <f>YEAR(Tabela1[[#This Row],[Periodo]])</f>
        <v>2023</v>
      </c>
      <c r="E2508" s="33">
        <f>((INDEX(TBBP[],MATCH("C13",planoContas,0)+1,MATCH(Tabela1[[#This Row],[Periodo]],listaPeriodos,0))/INDEX(TBBP[],MATCH("RL10",planoContas,0)+1,MATCH(Tabela1[[#This Row],[Periodo]],listaPeriodos,0))))</f>
        <v>0.47614481048103657</v>
      </c>
      <c r="F2508" s="16"/>
      <c r="G2508" s="16"/>
      <c r="H2508" s="16"/>
    </row>
    <row r="2509" spans="1:8" x14ac:dyDescent="0.3">
      <c r="A2509" t="s">
        <v>726</v>
      </c>
      <c r="B2509" s="3">
        <f t="shared" si="34"/>
        <v>45108</v>
      </c>
      <c r="C2509" s="2" t="str">
        <f>VLOOKUP(MONTH(Tabela1[[#This Row],[Periodo]]),NUMMESES,2,FALSE)</f>
        <v>Julho</v>
      </c>
      <c r="D2509" s="2">
        <f>YEAR(Tabela1[[#This Row],[Periodo]])</f>
        <v>2023</v>
      </c>
      <c r="E2509" s="33">
        <f>((INDEX(TBBP[],MATCH("C13",planoContas,0)+1,MATCH(Tabela1[[#This Row],[Periodo]],listaPeriodos,0))/INDEX(TBBP[],MATCH("RL10",planoContas,0)+1,MATCH(Tabela1[[#This Row],[Periodo]],listaPeriodos,0))))</f>
        <v>0.50071339530582437</v>
      </c>
      <c r="F2509" s="16"/>
      <c r="G2509" s="16"/>
      <c r="H2509" s="16"/>
    </row>
    <row r="2510" spans="1:8" x14ac:dyDescent="0.3">
      <c r="A2510" t="s">
        <v>726</v>
      </c>
      <c r="B2510" s="3">
        <f t="shared" si="34"/>
        <v>45139</v>
      </c>
      <c r="C2510" s="2" t="str">
        <f>VLOOKUP(MONTH(Tabela1[[#This Row],[Periodo]]),NUMMESES,2,FALSE)</f>
        <v>Agosto</v>
      </c>
      <c r="D2510" s="2">
        <f>YEAR(Tabela1[[#This Row],[Periodo]])</f>
        <v>2023</v>
      </c>
      <c r="E2510" s="33">
        <f>((INDEX(TBBP[],MATCH("C13",planoContas,0)+1,MATCH(Tabela1[[#This Row],[Periodo]],listaPeriodos,0))/INDEX(TBBP[],MATCH("RL10",planoContas,0)+1,MATCH(Tabela1[[#This Row],[Periodo]],listaPeriodos,0))))</f>
        <v>0.51598852161490016</v>
      </c>
      <c r="F2510" s="16"/>
      <c r="G2510" s="16"/>
      <c r="H2510" s="16"/>
    </row>
    <row r="2511" spans="1:8" x14ac:dyDescent="0.3">
      <c r="A2511" t="s">
        <v>726</v>
      </c>
      <c r="B2511" s="3">
        <f t="shared" si="34"/>
        <v>45170</v>
      </c>
      <c r="C2511" s="2" t="str">
        <f>VLOOKUP(MONTH(Tabela1[[#This Row],[Periodo]]),NUMMESES,2,FALSE)</f>
        <v>Setembro</v>
      </c>
      <c r="D2511" s="2">
        <f>YEAR(Tabela1[[#This Row],[Periodo]])</f>
        <v>2023</v>
      </c>
      <c r="E2511" s="33" t="e">
        <f>((INDEX(TBBP[],MATCH("C13",planoContas,0)+1,MATCH(Tabela1[[#This Row],[Periodo]],listaPeriodos,0))/INDEX(TBBP[],MATCH("RL10",planoContas,0)+1,MATCH(Tabela1[[#This Row],[Periodo]],listaPeriodos,0))))</f>
        <v>#DIV/0!</v>
      </c>
      <c r="F2511" s="16"/>
      <c r="G2511" s="16"/>
      <c r="H2511" s="16"/>
    </row>
    <row r="2512" spans="1:8" x14ac:dyDescent="0.3">
      <c r="A2512" t="s">
        <v>726</v>
      </c>
      <c r="B2512" s="3">
        <f t="shared" si="34"/>
        <v>45200</v>
      </c>
      <c r="C2512" s="2" t="str">
        <f>VLOOKUP(MONTH(Tabela1[[#This Row],[Periodo]]),NUMMESES,2,FALSE)</f>
        <v>Outubro</v>
      </c>
      <c r="D2512" s="2">
        <f>YEAR(Tabela1[[#This Row],[Periodo]])</f>
        <v>2023</v>
      </c>
      <c r="E2512" s="33" t="e">
        <f>((INDEX(TBBP[],MATCH("C13",planoContas,0)+1,MATCH(Tabela1[[#This Row],[Periodo]],listaPeriodos,0))/INDEX(TBBP[],MATCH("RL10",planoContas,0)+1,MATCH(Tabela1[[#This Row],[Periodo]],listaPeriodos,0))))</f>
        <v>#DIV/0!</v>
      </c>
      <c r="F2512" s="16"/>
      <c r="G2512" s="16"/>
      <c r="H2512" s="16"/>
    </row>
    <row r="2513" spans="1:8" x14ac:dyDescent="0.3">
      <c r="A2513" t="s">
        <v>726</v>
      </c>
      <c r="B2513" s="3">
        <f t="shared" si="34"/>
        <v>45231</v>
      </c>
      <c r="C2513" s="2" t="str">
        <f>VLOOKUP(MONTH(Tabela1[[#This Row],[Periodo]]),NUMMESES,2,FALSE)</f>
        <v>Novembro</v>
      </c>
      <c r="D2513" s="2">
        <f>YEAR(Tabela1[[#This Row],[Periodo]])</f>
        <v>2023</v>
      </c>
      <c r="E2513" s="33" t="e">
        <f>((INDEX(TBBP[],MATCH("C13",planoContas,0)+1,MATCH(Tabela1[[#This Row],[Periodo]],listaPeriodos,0))/INDEX(TBBP[],MATCH("RL10",planoContas,0)+1,MATCH(Tabela1[[#This Row],[Periodo]],listaPeriodos,0))))</f>
        <v>#DIV/0!</v>
      </c>
      <c r="F2513" s="16"/>
      <c r="G2513" s="16"/>
      <c r="H2513" s="16"/>
    </row>
    <row r="2514" spans="1:8" x14ac:dyDescent="0.3">
      <c r="A2514" t="s">
        <v>726</v>
      </c>
      <c r="B2514" s="3">
        <f t="shared" si="34"/>
        <v>45261</v>
      </c>
      <c r="C2514" s="2" t="str">
        <f>VLOOKUP(MONTH(Tabela1[[#This Row],[Periodo]]),NUMMESES,2,FALSE)</f>
        <v>Dezembro</v>
      </c>
      <c r="D2514" s="2">
        <f>YEAR(Tabela1[[#This Row],[Periodo]])</f>
        <v>2023</v>
      </c>
      <c r="E2514" s="33" t="e">
        <f>((INDEX(TBBP[],MATCH("C13",planoContas,0)+1,MATCH(Tabela1[[#This Row],[Periodo]],listaPeriodos,0))/INDEX(TBBP[],MATCH("RL10",planoContas,0)+1,MATCH(Tabela1[[#This Row],[Periodo]],listaPeriodos,0))))</f>
        <v>#DIV/0!</v>
      </c>
      <c r="F2514" s="16"/>
      <c r="G2514" s="16"/>
      <c r="H2514" s="16"/>
    </row>
    <row r="2515" spans="1:8" x14ac:dyDescent="0.3">
      <c r="A2515" t="s">
        <v>726</v>
      </c>
      <c r="B2515" s="3">
        <f t="shared" si="34"/>
        <v>45292</v>
      </c>
      <c r="C2515" s="2" t="str">
        <f>VLOOKUP(MONTH(Tabela1[[#This Row],[Periodo]]),NUMMESES,2,FALSE)</f>
        <v>Janeiro</v>
      </c>
      <c r="D2515" s="2">
        <f>YEAR(Tabela1[[#This Row],[Periodo]])</f>
        <v>2024</v>
      </c>
      <c r="E2515" s="33" t="e">
        <f>((INDEX(TBBP[],MATCH("C13",planoContas,0)+1,MATCH(Tabela1[[#This Row],[Periodo]],listaPeriodos,0))/INDEX(TBBP[],MATCH("RL10",planoContas,0)+1,MATCH(Tabela1[[#This Row],[Periodo]],listaPeriodos,0))))</f>
        <v>#DIV/0!</v>
      </c>
      <c r="F2515" s="16"/>
      <c r="G2515" s="16"/>
      <c r="H2515" s="16"/>
    </row>
    <row r="2516" spans="1:8" x14ac:dyDescent="0.3">
      <c r="A2516" t="s">
        <v>726</v>
      </c>
      <c r="B2516" s="3">
        <f t="shared" si="34"/>
        <v>45323</v>
      </c>
      <c r="C2516" s="2" t="str">
        <f>VLOOKUP(MONTH(Tabela1[[#This Row],[Periodo]]),NUMMESES,2,FALSE)</f>
        <v>Fevereiro</v>
      </c>
      <c r="D2516" s="2">
        <f>YEAR(Tabela1[[#This Row],[Periodo]])</f>
        <v>2024</v>
      </c>
      <c r="E2516" s="33" t="e">
        <f>((INDEX(TBBP[],MATCH("C13",planoContas,0)+1,MATCH(Tabela1[[#This Row],[Periodo]],listaPeriodos,0))/INDEX(TBBP[],MATCH("RL10",planoContas,0)+1,MATCH(Tabela1[[#This Row],[Periodo]],listaPeriodos,0))))</f>
        <v>#DIV/0!</v>
      </c>
      <c r="F2516" s="16"/>
      <c r="G2516" s="16"/>
      <c r="H2516" s="16"/>
    </row>
    <row r="2517" spans="1:8" x14ac:dyDescent="0.3">
      <c r="A2517" t="s">
        <v>726</v>
      </c>
      <c r="B2517" s="3">
        <f t="shared" si="34"/>
        <v>45352</v>
      </c>
      <c r="C2517" s="2" t="str">
        <f>VLOOKUP(MONTH(Tabela1[[#This Row],[Periodo]]),NUMMESES,2,FALSE)</f>
        <v>Março</v>
      </c>
      <c r="D2517" s="2">
        <f>YEAR(Tabela1[[#This Row],[Periodo]])</f>
        <v>2024</v>
      </c>
      <c r="E2517" s="33" t="e">
        <f>((INDEX(TBBP[],MATCH("C13",planoContas,0)+1,MATCH(Tabela1[[#This Row],[Periodo]],listaPeriodos,0))/INDEX(TBBP[],MATCH("RL10",planoContas,0)+1,MATCH(Tabela1[[#This Row],[Periodo]],listaPeriodos,0))))</f>
        <v>#DIV/0!</v>
      </c>
      <c r="F2517" s="16"/>
      <c r="G2517" s="16"/>
      <c r="H2517" s="16"/>
    </row>
    <row r="2518" spans="1:8" x14ac:dyDescent="0.3">
      <c r="A2518" t="s">
        <v>726</v>
      </c>
      <c r="B2518" s="3">
        <f t="shared" si="34"/>
        <v>45383</v>
      </c>
      <c r="C2518" s="2" t="str">
        <f>VLOOKUP(MONTH(Tabela1[[#This Row],[Periodo]]),NUMMESES,2,FALSE)</f>
        <v>Abril</v>
      </c>
      <c r="D2518" s="2">
        <f>YEAR(Tabela1[[#This Row],[Periodo]])</f>
        <v>2024</v>
      </c>
      <c r="E2518" s="33" t="e">
        <f>((INDEX(TBBP[],MATCH("C13",planoContas,0)+1,MATCH(Tabela1[[#This Row],[Periodo]],listaPeriodos,0))/INDEX(TBBP[],MATCH("RL10",planoContas,0)+1,MATCH(Tabela1[[#This Row],[Periodo]],listaPeriodos,0))))</f>
        <v>#DIV/0!</v>
      </c>
      <c r="F2518" s="16"/>
      <c r="G2518" s="16"/>
      <c r="H2518" s="16"/>
    </row>
    <row r="2519" spans="1:8" x14ac:dyDescent="0.3">
      <c r="A2519" t="s">
        <v>726</v>
      </c>
      <c r="B2519" s="3">
        <f t="shared" si="34"/>
        <v>45413</v>
      </c>
      <c r="C2519" s="2" t="str">
        <f>VLOOKUP(MONTH(Tabela1[[#This Row],[Periodo]]),NUMMESES,2,FALSE)</f>
        <v>Maio</v>
      </c>
      <c r="D2519" s="2">
        <f>YEAR(Tabela1[[#This Row],[Periodo]])</f>
        <v>2024</v>
      </c>
      <c r="E2519" s="33">
        <f>((INDEX(TBBP[],MATCH("C13",planoContas,0)+1,MATCH(Tabela1[[#This Row],[Periodo]],listaPeriodos,0))/INDEX(TBBP[],MATCH("RL10",planoContas,0)+1,MATCH(Tabela1[[#This Row],[Periodo]],listaPeriodos,0))))</f>
        <v>0.46335944396943857</v>
      </c>
      <c r="F2519" s="16"/>
      <c r="G2519" s="16"/>
      <c r="H2519" s="16"/>
    </row>
    <row r="2520" spans="1:8" x14ac:dyDescent="0.3">
      <c r="A2520" t="s">
        <v>726</v>
      </c>
      <c r="B2520" s="3">
        <f t="shared" si="34"/>
        <v>45444</v>
      </c>
      <c r="C2520" s="2" t="str">
        <f>VLOOKUP(MONTH(Tabela1[[#This Row],[Periodo]]),NUMMESES,2,FALSE)</f>
        <v>Junho</v>
      </c>
      <c r="D2520" s="2">
        <f>YEAR(Tabela1[[#This Row],[Periodo]])</f>
        <v>2024</v>
      </c>
      <c r="E2520" s="33">
        <f>((INDEX(TBBP[],MATCH("C13",planoContas,0)+1,MATCH(Tabela1[[#This Row],[Periodo]],listaPeriodos,0))/INDEX(TBBP[],MATCH("RL10",planoContas,0)+1,MATCH(Tabela1[[#This Row],[Periodo]],listaPeriodos,0))))</f>
        <v>0.49967966310576484</v>
      </c>
      <c r="F2520" s="16"/>
      <c r="G2520" s="16"/>
      <c r="H2520" s="16"/>
    </row>
    <row r="2521" spans="1:8" x14ac:dyDescent="0.3">
      <c r="A2521" t="s">
        <v>726</v>
      </c>
      <c r="B2521" s="3">
        <f t="shared" si="34"/>
        <v>45474</v>
      </c>
      <c r="C2521" s="2" t="str">
        <f>VLOOKUP(MONTH(Tabela1[[#This Row],[Periodo]]),NUMMESES,2,FALSE)</f>
        <v>Julho</v>
      </c>
      <c r="D2521" s="2">
        <f>YEAR(Tabela1[[#This Row],[Periodo]])</f>
        <v>2024</v>
      </c>
      <c r="E2521" s="33">
        <f>((INDEX(TBBP[],MATCH("C13",planoContas,0)+1,MATCH(Tabela1[[#This Row],[Periodo]],listaPeriodos,0))/INDEX(TBBP[],MATCH("RL10",planoContas,0)+1,MATCH(Tabela1[[#This Row],[Periodo]],listaPeriodos,0))))</f>
        <v>0.58833303176321095</v>
      </c>
      <c r="F2521" s="16"/>
      <c r="G2521" s="16"/>
      <c r="H2521" s="16"/>
    </row>
    <row r="2522" spans="1:8" x14ac:dyDescent="0.3">
      <c r="A2522" t="s">
        <v>726</v>
      </c>
      <c r="B2522" s="3">
        <f t="shared" si="34"/>
        <v>45505</v>
      </c>
      <c r="C2522" s="2" t="str">
        <f>VLOOKUP(MONTH(Tabela1[[#This Row],[Periodo]]),NUMMESES,2,FALSE)</f>
        <v>Agosto</v>
      </c>
      <c r="D2522" s="2">
        <f>YEAR(Tabela1[[#This Row],[Periodo]])</f>
        <v>2024</v>
      </c>
      <c r="E2522" s="33">
        <f>((INDEX(TBBP[],MATCH("C13",planoContas,0)+1,MATCH(Tabela1[[#This Row],[Periodo]],listaPeriodos,0))/INDEX(TBBP[],MATCH("RL10",planoContas,0)+1,MATCH(Tabela1[[#This Row],[Periodo]],listaPeriodos,0))))</f>
        <v>0.50061386109911421</v>
      </c>
      <c r="F2522" s="16"/>
      <c r="G2522" s="16"/>
      <c r="H2522" s="16"/>
    </row>
    <row r="2523" spans="1:8" x14ac:dyDescent="0.3">
      <c r="A2523" t="s">
        <v>726</v>
      </c>
      <c r="B2523" s="3">
        <f t="shared" si="34"/>
        <v>45536</v>
      </c>
      <c r="C2523" s="2" t="str">
        <f>VLOOKUP(MONTH(Tabela1[[#This Row],[Periodo]]),NUMMESES,2,FALSE)</f>
        <v>Setembro</v>
      </c>
      <c r="D2523" s="2">
        <f>YEAR(Tabela1[[#This Row],[Periodo]])</f>
        <v>2024</v>
      </c>
      <c r="E2523" s="33">
        <f>((INDEX(TBBP[],MATCH("C13",planoContas,0)+1,MATCH(Tabela1[[#This Row],[Periodo]],listaPeriodos,0))/INDEX(TBBP[],MATCH("RL10",planoContas,0)+1,MATCH(Tabela1[[#This Row],[Periodo]],listaPeriodos,0))))</f>
        <v>0.49054339551893633</v>
      </c>
      <c r="F2523" s="16"/>
      <c r="G2523" s="16"/>
      <c r="H2523" s="16"/>
    </row>
    <row r="2524" spans="1:8" x14ac:dyDescent="0.3">
      <c r="A2524" t="s">
        <v>726</v>
      </c>
      <c r="B2524" s="3">
        <f t="shared" si="34"/>
        <v>45566</v>
      </c>
      <c r="C2524" s="2" t="str">
        <f>VLOOKUP(MONTH(Tabela1[[#This Row],[Periodo]]),NUMMESES,2,FALSE)</f>
        <v>Outubro</v>
      </c>
      <c r="D2524" s="2">
        <f>YEAR(Tabela1[[#This Row],[Periodo]])</f>
        <v>2024</v>
      </c>
      <c r="E2524" s="33">
        <f>((INDEX(TBBP[],MATCH("C13",planoContas,0)+1,MATCH(Tabela1[[#This Row],[Periodo]],listaPeriodos,0))/INDEX(TBBP[],MATCH("RL10",planoContas,0)+1,MATCH(Tabela1[[#This Row],[Periodo]],listaPeriodos,0))))</f>
        <v>0.49185628598403119</v>
      </c>
      <c r="F2524" s="16"/>
      <c r="G2524" s="16"/>
      <c r="H2524" s="16"/>
    </row>
    <row r="2525" spans="1:8" x14ac:dyDescent="0.3">
      <c r="A2525" t="s">
        <v>726</v>
      </c>
      <c r="B2525" s="3">
        <f t="shared" si="34"/>
        <v>45597</v>
      </c>
      <c r="C2525" s="2" t="str">
        <f>VLOOKUP(MONTH(Tabela1[[#This Row],[Periodo]]),NUMMESES,2,FALSE)</f>
        <v>Novembro</v>
      </c>
      <c r="D2525" s="2">
        <f>YEAR(Tabela1[[#This Row],[Periodo]])</f>
        <v>2024</v>
      </c>
      <c r="E2525" s="33">
        <f>((INDEX(TBBP[],MATCH("C13",planoContas,0)+1,MATCH(Tabela1[[#This Row],[Periodo]],listaPeriodos,0))/INDEX(TBBP[],MATCH("RL10",planoContas,0)+1,MATCH(Tabela1[[#This Row],[Periodo]],listaPeriodos,0))))</f>
        <v>0.71522967152305073</v>
      </c>
      <c r="F2525" s="16"/>
      <c r="G2525" s="16"/>
      <c r="H2525" s="16"/>
    </row>
    <row r="2526" spans="1:8" x14ac:dyDescent="0.3">
      <c r="A2526" t="s">
        <v>726</v>
      </c>
      <c r="B2526" s="3">
        <f t="shared" si="34"/>
        <v>45627</v>
      </c>
      <c r="C2526" s="2" t="str">
        <f>VLOOKUP(MONTH(Tabela1[[#This Row],[Periodo]]),NUMMESES,2,FALSE)</f>
        <v>Dezembro</v>
      </c>
      <c r="D2526" s="2">
        <f>YEAR(Tabela1[[#This Row],[Periodo]])</f>
        <v>2024</v>
      </c>
      <c r="E2526" s="33">
        <f>((INDEX(TBBP[],MATCH("C13",planoContas,0)+1,MATCH(Tabela1[[#This Row],[Periodo]],listaPeriodos,0))/INDEX(TBBP[],MATCH("RL10",planoContas,0)+1,MATCH(Tabela1[[#This Row],[Periodo]],listaPeriodos,0))))</f>
        <v>0.4880773880428867</v>
      </c>
      <c r="F2526" s="16"/>
      <c r="G2526" s="16"/>
      <c r="H2526" s="16"/>
    </row>
    <row r="2527" spans="1:8" x14ac:dyDescent="0.3">
      <c r="A2527" t="s">
        <v>726</v>
      </c>
      <c r="B2527" s="3">
        <f t="shared" si="34"/>
        <v>45658</v>
      </c>
      <c r="C2527" s="2" t="str">
        <f>VLOOKUP(MONTH(Tabela1[[#This Row],[Periodo]]),NUMMESES,2,FALSE)</f>
        <v>Janeiro</v>
      </c>
      <c r="D2527" s="2">
        <f>YEAR(Tabela1[[#This Row],[Periodo]])</f>
        <v>2025</v>
      </c>
      <c r="E2527" s="33">
        <f>((INDEX(TBBP[],MATCH("C13",planoContas,0)+1,MATCH(Tabela1[[#This Row],[Periodo]],listaPeriodos,0))/INDEX(TBBP[],MATCH("RL10",planoContas,0)+1,MATCH(Tabela1[[#This Row],[Periodo]],listaPeriodos,0))))</f>
        <v>0.55003362902824449</v>
      </c>
      <c r="F2527" s="16"/>
      <c r="G2527" s="16"/>
      <c r="H2527" s="16"/>
    </row>
    <row r="2528" spans="1:8" x14ac:dyDescent="0.3">
      <c r="A2528" t="s">
        <v>726</v>
      </c>
      <c r="B2528" s="3">
        <f t="shared" si="34"/>
        <v>45689</v>
      </c>
      <c r="C2528" s="2" t="str">
        <f>VLOOKUP(MONTH(Tabela1[[#This Row],[Periodo]]),NUMMESES,2,FALSE)</f>
        <v>Fevereiro</v>
      </c>
      <c r="D2528" s="2">
        <f>YEAR(Tabela1[[#This Row],[Periodo]])</f>
        <v>2025</v>
      </c>
      <c r="E2528" s="33">
        <f>((INDEX(TBBP[],MATCH("C13",planoContas,0)+1,MATCH(Tabela1[[#This Row],[Periodo]],listaPeriodos,0))/INDEX(TBBP[],MATCH("RL10",planoContas,0)+1,MATCH(Tabela1[[#This Row],[Periodo]],listaPeriodos,0))))</f>
        <v>0.46569609008854068</v>
      </c>
      <c r="F2528" s="16"/>
      <c r="G2528" s="16"/>
      <c r="H2528" s="16"/>
    </row>
    <row r="2529" spans="1:8" x14ac:dyDescent="0.3">
      <c r="A2529" t="s">
        <v>726</v>
      </c>
      <c r="B2529" s="3">
        <f t="shared" si="34"/>
        <v>45717</v>
      </c>
      <c r="C2529" s="2" t="str">
        <f>VLOOKUP(MONTH(Tabela1[[#This Row],[Periodo]]),NUMMESES,2,FALSE)</f>
        <v>Março</v>
      </c>
      <c r="D2529" s="2">
        <f>YEAR(Tabela1[[#This Row],[Periodo]])</f>
        <v>2025</v>
      </c>
      <c r="E2529" s="33">
        <f>((INDEX(TBBP[],MATCH("C13",planoContas,0)+1,MATCH(Tabela1[[#This Row],[Periodo]],listaPeriodos,0))/INDEX(TBBP[],MATCH("RL10",planoContas,0)+1,MATCH(Tabela1[[#This Row],[Periodo]],listaPeriodos,0))))</f>
        <v>0.51642757991912303</v>
      </c>
      <c r="F2529" s="16"/>
      <c r="G2529" s="16"/>
      <c r="H2529" s="16"/>
    </row>
    <row r="2530" spans="1:8" x14ac:dyDescent="0.3">
      <c r="A2530" t="s">
        <v>726</v>
      </c>
      <c r="B2530" s="3">
        <f t="shared" si="34"/>
        <v>45748</v>
      </c>
      <c r="C2530" s="2" t="str">
        <f>VLOOKUP(MONTH(Tabela1[[#This Row],[Periodo]]),NUMMESES,2,FALSE)</f>
        <v>Abril</v>
      </c>
      <c r="D2530" s="2">
        <f>YEAR(Tabela1[[#This Row],[Periodo]])</f>
        <v>2025</v>
      </c>
      <c r="E2530" s="33">
        <f>((INDEX(TBBP[],MATCH("C13",planoContas,0)+1,MATCH(Tabela1[[#This Row],[Periodo]],listaPeriodos,0))/INDEX(TBBP[],MATCH("RL10",planoContas,0)+1,MATCH(Tabela1[[#This Row],[Periodo]],listaPeriodos,0))))</f>
        <v>0.58551042082355897</v>
      </c>
      <c r="F2530" s="16"/>
      <c r="G2530" s="16"/>
      <c r="H2530" s="16"/>
    </row>
    <row r="2531" spans="1:8" x14ac:dyDescent="0.3">
      <c r="A2531" t="s">
        <v>726</v>
      </c>
      <c r="B2531" s="3">
        <f t="shared" si="34"/>
        <v>45778</v>
      </c>
      <c r="C2531" s="2" t="str">
        <f>VLOOKUP(MONTH(Tabela1[[#This Row],[Periodo]]),NUMMESES,2,FALSE)</f>
        <v>Maio</v>
      </c>
      <c r="D2531" s="2">
        <f>YEAR(Tabela1[[#This Row],[Periodo]])</f>
        <v>2025</v>
      </c>
      <c r="E2531" s="33">
        <f>((INDEX(TBBP[],MATCH("C13",planoContas,0)+1,MATCH(Tabela1[[#This Row],[Periodo]],listaPeriodos,0))/INDEX(TBBP[],MATCH("RL10",planoContas,0)+1,MATCH(Tabela1[[#This Row],[Periodo]],listaPeriodos,0))))</f>
        <v>0.49639565495434229</v>
      </c>
      <c r="F2531" s="16"/>
      <c r="G2531" s="16"/>
      <c r="H2531" s="16"/>
    </row>
    <row r="2532" spans="1:8" x14ac:dyDescent="0.3">
      <c r="A2532" t="s">
        <v>726</v>
      </c>
      <c r="B2532" s="3">
        <f t="shared" si="34"/>
        <v>45809</v>
      </c>
      <c r="C2532" s="2" t="str">
        <f>VLOOKUP(MONTH(Tabela1[[#This Row],[Periodo]]),NUMMESES,2,FALSE)</f>
        <v>Junho</v>
      </c>
      <c r="D2532" s="2">
        <f>YEAR(Tabela1[[#This Row],[Periodo]])</f>
        <v>2025</v>
      </c>
      <c r="E2532" s="33">
        <f>((INDEX(TBBP[],MATCH("C13",planoContas,0)+1,MATCH(Tabela1[[#This Row],[Periodo]],listaPeriodos,0))/INDEX(TBBP[],MATCH("RL10",planoContas,0)+1,MATCH(Tabela1[[#This Row],[Periodo]],listaPeriodos,0))))</f>
        <v>0.96982349808202806</v>
      </c>
      <c r="F2532" s="16"/>
      <c r="G2532" s="16"/>
      <c r="H2532" s="16"/>
    </row>
    <row r="2533" spans="1:8" x14ac:dyDescent="0.3">
      <c r="A2533" t="s">
        <v>726</v>
      </c>
      <c r="B2533" s="3">
        <f t="shared" si="34"/>
        <v>45839</v>
      </c>
      <c r="C2533" s="2" t="str">
        <f>VLOOKUP(MONTH(Tabela1[[#This Row],[Periodo]]),NUMMESES,2,FALSE)</f>
        <v>Julho</v>
      </c>
      <c r="D2533" s="2">
        <f>YEAR(Tabela1[[#This Row],[Periodo]])</f>
        <v>2025</v>
      </c>
      <c r="E2533" s="33">
        <f>((INDEX(TBBP[],MATCH("C13",planoContas,0)+1,MATCH(Tabela1[[#This Row],[Periodo]],listaPeriodos,0))/INDEX(TBBP[],MATCH("RL10",planoContas,0)+1,MATCH(Tabela1[[#This Row],[Periodo]],listaPeriodos,0))))</f>
        <v>0.52381784436194101</v>
      </c>
      <c r="F2533" s="16"/>
      <c r="G2533" s="16"/>
      <c r="H2533" s="16"/>
    </row>
    <row r="2534" spans="1:8" x14ac:dyDescent="0.3">
      <c r="A2534" t="s">
        <v>726</v>
      </c>
      <c r="B2534" s="3">
        <f t="shared" si="34"/>
        <v>45870</v>
      </c>
      <c r="C2534" s="2" t="str">
        <f>VLOOKUP(MONTH(Tabela1[[#This Row],[Periodo]]),NUMMESES,2,FALSE)</f>
        <v>Agosto</v>
      </c>
      <c r="D2534" s="2">
        <f>YEAR(Tabela1[[#This Row],[Periodo]])</f>
        <v>2025</v>
      </c>
      <c r="E2534" s="33">
        <f>((INDEX(TBBP[],MATCH("C13",planoContas,0)+1,MATCH(Tabela1[[#This Row],[Periodo]],listaPeriodos,0))/INDEX(TBBP[],MATCH("RL10",planoContas,0)+1,MATCH(Tabela1[[#This Row],[Periodo]],listaPeriodos,0))))</f>
        <v>0.52381784436194101</v>
      </c>
      <c r="F2534" s="16"/>
      <c r="G2534" s="16"/>
      <c r="H2534" s="16"/>
    </row>
    <row r="2535" spans="1:8" x14ac:dyDescent="0.3">
      <c r="A2535" t="s">
        <v>726</v>
      </c>
      <c r="B2535" s="3">
        <f t="shared" si="34"/>
        <v>45901</v>
      </c>
      <c r="C2535" s="2" t="str">
        <f>VLOOKUP(MONTH(Tabela1[[#This Row],[Periodo]]),NUMMESES,2,FALSE)</f>
        <v>Setembro</v>
      </c>
      <c r="D2535" s="2">
        <f>YEAR(Tabela1[[#This Row],[Periodo]])</f>
        <v>2025</v>
      </c>
      <c r="E2535" s="33">
        <f>((INDEX(TBBP[],MATCH("C13",planoContas,0)+1,MATCH(Tabela1[[#This Row],[Periodo]],listaPeriodos,0))/INDEX(TBBP[],MATCH("RL10",planoContas,0)+1,MATCH(Tabela1[[#This Row],[Periodo]],listaPeriodos,0))))</f>
        <v>0.73110074307014628</v>
      </c>
      <c r="F2535" s="16"/>
      <c r="G2535" s="16"/>
      <c r="H2535" s="16"/>
    </row>
    <row r="2536" spans="1:8" x14ac:dyDescent="0.3">
      <c r="A2536" t="s">
        <v>726</v>
      </c>
      <c r="B2536" s="3">
        <f t="shared" si="34"/>
        <v>45931</v>
      </c>
      <c r="C2536" s="2" t="str">
        <f>VLOOKUP(MONTH(Tabela1[[#This Row],[Periodo]]),NUMMESES,2,FALSE)</f>
        <v>Outubro</v>
      </c>
      <c r="D2536" s="2">
        <f>YEAR(Tabela1[[#This Row],[Periodo]])</f>
        <v>2025</v>
      </c>
      <c r="E2536" s="33">
        <f>((INDEX(TBBP[],MATCH("C13",planoContas,0)+1,MATCH(Tabela1[[#This Row],[Periodo]],listaPeriodos,0))/INDEX(TBBP[],MATCH("RL10",planoContas,0)+1,MATCH(Tabela1[[#This Row],[Periodo]],listaPeriodos,0))))</f>
        <v>0.5392769978662052</v>
      </c>
      <c r="F2536" s="16"/>
      <c r="G2536" s="16"/>
      <c r="H2536" s="16"/>
    </row>
    <row r="2537" spans="1:8" x14ac:dyDescent="0.3">
      <c r="A2537" t="s">
        <v>726</v>
      </c>
      <c r="B2537" s="3">
        <f t="shared" si="34"/>
        <v>45962</v>
      </c>
      <c r="C2537" s="2" t="str">
        <f>VLOOKUP(MONTH(Tabela1[[#This Row],[Periodo]]),NUMMESES,2,FALSE)</f>
        <v>Novembro</v>
      </c>
      <c r="D2537" s="2">
        <f>YEAR(Tabela1[[#This Row],[Periodo]])</f>
        <v>2025</v>
      </c>
      <c r="E2537" s="33">
        <f>((INDEX(TBBP[],MATCH("C13",planoContas,0)+1,MATCH(Tabela1[[#This Row],[Periodo]],listaPeriodos,0))/INDEX(TBBP[],MATCH("RL10",planoContas,0)+1,MATCH(Tabela1[[#This Row],[Periodo]],listaPeriodos,0))))</f>
        <v>0.57511674030150994</v>
      </c>
      <c r="F2537" s="16"/>
      <c r="G2537" s="16"/>
      <c r="H2537" s="16"/>
    </row>
    <row r="2538" spans="1:8" x14ac:dyDescent="0.3">
      <c r="A2538" t="s">
        <v>726</v>
      </c>
      <c r="B2538" s="3">
        <f t="shared" si="34"/>
        <v>45992</v>
      </c>
      <c r="C2538" s="2" t="str">
        <f>VLOOKUP(MONTH(Tabela1[[#This Row],[Periodo]]),NUMMESES,2,FALSE)</f>
        <v>Dezembro</v>
      </c>
      <c r="D2538" s="2">
        <f>YEAR(Tabela1[[#This Row],[Periodo]])</f>
        <v>2025</v>
      </c>
      <c r="E2538" s="33">
        <f>((INDEX(TBBP[],MATCH("C13",planoContas,0)+1,MATCH(Tabela1[[#This Row],[Periodo]],listaPeriodos,0))/INDEX(TBBP[],MATCH("RL10",planoContas,0)+1,MATCH(Tabela1[[#This Row],[Periodo]],listaPeriodos,0))))</f>
        <v>0.57511674030150994</v>
      </c>
      <c r="F2538" s="16"/>
      <c r="G2538" s="16"/>
      <c r="H2538" s="16"/>
    </row>
    <row r="2539" spans="1:8" x14ac:dyDescent="0.3">
      <c r="A2539" t="s">
        <v>726</v>
      </c>
      <c r="B2539" s="3">
        <f t="shared" si="34"/>
        <v>46023</v>
      </c>
      <c r="C2539" s="2" t="str">
        <f>VLOOKUP(MONTH(Tabela1[[#This Row],[Periodo]]),NUMMESES,2,FALSE)</f>
        <v>Janeiro</v>
      </c>
      <c r="D2539" s="2">
        <f>YEAR(Tabela1[[#This Row],[Periodo]])</f>
        <v>2026</v>
      </c>
      <c r="E2539" s="33" t="e">
        <f>((INDEX(TBBP[],MATCH("C13",planoContas,0)+1,MATCH(Tabela1[[#This Row],[Periodo]],listaPeriodos,0))/INDEX(TBBP[],MATCH("RL10",planoContas,0)+1,MATCH(Tabela1[[#This Row],[Periodo]],listaPeriodos,0))))</f>
        <v>#DIV/0!</v>
      </c>
      <c r="F2539" s="16"/>
      <c r="G2539" s="16"/>
      <c r="H2539" s="16"/>
    </row>
    <row r="2540" spans="1:8" x14ac:dyDescent="0.3">
      <c r="B2540" s="3"/>
      <c r="C2540" s="2"/>
      <c r="D2540" s="2"/>
      <c r="E2540" s="33"/>
      <c r="F2540" s="16"/>
      <c r="G2540" s="16"/>
      <c r="H2540" s="16"/>
    </row>
    <row r="2541" spans="1:8" x14ac:dyDescent="0.3">
      <c r="A2541" t="s">
        <v>727</v>
      </c>
      <c r="B2541" s="3">
        <v>41609</v>
      </c>
      <c r="C2541" s="2" t="str">
        <f>VLOOKUP(MONTH(Tabela1[[#This Row],[Periodo]]),NUMMESES,2,FALSE)</f>
        <v>Dezembro</v>
      </c>
      <c r="D2541" s="2">
        <f>YEAR(Tabela1[[#This Row],[Periodo]])</f>
        <v>2013</v>
      </c>
      <c r="E2541" s="33" t="e">
        <f>((INDEX(TBBP[],MATCH("C14",planoContas,0)+1,MATCH(Tabela1[[#This Row],[Periodo]],listaPeriodos,0))/INDEX(TBBP[],MATCH("RL11",planoContas,0)+1,MATCH(Tabela1[[#This Row],[Periodo]],listaPeriodos,0))))</f>
        <v>#DIV/0!</v>
      </c>
      <c r="F2541" s="16"/>
      <c r="G2541" s="16"/>
      <c r="H2541" s="16"/>
    </row>
    <row r="2542" spans="1:8" x14ac:dyDescent="0.3">
      <c r="A2542" t="s">
        <v>727</v>
      </c>
      <c r="B2542" s="3">
        <v>41974</v>
      </c>
      <c r="C2542" s="2" t="str">
        <f>VLOOKUP(MONTH(Tabela1[[#This Row],[Periodo]]),NUMMESES,2,FALSE)</f>
        <v>Dezembro</v>
      </c>
      <c r="D2542" s="2">
        <f>YEAR(Tabela1[[#This Row],[Periodo]])</f>
        <v>2014</v>
      </c>
      <c r="E2542" s="33" t="e">
        <f>((INDEX(TBBP[],MATCH("C14",planoContas,0)+1,MATCH(Tabela1[[#This Row],[Periodo]],listaPeriodos,0))/INDEX(TBBP[],MATCH("RL11",planoContas,0)+1,MATCH(Tabela1[[#This Row],[Periodo]],listaPeriodos,0))))</f>
        <v>#DIV/0!</v>
      </c>
      <c r="F2542" s="16"/>
      <c r="G2542" s="16"/>
      <c r="H2542" s="16"/>
    </row>
    <row r="2543" spans="1:8" x14ac:dyDescent="0.3">
      <c r="A2543" t="s">
        <v>727</v>
      </c>
      <c r="B2543" s="3">
        <v>42339</v>
      </c>
      <c r="C2543" s="2" t="str">
        <f>VLOOKUP(MONTH(Tabela1[[#This Row],[Periodo]]),NUMMESES,2,FALSE)</f>
        <v>Dezembro</v>
      </c>
      <c r="D2543" s="2">
        <f>YEAR(Tabela1[[#This Row],[Periodo]])</f>
        <v>2015</v>
      </c>
      <c r="E2543" s="33" t="e">
        <f>((INDEX(TBBP[],MATCH("C14",planoContas,0)+1,MATCH(Tabela1[[#This Row],[Periodo]],listaPeriodos,0))/INDEX(TBBP[],MATCH("RL11",planoContas,0)+1,MATCH(Tabela1[[#This Row],[Periodo]],listaPeriodos,0))))</f>
        <v>#DIV/0!</v>
      </c>
      <c r="F2543" s="16"/>
      <c r="G2543" s="16"/>
      <c r="H2543" s="16"/>
    </row>
    <row r="2544" spans="1:8" x14ac:dyDescent="0.3">
      <c r="A2544" t="s">
        <v>727</v>
      </c>
      <c r="B2544" s="3">
        <v>42705</v>
      </c>
      <c r="C2544" s="2" t="str">
        <f>VLOOKUP(MONTH(Tabela1[[#This Row],[Periodo]]),NUMMESES,2,FALSE)</f>
        <v>Dezembro</v>
      </c>
      <c r="D2544" s="2">
        <f>YEAR(Tabela1[[#This Row],[Periodo]])</f>
        <v>2016</v>
      </c>
      <c r="E2544" s="33" t="e">
        <f>((INDEX(TBBP[],MATCH("C14",planoContas,0)+1,MATCH(Tabela1[[#This Row],[Periodo]],listaPeriodos,0))/INDEX(TBBP[],MATCH("RL11",planoContas,0)+1,MATCH(Tabela1[[#This Row],[Periodo]],listaPeriodos,0))))</f>
        <v>#DIV/0!</v>
      </c>
      <c r="F2544" s="16"/>
      <c r="G2544" s="16"/>
      <c r="H2544" s="16"/>
    </row>
    <row r="2545" spans="1:8" x14ac:dyDescent="0.3">
      <c r="A2545" t="s">
        <v>727</v>
      </c>
      <c r="B2545" s="3">
        <v>43070</v>
      </c>
      <c r="C2545" s="2" t="str">
        <f>VLOOKUP(MONTH(Tabela1[[#This Row],[Periodo]]),NUMMESES,2,FALSE)</f>
        <v>Dezembro</v>
      </c>
      <c r="D2545" s="2">
        <f>YEAR(Tabela1[[#This Row],[Periodo]])</f>
        <v>2017</v>
      </c>
      <c r="E2545" s="33" t="e">
        <f>((INDEX(TBBP[],MATCH("C14",planoContas,0)+1,MATCH(Tabela1[[#This Row],[Periodo]],listaPeriodos,0))/INDEX(TBBP[],MATCH("RL11",planoContas,0)+1,MATCH(Tabela1[[#This Row],[Periodo]],listaPeriodos,0))))</f>
        <v>#DIV/0!</v>
      </c>
      <c r="F2545" s="16"/>
      <c r="G2545" s="16"/>
      <c r="H2545" s="16"/>
    </row>
    <row r="2546" spans="1:8" x14ac:dyDescent="0.3">
      <c r="A2546" t="s">
        <v>727</v>
      </c>
      <c r="B2546" s="3">
        <v>43101</v>
      </c>
      <c r="C2546" s="2" t="str">
        <f>VLOOKUP(MONTH(Tabela1[[#This Row],[Periodo]]),NUMMESES,2,FALSE)</f>
        <v>Janeiro</v>
      </c>
      <c r="D2546" s="2">
        <f>YEAR(Tabela1[[#This Row],[Periodo]])</f>
        <v>2018</v>
      </c>
      <c r="E2546" s="33">
        <f>((INDEX(TBBP[],MATCH("C14",planoContas,0)+1,MATCH(Tabela1[[#This Row],[Periodo]],listaPeriodos,0))/INDEX(TBBP[],MATCH("RL11",planoContas,0)+1,MATCH(Tabela1[[#This Row],[Periodo]],listaPeriodos,0))))</f>
        <v>0.38401672208162935</v>
      </c>
      <c r="F2546" s="16"/>
      <c r="G2546" s="16"/>
      <c r="H2546" s="16"/>
    </row>
    <row r="2547" spans="1:8" x14ac:dyDescent="0.3">
      <c r="A2547" t="s">
        <v>727</v>
      </c>
      <c r="B2547" s="3">
        <f t="shared" ref="B2547:B2642" si="35">DATE(YEAR(B2546),MONTH(B2546)+1,DAY(B2546))</f>
        <v>43132</v>
      </c>
      <c r="C2547" s="2" t="str">
        <f>VLOOKUP(MONTH(Tabela1[[#This Row],[Periodo]]),NUMMESES,2,FALSE)</f>
        <v>Fevereiro</v>
      </c>
      <c r="D2547" s="2">
        <f>YEAR(Tabela1[[#This Row],[Periodo]])</f>
        <v>2018</v>
      </c>
      <c r="E2547" s="33">
        <f>((INDEX(TBBP[],MATCH("C14",planoContas,0)+1,MATCH(Tabela1[[#This Row],[Periodo]],listaPeriodos,0))/INDEX(TBBP[],MATCH("RL11",planoContas,0)+1,MATCH(Tabela1[[#This Row],[Periodo]],listaPeriodos,0))))</f>
        <v>0.34787643468320423</v>
      </c>
      <c r="F2547" s="16"/>
      <c r="G2547" s="16"/>
      <c r="H2547" s="16"/>
    </row>
    <row r="2548" spans="1:8" x14ac:dyDescent="0.3">
      <c r="A2548" t="s">
        <v>727</v>
      </c>
      <c r="B2548" s="3">
        <f t="shared" si="35"/>
        <v>43160</v>
      </c>
      <c r="C2548" s="2" t="str">
        <f>VLOOKUP(MONTH(Tabela1[[#This Row],[Periodo]]),NUMMESES,2,FALSE)</f>
        <v>Março</v>
      </c>
      <c r="D2548" s="2">
        <f>YEAR(Tabela1[[#This Row],[Periodo]])</f>
        <v>2018</v>
      </c>
      <c r="E2548" s="33">
        <f>((INDEX(TBBP[],MATCH("C14",planoContas,0)+1,MATCH(Tabela1[[#This Row],[Periodo]],listaPeriodos,0))/INDEX(TBBP[],MATCH("RL11",planoContas,0)+1,MATCH(Tabela1[[#This Row],[Periodo]],listaPeriodos,0))))</f>
        <v>0.51579709014957509</v>
      </c>
      <c r="F2548" s="16"/>
      <c r="G2548" s="16"/>
      <c r="H2548" s="16"/>
    </row>
    <row r="2549" spans="1:8" x14ac:dyDescent="0.3">
      <c r="A2549" t="s">
        <v>727</v>
      </c>
      <c r="B2549" s="3">
        <f t="shared" si="35"/>
        <v>43191</v>
      </c>
      <c r="C2549" s="2" t="str">
        <f>VLOOKUP(MONTH(Tabela1[[#This Row],[Periodo]]),NUMMESES,2,FALSE)</f>
        <v>Abril</v>
      </c>
      <c r="D2549" s="2">
        <f>YEAR(Tabela1[[#This Row],[Periodo]])</f>
        <v>2018</v>
      </c>
      <c r="E2549" s="33">
        <f>((INDEX(TBBP[],MATCH("C14",planoContas,0)+1,MATCH(Tabela1[[#This Row],[Periodo]],listaPeriodos,0))/INDEX(TBBP[],MATCH("RL11",planoContas,0)+1,MATCH(Tabela1[[#This Row],[Periodo]],listaPeriodos,0))))</f>
        <v>0.25520886695013062</v>
      </c>
      <c r="F2549" s="16"/>
      <c r="G2549" s="16"/>
      <c r="H2549" s="16"/>
    </row>
    <row r="2550" spans="1:8" x14ac:dyDescent="0.3">
      <c r="A2550" t="s">
        <v>727</v>
      </c>
      <c r="B2550" s="3">
        <f t="shared" si="35"/>
        <v>43221</v>
      </c>
      <c r="C2550" s="2" t="str">
        <f>VLOOKUP(MONTH(Tabela1[[#This Row],[Periodo]]),NUMMESES,2,FALSE)</f>
        <v>Maio</v>
      </c>
      <c r="D2550" s="2">
        <f>YEAR(Tabela1[[#This Row],[Periodo]])</f>
        <v>2018</v>
      </c>
      <c r="E2550" s="33">
        <f>((INDEX(TBBP[],MATCH("C14",planoContas,0)+1,MATCH(Tabela1[[#This Row],[Periodo]],listaPeriodos,0))/INDEX(TBBP[],MATCH("RL11",planoContas,0)+1,MATCH(Tabela1[[#This Row],[Periodo]],listaPeriodos,0))))</f>
        <v>0.31485814164279236</v>
      </c>
      <c r="F2550" s="16"/>
      <c r="G2550" s="16"/>
      <c r="H2550" s="16"/>
    </row>
    <row r="2551" spans="1:8" x14ac:dyDescent="0.3">
      <c r="A2551" t="s">
        <v>727</v>
      </c>
      <c r="B2551" s="3">
        <f t="shared" si="35"/>
        <v>43252</v>
      </c>
      <c r="C2551" s="2" t="str">
        <f>VLOOKUP(MONTH(Tabela1[[#This Row],[Periodo]]),NUMMESES,2,FALSE)</f>
        <v>Junho</v>
      </c>
      <c r="D2551" s="2">
        <f>YEAR(Tabela1[[#This Row],[Periodo]])</f>
        <v>2018</v>
      </c>
      <c r="E2551" s="33">
        <f>((INDEX(TBBP[],MATCH("C14",planoContas,0)+1,MATCH(Tabela1[[#This Row],[Periodo]],listaPeriodos,0))/INDEX(TBBP[],MATCH("RL11",planoContas,0)+1,MATCH(Tabela1[[#This Row],[Periodo]],listaPeriodos,0))))</f>
        <v>0.43084953269922727</v>
      </c>
      <c r="F2551" s="16"/>
      <c r="G2551" s="16"/>
      <c r="H2551" s="16"/>
    </row>
    <row r="2552" spans="1:8" x14ac:dyDescent="0.3">
      <c r="A2552" t="s">
        <v>727</v>
      </c>
      <c r="B2552" s="3">
        <f t="shared" si="35"/>
        <v>43282</v>
      </c>
      <c r="C2552" s="2" t="str">
        <f>VLOOKUP(MONTH(Tabela1[[#This Row],[Periodo]]),NUMMESES,2,FALSE)</f>
        <v>Julho</v>
      </c>
      <c r="D2552" s="2">
        <f>YEAR(Tabela1[[#This Row],[Periodo]])</f>
        <v>2018</v>
      </c>
      <c r="E2552" s="33">
        <f>((INDEX(TBBP[],MATCH("C14",planoContas,0)+1,MATCH(Tabela1[[#This Row],[Periodo]],listaPeriodos,0))/INDEX(TBBP[],MATCH("RL11",planoContas,0)+1,MATCH(Tabela1[[#This Row],[Periodo]],listaPeriodos,0))))</f>
        <v>0.49358342832712265</v>
      </c>
      <c r="F2552" s="16"/>
      <c r="G2552" s="16"/>
      <c r="H2552" s="16"/>
    </row>
    <row r="2553" spans="1:8" x14ac:dyDescent="0.3">
      <c r="A2553" t="s">
        <v>727</v>
      </c>
      <c r="B2553" s="3">
        <f t="shared" si="35"/>
        <v>43313</v>
      </c>
      <c r="C2553" s="2" t="str">
        <f>VLOOKUP(MONTH(Tabela1[[#This Row],[Periodo]]),NUMMESES,2,FALSE)</f>
        <v>Agosto</v>
      </c>
      <c r="D2553" s="2">
        <f>YEAR(Tabela1[[#This Row],[Periodo]])</f>
        <v>2018</v>
      </c>
      <c r="E2553" s="33">
        <f>((INDEX(TBBP[],MATCH("C14",planoContas,0)+1,MATCH(Tabela1[[#This Row],[Periodo]],listaPeriodos,0))/INDEX(TBBP[],MATCH("RL11",planoContas,0)+1,MATCH(Tabela1[[#This Row],[Periodo]],listaPeriodos,0))))</f>
        <v>0.36084833793991816</v>
      </c>
      <c r="F2553" s="16"/>
      <c r="G2553" s="16"/>
      <c r="H2553" s="16"/>
    </row>
    <row r="2554" spans="1:8" x14ac:dyDescent="0.3">
      <c r="A2554" t="s">
        <v>727</v>
      </c>
      <c r="B2554" s="3">
        <f t="shared" si="35"/>
        <v>43344</v>
      </c>
      <c r="C2554" s="2" t="str">
        <f>VLOOKUP(MONTH(Tabela1[[#This Row],[Periodo]]),NUMMESES,2,FALSE)</f>
        <v>Setembro</v>
      </c>
      <c r="D2554" s="2">
        <f>YEAR(Tabela1[[#This Row],[Periodo]])</f>
        <v>2018</v>
      </c>
      <c r="E2554" s="33">
        <f>((INDEX(TBBP[],MATCH("C14",planoContas,0)+1,MATCH(Tabela1[[#This Row],[Periodo]],listaPeriodos,0))/INDEX(TBBP[],MATCH("RL11",planoContas,0)+1,MATCH(Tabela1[[#This Row],[Periodo]],listaPeriodos,0))))</f>
        <v>0.48464764557730167</v>
      </c>
      <c r="F2554" s="16"/>
      <c r="G2554" s="16"/>
      <c r="H2554" s="16"/>
    </row>
    <row r="2555" spans="1:8" x14ac:dyDescent="0.3">
      <c r="A2555" t="s">
        <v>727</v>
      </c>
      <c r="B2555" s="3">
        <f t="shared" si="35"/>
        <v>43374</v>
      </c>
      <c r="C2555" s="2" t="str">
        <f>VLOOKUP(MONTH(Tabela1[[#This Row],[Periodo]]),NUMMESES,2,FALSE)</f>
        <v>Outubro</v>
      </c>
      <c r="D2555" s="2">
        <f>YEAR(Tabela1[[#This Row],[Periodo]])</f>
        <v>2018</v>
      </c>
      <c r="E2555" s="33">
        <f>((INDEX(TBBP[],MATCH("C14",planoContas,0)+1,MATCH(Tabela1[[#This Row],[Periodo]],listaPeriodos,0))/INDEX(TBBP[],MATCH("RL11",planoContas,0)+1,MATCH(Tabela1[[#This Row],[Periodo]],listaPeriodos,0))))</f>
        <v>0.37666551396000864</v>
      </c>
      <c r="F2555" s="16"/>
      <c r="G2555" s="16"/>
      <c r="H2555" s="16"/>
    </row>
    <row r="2556" spans="1:8" x14ac:dyDescent="0.3">
      <c r="A2556" t="s">
        <v>727</v>
      </c>
      <c r="B2556" s="3">
        <f t="shared" si="35"/>
        <v>43405</v>
      </c>
      <c r="C2556" s="2" t="str">
        <f>VLOOKUP(MONTH(Tabela1[[#This Row],[Periodo]]),NUMMESES,2,FALSE)</f>
        <v>Novembro</v>
      </c>
      <c r="D2556" s="2">
        <f>YEAR(Tabela1[[#This Row],[Periodo]])</f>
        <v>2018</v>
      </c>
      <c r="E2556" s="33">
        <f>((INDEX(TBBP[],MATCH("C14",planoContas,0)+1,MATCH(Tabela1[[#This Row],[Periodo]],listaPeriodos,0))/INDEX(TBBP[],MATCH("RL11",planoContas,0)+1,MATCH(Tabela1[[#This Row],[Periodo]],listaPeriodos,0))))</f>
        <v>0.37901671639923573</v>
      </c>
      <c r="F2556" s="16"/>
      <c r="G2556" s="16"/>
      <c r="H2556" s="16"/>
    </row>
    <row r="2557" spans="1:8" x14ac:dyDescent="0.3">
      <c r="A2557" t="s">
        <v>727</v>
      </c>
      <c r="B2557" s="3">
        <f t="shared" si="35"/>
        <v>43435</v>
      </c>
      <c r="C2557" s="2" t="str">
        <f>VLOOKUP(MONTH(Tabela1[[#This Row],[Periodo]]),NUMMESES,2,FALSE)</f>
        <v>Dezembro</v>
      </c>
      <c r="D2557" s="2">
        <f>YEAR(Tabela1[[#This Row],[Periodo]])</f>
        <v>2018</v>
      </c>
      <c r="E2557" s="33">
        <f>((INDEX(TBBP[],MATCH("C14",planoContas,0)+1,MATCH(Tabela1[[#This Row],[Periodo]],listaPeriodos,0))/INDEX(TBBP[],MATCH("RL11",planoContas,0)+1,MATCH(Tabela1[[#This Row],[Periodo]],listaPeriodos,0))))</f>
        <v>0.39232875044589705</v>
      </c>
      <c r="F2557" s="16"/>
      <c r="G2557" s="16"/>
      <c r="H2557" s="16"/>
    </row>
    <row r="2558" spans="1:8" x14ac:dyDescent="0.3">
      <c r="A2558" t="s">
        <v>727</v>
      </c>
      <c r="B2558" s="3">
        <f t="shared" si="35"/>
        <v>43466</v>
      </c>
      <c r="C2558" s="2" t="str">
        <f>VLOOKUP(MONTH(Tabela1[[#This Row],[Periodo]]),NUMMESES,2,FALSE)</f>
        <v>Janeiro</v>
      </c>
      <c r="D2558" s="2">
        <f>YEAR(Tabela1[[#This Row],[Periodo]])</f>
        <v>2019</v>
      </c>
      <c r="E2558" s="33">
        <f>((INDEX(TBBP[],MATCH("C14",planoContas,0)+1,MATCH(Tabela1[[#This Row],[Periodo]],listaPeriodos,0))/INDEX(TBBP[],MATCH("RL11",planoContas,0)+1,MATCH(Tabela1[[#This Row],[Periodo]],listaPeriodos,0))))</f>
        <v>0.52599765458567038</v>
      </c>
      <c r="F2558" s="16"/>
      <c r="G2558" s="16"/>
      <c r="H2558" s="16"/>
    </row>
    <row r="2559" spans="1:8" x14ac:dyDescent="0.3">
      <c r="A2559" t="s">
        <v>727</v>
      </c>
      <c r="B2559" s="3">
        <f t="shared" si="35"/>
        <v>43497</v>
      </c>
      <c r="C2559" s="2" t="str">
        <f>VLOOKUP(MONTH(Tabela1[[#This Row],[Periodo]]),NUMMESES,2,FALSE)</f>
        <v>Fevereiro</v>
      </c>
      <c r="D2559" s="2">
        <f>YEAR(Tabela1[[#This Row],[Periodo]])</f>
        <v>2019</v>
      </c>
      <c r="E2559" s="33">
        <f>((INDEX(TBBP[],MATCH("C14",planoContas,0)+1,MATCH(Tabela1[[#This Row],[Periodo]],listaPeriodos,0))/INDEX(TBBP[],MATCH("RL11",planoContas,0)+1,MATCH(Tabela1[[#This Row],[Periodo]],listaPeriodos,0))))</f>
        <v>0.40074579015343148</v>
      </c>
      <c r="F2559" s="16"/>
      <c r="G2559" s="16"/>
      <c r="H2559" s="16"/>
    </row>
    <row r="2560" spans="1:8" x14ac:dyDescent="0.3">
      <c r="A2560" t="s">
        <v>727</v>
      </c>
      <c r="B2560" s="3">
        <f t="shared" si="35"/>
        <v>43525</v>
      </c>
      <c r="C2560" s="2" t="str">
        <f>VLOOKUP(MONTH(Tabela1[[#This Row],[Periodo]]),NUMMESES,2,FALSE)</f>
        <v>Março</v>
      </c>
      <c r="D2560" s="2">
        <f>YEAR(Tabela1[[#This Row],[Periodo]])</f>
        <v>2019</v>
      </c>
      <c r="E2560" s="33">
        <f>((INDEX(TBBP[],MATCH("C14",planoContas,0)+1,MATCH(Tabela1[[#This Row],[Periodo]],listaPeriodos,0))/INDEX(TBBP[],MATCH("RL11",planoContas,0)+1,MATCH(Tabela1[[#This Row],[Periodo]],listaPeriodos,0))))</f>
        <v>0.3793392317766302</v>
      </c>
      <c r="F2560" s="16"/>
      <c r="G2560" s="16"/>
      <c r="H2560" s="16"/>
    </row>
    <row r="2561" spans="1:8" x14ac:dyDescent="0.3">
      <c r="A2561" t="s">
        <v>727</v>
      </c>
      <c r="B2561" s="3">
        <f t="shared" si="35"/>
        <v>43556</v>
      </c>
      <c r="C2561" s="2" t="str">
        <f>VLOOKUP(MONTH(Tabela1[[#This Row],[Periodo]]),NUMMESES,2,FALSE)</f>
        <v>Abril</v>
      </c>
      <c r="D2561" s="2">
        <f>YEAR(Tabela1[[#This Row],[Periodo]])</f>
        <v>2019</v>
      </c>
      <c r="E2561" s="33">
        <f>((INDEX(TBBP[],MATCH("C14",planoContas,0)+1,MATCH(Tabela1[[#This Row],[Periodo]],listaPeriodos,0))/INDEX(TBBP[],MATCH("RL11",planoContas,0)+1,MATCH(Tabela1[[#This Row],[Periodo]],listaPeriodos,0))))</f>
        <v>0.46993038816981014</v>
      </c>
      <c r="F2561" s="16"/>
      <c r="G2561" s="16"/>
      <c r="H2561" s="16"/>
    </row>
    <row r="2562" spans="1:8" x14ac:dyDescent="0.3">
      <c r="A2562" t="s">
        <v>727</v>
      </c>
      <c r="B2562" s="3">
        <f t="shared" si="35"/>
        <v>43586</v>
      </c>
      <c r="C2562" s="2" t="str">
        <f>VLOOKUP(MONTH(Tabela1[[#This Row],[Periodo]]),NUMMESES,2,FALSE)</f>
        <v>Maio</v>
      </c>
      <c r="D2562" s="2">
        <f>YEAR(Tabela1[[#This Row],[Periodo]])</f>
        <v>2019</v>
      </c>
      <c r="E2562" s="33">
        <f>((INDEX(TBBP[],MATCH("C14",planoContas,0)+1,MATCH(Tabela1[[#This Row],[Periodo]],listaPeriodos,0))/INDEX(TBBP[],MATCH("RL11",planoContas,0)+1,MATCH(Tabela1[[#This Row],[Periodo]],listaPeriodos,0))))</f>
        <v>0.42202122645310031</v>
      </c>
      <c r="F2562" s="16"/>
      <c r="G2562" s="16"/>
      <c r="H2562" s="16"/>
    </row>
    <row r="2563" spans="1:8" x14ac:dyDescent="0.3">
      <c r="A2563" t="s">
        <v>727</v>
      </c>
      <c r="B2563" s="3">
        <f t="shared" si="35"/>
        <v>43617</v>
      </c>
      <c r="C2563" s="2" t="str">
        <f>VLOOKUP(MONTH(Tabela1[[#This Row],[Periodo]]),NUMMESES,2,FALSE)</f>
        <v>Junho</v>
      </c>
      <c r="D2563" s="2">
        <f>YEAR(Tabela1[[#This Row],[Periodo]])</f>
        <v>2019</v>
      </c>
      <c r="E2563" s="33">
        <f>((INDEX(TBBP[],MATCH("C14",planoContas,0)+1,MATCH(Tabela1[[#This Row],[Periodo]],listaPeriodos,0))/INDEX(TBBP[],MATCH("RL11",planoContas,0)+1,MATCH(Tabela1[[#This Row],[Periodo]],listaPeriodos,0))))</f>
        <v>0.3885229230087936</v>
      </c>
      <c r="F2563" s="16"/>
      <c r="G2563" s="16"/>
      <c r="H2563" s="16"/>
    </row>
    <row r="2564" spans="1:8" x14ac:dyDescent="0.3">
      <c r="A2564" t="s">
        <v>727</v>
      </c>
      <c r="B2564" s="3">
        <f t="shared" si="35"/>
        <v>43647</v>
      </c>
      <c r="C2564" s="2" t="str">
        <f>VLOOKUP(MONTH(Tabela1[[#This Row],[Periodo]]),NUMMESES,2,FALSE)</f>
        <v>Julho</v>
      </c>
      <c r="D2564" s="2">
        <f>YEAR(Tabela1[[#This Row],[Periodo]])</f>
        <v>2019</v>
      </c>
      <c r="E2564" s="33">
        <f>((INDEX(TBBP[],MATCH("C14",planoContas,0)+1,MATCH(Tabela1[[#This Row],[Periodo]],listaPeriodos,0))/INDEX(TBBP[],MATCH("RL11",planoContas,0)+1,MATCH(Tabela1[[#This Row],[Periodo]],listaPeriodos,0))))</f>
        <v>0.40035756287425917</v>
      </c>
      <c r="F2564" s="16"/>
      <c r="G2564" s="16"/>
      <c r="H2564" s="16"/>
    </row>
    <row r="2565" spans="1:8" x14ac:dyDescent="0.3">
      <c r="A2565" t="s">
        <v>727</v>
      </c>
      <c r="B2565" s="3">
        <f t="shared" si="35"/>
        <v>43678</v>
      </c>
      <c r="C2565" s="2" t="str">
        <f>VLOOKUP(MONTH(Tabela1[[#This Row],[Periodo]]),NUMMESES,2,FALSE)</f>
        <v>Agosto</v>
      </c>
      <c r="D2565" s="2">
        <f>YEAR(Tabela1[[#This Row],[Periodo]])</f>
        <v>2019</v>
      </c>
      <c r="E2565" s="33">
        <f>((INDEX(TBBP[],MATCH("C14",planoContas,0)+1,MATCH(Tabela1[[#This Row],[Periodo]],listaPeriodos,0))/INDEX(TBBP[],MATCH("RL11",planoContas,0)+1,MATCH(Tabela1[[#This Row],[Periodo]],listaPeriodos,0))))</f>
        <v>0.48614476742864648</v>
      </c>
      <c r="F2565" s="16"/>
      <c r="G2565" s="16"/>
      <c r="H2565" s="16"/>
    </row>
    <row r="2566" spans="1:8" x14ac:dyDescent="0.3">
      <c r="A2566" t="s">
        <v>727</v>
      </c>
      <c r="B2566" s="3">
        <f t="shared" si="35"/>
        <v>43709</v>
      </c>
      <c r="C2566" s="2" t="str">
        <f>VLOOKUP(MONTH(Tabela1[[#This Row],[Periodo]]),NUMMESES,2,FALSE)</f>
        <v>Setembro</v>
      </c>
      <c r="D2566" s="2">
        <f>YEAR(Tabela1[[#This Row],[Periodo]])</f>
        <v>2019</v>
      </c>
      <c r="E2566" s="33">
        <f>((INDEX(TBBP[],MATCH("C14",planoContas,0)+1,MATCH(Tabela1[[#This Row],[Periodo]],listaPeriodos,0))/INDEX(TBBP[],MATCH("RL11",planoContas,0)+1,MATCH(Tabela1[[#This Row],[Periodo]],listaPeriodos,0))))</f>
        <v>0.5285664227963448</v>
      </c>
      <c r="F2566" s="16"/>
      <c r="G2566" s="16"/>
      <c r="H2566" s="16"/>
    </row>
    <row r="2567" spans="1:8" x14ac:dyDescent="0.3">
      <c r="A2567" t="s">
        <v>727</v>
      </c>
      <c r="B2567" s="3">
        <f t="shared" si="35"/>
        <v>43739</v>
      </c>
      <c r="C2567" s="2" t="str">
        <f>VLOOKUP(MONTH(Tabela1[[#This Row],[Periodo]]),NUMMESES,2,FALSE)</f>
        <v>Outubro</v>
      </c>
      <c r="D2567" s="2">
        <f>YEAR(Tabela1[[#This Row],[Periodo]])</f>
        <v>2019</v>
      </c>
      <c r="E2567" s="33">
        <f>((INDEX(TBBP[],MATCH("C14",planoContas,0)+1,MATCH(Tabela1[[#This Row],[Periodo]],listaPeriodos,0))/INDEX(TBBP[],MATCH("RL11",planoContas,0)+1,MATCH(Tabela1[[#This Row],[Periodo]],listaPeriodos,0))))</f>
        <v>0.44925622805842247</v>
      </c>
      <c r="F2567" s="16"/>
      <c r="G2567" s="16"/>
      <c r="H2567" s="16"/>
    </row>
    <row r="2568" spans="1:8" x14ac:dyDescent="0.3">
      <c r="A2568" t="s">
        <v>727</v>
      </c>
      <c r="B2568" s="3">
        <f t="shared" si="35"/>
        <v>43770</v>
      </c>
      <c r="C2568" s="2" t="str">
        <f>VLOOKUP(MONTH(Tabela1[[#This Row],[Periodo]]),NUMMESES,2,FALSE)</f>
        <v>Novembro</v>
      </c>
      <c r="D2568" s="2">
        <f>YEAR(Tabela1[[#This Row],[Periodo]])</f>
        <v>2019</v>
      </c>
      <c r="E2568" s="33">
        <f>((INDEX(TBBP[],MATCH("C14",planoContas,0)+1,MATCH(Tabela1[[#This Row],[Periodo]],listaPeriodos,0))/INDEX(TBBP[],MATCH("RL11",planoContas,0)+1,MATCH(Tabela1[[#This Row],[Periodo]],listaPeriodos,0))))</f>
        <v>0.54280197830824406</v>
      </c>
      <c r="F2568" s="16"/>
      <c r="G2568" s="16"/>
      <c r="H2568" s="16"/>
    </row>
    <row r="2569" spans="1:8" x14ac:dyDescent="0.3">
      <c r="A2569" t="s">
        <v>727</v>
      </c>
      <c r="B2569" s="3">
        <f t="shared" si="35"/>
        <v>43800</v>
      </c>
      <c r="C2569" s="2" t="str">
        <f>VLOOKUP(MONTH(Tabela1[[#This Row],[Periodo]]),NUMMESES,2,FALSE)</f>
        <v>Dezembro</v>
      </c>
      <c r="D2569" s="2">
        <f>YEAR(Tabela1[[#This Row],[Periodo]])</f>
        <v>2019</v>
      </c>
      <c r="E2569" s="33">
        <f>((INDEX(TBBP[],MATCH("C14",planoContas,0)+1,MATCH(Tabela1[[#This Row],[Periodo]],listaPeriodos,0))/INDEX(TBBP[],MATCH("RL11",planoContas,0)+1,MATCH(Tabela1[[#This Row],[Periodo]],listaPeriodos,0))))</f>
        <v>0.4694737075852759</v>
      </c>
      <c r="F2569" s="16"/>
      <c r="G2569" s="16"/>
      <c r="H2569" s="16"/>
    </row>
    <row r="2570" spans="1:8" x14ac:dyDescent="0.3">
      <c r="A2570" t="s">
        <v>727</v>
      </c>
      <c r="B2570" s="3">
        <f t="shared" si="35"/>
        <v>43831</v>
      </c>
      <c r="C2570" s="2" t="str">
        <f>VLOOKUP(MONTH(Tabela1[[#This Row],[Periodo]]),NUMMESES,2,FALSE)</f>
        <v>Janeiro</v>
      </c>
      <c r="D2570" s="2">
        <f>YEAR(Tabela1[[#This Row],[Periodo]])</f>
        <v>2020</v>
      </c>
      <c r="E2570" s="33">
        <f>((INDEX(TBBP[],MATCH("C14",planoContas,0)+1,MATCH(Tabela1[[#This Row],[Periodo]],listaPeriodos,0))/INDEX(TBBP[],MATCH("RL11",planoContas,0)+1,MATCH(Tabela1[[#This Row],[Periodo]],listaPeriodos,0))))</f>
        <v>0.46047711473501324</v>
      </c>
      <c r="F2570" s="16"/>
      <c r="G2570" s="16"/>
      <c r="H2570" s="16"/>
    </row>
    <row r="2571" spans="1:8" x14ac:dyDescent="0.3">
      <c r="A2571" t="s">
        <v>727</v>
      </c>
      <c r="B2571" s="3">
        <f t="shared" si="35"/>
        <v>43862</v>
      </c>
      <c r="C2571" s="2" t="str">
        <f>VLOOKUP(MONTH(Tabela1[[#This Row],[Periodo]]),NUMMESES,2,FALSE)</f>
        <v>Fevereiro</v>
      </c>
      <c r="D2571" s="2">
        <f>YEAR(Tabela1[[#This Row],[Periodo]])</f>
        <v>2020</v>
      </c>
      <c r="E2571" s="33">
        <f>((INDEX(TBBP[],MATCH("C14",planoContas,0)+1,MATCH(Tabela1[[#This Row],[Periodo]],listaPeriodos,0))/INDEX(TBBP[],MATCH("RL11",planoContas,0)+1,MATCH(Tabela1[[#This Row],[Periodo]],listaPeriodos,0))))</f>
        <v>0.30595138216711104</v>
      </c>
      <c r="F2571" s="16"/>
      <c r="G2571" s="16"/>
      <c r="H2571" s="16"/>
    </row>
    <row r="2572" spans="1:8" x14ac:dyDescent="0.3">
      <c r="A2572" t="s">
        <v>727</v>
      </c>
      <c r="B2572" s="3">
        <f t="shared" si="35"/>
        <v>43891</v>
      </c>
      <c r="C2572" s="2" t="str">
        <f>VLOOKUP(MONTH(Tabela1[[#This Row],[Periodo]]),NUMMESES,2,FALSE)</f>
        <v>Março</v>
      </c>
      <c r="D2572" s="2">
        <f>YEAR(Tabela1[[#This Row],[Periodo]])</f>
        <v>2020</v>
      </c>
      <c r="E2572" s="33">
        <f>((INDEX(TBBP[],MATCH("C14",planoContas,0)+1,MATCH(Tabela1[[#This Row],[Periodo]],listaPeriodos,0))/INDEX(TBBP[],MATCH("RL11",planoContas,0)+1,MATCH(Tabela1[[#This Row],[Periodo]],listaPeriodos,0))))</f>
        <v>0.36514685114164641</v>
      </c>
      <c r="F2572" s="16"/>
      <c r="G2572" s="16"/>
      <c r="H2572" s="16"/>
    </row>
    <row r="2573" spans="1:8" x14ac:dyDescent="0.3">
      <c r="A2573" t="s">
        <v>727</v>
      </c>
      <c r="B2573" s="3">
        <f t="shared" si="35"/>
        <v>43922</v>
      </c>
      <c r="C2573" s="2" t="str">
        <f>VLOOKUP(MONTH(Tabela1[[#This Row],[Periodo]]),NUMMESES,2,FALSE)</f>
        <v>Abril</v>
      </c>
      <c r="D2573" s="2">
        <f>YEAR(Tabela1[[#This Row],[Periodo]])</f>
        <v>2020</v>
      </c>
      <c r="E2573" s="33">
        <f>((INDEX(TBBP[],MATCH("C14",planoContas,0)+1,MATCH(Tabela1[[#This Row],[Periodo]],listaPeriodos,0))/INDEX(TBBP[],MATCH("RL11",planoContas,0)+1,MATCH(Tabela1[[#This Row],[Periodo]],listaPeriodos,0))))</f>
        <v>0.49113386016149047</v>
      </c>
      <c r="F2573" s="16"/>
      <c r="G2573" s="16"/>
      <c r="H2573" s="16"/>
    </row>
    <row r="2574" spans="1:8" x14ac:dyDescent="0.3">
      <c r="A2574" t="s">
        <v>727</v>
      </c>
      <c r="B2574" s="3">
        <f t="shared" si="35"/>
        <v>43952</v>
      </c>
      <c r="C2574" s="2" t="str">
        <f>VLOOKUP(MONTH(Tabela1[[#This Row],[Periodo]]),NUMMESES,2,FALSE)</f>
        <v>Maio</v>
      </c>
      <c r="D2574" s="2">
        <f>YEAR(Tabela1[[#This Row],[Periodo]])</f>
        <v>2020</v>
      </c>
      <c r="E2574" s="33">
        <f>((INDEX(TBBP[],MATCH("C14",planoContas,0)+1,MATCH(Tabela1[[#This Row],[Periodo]],listaPeriodos,0))/INDEX(TBBP[],MATCH("RL11",planoContas,0)+1,MATCH(Tabela1[[#This Row],[Periodo]],listaPeriodos,0))))</f>
        <v>0.38338050681365055</v>
      </c>
      <c r="F2574" s="16"/>
      <c r="G2574" s="16"/>
      <c r="H2574" s="16"/>
    </row>
    <row r="2575" spans="1:8" x14ac:dyDescent="0.3">
      <c r="A2575" t="s">
        <v>727</v>
      </c>
      <c r="B2575" s="3">
        <f t="shared" si="35"/>
        <v>43983</v>
      </c>
      <c r="C2575" s="2" t="str">
        <f>VLOOKUP(MONTH(Tabela1[[#This Row],[Periodo]]),NUMMESES,2,FALSE)</f>
        <v>Junho</v>
      </c>
      <c r="D2575" s="2">
        <f>YEAR(Tabela1[[#This Row],[Periodo]])</f>
        <v>2020</v>
      </c>
      <c r="E2575" s="33">
        <f>((INDEX(TBBP[],MATCH("C14",planoContas,0)+1,MATCH(Tabela1[[#This Row],[Periodo]],listaPeriodos,0))/INDEX(TBBP[],MATCH("RL11",planoContas,0)+1,MATCH(Tabela1[[#This Row],[Periodo]],listaPeriodos,0))))</f>
        <v>0.35636935056578717</v>
      </c>
      <c r="F2575" s="16"/>
      <c r="G2575" s="16"/>
      <c r="H2575" s="16"/>
    </row>
    <row r="2576" spans="1:8" x14ac:dyDescent="0.3">
      <c r="A2576" t="s">
        <v>727</v>
      </c>
      <c r="B2576" s="3">
        <f t="shared" si="35"/>
        <v>44013</v>
      </c>
      <c r="C2576" s="2" t="str">
        <f>VLOOKUP(MONTH(Tabela1[[#This Row],[Periodo]]),NUMMESES,2,FALSE)</f>
        <v>Julho</v>
      </c>
      <c r="D2576" s="2">
        <f>YEAR(Tabela1[[#This Row],[Periodo]])</f>
        <v>2020</v>
      </c>
      <c r="E2576" s="33">
        <f>((INDEX(TBBP[],MATCH("C14",planoContas,0)+1,MATCH(Tabela1[[#This Row],[Periodo]],listaPeriodos,0))/INDEX(TBBP[],MATCH("RL11",planoContas,0)+1,MATCH(Tabela1[[#This Row],[Periodo]],listaPeriodos,0))))</f>
        <v>0.50348783139420905</v>
      </c>
      <c r="F2576" s="16"/>
      <c r="G2576" s="16"/>
      <c r="H2576" s="16"/>
    </row>
    <row r="2577" spans="1:8" x14ac:dyDescent="0.3">
      <c r="A2577" t="s">
        <v>727</v>
      </c>
      <c r="B2577" s="3">
        <f t="shared" si="35"/>
        <v>44044</v>
      </c>
      <c r="C2577" s="2" t="str">
        <f>VLOOKUP(MONTH(Tabela1[[#This Row],[Periodo]]),NUMMESES,2,FALSE)</f>
        <v>Agosto</v>
      </c>
      <c r="D2577" s="2">
        <f>YEAR(Tabela1[[#This Row],[Periodo]])</f>
        <v>2020</v>
      </c>
      <c r="E2577" s="33">
        <f>((INDEX(TBBP[],MATCH("C14",planoContas,0)+1,MATCH(Tabela1[[#This Row],[Periodo]],listaPeriodos,0))/INDEX(TBBP[],MATCH("RL11",planoContas,0)+1,MATCH(Tabela1[[#This Row],[Periodo]],listaPeriodos,0))))</f>
        <v>0.4659455252129332</v>
      </c>
      <c r="F2577" s="16"/>
      <c r="G2577" s="16"/>
      <c r="H2577" s="16"/>
    </row>
    <row r="2578" spans="1:8" x14ac:dyDescent="0.3">
      <c r="A2578" t="s">
        <v>727</v>
      </c>
      <c r="B2578" s="3">
        <f t="shared" si="35"/>
        <v>44075</v>
      </c>
      <c r="C2578" s="2" t="str">
        <f>VLOOKUP(MONTH(Tabela1[[#This Row],[Periodo]]),NUMMESES,2,FALSE)</f>
        <v>Setembro</v>
      </c>
      <c r="D2578" s="2">
        <f>YEAR(Tabela1[[#This Row],[Periodo]])</f>
        <v>2020</v>
      </c>
      <c r="E2578" s="33">
        <f>((INDEX(TBBP[],MATCH("C14",planoContas,0)+1,MATCH(Tabela1[[#This Row],[Periodo]],listaPeriodos,0))/INDEX(TBBP[],MATCH("RL11",planoContas,0)+1,MATCH(Tabela1[[#This Row],[Periodo]],listaPeriodos,0))))</f>
        <v>0.44375291211143481</v>
      </c>
      <c r="F2578" s="16"/>
      <c r="G2578" s="16"/>
      <c r="H2578" s="16"/>
    </row>
    <row r="2579" spans="1:8" x14ac:dyDescent="0.3">
      <c r="A2579" t="s">
        <v>727</v>
      </c>
      <c r="B2579" s="3">
        <f t="shared" si="35"/>
        <v>44105</v>
      </c>
      <c r="C2579" s="2" t="str">
        <f>VLOOKUP(MONTH(Tabela1[[#This Row],[Periodo]]),NUMMESES,2,FALSE)</f>
        <v>Outubro</v>
      </c>
      <c r="D2579" s="2">
        <f>YEAR(Tabela1[[#This Row],[Periodo]])</f>
        <v>2020</v>
      </c>
      <c r="E2579" s="33">
        <f>((INDEX(TBBP[],MATCH("C14",planoContas,0)+1,MATCH(Tabela1[[#This Row],[Periodo]],listaPeriodos,0))/INDEX(TBBP[],MATCH("RL11",planoContas,0)+1,MATCH(Tabela1[[#This Row],[Periodo]],listaPeriodos,0))))</f>
        <v>0.43876426389017137</v>
      </c>
      <c r="F2579" s="16"/>
      <c r="G2579" s="16"/>
      <c r="H2579" s="16"/>
    </row>
    <row r="2580" spans="1:8" x14ac:dyDescent="0.3">
      <c r="A2580" t="s">
        <v>727</v>
      </c>
      <c r="B2580" s="3">
        <f t="shared" si="35"/>
        <v>44136</v>
      </c>
      <c r="C2580" s="2" t="str">
        <f>VLOOKUP(MONTH(Tabela1[[#This Row],[Periodo]]),NUMMESES,2,FALSE)</f>
        <v>Novembro</v>
      </c>
      <c r="D2580" s="2">
        <f>YEAR(Tabela1[[#This Row],[Periodo]])</f>
        <v>2020</v>
      </c>
      <c r="E2580" s="33">
        <f>((INDEX(TBBP[],MATCH("C14",planoContas,0)+1,MATCH(Tabela1[[#This Row],[Periodo]],listaPeriodos,0))/INDEX(TBBP[],MATCH("RL11",planoContas,0)+1,MATCH(Tabela1[[#This Row],[Periodo]],listaPeriodos,0))))</f>
        <v>0.47539288906686888</v>
      </c>
      <c r="F2580" s="16"/>
      <c r="G2580" s="16"/>
      <c r="H2580" s="16"/>
    </row>
    <row r="2581" spans="1:8" x14ac:dyDescent="0.3">
      <c r="A2581" t="s">
        <v>727</v>
      </c>
      <c r="B2581" s="3">
        <f t="shared" si="35"/>
        <v>44166</v>
      </c>
      <c r="C2581" s="2" t="str">
        <f>VLOOKUP(MONTH(Tabela1[[#This Row],[Periodo]]),NUMMESES,2,FALSE)</f>
        <v>Dezembro</v>
      </c>
      <c r="D2581" s="2">
        <f>YEAR(Tabela1[[#This Row],[Periodo]])</f>
        <v>2020</v>
      </c>
      <c r="E2581" s="33">
        <f>((INDEX(TBBP[],MATCH("C14",planoContas,0)+1,MATCH(Tabela1[[#This Row],[Periodo]],listaPeriodos,0))/INDEX(TBBP[],MATCH("RL11",planoContas,0)+1,MATCH(Tabela1[[#This Row],[Periodo]],listaPeriodos,0))))</f>
        <v>0.38590643943829872</v>
      </c>
      <c r="F2581" s="16"/>
      <c r="G2581" s="16"/>
      <c r="H2581" s="16"/>
    </row>
    <row r="2582" spans="1:8" x14ac:dyDescent="0.3">
      <c r="A2582" t="s">
        <v>727</v>
      </c>
      <c r="B2582" s="3">
        <f t="shared" si="35"/>
        <v>44197</v>
      </c>
      <c r="C2582" s="2" t="str">
        <f>VLOOKUP(MONTH(Tabela1[[#This Row],[Periodo]]),NUMMESES,2,FALSE)</f>
        <v>Janeiro</v>
      </c>
      <c r="D2582" s="2">
        <f>YEAR(Tabela1[[#This Row],[Periodo]])</f>
        <v>2021</v>
      </c>
      <c r="E2582" s="33">
        <f>((INDEX(TBBP[],MATCH("C14",planoContas,0)+1,MATCH(Tabela1[[#This Row],[Periodo]],listaPeriodos,0))/INDEX(TBBP[],MATCH("RL11",planoContas,0)+1,MATCH(Tabela1[[#This Row],[Periodo]],listaPeriodos,0))))</f>
        <v>0.44514428182113203</v>
      </c>
      <c r="F2582" s="16"/>
      <c r="G2582" s="16"/>
      <c r="H2582" s="16"/>
    </row>
    <row r="2583" spans="1:8" x14ac:dyDescent="0.3">
      <c r="A2583" t="s">
        <v>727</v>
      </c>
      <c r="B2583" s="3">
        <f t="shared" si="35"/>
        <v>44228</v>
      </c>
      <c r="C2583" s="2" t="str">
        <f>VLOOKUP(MONTH(Tabela1[[#This Row],[Periodo]]),NUMMESES,2,FALSE)</f>
        <v>Fevereiro</v>
      </c>
      <c r="D2583" s="2">
        <f>YEAR(Tabela1[[#This Row],[Periodo]])</f>
        <v>2021</v>
      </c>
      <c r="E2583" s="33">
        <f>((INDEX(TBBP[],MATCH("C14",planoContas,0)+1,MATCH(Tabela1[[#This Row],[Periodo]],listaPeriodos,0))/INDEX(TBBP[],MATCH("RL11",planoContas,0)+1,MATCH(Tabela1[[#This Row],[Periodo]],listaPeriodos,0))))</f>
        <v>0.33074302650874043</v>
      </c>
      <c r="F2583" s="16"/>
      <c r="G2583" s="16"/>
      <c r="H2583" s="16"/>
    </row>
    <row r="2584" spans="1:8" x14ac:dyDescent="0.3">
      <c r="A2584" t="s">
        <v>727</v>
      </c>
      <c r="B2584" s="3">
        <f t="shared" si="35"/>
        <v>44256</v>
      </c>
      <c r="C2584" s="2" t="str">
        <f>VLOOKUP(MONTH(Tabela1[[#This Row],[Periodo]]),NUMMESES,2,FALSE)</f>
        <v>Março</v>
      </c>
      <c r="D2584" s="2">
        <f>YEAR(Tabela1[[#This Row],[Periodo]])</f>
        <v>2021</v>
      </c>
      <c r="E2584" s="33">
        <f>((INDEX(TBBP[],MATCH("C14",planoContas,0)+1,MATCH(Tabela1[[#This Row],[Periodo]],listaPeriodos,0))/INDEX(TBBP[],MATCH("RL11",planoContas,0)+1,MATCH(Tabela1[[#This Row],[Periodo]],listaPeriodos,0))))</f>
        <v>0.3873915282969122</v>
      </c>
      <c r="F2584" s="16"/>
      <c r="G2584" s="16"/>
      <c r="H2584" s="16"/>
    </row>
    <row r="2585" spans="1:8" x14ac:dyDescent="0.3">
      <c r="A2585" t="s">
        <v>727</v>
      </c>
      <c r="B2585" s="3">
        <f t="shared" si="35"/>
        <v>44287</v>
      </c>
      <c r="C2585" s="2" t="str">
        <f>VLOOKUP(MONTH(Tabela1[[#This Row],[Periodo]]),NUMMESES,2,FALSE)</f>
        <v>Abril</v>
      </c>
      <c r="D2585" s="2">
        <f>YEAR(Tabela1[[#This Row],[Periodo]])</f>
        <v>2021</v>
      </c>
      <c r="E2585" s="33">
        <f>((INDEX(TBBP[],MATCH("C14",planoContas,0)+1,MATCH(Tabela1[[#This Row],[Periodo]],listaPeriodos,0))/INDEX(TBBP[],MATCH("RL11",planoContas,0)+1,MATCH(Tabela1[[#This Row],[Periodo]],listaPeriodos,0))))</f>
        <v>0.50408514926694115</v>
      </c>
      <c r="F2585" s="16"/>
      <c r="G2585" s="16"/>
      <c r="H2585" s="16"/>
    </row>
    <row r="2586" spans="1:8" x14ac:dyDescent="0.3">
      <c r="A2586" t="s">
        <v>727</v>
      </c>
      <c r="B2586" s="3">
        <f t="shared" si="35"/>
        <v>44317</v>
      </c>
      <c r="C2586" s="2" t="str">
        <f>VLOOKUP(MONTH(Tabela1[[#This Row],[Periodo]]),NUMMESES,2,FALSE)</f>
        <v>Maio</v>
      </c>
      <c r="D2586" s="2">
        <f>YEAR(Tabela1[[#This Row],[Periodo]])</f>
        <v>2021</v>
      </c>
      <c r="E2586" s="33">
        <f>((INDEX(TBBP[],MATCH("C14",planoContas,0)+1,MATCH(Tabela1[[#This Row],[Periodo]],listaPeriodos,0))/INDEX(TBBP[],MATCH("RL11",planoContas,0)+1,MATCH(Tabela1[[#This Row],[Periodo]],listaPeriodos,0))))</f>
        <v>0.37972489127455045</v>
      </c>
      <c r="F2586" s="16"/>
      <c r="G2586" s="16"/>
      <c r="H2586" s="16"/>
    </row>
    <row r="2587" spans="1:8" x14ac:dyDescent="0.3">
      <c r="A2587" t="s">
        <v>727</v>
      </c>
      <c r="B2587" s="3">
        <f t="shared" si="35"/>
        <v>44348</v>
      </c>
      <c r="C2587" s="2" t="str">
        <f>VLOOKUP(MONTH(Tabela1[[#This Row],[Periodo]]),NUMMESES,2,FALSE)</f>
        <v>Junho</v>
      </c>
      <c r="D2587" s="2">
        <f>YEAR(Tabela1[[#This Row],[Periodo]])</f>
        <v>2021</v>
      </c>
      <c r="E2587" s="33">
        <f>((INDEX(TBBP[],MATCH("C14",planoContas,0)+1,MATCH(Tabela1[[#This Row],[Periodo]],listaPeriodos,0))/INDEX(TBBP[],MATCH("RL11",planoContas,0)+1,MATCH(Tabela1[[#This Row],[Periodo]],listaPeriodos,0))))</f>
        <v>0.41500033988551099</v>
      </c>
      <c r="F2587" s="16"/>
      <c r="G2587" s="16"/>
      <c r="H2587" s="16"/>
    </row>
    <row r="2588" spans="1:8" x14ac:dyDescent="0.3">
      <c r="A2588" t="s">
        <v>727</v>
      </c>
      <c r="B2588" s="3">
        <f t="shared" si="35"/>
        <v>44378</v>
      </c>
      <c r="C2588" s="2" t="str">
        <f>VLOOKUP(MONTH(Tabela1[[#This Row],[Periodo]]),NUMMESES,2,FALSE)</f>
        <v>Julho</v>
      </c>
      <c r="D2588" s="2">
        <f>YEAR(Tabela1[[#This Row],[Periodo]])</f>
        <v>2021</v>
      </c>
      <c r="E2588" s="33">
        <f>((INDEX(TBBP[],MATCH("C14",planoContas,0)+1,MATCH(Tabela1[[#This Row],[Periodo]],listaPeriodos,0))/INDEX(TBBP[],MATCH("RL11",planoContas,0)+1,MATCH(Tabela1[[#This Row],[Periodo]],listaPeriodos,0))))</f>
        <v>0.42624741337402666</v>
      </c>
      <c r="F2588" s="16"/>
      <c r="G2588" s="16"/>
      <c r="H2588" s="16"/>
    </row>
    <row r="2589" spans="1:8" x14ac:dyDescent="0.3">
      <c r="A2589" t="s">
        <v>727</v>
      </c>
      <c r="B2589" s="3">
        <f t="shared" si="35"/>
        <v>44409</v>
      </c>
      <c r="C2589" s="2" t="str">
        <f>VLOOKUP(MONTH(Tabela1[[#This Row],[Periodo]]),NUMMESES,2,FALSE)</f>
        <v>Agosto</v>
      </c>
      <c r="D2589" s="2">
        <f>YEAR(Tabela1[[#This Row],[Periodo]])</f>
        <v>2021</v>
      </c>
      <c r="E2589" s="33">
        <f>((INDEX(TBBP[],MATCH("C14",planoContas,0)+1,MATCH(Tabela1[[#This Row],[Periodo]],listaPeriodos,0))/INDEX(TBBP[],MATCH("RL11",planoContas,0)+1,MATCH(Tabela1[[#This Row],[Periodo]],listaPeriodos,0))))</f>
        <v>0.40156702747655321</v>
      </c>
      <c r="F2589" s="16"/>
      <c r="G2589" s="16"/>
      <c r="H2589" s="16"/>
    </row>
    <row r="2590" spans="1:8" x14ac:dyDescent="0.3">
      <c r="A2590" t="s">
        <v>727</v>
      </c>
      <c r="B2590" s="3">
        <f t="shared" si="35"/>
        <v>44440</v>
      </c>
      <c r="C2590" s="2" t="str">
        <f>VLOOKUP(MONTH(Tabela1[[#This Row],[Periodo]]),NUMMESES,2,FALSE)</f>
        <v>Setembro</v>
      </c>
      <c r="D2590" s="2">
        <f>YEAR(Tabela1[[#This Row],[Periodo]])</f>
        <v>2021</v>
      </c>
      <c r="E2590" s="33">
        <f>((INDEX(TBBP[],MATCH("C14",planoContas,0)+1,MATCH(Tabela1[[#This Row],[Periodo]],listaPeriodos,0))/INDEX(TBBP[],MATCH("RL11",planoContas,0)+1,MATCH(Tabela1[[#This Row],[Periodo]],listaPeriodos,0))))</f>
        <v>0.38942284265355254</v>
      </c>
      <c r="F2590" s="16"/>
      <c r="G2590" s="16"/>
      <c r="H2590" s="16"/>
    </row>
    <row r="2591" spans="1:8" x14ac:dyDescent="0.3">
      <c r="A2591" t="s">
        <v>727</v>
      </c>
      <c r="B2591" s="3">
        <f t="shared" si="35"/>
        <v>44470</v>
      </c>
      <c r="C2591" s="2" t="str">
        <f>VLOOKUP(MONTH(Tabela1[[#This Row],[Periodo]]),NUMMESES,2,FALSE)</f>
        <v>Outubro</v>
      </c>
      <c r="D2591" s="2">
        <f>YEAR(Tabela1[[#This Row],[Periodo]])</f>
        <v>2021</v>
      </c>
      <c r="E2591" s="33">
        <f>((INDEX(TBBP[],MATCH("C14",planoContas,0)+1,MATCH(Tabela1[[#This Row],[Periodo]],listaPeriodos,0))/INDEX(TBBP[],MATCH("RL11",planoContas,0)+1,MATCH(Tabela1[[#This Row],[Periodo]],listaPeriodos,0))))</f>
        <v>0.44190028312261626</v>
      </c>
      <c r="F2591" s="16"/>
      <c r="G2591" s="16"/>
      <c r="H2591" s="16"/>
    </row>
    <row r="2592" spans="1:8" x14ac:dyDescent="0.3">
      <c r="A2592" t="s">
        <v>727</v>
      </c>
      <c r="B2592" s="3">
        <f t="shared" si="35"/>
        <v>44501</v>
      </c>
      <c r="C2592" s="2" t="str">
        <f>VLOOKUP(MONTH(Tabela1[[#This Row],[Periodo]]),NUMMESES,2,FALSE)</f>
        <v>Novembro</v>
      </c>
      <c r="D2592" s="2">
        <f>YEAR(Tabela1[[#This Row],[Periodo]])</f>
        <v>2021</v>
      </c>
      <c r="E2592" s="33">
        <f>((INDEX(TBBP[],MATCH("C14",planoContas,0)+1,MATCH(Tabela1[[#This Row],[Periodo]],listaPeriodos,0))/INDEX(TBBP[],MATCH("RL11",planoContas,0)+1,MATCH(Tabela1[[#This Row],[Periodo]],listaPeriodos,0))))</f>
        <v>0.41596932290526878</v>
      </c>
      <c r="F2592" s="16"/>
      <c r="G2592" s="16"/>
      <c r="H2592" s="16"/>
    </row>
    <row r="2593" spans="1:8" x14ac:dyDescent="0.3">
      <c r="A2593" t="s">
        <v>727</v>
      </c>
      <c r="B2593" s="3">
        <f t="shared" si="35"/>
        <v>44531</v>
      </c>
      <c r="C2593" s="2" t="str">
        <f>VLOOKUP(MONTH(Tabela1[[#This Row],[Periodo]]),NUMMESES,2,FALSE)</f>
        <v>Dezembro</v>
      </c>
      <c r="D2593" s="2">
        <f>YEAR(Tabela1[[#This Row],[Periodo]])</f>
        <v>2021</v>
      </c>
      <c r="E2593" s="33">
        <f>((INDEX(TBBP[],MATCH("C14",planoContas,0)+1,MATCH(Tabela1[[#This Row],[Periodo]],listaPeriodos,0))/INDEX(TBBP[],MATCH("RL11",planoContas,0)+1,MATCH(Tabela1[[#This Row],[Periodo]],listaPeriodos,0))))</f>
        <v>0.43707201507633936</v>
      </c>
      <c r="F2593" s="16"/>
      <c r="G2593" s="16"/>
      <c r="H2593" s="16"/>
    </row>
    <row r="2594" spans="1:8" x14ac:dyDescent="0.3">
      <c r="A2594" t="s">
        <v>727</v>
      </c>
      <c r="B2594" s="3">
        <f t="shared" si="35"/>
        <v>44562</v>
      </c>
      <c r="C2594" s="2" t="str">
        <f>VLOOKUP(MONTH(Tabela1[[#This Row],[Periodo]]),NUMMESES,2,FALSE)</f>
        <v>Janeiro</v>
      </c>
      <c r="D2594" s="2">
        <f>YEAR(Tabela1[[#This Row],[Periodo]])</f>
        <v>2022</v>
      </c>
      <c r="E2594" s="33">
        <f>((INDEX(TBBP[],MATCH("C14",planoContas,0)+1,MATCH(Tabela1[[#This Row],[Periodo]],listaPeriodos,0))/INDEX(TBBP[],MATCH("RL11",planoContas,0)+1,MATCH(Tabela1[[#This Row],[Periodo]],listaPeriodos,0))))</f>
        <v>0.40172071033248513</v>
      </c>
      <c r="F2594" s="16"/>
      <c r="G2594" s="16"/>
      <c r="H2594" s="16"/>
    </row>
    <row r="2595" spans="1:8" x14ac:dyDescent="0.3">
      <c r="A2595" t="s">
        <v>727</v>
      </c>
      <c r="B2595" s="3">
        <f t="shared" si="35"/>
        <v>44593</v>
      </c>
      <c r="C2595" s="2" t="str">
        <f>VLOOKUP(MONTH(Tabela1[[#This Row],[Periodo]]),NUMMESES,2,FALSE)</f>
        <v>Fevereiro</v>
      </c>
      <c r="D2595" s="2">
        <f>YEAR(Tabela1[[#This Row],[Periodo]])</f>
        <v>2022</v>
      </c>
      <c r="E2595" s="33">
        <f>((INDEX(TBBP[],MATCH("C14",planoContas,0)+1,MATCH(Tabela1[[#This Row],[Periodo]],listaPeriodos,0))/INDEX(TBBP[],MATCH("RL11",planoContas,0)+1,MATCH(Tabela1[[#This Row],[Periodo]],listaPeriodos,0))))</f>
        <v>0.39446426840274651</v>
      </c>
      <c r="F2595" s="16"/>
      <c r="G2595" s="16"/>
      <c r="H2595" s="16"/>
    </row>
    <row r="2596" spans="1:8" x14ac:dyDescent="0.3">
      <c r="A2596" t="s">
        <v>727</v>
      </c>
      <c r="B2596" s="3">
        <f t="shared" si="35"/>
        <v>44621</v>
      </c>
      <c r="C2596" s="2" t="str">
        <f>VLOOKUP(MONTH(Tabela1[[#This Row],[Periodo]]),NUMMESES,2,FALSE)</f>
        <v>Março</v>
      </c>
      <c r="D2596" s="2">
        <f>YEAR(Tabela1[[#This Row],[Periodo]])</f>
        <v>2022</v>
      </c>
      <c r="E2596" s="33">
        <f>((INDEX(TBBP[],MATCH("C14",planoContas,0)+1,MATCH(Tabela1[[#This Row],[Periodo]],listaPeriodos,0))/INDEX(TBBP[],MATCH("RL11",planoContas,0)+1,MATCH(Tabela1[[#This Row],[Periodo]],listaPeriodos,0))))</f>
        <v>0.43424941071491446</v>
      </c>
      <c r="F2596" s="16"/>
      <c r="G2596" s="16"/>
      <c r="H2596" s="16"/>
    </row>
    <row r="2597" spans="1:8" x14ac:dyDescent="0.3">
      <c r="A2597" t="s">
        <v>727</v>
      </c>
      <c r="B2597" s="3">
        <f t="shared" si="35"/>
        <v>44652</v>
      </c>
      <c r="C2597" s="2" t="str">
        <f>VLOOKUP(MONTH(Tabela1[[#This Row],[Periodo]]),NUMMESES,2,FALSE)</f>
        <v>Abril</v>
      </c>
      <c r="D2597" s="2">
        <f>YEAR(Tabela1[[#This Row],[Periodo]])</f>
        <v>2022</v>
      </c>
      <c r="E2597" s="33">
        <f>((INDEX(TBBP[],MATCH("C14",planoContas,0)+1,MATCH(Tabela1[[#This Row],[Periodo]],listaPeriodos,0))/INDEX(TBBP[],MATCH("RL11",planoContas,0)+1,MATCH(Tabela1[[#This Row],[Periodo]],listaPeriodos,0))))</f>
        <v>0.35449800345126686</v>
      </c>
      <c r="F2597" s="16"/>
      <c r="G2597" s="16"/>
      <c r="H2597" s="16"/>
    </row>
    <row r="2598" spans="1:8" x14ac:dyDescent="0.3">
      <c r="A2598" t="s">
        <v>727</v>
      </c>
      <c r="B2598" s="3">
        <f t="shared" si="35"/>
        <v>44682</v>
      </c>
      <c r="C2598" s="2" t="str">
        <f>VLOOKUP(MONTH(Tabela1[[#This Row],[Periodo]]),NUMMESES,2,FALSE)</f>
        <v>Maio</v>
      </c>
      <c r="D2598" s="2">
        <f>YEAR(Tabela1[[#This Row],[Periodo]])</f>
        <v>2022</v>
      </c>
      <c r="E2598" s="33">
        <f>((INDEX(TBBP[],MATCH("C14",planoContas,0)+1,MATCH(Tabela1[[#This Row],[Periodo]],listaPeriodos,0))/INDEX(TBBP[],MATCH("RL11",planoContas,0)+1,MATCH(Tabela1[[#This Row],[Periodo]],listaPeriodos,0))))</f>
        <v>0.36646177015080494</v>
      </c>
      <c r="F2598" s="16"/>
      <c r="G2598" s="16"/>
      <c r="H2598" s="16"/>
    </row>
    <row r="2599" spans="1:8" x14ac:dyDescent="0.3">
      <c r="A2599" t="s">
        <v>727</v>
      </c>
      <c r="B2599" s="3">
        <f t="shared" si="35"/>
        <v>44713</v>
      </c>
      <c r="C2599" s="2" t="str">
        <f>VLOOKUP(MONTH(Tabela1[[#This Row],[Periodo]]),NUMMESES,2,FALSE)</f>
        <v>Junho</v>
      </c>
      <c r="D2599" s="2">
        <f>YEAR(Tabela1[[#This Row],[Periodo]])</f>
        <v>2022</v>
      </c>
      <c r="E2599" s="33">
        <f>((INDEX(TBBP[],MATCH("C14",planoContas,0)+1,MATCH(Tabela1[[#This Row],[Periodo]],listaPeriodos,0))/INDEX(TBBP[],MATCH("RL11",planoContas,0)+1,MATCH(Tabela1[[#This Row],[Periodo]],listaPeriodos,0))))</f>
        <v>0.28433230389171227</v>
      </c>
      <c r="F2599" s="16"/>
      <c r="G2599" s="16"/>
      <c r="H2599" s="16"/>
    </row>
    <row r="2600" spans="1:8" x14ac:dyDescent="0.3">
      <c r="A2600" t="s">
        <v>727</v>
      </c>
      <c r="B2600" s="3">
        <f t="shared" si="35"/>
        <v>44743</v>
      </c>
      <c r="C2600" s="2" t="str">
        <f>VLOOKUP(MONTH(Tabela1[[#This Row],[Periodo]]),NUMMESES,2,FALSE)</f>
        <v>Julho</v>
      </c>
      <c r="D2600" s="2">
        <f>YEAR(Tabela1[[#This Row],[Periodo]])</f>
        <v>2022</v>
      </c>
      <c r="E2600" s="33">
        <f>((INDEX(TBBP[],MATCH("C14",planoContas,0)+1,MATCH(Tabela1[[#This Row],[Periodo]],listaPeriodos,0))/INDEX(TBBP[],MATCH("RL11",planoContas,0)+1,MATCH(Tabela1[[#This Row],[Periodo]],listaPeriodos,0))))</f>
        <v>0.37422779639147846</v>
      </c>
      <c r="F2600" s="16"/>
      <c r="G2600" s="16"/>
      <c r="H2600" s="16"/>
    </row>
    <row r="2601" spans="1:8" x14ac:dyDescent="0.3">
      <c r="A2601" t="s">
        <v>727</v>
      </c>
      <c r="B2601" s="3">
        <f t="shared" si="35"/>
        <v>44774</v>
      </c>
      <c r="C2601" s="2" t="str">
        <f>VLOOKUP(MONTH(Tabela1[[#This Row],[Periodo]]),NUMMESES,2,FALSE)</f>
        <v>Agosto</v>
      </c>
      <c r="D2601" s="2">
        <f>YEAR(Tabela1[[#This Row],[Periodo]])</f>
        <v>2022</v>
      </c>
      <c r="E2601" s="33">
        <f>((INDEX(TBBP[],MATCH("C14",planoContas,0)+1,MATCH(Tabela1[[#This Row],[Periodo]],listaPeriodos,0))/INDEX(TBBP[],MATCH("RL11",planoContas,0)+1,MATCH(Tabela1[[#This Row],[Periodo]],listaPeriodos,0))))</f>
        <v>0.41794030418870476</v>
      </c>
      <c r="F2601" s="16"/>
      <c r="G2601" s="16"/>
      <c r="H2601" s="16"/>
    </row>
    <row r="2602" spans="1:8" x14ac:dyDescent="0.3">
      <c r="A2602" t="s">
        <v>727</v>
      </c>
      <c r="B2602" s="3">
        <f t="shared" si="35"/>
        <v>44805</v>
      </c>
      <c r="C2602" s="2" t="str">
        <f>VLOOKUP(MONTH(Tabela1[[#This Row],[Periodo]]),NUMMESES,2,FALSE)</f>
        <v>Setembro</v>
      </c>
      <c r="D2602" s="2">
        <f>YEAR(Tabela1[[#This Row],[Periodo]])</f>
        <v>2022</v>
      </c>
      <c r="E2602" s="33">
        <f>((INDEX(TBBP[],MATCH("C14",planoContas,0)+1,MATCH(Tabela1[[#This Row],[Periodo]],listaPeriodos,0))/INDEX(TBBP[],MATCH("RL11",planoContas,0)+1,MATCH(Tabela1[[#This Row],[Periodo]],listaPeriodos,0))))</f>
        <v>0.38357642563394467</v>
      </c>
      <c r="F2602" s="16"/>
      <c r="G2602" s="16"/>
      <c r="H2602" s="16"/>
    </row>
    <row r="2603" spans="1:8" x14ac:dyDescent="0.3">
      <c r="A2603" t="s">
        <v>727</v>
      </c>
      <c r="B2603" s="3">
        <f t="shared" si="35"/>
        <v>44835</v>
      </c>
      <c r="C2603" s="2" t="str">
        <f>VLOOKUP(MONTH(Tabela1[[#This Row],[Periodo]]),NUMMESES,2,FALSE)</f>
        <v>Outubro</v>
      </c>
      <c r="D2603" s="2">
        <f>YEAR(Tabela1[[#This Row],[Periodo]])</f>
        <v>2022</v>
      </c>
      <c r="E2603" s="33">
        <f>((INDEX(TBBP[],MATCH("C14",planoContas,0)+1,MATCH(Tabela1[[#This Row],[Periodo]],listaPeriodos,0))/INDEX(TBBP[],MATCH("RL11",planoContas,0)+1,MATCH(Tabela1[[#This Row],[Periodo]],listaPeriodos,0))))</f>
        <v>0.41925318920734594</v>
      </c>
      <c r="F2603" s="16"/>
      <c r="G2603" s="16"/>
      <c r="H2603" s="16"/>
    </row>
    <row r="2604" spans="1:8" x14ac:dyDescent="0.3">
      <c r="A2604" t="s">
        <v>727</v>
      </c>
      <c r="B2604" s="3">
        <f t="shared" si="35"/>
        <v>44866</v>
      </c>
      <c r="C2604" s="2" t="str">
        <f>VLOOKUP(MONTH(Tabela1[[#This Row],[Periodo]]),NUMMESES,2,FALSE)</f>
        <v>Novembro</v>
      </c>
      <c r="D2604" s="2">
        <f>YEAR(Tabela1[[#This Row],[Periodo]])</f>
        <v>2022</v>
      </c>
      <c r="E2604" s="33">
        <f>((INDEX(TBBP[],MATCH("C14",planoContas,0)+1,MATCH(Tabela1[[#This Row],[Periodo]],listaPeriodos,0))/INDEX(TBBP[],MATCH("RL11",planoContas,0)+1,MATCH(Tabela1[[#This Row],[Periodo]],listaPeriodos,0))))</f>
        <v>0.41754687387149869</v>
      </c>
      <c r="F2604" s="16"/>
      <c r="G2604" s="16"/>
      <c r="H2604" s="16"/>
    </row>
    <row r="2605" spans="1:8" x14ac:dyDescent="0.3">
      <c r="A2605" t="s">
        <v>727</v>
      </c>
      <c r="B2605" s="3">
        <f t="shared" si="35"/>
        <v>44896</v>
      </c>
      <c r="C2605" s="2" t="str">
        <f>VLOOKUP(MONTH(Tabela1[[#This Row],[Periodo]]),NUMMESES,2,FALSE)</f>
        <v>Dezembro</v>
      </c>
      <c r="D2605" s="2">
        <f>YEAR(Tabela1[[#This Row],[Periodo]])</f>
        <v>2022</v>
      </c>
      <c r="E2605" s="33">
        <f>((INDEX(TBBP[],MATCH("C14",planoContas,0)+1,MATCH(Tabela1[[#This Row],[Periodo]],listaPeriodos,0))/INDEX(TBBP[],MATCH("RL11",planoContas,0)+1,MATCH(Tabela1[[#This Row],[Periodo]],listaPeriodos,0))))</f>
        <v>0.40485111215154512</v>
      </c>
      <c r="F2605" s="16"/>
      <c r="G2605" s="16"/>
      <c r="H2605" s="16"/>
    </row>
    <row r="2606" spans="1:8" x14ac:dyDescent="0.3">
      <c r="A2606" t="s">
        <v>727</v>
      </c>
      <c r="B2606" s="3">
        <f t="shared" si="35"/>
        <v>44927</v>
      </c>
      <c r="C2606" s="2" t="str">
        <f>VLOOKUP(MONTH(Tabela1[[#This Row],[Periodo]]),NUMMESES,2,FALSE)</f>
        <v>Janeiro</v>
      </c>
      <c r="D2606" s="2">
        <f>YEAR(Tabela1[[#This Row],[Periodo]])</f>
        <v>2023</v>
      </c>
      <c r="E2606" s="33">
        <f>((INDEX(TBBP[],MATCH("C14",planoContas,0)+1,MATCH(Tabela1[[#This Row],[Periodo]],listaPeriodos,0))/INDEX(TBBP[],MATCH("RL11",planoContas,0)+1,MATCH(Tabela1[[#This Row],[Periodo]],listaPeriodos,0))))</f>
        <v>0.37327591728785375</v>
      </c>
      <c r="F2606" s="16"/>
      <c r="G2606" s="16"/>
      <c r="H2606" s="16"/>
    </row>
    <row r="2607" spans="1:8" x14ac:dyDescent="0.3">
      <c r="A2607" t="s">
        <v>727</v>
      </c>
      <c r="B2607" s="3">
        <f t="shared" si="35"/>
        <v>44958</v>
      </c>
      <c r="C2607" s="2" t="str">
        <f>VLOOKUP(MONTH(Tabela1[[#This Row],[Periodo]]),NUMMESES,2,FALSE)</f>
        <v>Fevereiro</v>
      </c>
      <c r="D2607" s="2">
        <f>YEAR(Tabela1[[#This Row],[Periodo]])</f>
        <v>2023</v>
      </c>
      <c r="E2607" s="33">
        <f>((INDEX(TBBP[],MATCH("C14",planoContas,0)+1,MATCH(Tabela1[[#This Row],[Periodo]],listaPeriodos,0))/INDEX(TBBP[],MATCH("RL11",planoContas,0)+1,MATCH(Tabela1[[#This Row],[Periodo]],listaPeriodos,0))))</f>
        <v>0.4081759843798779</v>
      </c>
      <c r="F2607" s="16"/>
      <c r="G2607" s="16"/>
      <c r="H2607" s="16"/>
    </row>
    <row r="2608" spans="1:8" x14ac:dyDescent="0.3">
      <c r="A2608" t="s">
        <v>727</v>
      </c>
      <c r="B2608" s="3">
        <f t="shared" si="35"/>
        <v>44986</v>
      </c>
      <c r="C2608" s="2" t="str">
        <f>VLOOKUP(MONTH(Tabela1[[#This Row],[Periodo]]),NUMMESES,2,FALSE)</f>
        <v>Março</v>
      </c>
      <c r="D2608" s="2">
        <f>YEAR(Tabela1[[#This Row],[Periodo]])</f>
        <v>2023</v>
      </c>
      <c r="E2608" s="33">
        <f>((INDEX(TBBP[],MATCH("C14",planoContas,0)+1,MATCH(Tabela1[[#This Row],[Periodo]],listaPeriodos,0))/INDEX(TBBP[],MATCH("RL11",planoContas,0)+1,MATCH(Tabela1[[#This Row],[Periodo]],listaPeriodos,0))))</f>
        <v>0.43657025642905573</v>
      </c>
      <c r="F2608" s="16"/>
      <c r="G2608" s="16"/>
      <c r="H2608" s="16"/>
    </row>
    <row r="2609" spans="1:8" x14ac:dyDescent="0.3">
      <c r="A2609" t="s">
        <v>727</v>
      </c>
      <c r="B2609" s="3">
        <f t="shared" si="35"/>
        <v>45017</v>
      </c>
      <c r="C2609" s="2" t="str">
        <f>VLOOKUP(MONTH(Tabela1[[#This Row],[Periodo]]),NUMMESES,2,FALSE)</f>
        <v>Abril</v>
      </c>
      <c r="D2609" s="2">
        <f>YEAR(Tabela1[[#This Row],[Periodo]])</f>
        <v>2023</v>
      </c>
      <c r="E2609" s="33">
        <f>((INDEX(TBBP[],MATCH("C14",planoContas,0)+1,MATCH(Tabela1[[#This Row],[Periodo]],listaPeriodos,0))/INDEX(TBBP[],MATCH("RL11",planoContas,0)+1,MATCH(Tabela1[[#This Row],[Periodo]],listaPeriodos,0))))</f>
        <v>0.38495698886313312</v>
      </c>
      <c r="F2609" s="16"/>
      <c r="G2609" s="16"/>
      <c r="H2609" s="16"/>
    </row>
    <row r="2610" spans="1:8" x14ac:dyDescent="0.3">
      <c r="A2610" t="s">
        <v>727</v>
      </c>
      <c r="B2610" s="3">
        <f t="shared" si="35"/>
        <v>45047</v>
      </c>
      <c r="C2610" s="2" t="str">
        <f>VLOOKUP(MONTH(Tabela1[[#This Row],[Periodo]]),NUMMESES,2,FALSE)</f>
        <v>Maio</v>
      </c>
      <c r="D2610" s="2">
        <f>YEAR(Tabela1[[#This Row],[Periodo]])</f>
        <v>2023</v>
      </c>
      <c r="E2610" s="33">
        <f>((INDEX(TBBP[],MATCH("C14",planoContas,0)+1,MATCH(Tabela1[[#This Row],[Periodo]],listaPeriodos,0))/INDEX(TBBP[],MATCH("RL11",planoContas,0)+1,MATCH(Tabela1[[#This Row],[Periodo]],listaPeriodos,0))))</f>
        <v>0.47602564429637861</v>
      </c>
      <c r="F2610" s="16"/>
      <c r="G2610" s="16"/>
      <c r="H2610" s="16"/>
    </row>
    <row r="2611" spans="1:8" x14ac:dyDescent="0.3">
      <c r="A2611" t="s">
        <v>727</v>
      </c>
      <c r="B2611" s="3">
        <f t="shared" si="35"/>
        <v>45078</v>
      </c>
      <c r="C2611" s="2" t="str">
        <f>VLOOKUP(MONTH(Tabela1[[#This Row],[Periodo]]),NUMMESES,2,FALSE)</f>
        <v>Junho</v>
      </c>
      <c r="D2611" s="2">
        <f>YEAR(Tabela1[[#This Row],[Periodo]])</f>
        <v>2023</v>
      </c>
      <c r="E2611" s="33">
        <f>((INDEX(TBBP[],MATCH("C14",planoContas,0)+1,MATCH(Tabela1[[#This Row],[Periodo]],listaPeriodos,0))/INDEX(TBBP[],MATCH("RL11",planoContas,0)+1,MATCH(Tabela1[[#This Row],[Periodo]],listaPeriodos,0))))</f>
        <v>0.36274064780162218</v>
      </c>
      <c r="F2611" s="16"/>
      <c r="G2611" s="16"/>
      <c r="H2611" s="16"/>
    </row>
    <row r="2612" spans="1:8" x14ac:dyDescent="0.3">
      <c r="A2612" t="s">
        <v>727</v>
      </c>
      <c r="B2612" s="3">
        <f t="shared" si="35"/>
        <v>45108</v>
      </c>
      <c r="C2612" s="2" t="str">
        <f>VLOOKUP(MONTH(Tabela1[[#This Row],[Periodo]]),NUMMESES,2,FALSE)</f>
        <v>Julho</v>
      </c>
      <c r="D2612" s="2">
        <f>YEAR(Tabela1[[#This Row],[Periodo]])</f>
        <v>2023</v>
      </c>
      <c r="E2612" s="33">
        <f>((INDEX(TBBP[],MATCH("C14",planoContas,0)+1,MATCH(Tabela1[[#This Row],[Periodo]],listaPeriodos,0))/INDEX(TBBP[],MATCH("RL11",planoContas,0)+1,MATCH(Tabela1[[#This Row],[Periodo]],listaPeriodos,0))))</f>
        <v>0.49502079058714893</v>
      </c>
      <c r="F2612" s="16"/>
      <c r="G2612" s="16"/>
      <c r="H2612" s="16"/>
    </row>
    <row r="2613" spans="1:8" x14ac:dyDescent="0.3">
      <c r="A2613" t="s">
        <v>727</v>
      </c>
      <c r="B2613" s="3">
        <f t="shared" si="35"/>
        <v>45139</v>
      </c>
      <c r="C2613" s="2" t="str">
        <f>VLOOKUP(MONTH(Tabela1[[#This Row],[Periodo]]),NUMMESES,2,FALSE)</f>
        <v>Agosto</v>
      </c>
      <c r="D2613" s="2">
        <f>YEAR(Tabela1[[#This Row],[Periodo]])</f>
        <v>2023</v>
      </c>
      <c r="E2613" s="33">
        <f>((INDEX(TBBP[],MATCH("C14",planoContas,0)+1,MATCH(Tabela1[[#This Row],[Periodo]],listaPeriodos,0))/INDEX(TBBP[],MATCH("RL11",planoContas,0)+1,MATCH(Tabela1[[#This Row],[Periodo]],listaPeriodos,0))))</f>
        <v>0.36947403566963383</v>
      </c>
      <c r="F2613" s="16"/>
      <c r="G2613" s="16"/>
      <c r="H2613" s="16"/>
    </row>
    <row r="2614" spans="1:8" x14ac:dyDescent="0.3">
      <c r="A2614" t="s">
        <v>727</v>
      </c>
      <c r="B2614" s="3">
        <f t="shared" si="35"/>
        <v>45170</v>
      </c>
      <c r="C2614" s="2" t="str">
        <f>VLOOKUP(MONTH(Tabela1[[#This Row],[Periodo]]),NUMMESES,2,FALSE)</f>
        <v>Setembro</v>
      </c>
      <c r="D2614" s="2">
        <f>YEAR(Tabela1[[#This Row],[Periodo]])</f>
        <v>2023</v>
      </c>
      <c r="E2614" s="33" t="e">
        <f>((INDEX(TBBP[],MATCH("C14",planoContas,0)+1,MATCH(Tabela1[[#This Row],[Periodo]],listaPeriodos,0))/INDEX(TBBP[],MATCH("RL11",planoContas,0)+1,MATCH(Tabela1[[#This Row],[Periodo]],listaPeriodos,0))))</f>
        <v>#DIV/0!</v>
      </c>
      <c r="F2614" s="16"/>
      <c r="G2614" s="16"/>
      <c r="H2614" s="16"/>
    </row>
    <row r="2615" spans="1:8" x14ac:dyDescent="0.3">
      <c r="A2615" t="s">
        <v>727</v>
      </c>
      <c r="B2615" s="3">
        <f t="shared" si="35"/>
        <v>45200</v>
      </c>
      <c r="C2615" s="2" t="str">
        <f>VLOOKUP(MONTH(Tabela1[[#This Row],[Periodo]]),NUMMESES,2,FALSE)</f>
        <v>Outubro</v>
      </c>
      <c r="D2615" s="2">
        <f>YEAR(Tabela1[[#This Row],[Periodo]])</f>
        <v>2023</v>
      </c>
      <c r="E2615" s="33" t="e">
        <f>((INDEX(TBBP[],MATCH("C14",planoContas,0)+1,MATCH(Tabela1[[#This Row],[Periodo]],listaPeriodos,0))/INDEX(TBBP[],MATCH("RL11",planoContas,0)+1,MATCH(Tabela1[[#This Row],[Periodo]],listaPeriodos,0))))</f>
        <v>#DIV/0!</v>
      </c>
      <c r="F2615" s="16"/>
      <c r="G2615" s="16"/>
      <c r="H2615" s="16"/>
    </row>
    <row r="2616" spans="1:8" x14ac:dyDescent="0.3">
      <c r="A2616" t="s">
        <v>727</v>
      </c>
      <c r="B2616" s="3">
        <f t="shared" si="35"/>
        <v>45231</v>
      </c>
      <c r="C2616" s="2" t="str">
        <f>VLOOKUP(MONTH(Tabela1[[#This Row],[Periodo]]),NUMMESES,2,FALSE)</f>
        <v>Novembro</v>
      </c>
      <c r="D2616" s="2">
        <f>YEAR(Tabela1[[#This Row],[Periodo]])</f>
        <v>2023</v>
      </c>
      <c r="E2616" s="33" t="e">
        <f>((INDEX(TBBP[],MATCH("C14",planoContas,0)+1,MATCH(Tabela1[[#This Row],[Periodo]],listaPeriodos,0))/INDEX(TBBP[],MATCH("RL11",planoContas,0)+1,MATCH(Tabela1[[#This Row],[Periodo]],listaPeriodos,0))))</f>
        <v>#DIV/0!</v>
      </c>
      <c r="F2616" s="16"/>
      <c r="G2616" s="16"/>
      <c r="H2616" s="16"/>
    </row>
    <row r="2617" spans="1:8" x14ac:dyDescent="0.3">
      <c r="A2617" t="s">
        <v>727</v>
      </c>
      <c r="B2617" s="3">
        <f t="shared" si="35"/>
        <v>45261</v>
      </c>
      <c r="C2617" s="2" t="str">
        <f>VLOOKUP(MONTH(Tabela1[[#This Row],[Periodo]]),NUMMESES,2,FALSE)</f>
        <v>Dezembro</v>
      </c>
      <c r="D2617" s="2">
        <f>YEAR(Tabela1[[#This Row],[Periodo]])</f>
        <v>2023</v>
      </c>
      <c r="E2617" s="33" t="e">
        <f>((INDEX(TBBP[],MATCH("C14",planoContas,0)+1,MATCH(Tabela1[[#This Row],[Periodo]],listaPeriodos,0))/INDEX(TBBP[],MATCH("RL11",planoContas,0)+1,MATCH(Tabela1[[#This Row],[Periodo]],listaPeriodos,0))))</f>
        <v>#DIV/0!</v>
      </c>
      <c r="F2617" s="16"/>
      <c r="G2617" s="16"/>
      <c r="H2617" s="16"/>
    </row>
    <row r="2618" spans="1:8" x14ac:dyDescent="0.3">
      <c r="A2618" t="s">
        <v>727</v>
      </c>
      <c r="B2618" s="3">
        <f t="shared" si="35"/>
        <v>45292</v>
      </c>
      <c r="C2618" s="2" t="str">
        <f>VLOOKUP(MONTH(Tabela1[[#This Row],[Periodo]]),NUMMESES,2,FALSE)</f>
        <v>Janeiro</v>
      </c>
      <c r="D2618" s="2">
        <f>YEAR(Tabela1[[#This Row],[Periodo]])</f>
        <v>2024</v>
      </c>
      <c r="E2618" s="33" t="e">
        <f>((INDEX(TBBP[],MATCH("C14",planoContas,0)+1,MATCH(Tabela1[[#This Row],[Periodo]],listaPeriodos,0))/INDEX(TBBP[],MATCH("RL11",planoContas,0)+1,MATCH(Tabela1[[#This Row],[Periodo]],listaPeriodos,0))))</f>
        <v>#DIV/0!</v>
      </c>
      <c r="F2618" s="16"/>
      <c r="G2618" s="16"/>
      <c r="H2618" s="16"/>
    </row>
    <row r="2619" spans="1:8" x14ac:dyDescent="0.3">
      <c r="A2619" t="s">
        <v>727</v>
      </c>
      <c r="B2619" s="3">
        <f t="shared" si="35"/>
        <v>45323</v>
      </c>
      <c r="C2619" s="2" t="str">
        <f>VLOOKUP(MONTH(Tabela1[[#This Row],[Periodo]]),NUMMESES,2,FALSE)</f>
        <v>Fevereiro</v>
      </c>
      <c r="D2619" s="2">
        <f>YEAR(Tabela1[[#This Row],[Periodo]])</f>
        <v>2024</v>
      </c>
      <c r="E2619" s="33" t="e">
        <f>((INDEX(TBBP[],MATCH("C14",planoContas,0)+1,MATCH(Tabela1[[#This Row],[Periodo]],listaPeriodos,0))/INDEX(TBBP[],MATCH("RL11",planoContas,0)+1,MATCH(Tabela1[[#This Row],[Periodo]],listaPeriodos,0))))</f>
        <v>#DIV/0!</v>
      </c>
      <c r="F2619" s="16"/>
      <c r="G2619" s="16"/>
      <c r="H2619" s="16"/>
    </row>
    <row r="2620" spans="1:8" x14ac:dyDescent="0.3">
      <c r="A2620" t="s">
        <v>727</v>
      </c>
      <c r="B2620" s="3">
        <f t="shared" si="35"/>
        <v>45352</v>
      </c>
      <c r="C2620" s="2" t="str">
        <f>VLOOKUP(MONTH(Tabela1[[#This Row],[Periodo]]),NUMMESES,2,FALSE)</f>
        <v>Março</v>
      </c>
      <c r="D2620" s="2">
        <f>YEAR(Tabela1[[#This Row],[Periodo]])</f>
        <v>2024</v>
      </c>
      <c r="E2620" s="33" t="e">
        <f>((INDEX(TBBP[],MATCH("C14",planoContas,0)+1,MATCH(Tabela1[[#This Row],[Periodo]],listaPeriodos,0))/INDEX(TBBP[],MATCH("RL11",planoContas,0)+1,MATCH(Tabela1[[#This Row],[Periodo]],listaPeriodos,0))))</f>
        <v>#DIV/0!</v>
      </c>
      <c r="F2620" s="16"/>
      <c r="G2620" s="16"/>
      <c r="H2620" s="16"/>
    </row>
    <row r="2621" spans="1:8" x14ac:dyDescent="0.3">
      <c r="A2621" t="s">
        <v>727</v>
      </c>
      <c r="B2621" s="3">
        <f t="shared" si="35"/>
        <v>45383</v>
      </c>
      <c r="C2621" s="2" t="str">
        <f>VLOOKUP(MONTH(Tabela1[[#This Row],[Periodo]]),NUMMESES,2,FALSE)</f>
        <v>Abril</v>
      </c>
      <c r="D2621" s="2">
        <f>YEAR(Tabela1[[#This Row],[Periodo]])</f>
        <v>2024</v>
      </c>
      <c r="E2621" s="33" t="e">
        <f>((INDEX(TBBP[],MATCH("C14",planoContas,0)+1,MATCH(Tabela1[[#This Row],[Periodo]],listaPeriodos,0))/INDEX(TBBP[],MATCH("RL11",planoContas,0)+1,MATCH(Tabela1[[#This Row],[Periodo]],listaPeriodos,0))))</f>
        <v>#DIV/0!</v>
      </c>
      <c r="F2621" s="16"/>
      <c r="G2621" s="16"/>
      <c r="H2621" s="16"/>
    </row>
    <row r="2622" spans="1:8" x14ac:dyDescent="0.3">
      <c r="A2622" t="s">
        <v>727</v>
      </c>
      <c r="B2622" s="3">
        <f t="shared" si="35"/>
        <v>45413</v>
      </c>
      <c r="C2622" s="2" t="str">
        <f>VLOOKUP(MONTH(Tabela1[[#This Row],[Periodo]]),NUMMESES,2,FALSE)</f>
        <v>Maio</v>
      </c>
      <c r="D2622" s="2">
        <f>YEAR(Tabela1[[#This Row],[Periodo]])</f>
        <v>2024</v>
      </c>
      <c r="E2622" s="33">
        <f>((INDEX(TBBP[],MATCH("C14",planoContas,0)+1,MATCH(Tabela1[[#This Row],[Periodo]],listaPeriodos,0))/INDEX(TBBP[],MATCH("RL11",planoContas,0)+1,MATCH(Tabela1[[#This Row],[Periodo]],listaPeriodos,0))))</f>
        <v>0.34056269862957417</v>
      </c>
      <c r="F2622" s="16"/>
      <c r="G2622" s="16"/>
      <c r="H2622" s="16"/>
    </row>
    <row r="2623" spans="1:8" x14ac:dyDescent="0.3">
      <c r="A2623" t="s">
        <v>727</v>
      </c>
      <c r="B2623" s="3">
        <f t="shared" si="35"/>
        <v>45444</v>
      </c>
      <c r="C2623" s="2" t="str">
        <f>VLOOKUP(MONTH(Tabela1[[#This Row],[Periodo]]),NUMMESES,2,FALSE)</f>
        <v>Junho</v>
      </c>
      <c r="D2623" s="2">
        <f>YEAR(Tabela1[[#This Row],[Periodo]])</f>
        <v>2024</v>
      </c>
      <c r="E2623" s="33">
        <f>((INDEX(TBBP[],MATCH("C14",planoContas,0)+1,MATCH(Tabela1[[#This Row],[Periodo]],listaPeriodos,0))/INDEX(TBBP[],MATCH("RL11",planoContas,0)+1,MATCH(Tabela1[[#This Row],[Periodo]],listaPeriodos,0))))</f>
        <v>0.40613767632461556</v>
      </c>
      <c r="F2623" s="16"/>
      <c r="G2623" s="16"/>
      <c r="H2623" s="16"/>
    </row>
    <row r="2624" spans="1:8" x14ac:dyDescent="0.3">
      <c r="A2624" t="s">
        <v>727</v>
      </c>
      <c r="B2624" s="3">
        <f t="shared" si="35"/>
        <v>45474</v>
      </c>
      <c r="C2624" s="2" t="str">
        <f>VLOOKUP(MONTH(Tabela1[[#This Row],[Periodo]]),NUMMESES,2,FALSE)</f>
        <v>Julho</v>
      </c>
      <c r="D2624" s="2">
        <f>YEAR(Tabela1[[#This Row],[Periodo]])</f>
        <v>2024</v>
      </c>
      <c r="E2624" s="33">
        <f>((INDEX(TBBP[],MATCH("C14",planoContas,0)+1,MATCH(Tabela1[[#This Row],[Periodo]],listaPeriodos,0))/INDEX(TBBP[],MATCH("RL11",planoContas,0)+1,MATCH(Tabela1[[#This Row],[Periodo]],listaPeriodos,0))))</f>
        <v>0.37169951670591206</v>
      </c>
      <c r="F2624" s="16"/>
      <c r="G2624" s="16"/>
      <c r="H2624" s="16"/>
    </row>
    <row r="2625" spans="1:8" x14ac:dyDescent="0.3">
      <c r="A2625" t="s">
        <v>727</v>
      </c>
      <c r="B2625" s="3">
        <f t="shared" si="35"/>
        <v>45505</v>
      </c>
      <c r="C2625" s="2" t="str">
        <f>VLOOKUP(MONTH(Tabela1[[#This Row],[Periodo]]),NUMMESES,2,FALSE)</f>
        <v>Agosto</v>
      </c>
      <c r="D2625" s="2">
        <f>YEAR(Tabela1[[#This Row],[Periodo]])</f>
        <v>2024</v>
      </c>
      <c r="E2625" s="33">
        <f>((INDEX(TBBP[],MATCH("C14",planoContas,0)+1,MATCH(Tabela1[[#This Row],[Periodo]],listaPeriodos,0))/INDEX(TBBP[],MATCH("RL11",planoContas,0)+1,MATCH(Tabela1[[#This Row],[Periodo]],listaPeriodos,0))))</f>
        <v>0.40084855768084016</v>
      </c>
      <c r="F2625" s="16"/>
      <c r="G2625" s="16"/>
      <c r="H2625" s="16"/>
    </row>
    <row r="2626" spans="1:8" x14ac:dyDescent="0.3">
      <c r="A2626" t="s">
        <v>727</v>
      </c>
      <c r="B2626" s="3">
        <f t="shared" si="35"/>
        <v>45536</v>
      </c>
      <c r="C2626" s="2" t="str">
        <f>VLOOKUP(MONTH(Tabela1[[#This Row],[Periodo]]),NUMMESES,2,FALSE)</f>
        <v>Setembro</v>
      </c>
      <c r="D2626" s="2">
        <f>YEAR(Tabela1[[#This Row],[Periodo]])</f>
        <v>2024</v>
      </c>
      <c r="E2626" s="33">
        <f>((INDEX(TBBP[],MATCH("C14",planoContas,0)+1,MATCH(Tabela1[[#This Row],[Periodo]],listaPeriodos,0))/INDEX(TBBP[],MATCH("RL11",planoContas,0)+1,MATCH(Tabela1[[#This Row],[Periodo]],listaPeriodos,0))))</f>
        <v>0.39718793624090648</v>
      </c>
      <c r="F2626" s="16"/>
      <c r="G2626" s="16"/>
      <c r="H2626" s="16"/>
    </row>
    <row r="2627" spans="1:8" x14ac:dyDescent="0.3">
      <c r="A2627" t="s">
        <v>727</v>
      </c>
      <c r="B2627" s="3">
        <f t="shared" si="35"/>
        <v>45566</v>
      </c>
      <c r="C2627" s="2" t="str">
        <f>VLOOKUP(MONTH(Tabela1[[#This Row],[Periodo]]),NUMMESES,2,FALSE)</f>
        <v>Outubro</v>
      </c>
      <c r="D2627" s="2">
        <f>YEAR(Tabela1[[#This Row],[Periodo]])</f>
        <v>2024</v>
      </c>
      <c r="E2627" s="33">
        <f>((INDEX(TBBP[],MATCH("C14",planoContas,0)+1,MATCH(Tabela1[[#This Row],[Periodo]],listaPeriodos,0))/INDEX(TBBP[],MATCH("RL11",planoContas,0)+1,MATCH(Tabela1[[#This Row],[Periodo]],listaPeriodos,0))))</f>
        <v>0.45162414653276495</v>
      </c>
      <c r="F2627" s="16"/>
      <c r="G2627" s="16"/>
      <c r="H2627" s="16"/>
    </row>
    <row r="2628" spans="1:8" x14ac:dyDescent="0.3">
      <c r="A2628" t="s">
        <v>727</v>
      </c>
      <c r="B2628" s="3">
        <f t="shared" si="35"/>
        <v>45597</v>
      </c>
      <c r="C2628" s="2" t="str">
        <f>VLOOKUP(MONTH(Tabela1[[#This Row],[Periodo]]),NUMMESES,2,FALSE)</f>
        <v>Novembro</v>
      </c>
      <c r="D2628" s="2">
        <f>YEAR(Tabela1[[#This Row],[Periodo]])</f>
        <v>2024</v>
      </c>
      <c r="E2628" s="33">
        <f>((INDEX(TBBP[],MATCH("C14",planoContas,0)+1,MATCH(Tabela1[[#This Row],[Periodo]],listaPeriodos,0))/INDEX(TBBP[],MATCH("RL11",planoContas,0)+1,MATCH(Tabela1[[#This Row],[Periodo]],listaPeriodos,0))))</f>
        <v>0.43611480378856887</v>
      </c>
      <c r="F2628" s="16"/>
      <c r="G2628" s="16"/>
      <c r="H2628" s="16"/>
    </row>
    <row r="2629" spans="1:8" x14ac:dyDescent="0.3">
      <c r="A2629" t="s">
        <v>727</v>
      </c>
      <c r="B2629" s="3">
        <f t="shared" si="35"/>
        <v>45627</v>
      </c>
      <c r="C2629" s="2" t="str">
        <f>VLOOKUP(MONTH(Tabela1[[#This Row],[Periodo]]),NUMMESES,2,FALSE)</f>
        <v>Dezembro</v>
      </c>
      <c r="D2629" s="2">
        <f>YEAR(Tabela1[[#This Row],[Periodo]])</f>
        <v>2024</v>
      </c>
      <c r="E2629" s="33">
        <f>((INDEX(TBBP[],MATCH("C14",planoContas,0)+1,MATCH(Tabela1[[#This Row],[Periodo]],listaPeriodos,0))/INDEX(TBBP[],MATCH("RL11",planoContas,0)+1,MATCH(Tabela1[[#This Row],[Periodo]],listaPeriodos,0))))</f>
        <v>0.37223795647550306</v>
      </c>
      <c r="F2629" s="16"/>
      <c r="G2629" s="16"/>
      <c r="H2629" s="16"/>
    </row>
    <row r="2630" spans="1:8" x14ac:dyDescent="0.3">
      <c r="A2630" t="s">
        <v>727</v>
      </c>
      <c r="B2630" s="3">
        <f t="shared" si="35"/>
        <v>45658</v>
      </c>
      <c r="C2630" s="2" t="str">
        <f>VLOOKUP(MONTH(Tabela1[[#This Row],[Periodo]]),NUMMESES,2,FALSE)</f>
        <v>Janeiro</v>
      </c>
      <c r="D2630" s="2">
        <f>YEAR(Tabela1[[#This Row],[Periodo]])</f>
        <v>2025</v>
      </c>
      <c r="E2630" s="33">
        <f>((INDEX(TBBP[],MATCH("C14",planoContas,0)+1,MATCH(Tabela1[[#This Row],[Periodo]],listaPeriodos,0))/INDEX(TBBP[],MATCH("RL11",planoContas,0)+1,MATCH(Tabela1[[#This Row],[Periodo]],listaPeriodos,0))))</f>
        <v>0.3829866071223077</v>
      </c>
      <c r="F2630" s="16"/>
      <c r="G2630" s="16"/>
      <c r="H2630" s="16"/>
    </row>
    <row r="2631" spans="1:8" x14ac:dyDescent="0.3">
      <c r="A2631" t="s">
        <v>727</v>
      </c>
      <c r="B2631" s="3">
        <f t="shared" si="35"/>
        <v>45689</v>
      </c>
      <c r="C2631" s="2" t="str">
        <f>VLOOKUP(MONTH(Tabela1[[#This Row],[Periodo]]),NUMMESES,2,FALSE)</f>
        <v>Fevereiro</v>
      </c>
      <c r="D2631" s="2">
        <f>YEAR(Tabela1[[#This Row],[Periodo]])</f>
        <v>2025</v>
      </c>
      <c r="E2631" s="33">
        <f>((INDEX(TBBP[],MATCH("C14",planoContas,0)+1,MATCH(Tabela1[[#This Row],[Periodo]],listaPeriodos,0))/INDEX(TBBP[],MATCH("RL11",planoContas,0)+1,MATCH(Tabela1[[#This Row],[Periodo]],listaPeriodos,0))))</f>
        <v>0.3636816756777857</v>
      </c>
      <c r="F2631" s="16"/>
      <c r="G2631" s="16"/>
      <c r="H2631" s="16"/>
    </row>
    <row r="2632" spans="1:8" x14ac:dyDescent="0.3">
      <c r="A2632" t="s">
        <v>727</v>
      </c>
      <c r="B2632" s="3">
        <f t="shared" si="35"/>
        <v>45717</v>
      </c>
      <c r="C2632" s="2" t="str">
        <f>VLOOKUP(MONTH(Tabela1[[#This Row],[Periodo]]),NUMMESES,2,FALSE)</f>
        <v>Março</v>
      </c>
      <c r="D2632" s="2">
        <f>YEAR(Tabela1[[#This Row],[Periodo]])</f>
        <v>2025</v>
      </c>
      <c r="E2632" s="33">
        <f>((INDEX(TBBP[],MATCH("C14",planoContas,0)+1,MATCH(Tabela1[[#This Row],[Periodo]],listaPeriodos,0))/INDEX(TBBP[],MATCH("RL11",planoContas,0)+1,MATCH(Tabela1[[#This Row],[Periodo]],listaPeriodos,0))))</f>
        <v>0.46733699459768868</v>
      </c>
      <c r="F2632" s="16"/>
      <c r="G2632" s="16"/>
      <c r="H2632" s="16"/>
    </row>
    <row r="2633" spans="1:8" x14ac:dyDescent="0.3">
      <c r="A2633" t="s">
        <v>727</v>
      </c>
      <c r="B2633" s="3">
        <f t="shared" si="35"/>
        <v>45748</v>
      </c>
      <c r="C2633" s="2" t="str">
        <f>VLOOKUP(MONTH(Tabela1[[#This Row],[Periodo]]),NUMMESES,2,FALSE)</f>
        <v>Abril</v>
      </c>
      <c r="D2633" s="2">
        <f>YEAR(Tabela1[[#This Row],[Periodo]])</f>
        <v>2025</v>
      </c>
      <c r="E2633" s="33">
        <f>((INDEX(TBBP[],MATCH("C14",planoContas,0)+1,MATCH(Tabela1[[#This Row],[Periodo]],listaPeriodos,0))/INDEX(TBBP[],MATCH("RL11",planoContas,0)+1,MATCH(Tabela1[[#This Row],[Periodo]],listaPeriodos,0))))</f>
        <v>0.43250572097886714</v>
      </c>
      <c r="F2633" s="16"/>
      <c r="G2633" s="16"/>
      <c r="H2633" s="16"/>
    </row>
    <row r="2634" spans="1:8" x14ac:dyDescent="0.3">
      <c r="A2634" t="s">
        <v>727</v>
      </c>
      <c r="B2634" s="3">
        <f t="shared" si="35"/>
        <v>45778</v>
      </c>
      <c r="C2634" s="2" t="str">
        <f>VLOOKUP(MONTH(Tabela1[[#This Row],[Periodo]]),NUMMESES,2,FALSE)</f>
        <v>Maio</v>
      </c>
      <c r="D2634" s="2">
        <f>YEAR(Tabela1[[#This Row],[Periodo]])</f>
        <v>2025</v>
      </c>
      <c r="E2634" s="33">
        <f>((INDEX(TBBP[],MATCH("C14",planoContas,0)+1,MATCH(Tabela1[[#This Row],[Periodo]],listaPeriodos,0))/INDEX(TBBP[],MATCH("RL11",planoContas,0)+1,MATCH(Tabela1[[#This Row],[Periodo]],listaPeriodos,0))))</f>
        <v>0.73070245078769047</v>
      </c>
      <c r="F2634" s="16"/>
      <c r="G2634" s="16"/>
      <c r="H2634" s="16"/>
    </row>
    <row r="2635" spans="1:8" x14ac:dyDescent="0.3">
      <c r="A2635" t="s">
        <v>727</v>
      </c>
      <c r="B2635" s="3">
        <f t="shared" si="35"/>
        <v>45809</v>
      </c>
      <c r="C2635" s="2" t="str">
        <f>VLOOKUP(MONTH(Tabela1[[#This Row],[Periodo]]),NUMMESES,2,FALSE)</f>
        <v>Junho</v>
      </c>
      <c r="D2635" s="2">
        <f>YEAR(Tabela1[[#This Row],[Periodo]])</f>
        <v>2025</v>
      </c>
      <c r="E2635" s="33">
        <f>((INDEX(TBBP[],MATCH("C14",planoContas,0)+1,MATCH(Tabela1[[#This Row],[Periodo]],listaPeriodos,0))/INDEX(TBBP[],MATCH("RL11",planoContas,0)+1,MATCH(Tabela1[[#This Row],[Periodo]],listaPeriodos,0))))</f>
        <v>0.48583204248414935</v>
      </c>
      <c r="F2635" s="16"/>
      <c r="G2635" s="16"/>
      <c r="H2635" s="16"/>
    </row>
    <row r="2636" spans="1:8" x14ac:dyDescent="0.3">
      <c r="A2636" t="s">
        <v>727</v>
      </c>
      <c r="B2636" s="3">
        <f t="shared" si="35"/>
        <v>45839</v>
      </c>
      <c r="C2636" s="2" t="str">
        <f>VLOOKUP(MONTH(Tabela1[[#This Row],[Periodo]]),NUMMESES,2,FALSE)</f>
        <v>Julho</v>
      </c>
      <c r="D2636" s="2">
        <f>YEAR(Tabela1[[#This Row],[Periodo]])</f>
        <v>2025</v>
      </c>
      <c r="E2636" s="33">
        <f>((INDEX(TBBP[],MATCH("C14",planoContas,0)+1,MATCH(Tabela1[[#This Row],[Periodo]],listaPeriodos,0))/INDEX(TBBP[],MATCH("RL11",planoContas,0)+1,MATCH(Tabela1[[#This Row],[Periodo]],listaPeriodos,0))))</f>
        <v>0.44848669639513006</v>
      </c>
      <c r="F2636" s="16"/>
      <c r="G2636" s="16"/>
      <c r="H2636" s="16"/>
    </row>
    <row r="2637" spans="1:8" x14ac:dyDescent="0.3">
      <c r="A2637" t="s">
        <v>727</v>
      </c>
      <c r="B2637" s="3">
        <f t="shared" si="35"/>
        <v>45870</v>
      </c>
      <c r="C2637" s="2" t="str">
        <f>VLOOKUP(MONTH(Tabela1[[#This Row],[Periodo]]),NUMMESES,2,FALSE)</f>
        <v>Agosto</v>
      </c>
      <c r="D2637" s="2">
        <f>YEAR(Tabela1[[#This Row],[Periodo]])</f>
        <v>2025</v>
      </c>
      <c r="E2637" s="33">
        <f>((INDEX(TBBP[],MATCH("C14",planoContas,0)+1,MATCH(Tabela1[[#This Row],[Periodo]],listaPeriodos,0))/INDEX(TBBP[],MATCH("RL11",planoContas,0)+1,MATCH(Tabela1[[#This Row],[Periodo]],listaPeriodos,0))))</f>
        <v>0.44848669639513006</v>
      </c>
      <c r="F2637" s="16"/>
      <c r="G2637" s="16"/>
      <c r="H2637" s="16"/>
    </row>
    <row r="2638" spans="1:8" x14ac:dyDescent="0.3">
      <c r="A2638" t="s">
        <v>727</v>
      </c>
      <c r="B2638" s="3">
        <f t="shared" si="35"/>
        <v>45901</v>
      </c>
      <c r="C2638" s="2" t="str">
        <f>VLOOKUP(MONTH(Tabela1[[#This Row],[Periodo]]),NUMMESES,2,FALSE)</f>
        <v>Setembro</v>
      </c>
      <c r="D2638" s="2">
        <f>YEAR(Tabela1[[#This Row],[Periodo]])</f>
        <v>2025</v>
      </c>
      <c r="E2638" s="33">
        <f>((INDEX(TBBP[],MATCH("C14",planoContas,0)+1,MATCH(Tabela1[[#This Row],[Periodo]],listaPeriodos,0))/INDEX(TBBP[],MATCH("RL11",planoContas,0)+1,MATCH(Tabela1[[#This Row],[Periodo]],listaPeriodos,0))))</f>
        <v>0.43082280457013838</v>
      </c>
      <c r="F2638" s="16"/>
      <c r="G2638" s="16"/>
      <c r="H2638" s="16"/>
    </row>
    <row r="2639" spans="1:8" x14ac:dyDescent="0.3">
      <c r="A2639" t="s">
        <v>727</v>
      </c>
      <c r="B2639" s="3">
        <f t="shared" si="35"/>
        <v>45931</v>
      </c>
      <c r="C2639" s="2" t="str">
        <f>VLOOKUP(MONTH(Tabela1[[#This Row],[Periodo]]),NUMMESES,2,FALSE)</f>
        <v>Outubro</v>
      </c>
      <c r="D2639" s="2">
        <f>YEAR(Tabela1[[#This Row],[Periodo]])</f>
        <v>2025</v>
      </c>
      <c r="E2639" s="33">
        <f>((INDEX(TBBP[],MATCH("C14",planoContas,0)+1,MATCH(Tabela1[[#This Row],[Periodo]],listaPeriodos,0))/INDEX(TBBP[],MATCH("RL11",planoContas,0)+1,MATCH(Tabela1[[#This Row],[Periodo]],listaPeriodos,0))))</f>
        <v>0.39376000447342879</v>
      </c>
      <c r="F2639" s="16"/>
      <c r="G2639" s="16"/>
      <c r="H2639" s="16"/>
    </row>
    <row r="2640" spans="1:8" x14ac:dyDescent="0.3">
      <c r="A2640" t="s">
        <v>727</v>
      </c>
      <c r="B2640" s="3">
        <f t="shared" si="35"/>
        <v>45962</v>
      </c>
      <c r="C2640" s="2" t="str">
        <f>VLOOKUP(MONTH(Tabela1[[#This Row],[Periodo]]),NUMMESES,2,FALSE)</f>
        <v>Novembro</v>
      </c>
      <c r="D2640" s="2">
        <f>YEAR(Tabela1[[#This Row],[Periodo]])</f>
        <v>2025</v>
      </c>
      <c r="E2640" s="33">
        <f>((INDEX(TBBP[],MATCH("C14",planoContas,0)+1,MATCH(Tabela1[[#This Row],[Periodo]],listaPeriodos,0))/INDEX(TBBP[],MATCH("RL11",planoContas,0)+1,MATCH(Tabela1[[#This Row],[Periodo]],listaPeriodos,0))))</f>
        <v>0.49184213107868013</v>
      </c>
      <c r="F2640" s="16"/>
      <c r="G2640" s="16"/>
      <c r="H2640" s="16"/>
    </row>
    <row r="2641" spans="1:8" x14ac:dyDescent="0.3">
      <c r="A2641" t="s">
        <v>727</v>
      </c>
      <c r="B2641" s="3">
        <f t="shared" si="35"/>
        <v>45992</v>
      </c>
      <c r="C2641" s="2" t="str">
        <f>VLOOKUP(MONTH(Tabela1[[#This Row],[Periodo]]),NUMMESES,2,FALSE)</f>
        <v>Dezembro</v>
      </c>
      <c r="D2641" s="2">
        <f>YEAR(Tabela1[[#This Row],[Periodo]])</f>
        <v>2025</v>
      </c>
      <c r="E2641" s="33">
        <f>((INDEX(TBBP[],MATCH("C14",planoContas,0)+1,MATCH(Tabela1[[#This Row],[Periodo]],listaPeriodos,0))/INDEX(TBBP[],MATCH("RL11",planoContas,0)+1,MATCH(Tabela1[[#This Row],[Periodo]],listaPeriodos,0))))</f>
        <v>0.49184213107868013</v>
      </c>
      <c r="F2641" s="16"/>
      <c r="G2641" s="16"/>
      <c r="H2641" s="16"/>
    </row>
    <row r="2642" spans="1:8" x14ac:dyDescent="0.3">
      <c r="A2642" t="s">
        <v>727</v>
      </c>
      <c r="B2642" s="3">
        <f t="shared" si="35"/>
        <v>46023</v>
      </c>
      <c r="C2642" s="2" t="str">
        <f>VLOOKUP(MONTH(Tabela1[[#This Row],[Periodo]]),NUMMESES,2,FALSE)</f>
        <v>Janeiro</v>
      </c>
      <c r="D2642" s="2">
        <f>YEAR(Tabela1[[#This Row],[Periodo]])</f>
        <v>2026</v>
      </c>
      <c r="E2642" s="33" t="e">
        <f>((INDEX(TBBP[],MATCH("C14",planoContas,0)+1,MATCH(Tabela1[[#This Row],[Periodo]],listaPeriodos,0))/INDEX(TBBP[],MATCH("RL11",planoContas,0)+1,MATCH(Tabela1[[#This Row],[Periodo]],listaPeriodos,0))))</f>
        <v>#DIV/0!</v>
      </c>
      <c r="F2642" s="16"/>
      <c r="G2642" s="16"/>
      <c r="H2642" s="16"/>
    </row>
    <row r="2643" spans="1:8" x14ac:dyDescent="0.3">
      <c r="B2643" s="3"/>
      <c r="C2643" s="2"/>
      <c r="D2643" s="2"/>
      <c r="E2643" s="33"/>
      <c r="F2643" s="16"/>
      <c r="G2643" s="16"/>
      <c r="H2643" s="16"/>
    </row>
    <row r="2644" spans="1:8" x14ac:dyDescent="0.3">
      <c r="A2644" t="s">
        <v>728</v>
      </c>
      <c r="B2644" s="3">
        <v>41609</v>
      </c>
      <c r="C2644" s="2" t="str">
        <f>VLOOKUP(MONTH(Tabela1[[#This Row],[Periodo]]),NUMMESES,2,FALSE)</f>
        <v>Dezembro</v>
      </c>
      <c r="D2644" s="2">
        <f>YEAR(Tabela1[[#This Row],[Periodo]])</f>
        <v>2013</v>
      </c>
      <c r="E2644" s="33" t="e">
        <f>((INDEX(TBBP[],MATCH("C15",planoContas,0)+1,MATCH(Tabela1[[#This Row],[Periodo]],listaPeriodos,0))/INDEX(TBBP[],MATCH("RL12",planoContas,0)+1,MATCH(Tabela1[[#This Row],[Periodo]],listaPeriodos,0))))</f>
        <v>#DIV/0!</v>
      </c>
      <c r="F2644" s="16"/>
      <c r="G2644" s="16"/>
      <c r="H2644" s="16"/>
    </row>
    <row r="2645" spans="1:8" x14ac:dyDescent="0.3">
      <c r="A2645" t="s">
        <v>728</v>
      </c>
      <c r="B2645" s="3">
        <v>41974</v>
      </c>
      <c r="C2645" s="2" t="str">
        <f>VLOOKUP(MONTH(Tabela1[[#This Row],[Periodo]]),NUMMESES,2,FALSE)</f>
        <v>Dezembro</v>
      </c>
      <c r="D2645" s="2">
        <f>YEAR(Tabela1[[#This Row],[Periodo]])</f>
        <v>2014</v>
      </c>
      <c r="E2645" s="33" t="e">
        <f>((INDEX(TBBP[],MATCH("C15",planoContas,0)+1,MATCH(Tabela1[[#This Row],[Periodo]],listaPeriodos,0))/INDEX(TBBP[],MATCH("RL12",planoContas,0)+1,MATCH(Tabela1[[#This Row],[Periodo]],listaPeriodos,0))))</f>
        <v>#DIV/0!</v>
      </c>
      <c r="F2645" s="16"/>
      <c r="G2645" s="16"/>
      <c r="H2645" s="16"/>
    </row>
    <row r="2646" spans="1:8" x14ac:dyDescent="0.3">
      <c r="A2646" t="s">
        <v>728</v>
      </c>
      <c r="B2646" s="3">
        <v>42339</v>
      </c>
      <c r="C2646" s="2" t="str">
        <f>VLOOKUP(MONTH(Tabela1[[#This Row],[Periodo]]),NUMMESES,2,FALSE)</f>
        <v>Dezembro</v>
      </c>
      <c r="D2646" s="2">
        <f>YEAR(Tabela1[[#This Row],[Periodo]])</f>
        <v>2015</v>
      </c>
      <c r="E2646" s="33" t="e">
        <f>((INDEX(TBBP[],MATCH("C15",planoContas,0)+1,MATCH(Tabela1[[#This Row],[Periodo]],listaPeriodos,0))/INDEX(TBBP[],MATCH("RL12",planoContas,0)+1,MATCH(Tabela1[[#This Row],[Periodo]],listaPeriodos,0))))</f>
        <v>#DIV/0!</v>
      </c>
      <c r="F2646" s="16"/>
      <c r="G2646" s="16"/>
      <c r="H2646" s="16"/>
    </row>
    <row r="2647" spans="1:8" x14ac:dyDescent="0.3">
      <c r="A2647" t="s">
        <v>728</v>
      </c>
      <c r="B2647" s="3">
        <v>42705</v>
      </c>
      <c r="C2647" s="2" t="str">
        <f>VLOOKUP(MONTH(Tabela1[[#This Row],[Periodo]]),NUMMESES,2,FALSE)</f>
        <v>Dezembro</v>
      </c>
      <c r="D2647" s="2">
        <f>YEAR(Tabela1[[#This Row],[Periodo]])</f>
        <v>2016</v>
      </c>
      <c r="E2647" s="33" t="e">
        <f>((INDEX(TBBP[],MATCH("C15",planoContas,0)+1,MATCH(Tabela1[[#This Row],[Periodo]],listaPeriodos,0))/INDEX(TBBP[],MATCH("RL12",planoContas,0)+1,MATCH(Tabela1[[#This Row],[Periodo]],listaPeriodos,0))))</f>
        <v>#DIV/0!</v>
      </c>
      <c r="F2647" s="16"/>
      <c r="G2647" s="16"/>
      <c r="H2647" s="16"/>
    </row>
    <row r="2648" spans="1:8" x14ac:dyDescent="0.3">
      <c r="A2648" t="s">
        <v>728</v>
      </c>
      <c r="B2648" s="3">
        <v>43070</v>
      </c>
      <c r="C2648" s="2" t="str">
        <f>VLOOKUP(MONTH(Tabela1[[#This Row],[Periodo]]),NUMMESES,2,FALSE)</f>
        <v>Dezembro</v>
      </c>
      <c r="D2648" s="2">
        <f>YEAR(Tabela1[[#This Row],[Periodo]])</f>
        <v>2017</v>
      </c>
      <c r="E2648" s="33" t="e">
        <f>((INDEX(TBBP[],MATCH("C15",planoContas,0)+1,MATCH(Tabela1[[#This Row],[Periodo]],listaPeriodos,0))/INDEX(TBBP[],MATCH("RL12",planoContas,0)+1,MATCH(Tabela1[[#This Row],[Periodo]],listaPeriodos,0))))</f>
        <v>#DIV/0!</v>
      </c>
      <c r="F2648" s="16"/>
      <c r="G2648" s="16"/>
      <c r="H2648" s="16"/>
    </row>
    <row r="2649" spans="1:8" x14ac:dyDescent="0.3">
      <c r="A2649" t="s">
        <v>728</v>
      </c>
      <c r="B2649" s="3">
        <v>43101</v>
      </c>
      <c r="C2649" s="2" t="str">
        <f>VLOOKUP(MONTH(Tabela1[[#This Row],[Periodo]]),NUMMESES,2,FALSE)</f>
        <v>Janeiro</v>
      </c>
      <c r="D2649" s="2">
        <f>YEAR(Tabela1[[#This Row],[Periodo]])</f>
        <v>2018</v>
      </c>
      <c r="E2649" s="33">
        <f>((INDEX(TBBP[],MATCH("C15",planoContas,0)+1,MATCH(Tabela1[[#This Row],[Periodo]],listaPeriodos,0))/INDEX(TBBP[],MATCH("RL12",planoContas,0)+1,MATCH(Tabela1[[#This Row],[Periodo]],listaPeriodos,0))))</f>
        <v>0.40728891161081771</v>
      </c>
      <c r="F2649" s="16"/>
      <c r="G2649" s="16"/>
      <c r="H2649" s="16"/>
    </row>
    <row r="2650" spans="1:8" x14ac:dyDescent="0.3">
      <c r="A2650" t="s">
        <v>728</v>
      </c>
      <c r="B2650" s="3">
        <f t="shared" ref="B2650:B2745" si="36">DATE(YEAR(B2649),MONTH(B2649)+1,DAY(B2649))</f>
        <v>43132</v>
      </c>
      <c r="C2650" s="2" t="str">
        <f>VLOOKUP(MONTH(Tabela1[[#This Row],[Periodo]]),NUMMESES,2,FALSE)</f>
        <v>Fevereiro</v>
      </c>
      <c r="D2650" s="2">
        <f>YEAR(Tabela1[[#This Row],[Periodo]])</f>
        <v>2018</v>
      </c>
      <c r="E2650" s="33">
        <f>((INDEX(TBBP[],MATCH("C15",planoContas,0)+1,MATCH(Tabela1[[#This Row],[Periodo]],listaPeriodos,0))/INDEX(TBBP[],MATCH("RL12",planoContas,0)+1,MATCH(Tabela1[[#This Row],[Periodo]],listaPeriodos,0))))</f>
        <v>0.42699498136977654</v>
      </c>
      <c r="F2650" s="16"/>
      <c r="G2650" s="16"/>
      <c r="H2650" s="16"/>
    </row>
    <row r="2651" spans="1:8" x14ac:dyDescent="0.3">
      <c r="A2651" t="s">
        <v>728</v>
      </c>
      <c r="B2651" s="3">
        <f t="shared" si="36"/>
        <v>43160</v>
      </c>
      <c r="C2651" s="2" t="str">
        <f>VLOOKUP(MONTH(Tabela1[[#This Row],[Periodo]]),NUMMESES,2,FALSE)</f>
        <v>Março</v>
      </c>
      <c r="D2651" s="2">
        <f>YEAR(Tabela1[[#This Row],[Periodo]])</f>
        <v>2018</v>
      </c>
      <c r="E2651" s="33">
        <f>((INDEX(TBBP[],MATCH("C15",planoContas,0)+1,MATCH(Tabela1[[#This Row],[Periodo]],listaPeriodos,0))/INDEX(TBBP[],MATCH("RL12",planoContas,0)+1,MATCH(Tabela1[[#This Row],[Periodo]],listaPeriodos,0))))</f>
        <v>0.47556752312394091</v>
      </c>
      <c r="F2651" s="16"/>
      <c r="G2651" s="16"/>
      <c r="H2651" s="16"/>
    </row>
    <row r="2652" spans="1:8" x14ac:dyDescent="0.3">
      <c r="A2652" t="s">
        <v>728</v>
      </c>
      <c r="B2652" s="3">
        <f t="shared" si="36"/>
        <v>43191</v>
      </c>
      <c r="C2652" s="2" t="str">
        <f>VLOOKUP(MONTH(Tabela1[[#This Row],[Periodo]]),NUMMESES,2,FALSE)</f>
        <v>Abril</v>
      </c>
      <c r="D2652" s="2">
        <f>YEAR(Tabela1[[#This Row],[Periodo]])</f>
        <v>2018</v>
      </c>
      <c r="E2652" s="33">
        <f>((INDEX(TBBP[],MATCH("C15",planoContas,0)+1,MATCH(Tabela1[[#This Row],[Periodo]],listaPeriodos,0))/INDEX(TBBP[],MATCH("RL12",planoContas,0)+1,MATCH(Tabela1[[#This Row],[Periodo]],listaPeriodos,0))))</f>
        <v>0.22094219419568423</v>
      </c>
      <c r="F2652" s="16"/>
      <c r="G2652" s="16"/>
      <c r="H2652" s="16"/>
    </row>
    <row r="2653" spans="1:8" x14ac:dyDescent="0.3">
      <c r="A2653" t="s">
        <v>728</v>
      </c>
      <c r="B2653" s="3">
        <f t="shared" si="36"/>
        <v>43221</v>
      </c>
      <c r="C2653" s="2" t="str">
        <f>VLOOKUP(MONTH(Tabela1[[#This Row],[Periodo]]),NUMMESES,2,FALSE)</f>
        <v>Maio</v>
      </c>
      <c r="D2653" s="2">
        <f>YEAR(Tabela1[[#This Row],[Periodo]])</f>
        <v>2018</v>
      </c>
      <c r="E2653" s="33">
        <f>((INDEX(TBBP[],MATCH("C15",planoContas,0)+1,MATCH(Tabela1[[#This Row],[Periodo]],listaPeriodos,0))/INDEX(TBBP[],MATCH("RL12",planoContas,0)+1,MATCH(Tabela1[[#This Row],[Periodo]],listaPeriodos,0))))</f>
        <v>0.34737403945438783</v>
      </c>
      <c r="F2653" s="16"/>
      <c r="G2653" s="16"/>
      <c r="H2653" s="16"/>
    </row>
    <row r="2654" spans="1:8" x14ac:dyDescent="0.3">
      <c r="A2654" t="s">
        <v>728</v>
      </c>
      <c r="B2654" s="3">
        <f t="shared" si="36"/>
        <v>43252</v>
      </c>
      <c r="C2654" s="2" t="str">
        <f>VLOOKUP(MONTH(Tabela1[[#This Row],[Periodo]]),NUMMESES,2,FALSE)</f>
        <v>Junho</v>
      </c>
      <c r="D2654" s="2">
        <f>YEAR(Tabela1[[#This Row],[Periodo]])</f>
        <v>2018</v>
      </c>
      <c r="E2654" s="33">
        <f>((INDEX(TBBP[],MATCH("C15",planoContas,0)+1,MATCH(Tabela1[[#This Row],[Periodo]],listaPeriodos,0))/INDEX(TBBP[],MATCH("RL12",planoContas,0)+1,MATCH(Tabela1[[#This Row],[Periodo]],listaPeriodos,0))))</f>
        <v>0.39387893236391169</v>
      </c>
      <c r="F2654" s="16"/>
      <c r="G2654" s="16"/>
      <c r="H2654" s="16"/>
    </row>
    <row r="2655" spans="1:8" x14ac:dyDescent="0.3">
      <c r="A2655" t="s">
        <v>728</v>
      </c>
      <c r="B2655" s="3">
        <f t="shared" si="36"/>
        <v>43282</v>
      </c>
      <c r="C2655" s="2" t="str">
        <f>VLOOKUP(MONTH(Tabela1[[#This Row],[Periodo]]),NUMMESES,2,FALSE)</f>
        <v>Julho</v>
      </c>
      <c r="D2655" s="2">
        <f>YEAR(Tabela1[[#This Row],[Periodo]])</f>
        <v>2018</v>
      </c>
      <c r="E2655" s="33">
        <f>((INDEX(TBBP[],MATCH("C15",planoContas,0)+1,MATCH(Tabela1[[#This Row],[Periodo]],listaPeriodos,0))/INDEX(TBBP[],MATCH("RL12",planoContas,0)+1,MATCH(Tabela1[[#This Row],[Periodo]],listaPeriodos,0))))</f>
        <v>0.37143563273738012</v>
      </c>
      <c r="F2655" s="16"/>
      <c r="G2655" s="16"/>
      <c r="H2655" s="16"/>
    </row>
    <row r="2656" spans="1:8" x14ac:dyDescent="0.3">
      <c r="A2656" t="s">
        <v>728</v>
      </c>
      <c r="B2656" s="3">
        <f t="shared" si="36"/>
        <v>43313</v>
      </c>
      <c r="C2656" s="2" t="str">
        <f>VLOOKUP(MONTH(Tabela1[[#This Row],[Periodo]]),NUMMESES,2,FALSE)</f>
        <v>Agosto</v>
      </c>
      <c r="D2656" s="2">
        <f>YEAR(Tabela1[[#This Row],[Periodo]])</f>
        <v>2018</v>
      </c>
      <c r="E2656" s="33">
        <f>((INDEX(TBBP[],MATCH("C15",planoContas,0)+1,MATCH(Tabela1[[#This Row],[Periodo]],listaPeriodos,0))/INDEX(TBBP[],MATCH("RL12",planoContas,0)+1,MATCH(Tabela1[[#This Row],[Periodo]],listaPeriodos,0))))</f>
        <v>0.59099405141429662</v>
      </c>
      <c r="F2656" s="16"/>
      <c r="G2656" s="16"/>
      <c r="H2656" s="16"/>
    </row>
    <row r="2657" spans="1:8" x14ac:dyDescent="0.3">
      <c r="A2657" t="s">
        <v>728</v>
      </c>
      <c r="B2657" s="3">
        <f t="shared" si="36"/>
        <v>43344</v>
      </c>
      <c r="C2657" s="2" t="str">
        <f>VLOOKUP(MONTH(Tabela1[[#This Row],[Periodo]]),NUMMESES,2,FALSE)</f>
        <v>Setembro</v>
      </c>
      <c r="D2657" s="2">
        <f>YEAR(Tabela1[[#This Row],[Periodo]])</f>
        <v>2018</v>
      </c>
      <c r="E2657" s="33">
        <f>((INDEX(TBBP[],MATCH("C15",planoContas,0)+1,MATCH(Tabela1[[#This Row],[Periodo]],listaPeriodos,0))/INDEX(TBBP[],MATCH("RL12",planoContas,0)+1,MATCH(Tabela1[[#This Row],[Periodo]],listaPeriodos,0))))</f>
        <v>0.25435355024219825</v>
      </c>
      <c r="F2657" s="16"/>
      <c r="G2657" s="16"/>
      <c r="H2657" s="16"/>
    </row>
    <row r="2658" spans="1:8" x14ac:dyDescent="0.3">
      <c r="A2658" t="s">
        <v>728</v>
      </c>
      <c r="B2658" s="3">
        <f t="shared" si="36"/>
        <v>43374</v>
      </c>
      <c r="C2658" s="2" t="str">
        <f>VLOOKUP(MONTH(Tabela1[[#This Row],[Periodo]]),NUMMESES,2,FALSE)</f>
        <v>Outubro</v>
      </c>
      <c r="D2658" s="2">
        <f>YEAR(Tabela1[[#This Row],[Periodo]])</f>
        <v>2018</v>
      </c>
      <c r="E2658" s="33">
        <f>((INDEX(TBBP[],MATCH("C15",planoContas,0)+1,MATCH(Tabela1[[#This Row],[Periodo]],listaPeriodos,0))/INDEX(TBBP[],MATCH("RL12",planoContas,0)+1,MATCH(Tabela1[[#This Row],[Periodo]],listaPeriodos,0))))</f>
        <v>0.97975850745212911</v>
      </c>
      <c r="F2658" s="16"/>
      <c r="G2658" s="16"/>
      <c r="H2658" s="16"/>
    </row>
    <row r="2659" spans="1:8" x14ac:dyDescent="0.3">
      <c r="A2659" t="s">
        <v>728</v>
      </c>
      <c r="B2659" s="3">
        <f t="shared" si="36"/>
        <v>43405</v>
      </c>
      <c r="C2659" s="2" t="str">
        <f>VLOOKUP(MONTH(Tabela1[[#This Row],[Periodo]]),NUMMESES,2,FALSE)</f>
        <v>Novembro</v>
      </c>
      <c r="D2659" s="2">
        <f>YEAR(Tabela1[[#This Row],[Periodo]])</f>
        <v>2018</v>
      </c>
      <c r="E2659" s="33">
        <f>((INDEX(TBBP[],MATCH("C15",planoContas,0)+1,MATCH(Tabela1[[#This Row],[Periodo]],listaPeriodos,0))/INDEX(TBBP[],MATCH("RL12",planoContas,0)+1,MATCH(Tabela1[[#This Row],[Periodo]],listaPeriodos,0))))</f>
        <v>2.677915769441725</v>
      </c>
      <c r="F2659" s="16"/>
      <c r="G2659" s="16"/>
      <c r="H2659" s="16"/>
    </row>
    <row r="2660" spans="1:8" x14ac:dyDescent="0.3">
      <c r="A2660" t="s">
        <v>728</v>
      </c>
      <c r="B2660" s="3">
        <f t="shared" si="36"/>
        <v>43435</v>
      </c>
      <c r="C2660" s="2" t="str">
        <f>VLOOKUP(MONTH(Tabela1[[#This Row],[Periodo]]),NUMMESES,2,FALSE)</f>
        <v>Dezembro</v>
      </c>
      <c r="D2660" s="2">
        <f>YEAR(Tabela1[[#This Row],[Periodo]])</f>
        <v>2018</v>
      </c>
      <c r="E2660" s="33">
        <f>((INDEX(TBBP[],MATCH("C15",planoContas,0)+1,MATCH(Tabela1[[#This Row],[Periodo]],listaPeriodos,0))/INDEX(TBBP[],MATCH("RL12",planoContas,0)+1,MATCH(Tabela1[[#This Row],[Periodo]],listaPeriodos,0))))</f>
        <v>0.11841021142678024</v>
      </c>
      <c r="F2660" s="16"/>
      <c r="G2660" s="16"/>
      <c r="H2660" s="16"/>
    </row>
    <row r="2661" spans="1:8" x14ac:dyDescent="0.3">
      <c r="A2661" t="s">
        <v>728</v>
      </c>
      <c r="B2661" s="3">
        <f t="shared" si="36"/>
        <v>43466</v>
      </c>
      <c r="C2661" s="2" t="str">
        <f>VLOOKUP(MONTH(Tabela1[[#This Row],[Periodo]]),NUMMESES,2,FALSE)</f>
        <v>Janeiro</v>
      </c>
      <c r="D2661" s="2">
        <f>YEAR(Tabela1[[#This Row],[Periodo]])</f>
        <v>2019</v>
      </c>
      <c r="E2661" s="33">
        <f>((INDEX(TBBP[],MATCH("C15",planoContas,0)+1,MATCH(Tabela1[[#This Row],[Periodo]],listaPeriodos,0))/INDEX(TBBP[],MATCH("RL12",planoContas,0)+1,MATCH(Tabela1[[#This Row],[Periodo]],listaPeriodos,0))))</f>
        <v>0.65612476677399878</v>
      </c>
      <c r="F2661" s="16"/>
      <c r="G2661" s="16"/>
      <c r="H2661" s="16"/>
    </row>
    <row r="2662" spans="1:8" x14ac:dyDescent="0.3">
      <c r="A2662" t="s">
        <v>728</v>
      </c>
      <c r="B2662" s="3">
        <f t="shared" si="36"/>
        <v>43497</v>
      </c>
      <c r="C2662" s="2" t="str">
        <f>VLOOKUP(MONTH(Tabela1[[#This Row],[Periodo]]),NUMMESES,2,FALSE)</f>
        <v>Fevereiro</v>
      </c>
      <c r="D2662" s="2">
        <f>YEAR(Tabela1[[#This Row],[Periodo]])</f>
        <v>2019</v>
      </c>
      <c r="E2662" s="33">
        <f>((INDEX(TBBP[],MATCH("C15",planoContas,0)+1,MATCH(Tabela1[[#This Row],[Periodo]],listaPeriodos,0))/INDEX(TBBP[],MATCH("RL12",planoContas,0)+1,MATCH(Tabela1[[#This Row],[Periodo]],listaPeriodos,0))))</f>
        <v>0.39830556216441898</v>
      </c>
      <c r="F2662" s="16"/>
      <c r="G2662" s="16"/>
      <c r="H2662" s="16"/>
    </row>
    <row r="2663" spans="1:8" x14ac:dyDescent="0.3">
      <c r="A2663" t="s">
        <v>728</v>
      </c>
      <c r="B2663" s="3">
        <f t="shared" si="36"/>
        <v>43525</v>
      </c>
      <c r="C2663" s="2" t="str">
        <f>VLOOKUP(MONTH(Tabela1[[#This Row],[Periodo]]),NUMMESES,2,FALSE)</f>
        <v>Março</v>
      </c>
      <c r="D2663" s="2">
        <f>YEAR(Tabela1[[#This Row],[Periodo]])</f>
        <v>2019</v>
      </c>
      <c r="E2663" s="33">
        <f>((INDEX(TBBP[],MATCH("C15",planoContas,0)+1,MATCH(Tabela1[[#This Row],[Periodo]],listaPeriodos,0))/INDEX(TBBP[],MATCH("RL12",planoContas,0)+1,MATCH(Tabela1[[#This Row],[Periodo]],listaPeriodos,0))))</f>
        <v>0.40951266192240399</v>
      </c>
      <c r="F2663" s="16"/>
      <c r="G2663" s="16"/>
      <c r="H2663" s="16"/>
    </row>
    <row r="2664" spans="1:8" x14ac:dyDescent="0.3">
      <c r="A2664" t="s">
        <v>728</v>
      </c>
      <c r="B2664" s="3">
        <f t="shared" si="36"/>
        <v>43556</v>
      </c>
      <c r="C2664" s="2" t="str">
        <f>VLOOKUP(MONTH(Tabela1[[#This Row],[Periodo]]),NUMMESES,2,FALSE)</f>
        <v>Abril</v>
      </c>
      <c r="D2664" s="2">
        <f>YEAR(Tabela1[[#This Row],[Periodo]])</f>
        <v>2019</v>
      </c>
      <c r="E2664" s="33">
        <f>((INDEX(TBBP[],MATCH("C15",planoContas,0)+1,MATCH(Tabela1[[#This Row],[Periodo]],listaPeriodos,0))/INDEX(TBBP[],MATCH("RL12",planoContas,0)+1,MATCH(Tabela1[[#This Row],[Periodo]],listaPeriodos,0))))</f>
        <v>0.41451867343659704</v>
      </c>
      <c r="F2664" s="16"/>
      <c r="G2664" s="16"/>
      <c r="H2664" s="16"/>
    </row>
    <row r="2665" spans="1:8" x14ac:dyDescent="0.3">
      <c r="A2665" t="s">
        <v>728</v>
      </c>
      <c r="B2665" s="3">
        <f t="shared" si="36"/>
        <v>43586</v>
      </c>
      <c r="C2665" s="2" t="str">
        <f>VLOOKUP(MONTH(Tabela1[[#This Row],[Periodo]]),NUMMESES,2,FALSE)</f>
        <v>Maio</v>
      </c>
      <c r="D2665" s="2">
        <f>YEAR(Tabela1[[#This Row],[Periodo]])</f>
        <v>2019</v>
      </c>
      <c r="E2665" s="33">
        <f>((INDEX(TBBP[],MATCH("C15",planoContas,0)+1,MATCH(Tabela1[[#This Row],[Periodo]],listaPeriodos,0))/INDEX(TBBP[],MATCH("RL12",planoContas,0)+1,MATCH(Tabela1[[#This Row],[Periodo]],listaPeriodos,0))))</f>
        <v>0.41210453477762932</v>
      </c>
      <c r="F2665" s="16"/>
      <c r="G2665" s="16"/>
      <c r="H2665" s="16"/>
    </row>
    <row r="2666" spans="1:8" x14ac:dyDescent="0.3">
      <c r="A2666" t="s">
        <v>728</v>
      </c>
      <c r="B2666" s="3">
        <f t="shared" si="36"/>
        <v>43617</v>
      </c>
      <c r="C2666" s="2" t="str">
        <f>VLOOKUP(MONTH(Tabela1[[#This Row],[Periodo]]),NUMMESES,2,FALSE)</f>
        <v>Junho</v>
      </c>
      <c r="D2666" s="2">
        <f>YEAR(Tabela1[[#This Row],[Periodo]])</f>
        <v>2019</v>
      </c>
      <c r="E2666" s="33">
        <f>((INDEX(TBBP[],MATCH("C15",planoContas,0)+1,MATCH(Tabela1[[#This Row],[Periodo]],listaPeriodos,0))/INDEX(TBBP[],MATCH("RL12",planoContas,0)+1,MATCH(Tabela1[[#This Row],[Periodo]],listaPeriodos,0))))</f>
        <v>2.2660139259251744</v>
      </c>
      <c r="F2666" s="16"/>
      <c r="G2666" s="16"/>
      <c r="H2666" s="16"/>
    </row>
    <row r="2667" spans="1:8" x14ac:dyDescent="0.3">
      <c r="A2667" t="s">
        <v>728</v>
      </c>
      <c r="B2667" s="3">
        <f t="shared" si="36"/>
        <v>43647</v>
      </c>
      <c r="C2667" s="2" t="str">
        <f>VLOOKUP(MONTH(Tabela1[[#This Row],[Periodo]]),NUMMESES,2,FALSE)</f>
        <v>Julho</v>
      </c>
      <c r="D2667" s="2">
        <f>YEAR(Tabela1[[#This Row],[Periodo]])</f>
        <v>2019</v>
      </c>
      <c r="E2667" s="33">
        <f>((INDEX(TBBP[],MATCH("C15",planoContas,0)+1,MATCH(Tabela1[[#This Row],[Periodo]],listaPeriodos,0))/INDEX(TBBP[],MATCH("RL12",planoContas,0)+1,MATCH(Tabela1[[#This Row],[Periodo]],listaPeriodos,0))))</f>
        <v>0.25045409031662907</v>
      </c>
      <c r="F2667" s="16"/>
      <c r="G2667" s="16"/>
      <c r="H2667" s="16"/>
    </row>
    <row r="2668" spans="1:8" x14ac:dyDescent="0.3">
      <c r="A2668" t="s">
        <v>728</v>
      </c>
      <c r="B2668" s="3">
        <f t="shared" si="36"/>
        <v>43678</v>
      </c>
      <c r="C2668" s="2" t="str">
        <f>VLOOKUP(MONTH(Tabela1[[#This Row],[Periodo]]),NUMMESES,2,FALSE)</f>
        <v>Agosto</v>
      </c>
      <c r="D2668" s="2">
        <f>YEAR(Tabela1[[#This Row],[Periodo]])</f>
        <v>2019</v>
      </c>
      <c r="E2668" s="33">
        <f>((INDEX(TBBP[],MATCH("C15",planoContas,0)+1,MATCH(Tabela1[[#This Row],[Periodo]],listaPeriodos,0))/INDEX(TBBP[],MATCH("RL12",planoContas,0)+1,MATCH(Tabela1[[#This Row],[Periodo]],listaPeriodos,0))))</f>
        <v>0.2683331400062442</v>
      </c>
      <c r="F2668" s="16"/>
      <c r="G2668" s="16"/>
      <c r="H2668" s="16"/>
    </row>
    <row r="2669" spans="1:8" x14ac:dyDescent="0.3">
      <c r="A2669" t="s">
        <v>728</v>
      </c>
      <c r="B2669" s="3">
        <f t="shared" si="36"/>
        <v>43709</v>
      </c>
      <c r="C2669" s="2" t="str">
        <f>VLOOKUP(MONTH(Tabela1[[#This Row],[Periodo]]),NUMMESES,2,FALSE)</f>
        <v>Setembro</v>
      </c>
      <c r="D2669" s="2">
        <f>YEAR(Tabela1[[#This Row],[Periodo]])</f>
        <v>2019</v>
      </c>
      <c r="E2669" s="33">
        <f>((INDEX(TBBP[],MATCH("C15",planoContas,0)+1,MATCH(Tabela1[[#This Row],[Periodo]],listaPeriodos,0))/INDEX(TBBP[],MATCH("RL12",planoContas,0)+1,MATCH(Tabela1[[#This Row],[Periodo]],listaPeriodos,0))))</f>
        <v>0.58031872881500646</v>
      </c>
      <c r="F2669" s="16"/>
      <c r="G2669" s="16"/>
      <c r="H2669" s="16"/>
    </row>
    <row r="2670" spans="1:8" x14ac:dyDescent="0.3">
      <c r="A2670" t="s">
        <v>728</v>
      </c>
      <c r="B2670" s="3">
        <f t="shared" si="36"/>
        <v>43739</v>
      </c>
      <c r="C2670" s="2" t="str">
        <f>VLOOKUP(MONTH(Tabela1[[#This Row],[Periodo]]),NUMMESES,2,FALSE)</f>
        <v>Outubro</v>
      </c>
      <c r="D2670" s="2">
        <f>YEAR(Tabela1[[#This Row],[Periodo]])</f>
        <v>2019</v>
      </c>
      <c r="E2670" s="33">
        <f>((INDEX(TBBP[],MATCH("C15",planoContas,0)+1,MATCH(Tabela1[[#This Row],[Periodo]],listaPeriodos,0))/INDEX(TBBP[],MATCH("RL12",planoContas,0)+1,MATCH(Tabela1[[#This Row],[Periodo]],listaPeriodos,0))))</f>
        <v>0.39125061921970106</v>
      </c>
      <c r="F2670" s="16"/>
      <c r="G2670" s="16"/>
      <c r="H2670" s="16"/>
    </row>
    <row r="2671" spans="1:8" x14ac:dyDescent="0.3">
      <c r="A2671" t="s">
        <v>728</v>
      </c>
      <c r="B2671" s="3">
        <f t="shared" si="36"/>
        <v>43770</v>
      </c>
      <c r="C2671" s="2" t="str">
        <f>VLOOKUP(MONTH(Tabela1[[#This Row],[Periodo]]),NUMMESES,2,FALSE)</f>
        <v>Novembro</v>
      </c>
      <c r="D2671" s="2">
        <f>YEAR(Tabela1[[#This Row],[Periodo]])</f>
        <v>2019</v>
      </c>
      <c r="E2671" s="33">
        <f>((INDEX(TBBP[],MATCH("C15",planoContas,0)+1,MATCH(Tabela1[[#This Row],[Periodo]],listaPeriodos,0))/INDEX(TBBP[],MATCH("RL12",planoContas,0)+1,MATCH(Tabela1[[#This Row],[Periodo]],listaPeriodos,0))))</f>
        <v>0.43745520343763611</v>
      </c>
      <c r="F2671" s="16"/>
      <c r="G2671" s="16"/>
      <c r="H2671" s="16"/>
    </row>
    <row r="2672" spans="1:8" x14ac:dyDescent="0.3">
      <c r="A2672" t="s">
        <v>728</v>
      </c>
      <c r="B2672" s="3">
        <f t="shared" si="36"/>
        <v>43800</v>
      </c>
      <c r="C2672" s="2" t="str">
        <f>VLOOKUP(MONTH(Tabela1[[#This Row],[Periodo]]),NUMMESES,2,FALSE)</f>
        <v>Dezembro</v>
      </c>
      <c r="D2672" s="2">
        <f>YEAR(Tabela1[[#This Row],[Periodo]])</f>
        <v>2019</v>
      </c>
      <c r="E2672" s="33">
        <f>((INDEX(TBBP[],MATCH("C15",planoContas,0)+1,MATCH(Tabela1[[#This Row],[Periodo]],listaPeriodos,0))/INDEX(TBBP[],MATCH("RL12",planoContas,0)+1,MATCH(Tabela1[[#This Row],[Periodo]],listaPeriodos,0))))</f>
        <v>0.37798400627910134</v>
      </c>
      <c r="F2672" s="16"/>
      <c r="G2672" s="16"/>
      <c r="H2672" s="16"/>
    </row>
    <row r="2673" spans="1:8" x14ac:dyDescent="0.3">
      <c r="A2673" t="s">
        <v>728</v>
      </c>
      <c r="B2673" s="3">
        <f t="shared" si="36"/>
        <v>43831</v>
      </c>
      <c r="C2673" s="2" t="str">
        <f>VLOOKUP(MONTH(Tabela1[[#This Row],[Periodo]]),NUMMESES,2,FALSE)</f>
        <v>Janeiro</v>
      </c>
      <c r="D2673" s="2">
        <f>YEAR(Tabela1[[#This Row],[Periodo]])</f>
        <v>2020</v>
      </c>
      <c r="E2673" s="33">
        <f>((INDEX(TBBP[],MATCH("C15",planoContas,0)+1,MATCH(Tabela1[[#This Row],[Periodo]],listaPeriodos,0))/INDEX(TBBP[],MATCH("RL12",planoContas,0)+1,MATCH(Tabela1[[#This Row],[Periodo]],listaPeriodos,0))))</f>
        <v>0.6609632414222455</v>
      </c>
      <c r="F2673" s="16"/>
      <c r="G2673" s="16"/>
      <c r="H2673" s="16"/>
    </row>
    <row r="2674" spans="1:8" x14ac:dyDescent="0.3">
      <c r="A2674" t="s">
        <v>728</v>
      </c>
      <c r="B2674" s="3">
        <f t="shared" si="36"/>
        <v>43862</v>
      </c>
      <c r="C2674" s="2" t="str">
        <f>VLOOKUP(MONTH(Tabela1[[#This Row],[Periodo]]),NUMMESES,2,FALSE)</f>
        <v>Fevereiro</v>
      </c>
      <c r="D2674" s="2">
        <f>YEAR(Tabela1[[#This Row],[Periodo]])</f>
        <v>2020</v>
      </c>
      <c r="E2674" s="33">
        <f>((INDEX(TBBP[],MATCH("C15",planoContas,0)+1,MATCH(Tabela1[[#This Row],[Periodo]],listaPeriodos,0))/INDEX(TBBP[],MATCH("RL12",planoContas,0)+1,MATCH(Tabela1[[#This Row],[Periodo]],listaPeriodos,0))))</f>
        <v>0.39620653064910077</v>
      </c>
      <c r="F2674" s="16"/>
      <c r="G2674" s="16"/>
      <c r="H2674" s="16"/>
    </row>
    <row r="2675" spans="1:8" x14ac:dyDescent="0.3">
      <c r="A2675" t="s">
        <v>728</v>
      </c>
      <c r="B2675" s="3">
        <f t="shared" si="36"/>
        <v>43891</v>
      </c>
      <c r="C2675" s="2" t="str">
        <f>VLOOKUP(MONTH(Tabela1[[#This Row],[Periodo]]),NUMMESES,2,FALSE)</f>
        <v>Março</v>
      </c>
      <c r="D2675" s="2">
        <f>YEAR(Tabela1[[#This Row],[Periodo]])</f>
        <v>2020</v>
      </c>
      <c r="E2675" s="33">
        <f>((INDEX(TBBP[],MATCH("C15",planoContas,0)+1,MATCH(Tabela1[[#This Row],[Periodo]],listaPeriodos,0))/INDEX(TBBP[],MATCH("RL12",planoContas,0)+1,MATCH(Tabela1[[#This Row],[Periodo]],listaPeriodos,0))))</f>
        <v>0.54446305804742945</v>
      </c>
      <c r="F2675" s="16"/>
      <c r="G2675" s="16"/>
      <c r="H2675" s="16"/>
    </row>
    <row r="2676" spans="1:8" x14ac:dyDescent="0.3">
      <c r="A2676" t="s">
        <v>728</v>
      </c>
      <c r="B2676" s="3">
        <f t="shared" si="36"/>
        <v>43922</v>
      </c>
      <c r="C2676" s="2" t="str">
        <f>VLOOKUP(MONTH(Tabela1[[#This Row],[Periodo]]),NUMMESES,2,FALSE)</f>
        <v>Abril</v>
      </c>
      <c r="D2676" s="2">
        <f>YEAR(Tabela1[[#This Row],[Periodo]])</f>
        <v>2020</v>
      </c>
      <c r="E2676" s="33">
        <f>((INDEX(TBBP[],MATCH("C15",planoContas,0)+1,MATCH(Tabela1[[#This Row],[Periodo]],listaPeriodos,0))/INDEX(TBBP[],MATCH("RL12",planoContas,0)+1,MATCH(Tabela1[[#This Row],[Periodo]],listaPeriodos,0))))</f>
        <v>0.43132820255837817</v>
      </c>
      <c r="F2676" s="16"/>
      <c r="G2676" s="16"/>
      <c r="H2676" s="16"/>
    </row>
    <row r="2677" spans="1:8" x14ac:dyDescent="0.3">
      <c r="A2677" t="s">
        <v>728</v>
      </c>
      <c r="B2677" s="3">
        <f t="shared" si="36"/>
        <v>43952</v>
      </c>
      <c r="C2677" s="2" t="str">
        <f>VLOOKUP(MONTH(Tabela1[[#This Row],[Periodo]]),NUMMESES,2,FALSE)</f>
        <v>Maio</v>
      </c>
      <c r="D2677" s="2">
        <f>YEAR(Tabela1[[#This Row],[Periodo]])</f>
        <v>2020</v>
      </c>
      <c r="E2677" s="33">
        <f>((INDEX(TBBP[],MATCH("C15",planoContas,0)+1,MATCH(Tabela1[[#This Row],[Periodo]],listaPeriodos,0))/INDEX(TBBP[],MATCH("RL12",planoContas,0)+1,MATCH(Tabela1[[#This Row],[Periodo]],listaPeriodos,0))))</f>
        <v>0.43084298270380256</v>
      </c>
      <c r="F2677" s="16"/>
      <c r="G2677" s="16"/>
      <c r="H2677" s="16"/>
    </row>
    <row r="2678" spans="1:8" x14ac:dyDescent="0.3">
      <c r="A2678" t="s">
        <v>728</v>
      </c>
      <c r="B2678" s="3">
        <f t="shared" si="36"/>
        <v>43983</v>
      </c>
      <c r="C2678" s="2" t="str">
        <f>VLOOKUP(MONTH(Tabela1[[#This Row],[Periodo]]),NUMMESES,2,FALSE)</f>
        <v>Junho</v>
      </c>
      <c r="D2678" s="2">
        <f>YEAR(Tabela1[[#This Row],[Periodo]])</f>
        <v>2020</v>
      </c>
      <c r="E2678" s="33">
        <f>((INDEX(TBBP[],MATCH("C15",planoContas,0)+1,MATCH(Tabela1[[#This Row],[Periodo]],listaPeriodos,0))/INDEX(TBBP[],MATCH("RL12",planoContas,0)+1,MATCH(Tabela1[[#This Row],[Periodo]],listaPeriodos,0))))</f>
        <v>0.47395052309153596</v>
      </c>
      <c r="F2678" s="16"/>
      <c r="G2678" s="16"/>
      <c r="H2678" s="16"/>
    </row>
    <row r="2679" spans="1:8" x14ac:dyDescent="0.3">
      <c r="A2679" t="s">
        <v>728</v>
      </c>
      <c r="B2679" s="3">
        <f t="shared" si="36"/>
        <v>44013</v>
      </c>
      <c r="C2679" s="2" t="str">
        <f>VLOOKUP(MONTH(Tabela1[[#This Row],[Periodo]]),NUMMESES,2,FALSE)</f>
        <v>Julho</v>
      </c>
      <c r="D2679" s="2">
        <f>YEAR(Tabela1[[#This Row],[Periodo]])</f>
        <v>2020</v>
      </c>
      <c r="E2679" s="33">
        <f>((INDEX(TBBP[],MATCH("C15",planoContas,0)+1,MATCH(Tabela1[[#This Row],[Periodo]],listaPeriodos,0))/INDEX(TBBP[],MATCH("RL12",planoContas,0)+1,MATCH(Tabela1[[#This Row],[Periodo]],listaPeriodos,0))))</f>
        <v>0.36425044150901542</v>
      </c>
      <c r="F2679" s="16"/>
      <c r="G2679" s="16"/>
      <c r="H2679" s="16"/>
    </row>
    <row r="2680" spans="1:8" x14ac:dyDescent="0.3">
      <c r="A2680" t="s">
        <v>728</v>
      </c>
      <c r="B2680" s="3">
        <f t="shared" si="36"/>
        <v>44044</v>
      </c>
      <c r="C2680" s="2" t="str">
        <f>VLOOKUP(MONTH(Tabela1[[#This Row],[Periodo]]),NUMMESES,2,FALSE)</f>
        <v>Agosto</v>
      </c>
      <c r="D2680" s="2">
        <f>YEAR(Tabela1[[#This Row],[Periodo]])</f>
        <v>2020</v>
      </c>
      <c r="E2680" s="33">
        <f>((INDEX(TBBP[],MATCH("C15",planoContas,0)+1,MATCH(Tabela1[[#This Row],[Periodo]],listaPeriodos,0))/INDEX(TBBP[],MATCH("RL12",planoContas,0)+1,MATCH(Tabela1[[#This Row],[Periodo]],listaPeriodos,0))))</f>
        <v>0.26963643956355177</v>
      </c>
      <c r="F2680" s="16"/>
      <c r="G2680" s="16"/>
      <c r="H2680" s="16"/>
    </row>
    <row r="2681" spans="1:8" x14ac:dyDescent="0.3">
      <c r="A2681" t="s">
        <v>728</v>
      </c>
      <c r="B2681" s="3">
        <f t="shared" si="36"/>
        <v>44075</v>
      </c>
      <c r="C2681" s="2" t="str">
        <f>VLOOKUP(MONTH(Tabela1[[#This Row],[Periodo]]),NUMMESES,2,FALSE)</f>
        <v>Setembro</v>
      </c>
      <c r="D2681" s="2">
        <f>YEAR(Tabela1[[#This Row],[Periodo]])</f>
        <v>2020</v>
      </c>
      <c r="E2681" s="33">
        <f>((INDEX(TBBP[],MATCH("C15",planoContas,0)+1,MATCH(Tabela1[[#This Row],[Periodo]],listaPeriodos,0))/INDEX(TBBP[],MATCH("RL12",planoContas,0)+1,MATCH(Tabela1[[#This Row],[Periodo]],listaPeriodos,0))))</f>
        <v>0.77923539776362249</v>
      </c>
      <c r="F2681" s="16"/>
      <c r="G2681" s="16"/>
      <c r="H2681" s="16"/>
    </row>
    <row r="2682" spans="1:8" x14ac:dyDescent="0.3">
      <c r="A2682" t="s">
        <v>728</v>
      </c>
      <c r="B2682" s="3">
        <f t="shared" si="36"/>
        <v>44105</v>
      </c>
      <c r="C2682" s="2" t="str">
        <f>VLOOKUP(MONTH(Tabela1[[#This Row],[Periodo]]),NUMMESES,2,FALSE)</f>
        <v>Outubro</v>
      </c>
      <c r="D2682" s="2">
        <f>YEAR(Tabela1[[#This Row],[Periodo]])</f>
        <v>2020</v>
      </c>
      <c r="E2682" s="33">
        <f>((INDEX(TBBP[],MATCH("C15",planoContas,0)+1,MATCH(Tabela1[[#This Row],[Periodo]],listaPeriodos,0))/INDEX(TBBP[],MATCH("RL12",planoContas,0)+1,MATCH(Tabela1[[#This Row],[Periodo]],listaPeriodos,0))))</f>
        <v>0.38815051829869623</v>
      </c>
      <c r="F2682" s="16"/>
      <c r="G2682" s="16"/>
      <c r="H2682" s="16"/>
    </row>
    <row r="2683" spans="1:8" x14ac:dyDescent="0.3">
      <c r="A2683" t="s">
        <v>728</v>
      </c>
      <c r="B2683" s="3">
        <f t="shared" si="36"/>
        <v>44136</v>
      </c>
      <c r="C2683" s="2" t="str">
        <f>VLOOKUP(MONTH(Tabela1[[#This Row],[Periodo]]),NUMMESES,2,FALSE)</f>
        <v>Novembro</v>
      </c>
      <c r="D2683" s="2">
        <f>YEAR(Tabela1[[#This Row],[Periodo]])</f>
        <v>2020</v>
      </c>
      <c r="E2683" s="33">
        <f>((INDEX(TBBP[],MATCH("C15",planoContas,0)+1,MATCH(Tabela1[[#This Row],[Periodo]],listaPeriodos,0))/INDEX(TBBP[],MATCH("RL12",planoContas,0)+1,MATCH(Tabela1[[#This Row],[Periodo]],listaPeriodos,0))))</f>
        <v>0.47449187767502415</v>
      </c>
      <c r="F2683" s="16"/>
      <c r="G2683" s="16"/>
      <c r="H2683" s="16"/>
    </row>
    <row r="2684" spans="1:8" x14ac:dyDescent="0.3">
      <c r="A2684" t="s">
        <v>728</v>
      </c>
      <c r="B2684" s="3">
        <f t="shared" si="36"/>
        <v>44166</v>
      </c>
      <c r="C2684" s="2" t="str">
        <f>VLOOKUP(MONTH(Tabela1[[#This Row],[Periodo]]),NUMMESES,2,FALSE)</f>
        <v>Dezembro</v>
      </c>
      <c r="D2684" s="2">
        <f>YEAR(Tabela1[[#This Row],[Periodo]])</f>
        <v>2020</v>
      </c>
      <c r="E2684" s="33">
        <f>((INDEX(TBBP[],MATCH("C15",planoContas,0)+1,MATCH(Tabela1[[#This Row],[Periodo]],listaPeriodos,0))/INDEX(TBBP[],MATCH("RL12",planoContas,0)+1,MATCH(Tabela1[[#This Row],[Periodo]],listaPeriodos,0))))</f>
        <v>0.72691908751678491</v>
      </c>
      <c r="F2684" s="16"/>
      <c r="G2684" s="16"/>
      <c r="H2684" s="16"/>
    </row>
    <row r="2685" spans="1:8" x14ac:dyDescent="0.3">
      <c r="A2685" t="s">
        <v>728</v>
      </c>
      <c r="B2685" s="3">
        <f t="shared" si="36"/>
        <v>44197</v>
      </c>
      <c r="C2685" s="2" t="str">
        <f>VLOOKUP(MONTH(Tabela1[[#This Row],[Periodo]]),NUMMESES,2,FALSE)</f>
        <v>Janeiro</v>
      </c>
      <c r="D2685" s="2">
        <f>YEAR(Tabela1[[#This Row],[Periodo]])</f>
        <v>2021</v>
      </c>
      <c r="E2685" s="33">
        <f>((INDEX(TBBP[],MATCH("C15",planoContas,0)+1,MATCH(Tabela1[[#This Row],[Periodo]],listaPeriodos,0))/INDEX(TBBP[],MATCH("RL12",planoContas,0)+1,MATCH(Tabela1[[#This Row],[Periodo]],listaPeriodos,0))))</f>
        <v>0.79947752859072085</v>
      </c>
      <c r="F2685" s="16"/>
      <c r="G2685" s="16"/>
      <c r="H2685" s="16"/>
    </row>
    <row r="2686" spans="1:8" x14ac:dyDescent="0.3">
      <c r="A2686" t="s">
        <v>728</v>
      </c>
      <c r="B2686" s="3">
        <f t="shared" si="36"/>
        <v>44228</v>
      </c>
      <c r="C2686" s="2" t="str">
        <f>VLOOKUP(MONTH(Tabela1[[#This Row],[Periodo]]),NUMMESES,2,FALSE)</f>
        <v>Fevereiro</v>
      </c>
      <c r="D2686" s="2">
        <f>YEAR(Tabela1[[#This Row],[Periodo]])</f>
        <v>2021</v>
      </c>
      <c r="E2686" s="33">
        <f>((INDEX(TBBP[],MATCH("C15",planoContas,0)+1,MATCH(Tabela1[[#This Row],[Periodo]],listaPeriodos,0))/INDEX(TBBP[],MATCH("RL12",planoContas,0)+1,MATCH(Tabela1[[#This Row],[Periodo]],listaPeriodos,0))))</f>
        <v>0.47395569803900517</v>
      </c>
      <c r="F2686" s="16"/>
      <c r="G2686" s="16"/>
      <c r="H2686" s="16"/>
    </row>
    <row r="2687" spans="1:8" x14ac:dyDescent="0.3">
      <c r="A2687" t="s">
        <v>728</v>
      </c>
      <c r="B2687" s="3">
        <f t="shared" si="36"/>
        <v>44256</v>
      </c>
      <c r="C2687" s="2" t="str">
        <f>VLOOKUP(MONTH(Tabela1[[#This Row],[Periodo]]),NUMMESES,2,FALSE)</f>
        <v>Março</v>
      </c>
      <c r="D2687" s="2">
        <f>YEAR(Tabela1[[#This Row],[Periodo]])</f>
        <v>2021</v>
      </c>
      <c r="E2687" s="33">
        <f>((INDEX(TBBP[],MATCH("C15",planoContas,0)+1,MATCH(Tabela1[[#This Row],[Periodo]],listaPeriodos,0))/INDEX(TBBP[],MATCH("RL12",planoContas,0)+1,MATCH(Tabela1[[#This Row],[Periodo]],listaPeriodos,0))))</f>
        <v>0.75265550734003339</v>
      </c>
      <c r="F2687" s="16"/>
      <c r="G2687" s="16"/>
      <c r="H2687" s="16"/>
    </row>
    <row r="2688" spans="1:8" x14ac:dyDescent="0.3">
      <c r="A2688" t="s">
        <v>728</v>
      </c>
      <c r="B2688" s="3">
        <f t="shared" si="36"/>
        <v>44287</v>
      </c>
      <c r="C2688" s="2" t="str">
        <f>VLOOKUP(MONTH(Tabela1[[#This Row],[Periodo]]),NUMMESES,2,FALSE)</f>
        <v>Abril</v>
      </c>
      <c r="D2688" s="2">
        <f>YEAR(Tabela1[[#This Row],[Periodo]])</f>
        <v>2021</v>
      </c>
      <c r="E2688" s="33">
        <f>((INDEX(TBBP[],MATCH("C15",planoContas,0)+1,MATCH(Tabela1[[#This Row],[Periodo]],listaPeriodos,0))/INDEX(TBBP[],MATCH("RL12",planoContas,0)+1,MATCH(Tabela1[[#This Row],[Periodo]],listaPeriodos,0))))</f>
        <v>0.46047334083711638</v>
      </c>
      <c r="F2688" s="16"/>
      <c r="G2688" s="16"/>
      <c r="H2688" s="16"/>
    </row>
    <row r="2689" spans="1:8" x14ac:dyDescent="0.3">
      <c r="A2689" t="s">
        <v>728</v>
      </c>
      <c r="B2689" s="3">
        <f t="shared" si="36"/>
        <v>44317</v>
      </c>
      <c r="C2689" s="2" t="str">
        <f>VLOOKUP(MONTH(Tabela1[[#This Row],[Periodo]]),NUMMESES,2,FALSE)</f>
        <v>Maio</v>
      </c>
      <c r="D2689" s="2">
        <f>YEAR(Tabela1[[#This Row],[Periodo]])</f>
        <v>2021</v>
      </c>
      <c r="E2689" s="33">
        <f>((INDEX(TBBP[],MATCH("C15",planoContas,0)+1,MATCH(Tabela1[[#This Row],[Periodo]],listaPeriodos,0))/INDEX(TBBP[],MATCH("RL12",planoContas,0)+1,MATCH(Tabela1[[#This Row],[Periodo]],listaPeriodos,0))))</f>
        <v>0.45498174426042431</v>
      </c>
      <c r="F2689" s="16"/>
      <c r="G2689" s="16"/>
      <c r="H2689" s="16"/>
    </row>
    <row r="2690" spans="1:8" x14ac:dyDescent="0.3">
      <c r="A2690" t="s">
        <v>728</v>
      </c>
      <c r="B2690" s="3">
        <f t="shared" si="36"/>
        <v>44348</v>
      </c>
      <c r="C2690" s="2" t="str">
        <f>VLOOKUP(MONTH(Tabela1[[#This Row],[Periodo]]),NUMMESES,2,FALSE)</f>
        <v>Junho</v>
      </c>
      <c r="D2690" s="2">
        <f>YEAR(Tabela1[[#This Row],[Periodo]])</f>
        <v>2021</v>
      </c>
      <c r="E2690" s="33">
        <f>((INDEX(TBBP[],MATCH("C15",planoContas,0)+1,MATCH(Tabela1[[#This Row],[Periodo]],listaPeriodos,0))/INDEX(TBBP[],MATCH("RL12",planoContas,0)+1,MATCH(Tabela1[[#This Row],[Periodo]],listaPeriodos,0))))</f>
        <v>1.4900825713692383</v>
      </c>
      <c r="F2690" s="16"/>
      <c r="G2690" s="16"/>
      <c r="H2690" s="16"/>
    </row>
    <row r="2691" spans="1:8" x14ac:dyDescent="0.3">
      <c r="A2691" t="s">
        <v>728</v>
      </c>
      <c r="B2691" s="3">
        <f t="shared" si="36"/>
        <v>44378</v>
      </c>
      <c r="C2691" s="2" t="str">
        <f>VLOOKUP(MONTH(Tabela1[[#This Row],[Periodo]]),NUMMESES,2,FALSE)</f>
        <v>Julho</v>
      </c>
      <c r="D2691" s="2">
        <f>YEAR(Tabela1[[#This Row],[Periodo]])</f>
        <v>2021</v>
      </c>
      <c r="E2691" s="33">
        <f>((INDEX(TBBP[],MATCH("C15",planoContas,0)+1,MATCH(Tabela1[[#This Row],[Periodo]],listaPeriodos,0))/INDEX(TBBP[],MATCH("RL12",planoContas,0)+1,MATCH(Tabela1[[#This Row],[Periodo]],listaPeriodos,0))))</f>
        <v>0.8728776826338347</v>
      </c>
      <c r="F2691" s="16"/>
      <c r="G2691" s="16"/>
      <c r="H2691" s="16"/>
    </row>
    <row r="2692" spans="1:8" x14ac:dyDescent="0.3">
      <c r="A2692" t="s">
        <v>728</v>
      </c>
      <c r="B2692" s="3">
        <f t="shared" si="36"/>
        <v>44409</v>
      </c>
      <c r="C2692" s="2" t="str">
        <f>VLOOKUP(MONTH(Tabela1[[#This Row],[Periodo]]),NUMMESES,2,FALSE)</f>
        <v>Agosto</v>
      </c>
      <c r="D2692" s="2">
        <f>YEAR(Tabela1[[#This Row],[Periodo]])</f>
        <v>2021</v>
      </c>
      <c r="E2692" s="33">
        <f>((INDEX(TBBP[],MATCH("C15",planoContas,0)+1,MATCH(Tabela1[[#This Row],[Periodo]],listaPeriodos,0))/INDEX(TBBP[],MATCH("RL12",planoContas,0)+1,MATCH(Tabela1[[#This Row],[Periodo]],listaPeriodos,0))))</f>
        <v>0.65373192512386002</v>
      </c>
      <c r="F2692" s="16"/>
      <c r="G2692" s="16"/>
      <c r="H2692" s="16"/>
    </row>
    <row r="2693" spans="1:8" x14ac:dyDescent="0.3">
      <c r="A2693" t="s">
        <v>728</v>
      </c>
      <c r="B2693" s="3">
        <f t="shared" si="36"/>
        <v>44440</v>
      </c>
      <c r="C2693" s="2" t="str">
        <f>VLOOKUP(MONTH(Tabela1[[#This Row],[Periodo]]),NUMMESES,2,FALSE)</f>
        <v>Setembro</v>
      </c>
      <c r="D2693" s="2">
        <f>YEAR(Tabela1[[#This Row],[Periodo]])</f>
        <v>2021</v>
      </c>
      <c r="E2693" s="33">
        <f>((INDEX(TBBP[],MATCH("C15",planoContas,0)+1,MATCH(Tabela1[[#This Row],[Periodo]],listaPeriodos,0))/INDEX(TBBP[],MATCH("RL12",planoContas,0)+1,MATCH(Tabela1[[#This Row],[Periodo]],listaPeriodos,0))))</f>
        <v>0.96857396018292563</v>
      </c>
      <c r="F2693" s="16"/>
      <c r="G2693" s="16"/>
      <c r="H2693" s="16"/>
    </row>
    <row r="2694" spans="1:8" x14ac:dyDescent="0.3">
      <c r="A2694" t="s">
        <v>728</v>
      </c>
      <c r="B2694" s="3">
        <f t="shared" si="36"/>
        <v>44470</v>
      </c>
      <c r="C2694" s="2" t="str">
        <f>VLOOKUP(MONTH(Tabela1[[#This Row],[Periodo]]),NUMMESES,2,FALSE)</f>
        <v>Outubro</v>
      </c>
      <c r="D2694" s="2">
        <f>YEAR(Tabela1[[#This Row],[Periodo]])</f>
        <v>2021</v>
      </c>
      <c r="E2694" s="33">
        <f>((INDEX(TBBP[],MATCH("C15",planoContas,0)+1,MATCH(Tabela1[[#This Row],[Periodo]],listaPeriodos,0))/INDEX(TBBP[],MATCH("RL12",planoContas,0)+1,MATCH(Tabela1[[#This Row],[Periodo]],listaPeriodos,0))))</f>
        <v>1.1569375421152293</v>
      </c>
      <c r="F2694" s="16"/>
      <c r="G2694" s="16"/>
      <c r="H2694" s="16"/>
    </row>
    <row r="2695" spans="1:8" x14ac:dyDescent="0.3">
      <c r="A2695" t="s">
        <v>728</v>
      </c>
      <c r="B2695" s="3">
        <f t="shared" si="36"/>
        <v>44501</v>
      </c>
      <c r="C2695" s="2" t="str">
        <f>VLOOKUP(MONTH(Tabela1[[#This Row],[Periodo]]),NUMMESES,2,FALSE)</f>
        <v>Novembro</v>
      </c>
      <c r="D2695" s="2">
        <f>YEAR(Tabela1[[#This Row],[Periodo]])</f>
        <v>2021</v>
      </c>
      <c r="E2695" s="33">
        <f>((INDEX(TBBP[],MATCH("C15",planoContas,0)+1,MATCH(Tabela1[[#This Row],[Periodo]],listaPeriodos,0))/INDEX(TBBP[],MATCH("RL12",planoContas,0)+1,MATCH(Tabela1[[#This Row],[Periodo]],listaPeriodos,0))))</f>
        <v>0.97310429179931524</v>
      </c>
      <c r="F2695" s="16"/>
      <c r="G2695" s="16"/>
      <c r="H2695" s="16"/>
    </row>
    <row r="2696" spans="1:8" x14ac:dyDescent="0.3">
      <c r="A2696" t="s">
        <v>728</v>
      </c>
      <c r="B2696" s="3">
        <f t="shared" si="36"/>
        <v>44531</v>
      </c>
      <c r="C2696" s="2" t="str">
        <f>VLOOKUP(MONTH(Tabela1[[#This Row],[Periodo]]),NUMMESES,2,FALSE)</f>
        <v>Dezembro</v>
      </c>
      <c r="D2696" s="2">
        <f>YEAR(Tabela1[[#This Row],[Periodo]])</f>
        <v>2021</v>
      </c>
      <c r="E2696" s="33">
        <f>((INDEX(TBBP[],MATCH("C15",planoContas,0)+1,MATCH(Tabela1[[#This Row],[Periodo]],listaPeriodos,0))/INDEX(TBBP[],MATCH("RL12",planoContas,0)+1,MATCH(Tabela1[[#This Row],[Periodo]],listaPeriodos,0))))</f>
        <v>8.7914468846903873</v>
      </c>
      <c r="F2696" s="16"/>
      <c r="G2696" s="16"/>
      <c r="H2696" s="16"/>
    </row>
    <row r="2697" spans="1:8" x14ac:dyDescent="0.3">
      <c r="A2697" t="s">
        <v>728</v>
      </c>
      <c r="B2697" s="3">
        <f t="shared" si="36"/>
        <v>44562</v>
      </c>
      <c r="C2697" s="2" t="str">
        <f>VLOOKUP(MONTH(Tabela1[[#This Row],[Periodo]]),NUMMESES,2,FALSE)</f>
        <v>Janeiro</v>
      </c>
      <c r="D2697" s="2">
        <f>YEAR(Tabela1[[#This Row],[Periodo]])</f>
        <v>2022</v>
      </c>
      <c r="E2697" s="33">
        <f>((INDEX(TBBP[],MATCH("C15",planoContas,0)+1,MATCH(Tabela1[[#This Row],[Periodo]],listaPeriodos,0))/INDEX(TBBP[],MATCH("RL12",planoContas,0)+1,MATCH(Tabela1[[#This Row],[Periodo]],listaPeriodos,0))))</f>
        <v>0.87376664504995383</v>
      </c>
      <c r="F2697" s="16"/>
      <c r="G2697" s="16"/>
      <c r="H2697" s="16"/>
    </row>
    <row r="2698" spans="1:8" x14ac:dyDescent="0.3">
      <c r="A2698" t="s">
        <v>728</v>
      </c>
      <c r="B2698" s="3">
        <f t="shared" si="36"/>
        <v>44593</v>
      </c>
      <c r="C2698" s="2" t="str">
        <f>VLOOKUP(MONTH(Tabela1[[#This Row],[Periodo]]),NUMMESES,2,FALSE)</f>
        <v>Fevereiro</v>
      </c>
      <c r="D2698" s="2">
        <f>YEAR(Tabela1[[#This Row],[Periodo]])</f>
        <v>2022</v>
      </c>
      <c r="E2698" s="33">
        <f>((INDEX(TBBP[],MATCH("C15",planoContas,0)+1,MATCH(Tabela1[[#This Row],[Periodo]],listaPeriodos,0))/INDEX(TBBP[],MATCH("RL12",planoContas,0)+1,MATCH(Tabela1[[#This Row],[Periodo]],listaPeriodos,0))))</f>
        <v>3.7274437342678053</v>
      </c>
      <c r="F2698" s="16"/>
      <c r="G2698" s="16"/>
      <c r="H2698" s="16"/>
    </row>
    <row r="2699" spans="1:8" x14ac:dyDescent="0.3">
      <c r="A2699" t="s">
        <v>728</v>
      </c>
      <c r="B2699" s="3">
        <f t="shared" si="36"/>
        <v>44621</v>
      </c>
      <c r="C2699" s="2" t="str">
        <f>VLOOKUP(MONTH(Tabela1[[#This Row],[Periodo]]),NUMMESES,2,FALSE)</f>
        <v>Março</v>
      </c>
      <c r="D2699" s="2">
        <f>YEAR(Tabela1[[#This Row],[Periodo]])</f>
        <v>2022</v>
      </c>
      <c r="E2699" s="33">
        <f>((INDEX(TBBP[],MATCH("C15",planoContas,0)+1,MATCH(Tabela1[[#This Row],[Periodo]],listaPeriodos,0))/INDEX(TBBP[],MATCH("RL12",planoContas,0)+1,MATCH(Tabela1[[#This Row],[Periodo]],listaPeriodos,0))))</f>
        <v>0.13318471707123317</v>
      </c>
      <c r="F2699" s="16"/>
      <c r="G2699" s="16"/>
      <c r="H2699" s="16"/>
    </row>
    <row r="2700" spans="1:8" x14ac:dyDescent="0.3">
      <c r="A2700" t="s">
        <v>728</v>
      </c>
      <c r="B2700" s="3">
        <f t="shared" si="36"/>
        <v>44652</v>
      </c>
      <c r="C2700" s="2" t="str">
        <f>VLOOKUP(MONTH(Tabela1[[#This Row],[Periodo]]),NUMMESES,2,FALSE)</f>
        <v>Abril</v>
      </c>
      <c r="D2700" s="2">
        <f>YEAR(Tabela1[[#This Row],[Periodo]])</f>
        <v>2022</v>
      </c>
      <c r="E2700" s="33">
        <f>((INDEX(TBBP[],MATCH("C15",planoContas,0)+1,MATCH(Tabela1[[#This Row],[Periodo]],listaPeriodos,0))/INDEX(TBBP[],MATCH("RL12",planoContas,0)+1,MATCH(Tabela1[[#This Row],[Periodo]],listaPeriodos,0))))</f>
        <v>9.1988277267774834E-3</v>
      </c>
      <c r="F2700" s="16"/>
      <c r="G2700" s="16"/>
      <c r="H2700" s="16"/>
    </row>
    <row r="2701" spans="1:8" x14ac:dyDescent="0.3">
      <c r="A2701" t="s">
        <v>728</v>
      </c>
      <c r="B2701" s="3">
        <f t="shared" si="36"/>
        <v>44682</v>
      </c>
      <c r="C2701" s="2" t="str">
        <f>VLOOKUP(MONTH(Tabela1[[#This Row],[Periodo]]),NUMMESES,2,FALSE)</f>
        <v>Maio</v>
      </c>
      <c r="D2701" s="2">
        <f>YEAR(Tabela1[[#This Row],[Periodo]])</f>
        <v>2022</v>
      </c>
      <c r="E2701" s="33">
        <f>((INDEX(TBBP[],MATCH("C15",planoContas,0)+1,MATCH(Tabela1[[#This Row],[Periodo]],listaPeriodos,0))/INDEX(TBBP[],MATCH("RL12",planoContas,0)+1,MATCH(Tabela1[[#This Row],[Periodo]],listaPeriodos,0))))</f>
        <v>6.6791428922584536E-3</v>
      </c>
      <c r="F2701" s="16"/>
      <c r="G2701" s="16"/>
      <c r="H2701" s="16"/>
    </row>
    <row r="2702" spans="1:8" x14ac:dyDescent="0.3">
      <c r="A2702" t="s">
        <v>728</v>
      </c>
      <c r="B2702" s="3">
        <f t="shared" si="36"/>
        <v>44713</v>
      </c>
      <c r="C2702" s="2" t="str">
        <f>VLOOKUP(MONTH(Tabela1[[#This Row],[Periodo]]),NUMMESES,2,FALSE)</f>
        <v>Junho</v>
      </c>
      <c r="D2702" s="2">
        <f>YEAR(Tabela1[[#This Row],[Periodo]])</f>
        <v>2022</v>
      </c>
      <c r="E2702" s="33">
        <f>((INDEX(TBBP[],MATCH("C15",planoContas,0)+1,MATCH(Tabela1[[#This Row],[Periodo]],listaPeriodos,0))/INDEX(TBBP[],MATCH("RL12",planoContas,0)+1,MATCH(Tabela1[[#This Row],[Periodo]],listaPeriodos,0))))</f>
        <v>0.19714244207409373</v>
      </c>
      <c r="F2702" s="16"/>
      <c r="G2702" s="16"/>
      <c r="H2702" s="16"/>
    </row>
    <row r="2703" spans="1:8" x14ac:dyDescent="0.3">
      <c r="A2703" t="s">
        <v>728</v>
      </c>
      <c r="B2703" s="3">
        <f t="shared" si="36"/>
        <v>44743</v>
      </c>
      <c r="C2703" s="2" t="str">
        <f>VLOOKUP(MONTH(Tabela1[[#This Row],[Periodo]]),NUMMESES,2,FALSE)</f>
        <v>Julho</v>
      </c>
      <c r="D2703" s="2">
        <f>YEAR(Tabela1[[#This Row],[Periodo]])</f>
        <v>2022</v>
      </c>
      <c r="E2703" s="33">
        <f>((INDEX(TBBP[],MATCH("C15",planoContas,0)+1,MATCH(Tabela1[[#This Row],[Periodo]],listaPeriodos,0))/INDEX(TBBP[],MATCH("RL12",planoContas,0)+1,MATCH(Tabela1[[#This Row],[Periodo]],listaPeriodos,0))))</f>
        <v>8.0627471118714697E-2</v>
      </c>
      <c r="F2703" s="16"/>
      <c r="G2703" s="16"/>
      <c r="H2703" s="16"/>
    </row>
    <row r="2704" spans="1:8" x14ac:dyDescent="0.3">
      <c r="A2704" t="s">
        <v>728</v>
      </c>
      <c r="B2704" s="3">
        <f t="shared" si="36"/>
        <v>44774</v>
      </c>
      <c r="C2704" s="2" t="str">
        <f>VLOOKUP(MONTH(Tabela1[[#This Row],[Periodo]]),NUMMESES,2,FALSE)</f>
        <v>Agosto</v>
      </c>
      <c r="D2704" s="2">
        <f>YEAR(Tabela1[[#This Row],[Periodo]])</f>
        <v>2022</v>
      </c>
      <c r="E2704" s="33">
        <f>((INDEX(TBBP[],MATCH("C15",planoContas,0)+1,MATCH(Tabela1[[#This Row],[Periodo]],listaPeriodos,0))/INDEX(TBBP[],MATCH("RL12",planoContas,0)+1,MATCH(Tabela1[[#This Row],[Periodo]],listaPeriodos,0))))</f>
        <v>1.9002800692805855E-3</v>
      </c>
      <c r="F2704" s="16"/>
      <c r="G2704" s="16"/>
      <c r="H2704" s="16"/>
    </row>
    <row r="2705" spans="1:8" x14ac:dyDescent="0.3">
      <c r="A2705" t="s">
        <v>728</v>
      </c>
      <c r="B2705" s="3">
        <f t="shared" si="36"/>
        <v>44805</v>
      </c>
      <c r="C2705" s="2" t="str">
        <f>VLOOKUP(MONTH(Tabela1[[#This Row],[Periodo]]),NUMMESES,2,FALSE)</f>
        <v>Setembro</v>
      </c>
      <c r="D2705" s="2">
        <f>YEAR(Tabela1[[#This Row],[Periodo]])</f>
        <v>2022</v>
      </c>
      <c r="E2705" s="33">
        <f>((INDEX(TBBP[],MATCH("C15",planoContas,0)+1,MATCH(Tabela1[[#This Row],[Periodo]],listaPeriodos,0))/INDEX(TBBP[],MATCH("RL12",planoContas,0)+1,MATCH(Tabela1[[#This Row],[Periodo]],listaPeriodos,0))))</f>
        <v>4.3912050137290669E-3</v>
      </c>
      <c r="F2705" s="16"/>
      <c r="G2705" s="16"/>
      <c r="H2705" s="16"/>
    </row>
    <row r="2706" spans="1:8" x14ac:dyDescent="0.3">
      <c r="A2706" t="s">
        <v>728</v>
      </c>
      <c r="B2706" s="3">
        <f t="shared" si="36"/>
        <v>44835</v>
      </c>
      <c r="C2706" s="2" t="str">
        <f>VLOOKUP(MONTH(Tabela1[[#This Row],[Periodo]]),NUMMESES,2,FALSE)</f>
        <v>Outubro</v>
      </c>
      <c r="D2706" s="2">
        <f>YEAR(Tabela1[[#This Row],[Periodo]])</f>
        <v>2022</v>
      </c>
      <c r="E2706" s="33">
        <f>((INDEX(TBBP[],MATCH("C15",planoContas,0)+1,MATCH(Tabela1[[#This Row],[Periodo]],listaPeriodos,0))/INDEX(TBBP[],MATCH("RL12",planoContas,0)+1,MATCH(Tabela1[[#This Row],[Periodo]],listaPeriodos,0))))</f>
        <v>1.3622749570662042E-2</v>
      </c>
      <c r="F2706" s="16"/>
      <c r="G2706" s="16"/>
      <c r="H2706" s="16"/>
    </row>
    <row r="2707" spans="1:8" x14ac:dyDescent="0.3">
      <c r="A2707" t="s">
        <v>728</v>
      </c>
      <c r="B2707" s="3">
        <f t="shared" si="36"/>
        <v>44866</v>
      </c>
      <c r="C2707" s="2" t="str">
        <f>VLOOKUP(MONTH(Tabela1[[#This Row],[Periodo]]),NUMMESES,2,FALSE)</f>
        <v>Novembro</v>
      </c>
      <c r="D2707" s="2">
        <f>YEAR(Tabela1[[#This Row],[Periodo]])</f>
        <v>2022</v>
      </c>
      <c r="E2707" s="33">
        <f>((INDEX(TBBP[],MATCH("C15",planoContas,0)+1,MATCH(Tabela1[[#This Row],[Periodo]],listaPeriodos,0))/INDEX(TBBP[],MATCH("RL12",planoContas,0)+1,MATCH(Tabela1[[#This Row],[Periodo]],listaPeriodos,0))))</f>
        <v>4.0426654886057567E-2</v>
      </c>
      <c r="F2707" s="16"/>
      <c r="G2707" s="16"/>
      <c r="H2707" s="16"/>
    </row>
    <row r="2708" spans="1:8" x14ac:dyDescent="0.3">
      <c r="A2708" t="s">
        <v>728</v>
      </c>
      <c r="B2708" s="3">
        <f t="shared" si="36"/>
        <v>44896</v>
      </c>
      <c r="C2708" s="2" t="str">
        <f>VLOOKUP(MONTH(Tabela1[[#This Row],[Periodo]]),NUMMESES,2,FALSE)</f>
        <v>Dezembro</v>
      </c>
      <c r="D2708" s="2">
        <f>YEAR(Tabela1[[#This Row],[Periodo]])</f>
        <v>2022</v>
      </c>
      <c r="E2708" s="33">
        <f>((INDEX(TBBP[],MATCH("C15",planoContas,0)+1,MATCH(Tabela1[[#This Row],[Periodo]],listaPeriodos,0))/INDEX(TBBP[],MATCH("RL12",planoContas,0)+1,MATCH(Tabela1[[#This Row],[Periodo]],listaPeriodos,0))))</f>
        <v>8.4616651139719627E-4</v>
      </c>
      <c r="F2708" s="16"/>
      <c r="G2708" s="16"/>
      <c r="H2708" s="16"/>
    </row>
    <row r="2709" spans="1:8" x14ac:dyDescent="0.3">
      <c r="A2709" t="s">
        <v>728</v>
      </c>
      <c r="B2709" s="3">
        <f t="shared" si="36"/>
        <v>44927</v>
      </c>
      <c r="C2709" s="2" t="str">
        <f>VLOOKUP(MONTH(Tabela1[[#This Row],[Periodo]]),NUMMESES,2,FALSE)</f>
        <v>Janeiro</v>
      </c>
      <c r="D2709" s="2">
        <f>YEAR(Tabela1[[#This Row],[Periodo]])</f>
        <v>2023</v>
      </c>
      <c r="E2709" s="33">
        <f>((INDEX(TBBP[],MATCH("C15",planoContas,0)+1,MATCH(Tabela1[[#This Row],[Periodo]],listaPeriodos,0))/INDEX(TBBP[],MATCH("RL12",planoContas,0)+1,MATCH(Tabela1[[#This Row],[Periodo]],listaPeriodos,0))))</f>
        <v>8.2567417010344854E-2</v>
      </c>
      <c r="F2709" s="16"/>
      <c r="G2709" s="16"/>
      <c r="H2709" s="16"/>
    </row>
    <row r="2710" spans="1:8" x14ac:dyDescent="0.3">
      <c r="A2710" t="s">
        <v>728</v>
      </c>
      <c r="B2710" s="3">
        <f t="shared" si="36"/>
        <v>44958</v>
      </c>
      <c r="C2710" s="2" t="str">
        <f>VLOOKUP(MONTH(Tabela1[[#This Row],[Periodo]]),NUMMESES,2,FALSE)</f>
        <v>Fevereiro</v>
      </c>
      <c r="D2710" s="2">
        <f>YEAR(Tabela1[[#This Row],[Periodo]])</f>
        <v>2023</v>
      </c>
      <c r="E2710" s="33">
        <f>((INDEX(TBBP[],MATCH("C15",planoContas,0)+1,MATCH(Tabela1[[#This Row],[Periodo]],listaPeriodos,0))/INDEX(TBBP[],MATCH("RL12",planoContas,0)+1,MATCH(Tabela1[[#This Row],[Periodo]],listaPeriodos,0))))</f>
        <v>0</v>
      </c>
      <c r="F2710" s="16"/>
      <c r="G2710" s="16"/>
      <c r="H2710" s="16"/>
    </row>
    <row r="2711" spans="1:8" x14ac:dyDescent="0.3">
      <c r="A2711" t="s">
        <v>728</v>
      </c>
      <c r="B2711" s="3">
        <f t="shared" si="36"/>
        <v>44986</v>
      </c>
      <c r="C2711" s="2" t="str">
        <f>VLOOKUP(MONTH(Tabela1[[#This Row],[Periodo]]),NUMMESES,2,FALSE)</f>
        <v>Março</v>
      </c>
      <c r="D2711" s="2">
        <f>YEAR(Tabela1[[#This Row],[Periodo]])</f>
        <v>2023</v>
      </c>
      <c r="E2711" s="33">
        <f>((INDEX(TBBP[],MATCH("C15",planoContas,0)+1,MATCH(Tabela1[[#This Row],[Periodo]],listaPeriodos,0))/INDEX(TBBP[],MATCH("RL12",planoContas,0)+1,MATCH(Tabela1[[#This Row],[Periodo]],listaPeriodos,0))))</f>
        <v>3.0369272219903046E-3</v>
      </c>
      <c r="F2711" s="16"/>
      <c r="G2711" s="16"/>
      <c r="H2711" s="16"/>
    </row>
    <row r="2712" spans="1:8" x14ac:dyDescent="0.3">
      <c r="A2712" t="s">
        <v>728</v>
      </c>
      <c r="B2712" s="3">
        <f t="shared" si="36"/>
        <v>45017</v>
      </c>
      <c r="C2712" s="2" t="str">
        <f>VLOOKUP(MONTH(Tabela1[[#This Row],[Periodo]]),NUMMESES,2,FALSE)</f>
        <v>Abril</v>
      </c>
      <c r="D2712" s="2">
        <f>YEAR(Tabela1[[#This Row],[Periodo]])</f>
        <v>2023</v>
      </c>
      <c r="E2712" s="33">
        <f>((INDEX(TBBP[],MATCH("C15",planoContas,0)+1,MATCH(Tabela1[[#This Row],[Periodo]],listaPeriodos,0))/INDEX(TBBP[],MATCH("RL12",planoContas,0)+1,MATCH(Tabela1[[#This Row],[Periodo]],listaPeriodos,0))))</f>
        <v>0</v>
      </c>
      <c r="F2712" s="16"/>
      <c r="G2712" s="16"/>
      <c r="H2712" s="16"/>
    </row>
    <row r="2713" spans="1:8" x14ac:dyDescent="0.3">
      <c r="A2713" t="s">
        <v>728</v>
      </c>
      <c r="B2713" s="3">
        <f t="shared" si="36"/>
        <v>45047</v>
      </c>
      <c r="C2713" s="2" t="str">
        <f>VLOOKUP(MONTH(Tabela1[[#This Row],[Periodo]]),NUMMESES,2,FALSE)</f>
        <v>Maio</v>
      </c>
      <c r="D2713" s="2">
        <f>YEAR(Tabela1[[#This Row],[Periodo]])</f>
        <v>2023</v>
      </c>
      <c r="E2713" s="33">
        <f>((INDEX(TBBP[],MATCH("C15",planoContas,0)+1,MATCH(Tabela1[[#This Row],[Periodo]],listaPeriodos,0))/INDEX(TBBP[],MATCH("RL12",planoContas,0)+1,MATCH(Tabela1[[#This Row],[Periodo]],listaPeriodos,0))))</f>
        <v>7.2997063454498029E-3</v>
      </c>
      <c r="F2713" s="16"/>
      <c r="G2713" s="16"/>
      <c r="H2713" s="16"/>
    </row>
    <row r="2714" spans="1:8" x14ac:dyDescent="0.3">
      <c r="A2714" t="s">
        <v>728</v>
      </c>
      <c r="B2714" s="3">
        <f t="shared" si="36"/>
        <v>45078</v>
      </c>
      <c r="C2714" s="2" t="str">
        <f>VLOOKUP(MONTH(Tabela1[[#This Row],[Periodo]]),NUMMESES,2,FALSE)</f>
        <v>Junho</v>
      </c>
      <c r="D2714" s="2">
        <f>YEAR(Tabela1[[#This Row],[Periodo]])</f>
        <v>2023</v>
      </c>
      <c r="E2714" s="33">
        <f>((INDEX(TBBP[],MATCH("C15",planoContas,0)+1,MATCH(Tabela1[[#This Row],[Periodo]],listaPeriodos,0))/INDEX(TBBP[],MATCH("RL12",planoContas,0)+1,MATCH(Tabela1[[#This Row],[Periodo]],listaPeriodos,0))))</f>
        <v>0</v>
      </c>
      <c r="F2714" s="16"/>
      <c r="G2714" s="16"/>
      <c r="H2714" s="16"/>
    </row>
    <row r="2715" spans="1:8" x14ac:dyDescent="0.3">
      <c r="A2715" t="s">
        <v>728</v>
      </c>
      <c r="B2715" s="3">
        <f t="shared" si="36"/>
        <v>45108</v>
      </c>
      <c r="C2715" s="2" t="str">
        <f>VLOOKUP(MONTH(Tabela1[[#This Row],[Periodo]]),NUMMESES,2,FALSE)</f>
        <v>Julho</v>
      </c>
      <c r="D2715" s="2">
        <f>YEAR(Tabela1[[#This Row],[Periodo]])</f>
        <v>2023</v>
      </c>
      <c r="E2715" s="33">
        <f>((INDEX(TBBP[],MATCH("C15",planoContas,0)+1,MATCH(Tabela1[[#This Row],[Periodo]],listaPeriodos,0))/INDEX(TBBP[],MATCH("RL12",planoContas,0)+1,MATCH(Tabela1[[#This Row],[Periodo]],listaPeriodos,0))))</f>
        <v>0</v>
      </c>
      <c r="F2715" s="16"/>
      <c r="G2715" s="16"/>
      <c r="H2715" s="16"/>
    </row>
    <row r="2716" spans="1:8" x14ac:dyDescent="0.3">
      <c r="A2716" t="s">
        <v>728</v>
      </c>
      <c r="B2716" s="3">
        <f t="shared" si="36"/>
        <v>45139</v>
      </c>
      <c r="C2716" s="2" t="str">
        <f>VLOOKUP(MONTH(Tabela1[[#This Row],[Periodo]]),NUMMESES,2,FALSE)</f>
        <v>Agosto</v>
      </c>
      <c r="D2716" s="2">
        <f>YEAR(Tabela1[[#This Row],[Periodo]])</f>
        <v>2023</v>
      </c>
      <c r="E2716" s="33">
        <f>((INDEX(TBBP[],MATCH("C15",planoContas,0)+1,MATCH(Tabela1[[#This Row],[Periodo]],listaPeriodos,0))/INDEX(TBBP[],MATCH("RL12",planoContas,0)+1,MATCH(Tabela1[[#This Row],[Periodo]],listaPeriodos,0))))</f>
        <v>0</v>
      </c>
      <c r="F2716" s="16"/>
      <c r="G2716" s="16"/>
      <c r="H2716" s="16"/>
    </row>
    <row r="2717" spans="1:8" x14ac:dyDescent="0.3">
      <c r="A2717" t="s">
        <v>728</v>
      </c>
      <c r="B2717" s="3">
        <f t="shared" si="36"/>
        <v>45170</v>
      </c>
      <c r="C2717" s="2" t="str">
        <f>VLOOKUP(MONTH(Tabela1[[#This Row],[Periodo]]),NUMMESES,2,FALSE)</f>
        <v>Setembro</v>
      </c>
      <c r="D2717" s="2">
        <f>YEAR(Tabela1[[#This Row],[Periodo]])</f>
        <v>2023</v>
      </c>
      <c r="E2717" s="33" t="e">
        <f>((INDEX(TBBP[],MATCH("C15",planoContas,0)+1,MATCH(Tabela1[[#This Row],[Periodo]],listaPeriodos,0))/INDEX(TBBP[],MATCH("RL12",planoContas,0)+1,MATCH(Tabela1[[#This Row],[Periodo]],listaPeriodos,0))))</f>
        <v>#DIV/0!</v>
      </c>
      <c r="F2717" s="16"/>
      <c r="G2717" s="16"/>
      <c r="H2717" s="16"/>
    </row>
    <row r="2718" spans="1:8" x14ac:dyDescent="0.3">
      <c r="A2718" t="s">
        <v>728</v>
      </c>
      <c r="B2718" s="3">
        <f t="shared" si="36"/>
        <v>45200</v>
      </c>
      <c r="C2718" s="2" t="str">
        <f>VLOOKUP(MONTH(Tabela1[[#This Row],[Periodo]]),NUMMESES,2,FALSE)</f>
        <v>Outubro</v>
      </c>
      <c r="D2718" s="2">
        <f>YEAR(Tabela1[[#This Row],[Periodo]])</f>
        <v>2023</v>
      </c>
      <c r="E2718" s="33" t="e">
        <f>((INDEX(TBBP[],MATCH("C15",planoContas,0)+1,MATCH(Tabela1[[#This Row],[Periodo]],listaPeriodos,0))/INDEX(TBBP[],MATCH("RL12",planoContas,0)+1,MATCH(Tabela1[[#This Row],[Periodo]],listaPeriodos,0))))</f>
        <v>#DIV/0!</v>
      </c>
      <c r="F2718" s="16"/>
      <c r="G2718" s="16"/>
      <c r="H2718" s="16"/>
    </row>
    <row r="2719" spans="1:8" x14ac:dyDescent="0.3">
      <c r="A2719" t="s">
        <v>728</v>
      </c>
      <c r="B2719" s="3">
        <f t="shared" si="36"/>
        <v>45231</v>
      </c>
      <c r="C2719" s="2" t="str">
        <f>VLOOKUP(MONTH(Tabela1[[#This Row],[Periodo]]),NUMMESES,2,FALSE)</f>
        <v>Novembro</v>
      </c>
      <c r="D2719" s="2">
        <f>YEAR(Tabela1[[#This Row],[Periodo]])</f>
        <v>2023</v>
      </c>
      <c r="E2719" s="33" t="e">
        <f>((INDEX(TBBP[],MATCH("C15",planoContas,0)+1,MATCH(Tabela1[[#This Row],[Periodo]],listaPeriodos,0))/INDEX(TBBP[],MATCH("RL12",planoContas,0)+1,MATCH(Tabela1[[#This Row],[Periodo]],listaPeriodos,0))))</f>
        <v>#DIV/0!</v>
      </c>
      <c r="F2719" s="16"/>
      <c r="G2719" s="16"/>
      <c r="H2719" s="16"/>
    </row>
    <row r="2720" spans="1:8" x14ac:dyDescent="0.3">
      <c r="A2720" t="s">
        <v>728</v>
      </c>
      <c r="B2720" s="3">
        <f t="shared" si="36"/>
        <v>45261</v>
      </c>
      <c r="C2720" s="2" t="str">
        <f>VLOOKUP(MONTH(Tabela1[[#This Row],[Periodo]]),NUMMESES,2,FALSE)</f>
        <v>Dezembro</v>
      </c>
      <c r="D2720" s="2">
        <f>YEAR(Tabela1[[#This Row],[Periodo]])</f>
        <v>2023</v>
      </c>
      <c r="E2720" s="33" t="e">
        <f>((INDEX(TBBP[],MATCH("C15",planoContas,0)+1,MATCH(Tabela1[[#This Row],[Periodo]],listaPeriodos,0))/INDEX(TBBP[],MATCH("RL12",planoContas,0)+1,MATCH(Tabela1[[#This Row],[Periodo]],listaPeriodos,0))))</f>
        <v>#DIV/0!</v>
      </c>
      <c r="F2720" s="16"/>
      <c r="G2720" s="16"/>
      <c r="H2720" s="16"/>
    </row>
    <row r="2721" spans="1:8" x14ac:dyDescent="0.3">
      <c r="A2721" t="s">
        <v>728</v>
      </c>
      <c r="B2721" s="3">
        <f t="shared" si="36"/>
        <v>45292</v>
      </c>
      <c r="C2721" s="2" t="str">
        <f>VLOOKUP(MONTH(Tabela1[[#This Row],[Periodo]]),NUMMESES,2,FALSE)</f>
        <v>Janeiro</v>
      </c>
      <c r="D2721" s="2">
        <f>YEAR(Tabela1[[#This Row],[Periodo]])</f>
        <v>2024</v>
      </c>
      <c r="E2721" s="33" t="e">
        <f>((INDEX(TBBP[],MATCH("C15",planoContas,0)+1,MATCH(Tabela1[[#This Row],[Periodo]],listaPeriodos,0))/INDEX(TBBP[],MATCH("RL12",planoContas,0)+1,MATCH(Tabela1[[#This Row],[Periodo]],listaPeriodos,0))))</f>
        <v>#DIV/0!</v>
      </c>
      <c r="F2721" s="16"/>
      <c r="G2721" s="16"/>
      <c r="H2721" s="16"/>
    </row>
    <row r="2722" spans="1:8" x14ac:dyDescent="0.3">
      <c r="A2722" t="s">
        <v>728</v>
      </c>
      <c r="B2722" s="3">
        <f t="shared" si="36"/>
        <v>45323</v>
      </c>
      <c r="C2722" s="2" t="str">
        <f>VLOOKUP(MONTH(Tabela1[[#This Row],[Periodo]]),NUMMESES,2,FALSE)</f>
        <v>Fevereiro</v>
      </c>
      <c r="D2722" s="2">
        <f>YEAR(Tabela1[[#This Row],[Periodo]])</f>
        <v>2024</v>
      </c>
      <c r="E2722" s="33" t="e">
        <f>((INDEX(TBBP[],MATCH("C15",planoContas,0)+1,MATCH(Tabela1[[#This Row],[Periodo]],listaPeriodos,0))/INDEX(TBBP[],MATCH("RL12",planoContas,0)+1,MATCH(Tabela1[[#This Row],[Periodo]],listaPeriodos,0))))</f>
        <v>#DIV/0!</v>
      </c>
      <c r="F2722" s="16"/>
      <c r="G2722" s="16"/>
      <c r="H2722" s="16"/>
    </row>
    <row r="2723" spans="1:8" x14ac:dyDescent="0.3">
      <c r="A2723" t="s">
        <v>728</v>
      </c>
      <c r="B2723" s="3">
        <f t="shared" si="36"/>
        <v>45352</v>
      </c>
      <c r="C2723" s="2" t="str">
        <f>VLOOKUP(MONTH(Tabela1[[#This Row],[Periodo]]),NUMMESES,2,FALSE)</f>
        <v>Março</v>
      </c>
      <c r="D2723" s="2">
        <f>YEAR(Tabela1[[#This Row],[Periodo]])</f>
        <v>2024</v>
      </c>
      <c r="E2723" s="33" t="e">
        <f>((INDEX(TBBP[],MATCH("C15",planoContas,0)+1,MATCH(Tabela1[[#This Row],[Periodo]],listaPeriodos,0))/INDEX(TBBP[],MATCH("RL12",planoContas,0)+1,MATCH(Tabela1[[#This Row],[Periodo]],listaPeriodos,0))))</f>
        <v>#DIV/0!</v>
      </c>
      <c r="F2723" s="16"/>
      <c r="G2723" s="16"/>
      <c r="H2723" s="16"/>
    </row>
    <row r="2724" spans="1:8" x14ac:dyDescent="0.3">
      <c r="A2724" t="s">
        <v>728</v>
      </c>
      <c r="B2724" s="3">
        <f t="shared" si="36"/>
        <v>45383</v>
      </c>
      <c r="C2724" s="2" t="str">
        <f>VLOOKUP(MONTH(Tabela1[[#This Row],[Periodo]]),NUMMESES,2,FALSE)</f>
        <v>Abril</v>
      </c>
      <c r="D2724" s="2">
        <f>YEAR(Tabela1[[#This Row],[Periodo]])</f>
        <v>2024</v>
      </c>
      <c r="E2724" s="33" t="e">
        <f>((INDEX(TBBP[],MATCH("C15",planoContas,0)+1,MATCH(Tabela1[[#This Row],[Periodo]],listaPeriodos,0))/INDEX(TBBP[],MATCH("RL12",planoContas,0)+1,MATCH(Tabela1[[#This Row],[Periodo]],listaPeriodos,0))))</f>
        <v>#DIV/0!</v>
      </c>
      <c r="F2724" s="16"/>
      <c r="G2724" s="16"/>
      <c r="H2724" s="16"/>
    </row>
    <row r="2725" spans="1:8" x14ac:dyDescent="0.3">
      <c r="A2725" t="s">
        <v>728</v>
      </c>
      <c r="B2725" s="3">
        <f t="shared" si="36"/>
        <v>45413</v>
      </c>
      <c r="C2725" s="2" t="str">
        <f>VLOOKUP(MONTH(Tabela1[[#This Row],[Periodo]]),NUMMESES,2,FALSE)</f>
        <v>Maio</v>
      </c>
      <c r="D2725" s="2">
        <f>YEAR(Tabela1[[#This Row],[Periodo]])</f>
        <v>2024</v>
      </c>
      <c r="E2725" s="33">
        <f>((INDEX(TBBP[],MATCH("C15",planoContas,0)+1,MATCH(Tabela1[[#This Row],[Periodo]],listaPeriodos,0))/INDEX(TBBP[],MATCH("RL12",planoContas,0)+1,MATCH(Tabela1[[#This Row],[Periodo]],listaPeriodos,0))))</f>
        <v>0.38873458320933768</v>
      </c>
      <c r="F2725" s="16"/>
      <c r="G2725" s="16"/>
      <c r="H2725" s="16"/>
    </row>
    <row r="2726" spans="1:8" x14ac:dyDescent="0.3">
      <c r="A2726" t="s">
        <v>728</v>
      </c>
      <c r="B2726" s="3">
        <f t="shared" si="36"/>
        <v>45444</v>
      </c>
      <c r="C2726" s="2" t="str">
        <f>VLOOKUP(MONTH(Tabela1[[#This Row],[Periodo]]),NUMMESES,2,FALSE)</f>
        <v>Junho</v>
      </c>
      <c r="D2726" s="2">
        <f>YEAR(Tabela1[[#This Row],[Periodo]])</f>
        <v>2024</v>
      </c>
      <c r="E2726" s="33">
        <f>((INDEX(TBBP[],MATCH("C15",planoContas,0)+1,MATCH(Tabela1[[#This Row],[Periodo]],listaPeriodos,0))/INDEX(TBBP[],MATCH("RL12",planoContas,0)+1,MATCH(Tabela1[[#This Row],[Periodo]],listaPeriodos,0))))</f>
        <v>5.4652801674756647E-3</v>
      </c>
      <c r="F2726" s="16"/>
      <c r="G2726" s="16"/>
      <c r="H2726" s="16"/>
    </row>
    <row r="2727" spans="1:8" x14ac:dyDescent="0.3">
      <c r="A2727" t="s">
        <v>728</v>
      </c>
      <c r="B2727" s="3">
        <f t="shared" si="36"/>
        <v>45474</v>
      </c>
      <c r="C2727" s="2" t="str">
        <f>VLOOKUP(MONTH(Tabela1[[#This Row],[Periodo]]),NUMMESES,2,FALSE)</f>
        <v>Julho</v>
      </c>
      <c r="D2727" s="2">
        <f>YEAR(Tabela1[[#This Row],[Periodo]])</f>
        <v>2024</v>
      </c>
      <c r="E2727" s="33">
        <f>((INDEX(TBBP[],MATCH("C15",planoContas,0)+1,MATCH(Tabela1[[#This Row],[Periodo]],listaPeriodos,0))/INDEX(TBBP[],MATCH("RL12",planoContas,0)+1,MATCH(Tabela1[[#This Row],[Periodo]],listaPeriodos,0))))</f>
        <v>0</v>
      </c>
      <c r="F2727" s="16"/>
      <c r="G2727" s="16"/>
      <c r="H2727" s="16"/>
    </row>
    <row r="2728" spans="1:8" x14ac:dyDescent="0.3">
      <c r="A2728" t="s">
        <v>728</v>
      </c>
      <c r="B2728" s="3">
        <f t="shared" si="36"/>
        <v>45505</v>
      </c>
      <c r="C2728" s="2" t="str">
        <f>VLOOKUP(MONTH(Tabela1[[#This Row],[Periodo]]),NUMMESES,2,FALSE)</f>
        <v>Agosto</v>
      </c>
      <c r="D2728" s="2">
        <f>YEAR(Tabela1[[#This Row],[Periodo]])</f>
        <v>2024</v>
      </c>
      <c r="E2728" s="33">
        <f>((INDEX(TBBP[],MATCH("C15",planoContas,0)+1,MATCH(Tabela1[[#This Row],[Periodo]],listaPeriodos,0))/INDEX(TBBP[],MATCH("RL12",planoContas,0)+1,MATCH(Tabela1[[#This Row],[Periodo]],listaPeriodos,0))))</f>
        <v>9.442909112177765E-2</v>
      </c>
      <c r="F2728" s="16"/>
      <c r="G2728" s="16"/>
      <c r="H2728" s="16"/>
    </row>
    <row r="2729" spans="1:8" x14ac:dyDescent="0.3">
      <c r="A2729" t="s">
        <v>728</v>
      </c>
      <c r="B2729" s="3">
        <f t="shared" si="36"/>
        <v>45536</v>
      </c>
      <c r="C2729" s="2" t="str">
        <f>VLOOKUP(MONTH(Tabela1[[#This Row],[Periodo]]),NUMMESES,2,FALSE)</f>
        <v>Setembro</v>
      </c>
      <c r="D2729" s="2">
        <f>YEAR(Tabela1[[#This Row],[Periodo]])</f>
        <v>2024</v>
      </c>
      <c r="E2729" s="33">
        <f>((INDEX(TBBP[],MATCH("C15",planoContas,0)+1,MATCH(Tabela1[[#This Row],[Periodo]],listaPeriodos,0))/INDEX(TBBP[],MATCH("RL12",planoContas,0)+1,MATCH(Tabela1[[#This Row],[Periodo]],listaPeriodos,0))))</f>
        <v>0.23263031095779274</v>
      </c>
      <c r="F2729" s="16"/>
      <c r="G2729" s="16"/>
      <c r="H2729" s="16"/>
    </row>
    <row r="2730" spans="1:8" x14ac:dyDescent="0.3">
      <c r="A2730" t="s">
        <v>728</v>
      </c>
      <c r="B2730" s="3">
        <f t="shared" si="36"/>
        <v>45566</v>
      </c>
      <c r="C2730" s="2" t="str">
        <f>VLOOKUP(MONTH(Tabela1[[#This Row],[Periodo]]),NUMMESES,2,FALSE)</f>
        <v>Outubro</v>
      </c>
      <c r="D2730" s="2">
        <f>YEAR(Tabela1[[#This Row],[Periodo]])</f>
        <v>2024</v>
      </c>
      <c r="E2730" s="33">
        <f>((INDEX(TBBP[],MATCH("C15",planoContas,0)+1,MATCH(Tabela1[[#This Row],[Periodo]],listaPeriodos,0))/INDEX(TBBP[],MATCH("RL12",planoContas,0)+1,MATCH(Tabela1[[#This Row],[Periodo]],listaPeriodos,0))))</f>
        <v>0.12644712521469775</v>
      </c>
      <c r="F2730" s="16"/>
      <c r="G2730" s="16"/>
      <c r="H2730" s="16"/>
    </row>
    <row r="2731" spans="1:8" x14ac:dyDescent="0.3">
      <c r="A2731" t="s">
        <v>728</v>
      </c>
      <c r="B2731" s="3">
        <f t="shared" si="36"/>
        <v>45597</v>
      </c>
      <c r="C2731" s="2" t="str">
        <f>VLOOKUP(MONTH(Tabela1[[#This Row],[Periodo]]),NUMMESES,2,FALSE)</f>
        <v>Novembro</v>
      </c>
      <c r="D2731" s="2">
        <f>YEAR(Tabela1[[#This Row],[Periodo]])</f>
        <v>2024</v>
      </c>
      <c r="E2731" s="33">
        <f>((INDEX(TBBP[],MATCH("C15",planoContas,0)+1,MATCH(Tabela1[[#This Row],[Periodo]],listaPeriodos,0))/INDEX(TBBP[],MATCH("RL12",planoContas,0)+1,MATCH(Tabela1[[#This Row],[Periodo]],listaPeriodos,0))))</f>
        <v>0.40368852671011018</v>
      </c>
      <c r="F2731" s="16"/>
      <c r="G2731" s="16"/>
      <c r="H2731" s="16"/>
    </row>
    <row r="2732" spans="1:8" x14ac:dyDescent="0.3">
      <c r="A2732" t="s">
        <v>728</v>
      </c>
      <c r="B2732" s="3">
        <f t="shared" si="36"/>
        <v>45627</v>
      </c>
      <c r="C2732" s="2" t="str">
        <f>VLOOKUP(MONTH(Tabela1[[#This Row],[Periodo]]),NUMMESES,2,FALSE)</f>
        <v>Dezembro</v>
      </c>
      <c r="D2732" s="2">
        <f>YEAR(Tabela1[[#This Row],[Periodo]])</f>
        <v>2024</v>
      </c>
      <c r="E2732" s="33">
        <f>((INDEX(TBBP[],MATCH("C15",planoContas,0)+1,MATCH(Tabela1[[#This Row],[Periodo]],listaPeriodos,0))/INDEX(TBBP[],MATCH("RL12",planoContas,0)+1,MATCH(Tabela1[[#This Row],[Periodo]],listaPeriodos,0))))</f>
        <v>5.0507423449403137E-3</v>
      </c>
      <c r="F2732" s="16"/>
      <c r="G2732" s="16"/>
      <c r="H2732" s="16"/>
    </row>
    <row r="2733" spans="1:8" x14ac:dyDescent="0.3">
      <c r="A2733" t="s">
        <v>728</v>
      </c>
      <c r="B2733" s="3">
        <f t="shared" si="36"/>
        <v>45658</v>
      </c>
      <c r="C2733" s="2" t="str">
        <f>VLOOKUP(MONTH(Tabela1[[#This Row],[Periodo]]),NUMMESES,2,FALSE)</f>
        <v>Janeiro</v>
      </c>
      <c r="D2733" s="2">
        <f>YEAR(Tabela1[[#This Row],[Periodo]])</f>
        <v>2025</v>
      </c>
      <c r="E2733" s="33">
        <f>((INDEX(TBBP[],MATCH("C15",planoContas,0)+1,MATCH(Tabela1[[#This Row],[Periodo]],listaPeriodos,0))/INDEX(TBBP[],MATCH("RL12",planoContas,0)+1,MATCH(Tabela1[[#This Row],[Periodo]],listaPeriodos,0))))</f>
        <v>4.1629358219038563E-2</v>
      </c>
      <c r="F2733" s="16"/>
      <c r="G2733" s="16"/>
      <c r="H2733" s="16"/>
    </row>
    <row r="2734" spans="1:8" x14ac:dyDescent="0.3">
      <c r="A2734" t="s">
        <v>728</v>
      </c>
      <c r="B2734" s="3">
        <f t="shared" si="36"/>
        <v>45689</v>
      </c>
      <c r="C2734" s="2" t="str">
        <f>VLOOKUP(MONTH(Tabela1[[#This Row],[Periodo]]),NUMMESES,2,FALSE)</f>
        <v>Fevereiro</v>
      </c>
      <c r="D2734" s="2">
        <f>YEAR(Tabela1[[#This Row],[Periodo]])</f>
        <v>2025</v>
      </c>
      <c r="E2734" s="33">
        <f>((INDEX(TBBP[],MATCH("C15",planoContas,0)+1,MATCH(Tabela1[[#This Row],[Periodo]],listaPeriodos,0))/INDEX(TBBP[],MATCH("RL12",planoContas,0)+1,MATCH(Tabela1[[#This Row],[Periodo]],listaPeriodos,0))))</f>
        <v>1.4979398300692826E-2</v>
      </c>
      <c r="F2734" s="16"/>
      <c r="G2734" s="16"/>
      <c r="H2734" s="16"/>
    </row>
    <row r="2735" spans="1:8" x14ac:dyDescent="0.3">
      <c r="A2735" t="s">
        <v>728</v>
      </c>
      <c r="B2735" s="3">
        <f t="shared" si="36"/>
        <v>45717</v>
      </c>
      <c r="C2735" s="2" t="str">
        <f>VLOOKUP(MONTH(Tabela1[[#This Row],[Periodo]]),NUMMESES,2,FALSE)</f>
        <v>Março</v>
      </c>
      <c r="D2735" s="2">
        <f>YEAR(Tabela1[[#This Row],[Periodo]])</f>
        <v>2025</v>
      </c>
      <c r="E2735" s="33">
        <f>((INDEX(TBBP[],MATCH("C15",planoContas,0)+1,MATCH(Tabela1[[#This Row],[Periodo]],listaPeriodos,0))/INDEX(TBBP[],MATCH("RL12",planoContas,0)+1,MATCH(Tabela1[[#This Row],[Periodo]],listaPeriodos,0))))</f>
        <v>0</v>
      </c>
      <c r="F2735" s="16"/>
      <c r="G2735" s="16"/>
      <c r="H2735" s="16"/>
    </row>
    <row r="2736" spans="1:8" x14ac:dyDescent="0.3">
      <c r="A2736" t="s">
        <v>728</v>
      </c>
      <c r="B2736" s="3">
        <f t="shared" si="36"/>
        <v>45748</v>
      </c>
      <c r="C2736" s="2" t="str">
        <f>VLOOKUP(MONTH(Tabela1[[#This Row],[Periodo]]),NUMMESES,2,FALSE)</f>
        <v>Abril</v>
      </c>
      <c r="D2736" s="2">
        <f>YEAR(Tabela1[[#This Row],[Periodo]])</f>
        <v>2025</v>
      </c>
      <c r="E2736" s="33">
        <f>((INDEX(TBBP[],MATCH("C15",planoContas,0)+1,MATCH(Tabela1[[#This Row],[Periodo]],listaPeriodos,0))/INDEX(TBBP[],MATCH("RL12",planoContas,0)+1,MATCH(Tabela1[[#This Row],[Periodo]],listaPeriodos,0))))</f>
        <v>0</v>
      </c>
      <c r="F2736" s="16"/>
      <c r="G2736" s="16"/>
      <c r="H2736" s="16"/>
    </row>
    <row r="2737" spans="1:8" x14ac:dyDescent="0.3">
      <c r="A2737" t="s">
        <v>728</v>
      </c>
      <c r="B2737" s="3">
        <f t="shared" si="36"/>
        <v>45778</v>
      </c>
      <c r="C2737" s="2" t="str">
        <f>VLOOKUP(MONTH(Tabela1[[#This Row],[Periodo]]),NUMMESES,2,FALSE)</f>
        <v>Maio</v>
      </c>
      <c r="D2737" s="2">
        <f>YEAR(Tabela1[[#This Row],[Periodo]])</f>
        <v>2025</v>
      </c>
      <c r="E2737" s="33">
        <f>((INDEX(TBBP[],MATCH("C15",planoContas,0)+1,MATCH(Tabela1[[#This Row],[Periodo]],listaPeriodos,0))/INDEX(TBBP[],MATCH("RL12",planoContas,0)+1,MATCH(Tabela1[[#This Row],[Periodo]],listaPeriodos,0))))</f>
        <v>9.1310845794135828E-2</v>
      </c>
      <c r="F2737" s="16"/>
      <c r="G2737" s="16"/>
      <c r="H2737" s="16"/>
    </row>
    <row r="2738" spans="1:8" x14ac:dyDescent="0.3">
      <c r="A2738" t="s">
        <v>728</v>
      </c>
      <c r="B2738" s="3">
        <f t="shared" si="36"/>
        <v>45809</v>
      </c>
      <c r="C2738" s="2" t="str">
        <f>VLOOKUP(MONTH(Tabela1[[#This Row],[Periodo]]),NUMMESES,2,FALSE)</f>
        <v>Junho</v>
      </c>
      <c r="D2738" s="2">
        <f>YEAR(Tabela1[[#This Row],[Periodo]])</f>
        <v>2025</v>
      </c>
      <c r="E2738" s="33">
        <f>((INDEX(TBBP[],MATCH("C15",planoContas,0)+1,MATCH(Tabela1[[#This Row],[Periodo]],listaPeriodos,0))/INDEX(TBBP[],MATCH("RL12",planoContas,0)+1,MATCH(Tabela1[[#This Row],[Periodo]],listaPeriodos,0))))</f>
        <v>-5.1592292956560539E-3</v>
      </c>
      <c r="F2738" s="16"/>
      <c r="G2738" s="16"/>
      <c r="H2738" s="16"/>
    </row>
    <row r="2739" spans="1:8" x14ac:dyDescent="0.3">
      <c r="A2739" t="s">
        <v>728</v>
      </c>
      <c r="B2739" s="3">
        <f t="shared" si="36"/>
        <v>45839</v>
      </c>
      <c r="C2739" s="2" t="str">
        <f>VLOOKUP(MONTH(Tabela1[[#This Row],[Periodo]]),NUMMESES,2,FALSE)</f>
        <v>Julho</v>
      </c>
      <c r="D2739" s="2">
        <f>YEAR(Tabela1[[#This Row],[Periodo]])</f>
        <v>2025</v>
      </c>
      <c r="E2739" s="33">
        <f>((INDEX(TBBP[],MATCH("C15",planoContas,0)+1,MATCH(Tabela1[[#This Row],[Periodo]],listaPeriodos,0))/INDEX(TBBP[],MATCH("RL12",planoContas,0)+1,MATCH(Tabela1[[#This Row],[Periodo]],listaPeriodos,0))))</f>
        <v>5.5967817322241355E-2</v>
      </c>
      <c r="F2739" s="16"/>
      <c r="G2739" s="16"/>
      <c r="H2739" s="16"/>
    </row>
    <row r="2740" spans="1:8" x14ac:dyDescent="0.3">
      <c r="A2740" t="s">
        <v>728</v>
      </c>
      <c r="B2740" s="3">
        <f t="shared" si="36"/>
        <v>45870</v>
      </c>
      <c r="C2740" s="2" t="str">
        <f>VLOOKUP(MONTH(Tabela1[[#This Row],[Periodo]]),NUMMESES,2,FALSE)</f>
        <v>Agosto</v>
      </c>
      <c r="D2740" s="2">
        <f>YEAR(Tabela1[[#This Row],[Periodo]])</f>
        <v>2025</v>
      </c>
      <c r="E2740" s="33">
        <f>((INDEX(TBBP[],MATCH("C15",planoContas,0)+1,MATCH(Tabela1[[#This Row],[Periodo]],listaPeriodos,0))/INDEX(TBBP[],MATCH("RL12",planoContas,0)+1,MATCH(Tabela1[[#This Row],[Periodo]],listaPeriodos,0))))</f>
        <v>0</v>
      </c>
      <c r="F2740" s="16"/>
      <c r="G2740" s="16"/>
      <c r="H2740" s="16"/>
    </row>
    <row r="2741" spans="1:8" x14ac:dyDescent="0.3">
      <c r="A2741" t="s">
        <v>728</v>
      </c>
      <c r="B2741" s="3">
        <f t="shared" si="36"/>
        <v>45901</v>
      </c>
      <c r="C2741" s="2" t="str">
        <f>VLOOKUP(MONTH(Tabela1[[#This Row],[Periodo]]),NUMMESES,2,FALSE)</f>
        <v>Setembro</v>
      </c>
      <c r="D2741" s="2">
        <f>YEAR(Tabela1[[#This Row],[Periodo]])</f>
        <v>2025</v>
      </c>
      <c r="E2741" s="33">
        <f>((INDEX(TBBP[],MATCH("C15",planoContas,0)+1,MATCH(Tabela1[[#This Row],[Periodo]],listaPeriodos,0))/INDEX(TBBP[],MATCH("RL12",planoContas,0)+1,MATCH(Tabela1[[#This Row],[Periodo]],listaPeriodos,0))))</f>
        <v>-2.3725226981514383E-3</v>
      </c>
      <c r="F2741" s="16"/>
      <c r="G2741" s="16"/>
      <c r="H2741" s="16"/>
    </row>
    <row r="2742" spans="1:8" x14ac:dyDescent="0.3">
      <c r="A2742" t="s">
        <v>728</v>
      </c>
      <c r="B2742" s="3">
        <f t="shared" si="36"/>
        <v>45931</v>
      </c>
      <c r="C2742" s="2" t="str">
        <f>VLOOKUP(MONTH(Tabela1[[#This Row],[Periodo]]),NUMMESES,2,FALSE)</f>
        <v>Outubro</v>
      </c>
      <c r="D2742" s="2">
        <f>YEAR(Tabela1[[#This Row],[Periodo]])</f>
        <v>2025</v>
      </c>
      <c r="E2742" s="33">
        <f>((INDEX(TBBP[],MATCH("C15",planoContas,0)+1,MATCH(Tabela1[[#This Row],[Periodo]],listaPeriodos,0))/INDEX(TBBP[],MATCH("RL12",planoContas,0)+1,MATCH(Tabela1[[#This Row],[Periodo]],listaPeriodos,0))))</f>
        <v>0</v>
      </c>
      <c r="F2742" s="16"/>
      <c r="G2742" s="16"/>
      <c r="H2742" s="16"/>
    </row>
    <row r="2743" spans="1:8" x14ac:dyDescent="0.3">
      <c r="A2743" t="s">
        <v>728</v>
      </c>
      <c r="B2743" s="3">
        <f t="shared" si="36"/>
        <v>45962</v>
      </c>
      <c r="C2743" s="2" t="str">
        <f>VLOOKUP(MONTH(Tabela1[[#This Row],[Periodo]]),NUMMESES,2,FALSE)</f>
        <v>Novembro</v>
      </c>
      <c r="D2743" s="2">
        <f>YEAR(Tabela1[[#This Row],[Periodo]])</f>
        <v>2025</v>
      </c>
      <c r="E2743" s="33">
        <f>((INDEX(TBBP[],MATCH("C15",planoContas,0)+1,MATCH(Tabela1[[#This Row],[Periodo]],listaPeriodos,0))/INDEX(TBBP[],MATCH("RL12",planoContas,0)+1,MATCH(Tabela1[[#This Row],[Periodo]],listaPeriodos,0))))</f>
        <v>0</v>
      </c>
      <c r="F2743" s="16"/>
      <c r="G2743" s="16"/>
      <c r="H2743" s="16"/>
    </row>
    <row r="2744" spans="1:8" x14ac:dyDescent="0.3">
      <c r="A2744" t="s">
        <v>728</v>
      </c>
      <c r="B2744" s="3">
        <f t="shared" si="36"/>
        <v>45992</v>
      </c>
      <c r="C2744" s="2" t="str">
        <f>VLOOKUP(MONTH(Tabela1[[#This Row],[Periodo]]),NUMMESES,2,FALSE)</f>
        <v>Dezembro</v>
      </c>
      <c r="D2744" s="2">
        <f>YEAR(Tabela1[[#This Row],[Periodo]])</f>
        <v>2025</v>
      </c>
      <c r="E2744" s="33">
        <f>((INDEX(TBBP[],MATCH("C15",planoContas,0)+1,MATCH(Tabela1[[#This Row],[Periodo]],listaPeriodos,0))/INDEX(TBBP[],MATCH("RL12",planoContas,0)+1,MATCH(Tabela1[[#This Row],[Periodo]],listaPeriodos,0))))</f>
        <v>-5.4873949017897449E-3</v>
      </c>
      <c r="F2744" s="16"/>
      <c r="G2744" s="16"/>
      <c r="H2744" s="16"/>
    </row>
    <row r="2745" spans="1:8" x14ac:dyDescent="0.3">
      <c r="A2745" t="s">
        <v>728</v>
      </c>
      <c r="B2745" s="3">
        <f t="shared" si="36"/>
        <v>46023</v>
      </c>
      <c r="C2745" s="2" t="str">
        <f>VLOOKUP(MONTH(Tabela1[[#This Row],[Periodo]]),NUMMESES,2,FALSE)</f>
        <v>Janeiro</v>
      </c>
      <c r="D2745" s="2">
        <f>YEAR(Tabela1[[#This Row],[Periodo]])</f>
        <v>2026</v>
      </c>
      <c r="E2745" s="33" t="e">
        <f>((INDEX(TBBP[],MATCH("C15",planoContas,0)+1,MATCH(Tabela1[[#This Row],[Periodo]],listaPeriodos,0))/INDEX(TBBP[],MATCH("RL12",planoContas,0)+1,MATCH(Tabela1[[#This Row],[Periodo]],listaPeriodos,0))))</f>
        <v>#DIV/0!</v>
      </c>
      <c r="F2745" s="16"/>
      <c r="G2745" s="16"/>
      <c r="H2745" s="16"/>
    </row>
    <row r="2746" spans="1:8" x14ac:dyDescent="0.3">
      <c r="B2746" s="3"/>
      <c r="C2746" s="2"/>
      <c r="D2746" s="2"/>
      <c r="E2746" s="33"/>
      <c r="F2746" s="16"/>
      <c r="G2746" s="16"/>
      <c r="H2746" s="16"/>
    </row>
    <row r="2747" spans="1:8" x14ac:dyDescent="0.3">
      <c r="A2747" t="s">
        <v>1065</v>
      </c>
      <c r="B2747" s="3">
        <v>41609</v>
      </c>
      <c r="C2747" s="2" t="str">
        <f>VLOOKUP(MONTH(Tabela1[[#This Row],[Periodo]]),NUMMESES,2,FALSE)</f>
        <v>Dezembro</v>
      </c>
      <c r="D2747" s="2">
        <f>YEAR(Tabela1[[#This Row],[Periodo]])</f>
        <v>2013</v>
      </c>
      <c r="E2747" s="16">
        <f>(INDEX(TBBP[],MATCH("2.1.1.1.01",planoContas,0)+1,MATCH(Tabela1[[#This Row],[Periodo]],listaPeriodos,0)))</f>
        <v>149369.21</v>
      </c>
      <c r="F2747" s="16"/>
      <c r="G2747" s="16"/>
      <c r="H2747" s="16"/>
    </row>
    <row r="2748" spans="1:8" x14ac:dyDescent="0.3">
      <c r="A2748" t="s">
        <v>1065</v>
      </c>
      <c r="B2748" s="3">
        <v>41974</v>
      </c>
      <c r="C2748" s="2" t="str">
        <f>VLOOKUP(MONTH(Tabela1[[#This Row],[Periodo]]),NUMMESES,2,FALSE)</f>
        <v>Dezembro</v>
      </c>
      <c r="D2748" s="2">
        <f>YEAR(Tabela1[[#This Row],[Periodo]])</f>
        <v>2014</v>
      </c>
      <c r="E2748" s="16">
        <f>(INDEX(TBBP[],MATCH("2.1.1.1.01",planoContas,0)+1,MATCH(Tabela1[[#This Row],[Periodo]],listaPeriodos,0)))</f>
        <v>520678.65</v>
      </c>
      <c r="F2748" s="16"/>
      <c r="G2748" s="16"/>
      <c r="H2748" s="16"/>
    </row>
    <row r="2749" spans="1:8" x14ac:dyDescent="0.3">
      <c r="A2749" t="s">
        <v>1065</v>
      </c>
      <c r="B2749" s="3">
        <v>42339</v>
      </c>
      <c r="C2749" s="2" t="str">
        <f>VLOOKUP(MONTH(Tabela1[[#This Row],[Periodo]]),NUMMESES,2,FALSE)</f>
        <v>Dezembro</v>
      </c>
      <c r="D2749" s="2">
        <f>YEAR(Tabela1[[#This Row],[Periodo]])</f>
        <v>2015</v>
      </c>
      <c r="E2749" s="16">
        <f>(INDEX(TBBP[],MATCH("2.1.1.1.01",planoContas,0)+1,MATCH(Tabela1[[#This Row],[Periodo]],listaPeriodos,0)))</f>
        <v>530028.29</v>
      </c>
      <c r="F2749" s="16"/>
      <c r="G2749" s="16"/>
      <c r="H2749" s="16"/>
    </row>
    <row r="2750" spans="1:8" x14ac:dyDescent="0.3">
      <c r="A2750" t="s">
        <v>1065</v>
      </c>
      <c r="B2750" s="3">
        <v>42705</v>
      </c>
      <c r="C2750" s="2" t="str">
        <f>VLOOKUP(MONTH(Tabela1[[#This Row],[Periodo]]),NUMMESES,2,FALSE)</f>
        <v>Dezembro</v>
      </c>
      <c r="D2750" s="2">
        <f>YEAR(Tabela1[[#This Row],[Periodo]])</f>
        <v>2016</v>
      </c>
      <c r="E2750" s="16">
        <f>(INDEX(TBBP[],MATCH("2.1.1.1.01",planoContas,0)+1,MATCH(Tabela1[[#This Row],[Periodo]],listaPeriodos,0)))</f>
        <v>529280.31999999995</v>
      </c>
      <c r="F2750" s="16"/>
      <c r="G2750" s="16"/>
      <c r="H2750" s="16"/>
    </row>
    <row r="2751" spans="1:8" x14ac:dyDescent="0.3">
      <c r="A2751" t="s">
        <v>1065</v>
      </c>
      <c r="B2751" s="3">
        <v>43070</v>
      </c>
      <c r="C2751" s="2" t="str">
        <f>VLOOKUP(MONTH(Tabela1[[#This Row],[Periodo]]),NUMMESES,2,FALSE)</f>
        <v>Dezembro</v>
      </c>
      <c r="D2751" s="2">
        <f>YEAR(Tabela1[[#This Row],[Periodo]])</f>
        <v>2017</v>
      </c>
      <c r="E2751" s="16">
        <f>(INDEX(TBBP[],MATCH("2.1.1.1.01",planoContas,0)+1,MATCH(Tabela1[[#This Row],[Periodo]],listaPeriodos,0)))</f>
        <v>548164.75</v>
      </c>
      <c r="F2751" s="16"/>
      <c r="G2751" s="16"/>
      <c r="H2751" s="16"/>
    </row>
    <row r="2752" spans="1:8" x14ac:dyDescent="0.3">
      <c r="A2752" t="s">
        <v>1065</v>
      </c>
      <c r="B2752" s="3">
        <v>43101</v>
      </c>
      <c r="C2752" s="2" t="str">
        <f>VLOOKUP(MONTH(Tabela1[[#This Row],[Periodo]]),NUMMESES,2,FALSE)</f>
        <v>Janeiro</v>
      </c>
      <c r="D2752" s="2">
        <f>YEAR(Tabela1[[#This Row],[Periodo]])</f>
        <v>2018</v>
      </c>
      <c r="E2752" s="16">
        <f>(INDEX(TBBP[],MATCH("2.1.1.1.01",planoContas,0)+1,MATCH(Tabela1[[#This Row],[Periodo]],listaPeriodos,0)))</f>
        <v>614165.23</v>
      </c>
      <c r="F2752" s="16"/>
      <c r="G2752" s="16"/>
      <c r="H2752" s="16"/>
    </row>
    <row r="2753" spans="1:8" x14ac:dyDescent="0.3">
      <c r="A2753" t="s">
        <v>1065</v>
      </c>
      <c r="B2753" s="3">
        <f t="shared" ref="B2753:B2848" si="37">DATE(YEAR(B2752),MONTH(B2752)+1,DAY(B2752))</f>
        <v>43132</v>
      </c>
      <c r="C2753" s="2" t="str">
        <f>VLOOKUP(MONTH(Tabela1[[#This Row],[Periodo]]),NUMMESES,2,FALSE)</f>
        <v>Fevereiro</v>
      </c>
      <c r="D2753" s="2">
        <f>YEAR(Tabela1[[#This Row],[Periodo]])</f>
        <v>2018</v>
      </c>
      <c r="E2753" s="16">
        <f>(INDEX(TBBP[],MATCH("2.1.1.1.01",planoContas,0)+1,MATCH(Tabela1[[#This Row],[Periodo]],listaPeriodos,0)))</f>
        <v>786376.51</v>
      </c>
      <c r="F2753" s="16"/>
      <c r="G2753" s="16"/>
      <c r="H2753" s="16"/>
    </row>
    <row r="2754" spans="1:8" x14ac:dyDescent="0.3">
      <c r="A2754" t="s">
        <v>1065</v>
      </c>
      <c r="B2754" s="3">
        <f t="shared" si="37"/>
        <v>43160</v>
      </c>
      <c r="C2754" s="2" t="str">
        <f>VLOOKUP(MONTH(Tabela1[[#This Row],[Periodo]]),NUMMESES,2,FALSE)</f>
        <v>Março</v>
      </c>
      <c r="D2754" s="2">
        <f>YEAR(Tabela1[[#This Row],[Periodo]])</f>
        <v>2018</v>
      </c>
      <c r="E2754" s="16">
        <f>(INDEX(TBBP[],MATCH("2.1.1.1.01",planoContas,0)+1,MATCH(Tabela1[[#This Row],[Periodo]],listaPeriodos,0)))</f>
        <v>879835.53</v>
      </c>
      <c r="F2754" s="16"/>
      <c r="G2754" s="16"/>
      <c r="H2754" s="16"/>
    </row>
    <row r="2755" spans="1:8" x14ac:dyDescent="0.3">
      <c r="A2755" t="s">
        <v>1065</v>
      </c>
      <c r="B2755" s="3">
        <f t="shared" si="37"/>
        <v>43191</v>
      </c>
      <c r="C2755" s="2" t="str">
        <f>VLOOKUP(MONTH(Tabela1[[#This Row],[Periodo]]),NUMMESES,2,FALSE)</f>
        <v>Abril</v>
      </c>
      <c r="D2755" s="2">
        <f>YEAR(Tabela1[[#This Row],[Periodo]])</f>
        <v>2018</v>
      </c>
      <c r="E2755" s="16">
        <f>(INDEX(TBBP[],MATCH("2.1.1.1.01",planoContas,0)+1,MATCH(Tabela1[[#This Row],[Periodo]],listaPeriodos,0)))</f>
        <v>909666.89</v>
      </c>
      <c r="F2755" s="16"/>
      <c r="G2755" s="16"/>
      <c r="H2755" s="16"/>
    </row>
    <row r="2756" spans="1:8" x14ac:dyDescent="0.3">
      <c r="A2756" t="s">
        <v>1065</v>
      </c>
      <c r="B2756" s="3">
        <f t="shared" si="37"/>
        <v>43221</v>
      </c>
      <c r="C2756" s="2" t="str">
        <f>VLOOKUP(MONTH(Tabela1[[#This Row],[Periodo]]),NUMMESES,2,FALSE)</f>
        <v>Maio</v>
      </c>
      <c r="D2756" s="2">
        <f>YEAR(Tabela1[[#This Row],[Periodo]])</f>
        <v>2018</v>
      </c>
      <c r="E2756" s="16">
        <f>(INDEX(TBBP[],MATCH("2.1.1.1.01",planoContas,0)+1,MATCH(Tabela1[[#This Row],[Periodo]],listaPeriodos,0)))</f>
        <v>1341763.04</v>
      </c>
      <c r="F2756" s="16"/>
      <c r="G2756" s="16"/>
      <c r="H2756" s="16"/>
    </row>
    <row r="2757" spans="1:8" x14ac:dyDescent="0.3">
      <c r="A2757" t="s">
        <v>1065</v>
      </c>
      <c r="B2757" s="3">
        <f t="shared" si="37"/>
        <v>43252</v>
      </c>
      <c r="C2757" s="2" t="str">
        <f>VLOOKUP(MONTH(Tabela1[[#This Row],[Periodo]]),NUMMESES,2,FALSE)</f>
        <v>Junho</v>
      </c>
      <c r="D2757" s="2">
        <f>YEAR(Tabela1[[#This Row],[Periodo]])</f>
        <v>2018</v>
      </c>
      <c r="E2757" s="16">
        <f>(INDEX(TBBP[],MATCH("2.1.1.1.01",planoContas,0)+1,MATCH(Tabela1[[#This Row],[Periodo]],listaPeriodos,0)))</f>
        <v>1438326.07</v>
      </c>
      <c r="F2757" s="16"/>
      <c r="G2757" s="16"/>
      <c r="H2757" s="16"/>
    </row>
    <row r="2758" spans="1:8" x14ac:dyDescent="0.3">
      <c r="A2758" t="s">
        <v>1065</v>
      </c>
      <c r="B2758" s="3">
        <f t="shared" si="37"/>
        <v>43282</v>
      </c>
      <c r="C2758" s="2" t="str">
        <f>VLOOKUP(MONTH(Tabela1[[#This Row],[Periodo]]),NUMMESES,2,FALSE)</f>
        <v>Julho</v>
      </c>
      <c r="D2758" s="2">
        <f>YEAR(Tabela1[[#This Row],[Periodo]])</f>
        <v>2018</v>
      </c>
      <c r="E2758" s="16">
        <f>(INDEX(TBBP[],MATCH("2.1.1.1.01",planoContas,0)+1,MATCH(Tabela1[[#This Row],[Periodo]],listaPeriodos,0)))</f>
        <v>1414367.04</v>
      </c>
      <c r="F2758" s="16"/>
      <c r="G2758" s="16"/>
      <c r="H2758" s="16"/>
    </row>
    <row r="2759" spans="1:8" x14ac:dyDescent="0.3">
      <c r="A2759" t="s">
        <v>1065</v>
      </c>
      <c r="B2759" s="3">
        <f t="shared" si="37"/>
        <v>43313</v>
      </c>
      <c r="C2759" s="2" t="str">
        <f>VLOOKUP(MONTH(Tabela1[[#This Row],[Periodo]]),NUMMESES,2,FALSE)</f>
        <v>Agosto</v>
      </c>
      <c r="D2759" s="2">
        <f>YEAR(Tabela1[[#This Row],[Periodo]])</f>
        <v>2018</v>
      </c>
      <c r="E2759" s="16">
        <f>(INDEX(TBBP[],MATCH("2.1.1.1.01",planoContas,0)+1,MATCH(Tabela1[[#This Row],[Periodo]],listaPeriodos,0)))</f>
        <v>1613373.63</v>
      </c>
      <c r="F2759" s="16"/>
      <c r="G2759" s="16"/>
      <c r="H2759" s="16"/>
    </row>
    <row r="2760" spans="1:8" x14ac:dyDescent="0.3">
      <c r="A2760" t="s">
        <v>1065</v>
      </c>
      <c r="B2760" s="3">
        <f t="shared" si="37"/>
        <v>43344</v>
      </c>
      <c r="C2760" s="2" t="str">
        <f>VLOOKUP(MONTH(Tabela1[[#This Row],[Periodo]]),NUMMESES,2,FALSE)</f>
        <v>Setembro</v>
      </c>
      <c r="D2760" s="2">
        <f>YEAR(Tabela1[[#This Row],[Periodo]])</f>
        <v>2018</v>
      </c>
      <c r="E2760" s="16">
        <f>(INDEX(TBBP[],MATCH("2.1.1.1.01",planoContas,0)+1,MATCH(Tabela1[[#This Row],[Periodo]],listaPeriodos,0)))</f>
        <v>1984753.24</v>
      </c>
      <c r="F2760" s="16"/>
      <c r="G2760" s="16"/>
      <c r="H2760" s="16"/>
    </row>
    <row r="2761" spans="1:8" x14ac:dyDescent="0.3">
      <c r="A2761" t="s">
        <v>1065</v>
      </c>
      <c r="B2761" s="3">
        <f t="shared" si="37"/>
        <v>43374</v>
      </c>
      <c r="C2761" s="2" t="str">
        <f>VLOOKUP(MONTH(Tabela1[[#This Row],[Periodo]]),NUMMESES,2,FALSE)</f>
        <v>Outubro</v>
      </c>
      <c r="D2761" s="2">
        <f>YEAR(Tabela1[[#This Row],[Periodo]])</f>
        <v>2018</v>
      </c>
      <c r="E2761" s="16">
        <f>(INDEX(TBBP[],MATCH("2.1.1.1.01",planoContas,0)+1,MATCH(Tabela1[[#This Row],[Periodo]],listaPeriodos,0)))</f>
        <v>1621115.08</v>
      </c>
      <c r="F2761" s="16"/>
      <c r="G2761" s="16"/>
      <c r="H2761" s="16"/>
    </row>
    <row r="2762" spans="1:8" x14ac:dyDescent="0.3">
      <c r="A2762" t="s">
        <v>1065</v>
      </c>
      <c r="B2762" s="3">
        <f t="shared" si="37"/>
        <v>43405</v>
      </c>
      <c r="C2762" s="2" t="str">
        <f>VLOOKUP(MONTH(Tabela1[[#This Row],[Periodo]]),NUMMESES,2,FALSE)</f>
        <v>Novembro</v>
      </c>
      <c r="D2762" s="2">
        <f>YEAR(Tabela1[[#This Row],[Periodo]])</f>
        <v>2018</v>
      </c>
      <c r="E2762" s="16">
        <f>(INDEX(TBBP[],MATCH("2.1.1.1.01",planoContas,0)+1,MATCH(Tabela1[[#This Row],[Periodo]],listaPeriodos,0)))</f>
        <v>1059846.1499999999</v>
      </c>
      <c r="F2762" s="16"/>
      <c r="G2762" s="16"/>
      <c r="H2762" s="16"/>
    </row>
    <row r="2763" spans="1:8" x14ac:dyDescent="0.3">
      <c r="A2763" t="s">
        <v>1065</v>
      </c>
      <c r="B2763" s="3">
        <f t="shared" si="37"/>
        <v>43435</v>
      </c>
      <c r="C2763" s="2" t="str">
        <f>VLOOKUP(MONTH(Tabela1[[#This Row],[Periodo]]),NUMMESES,2,FALSE)</f>
        <v>Dezembro</v>
      </c>
      <c r="D2763" s="2">
        <f>YEAR(Tabela1[[#This Row],[Periodo]])</f>
        <v>2018</v>
      </c>
      <c r="E2763" s="16">
        <f>(INDEX(TBBP[],MATCH("2.1.1.1.01",planoContas,0)+1,MATCH(Tabela1[[#This Row],[Periodo]],listaPeriodos,0)))</f>
        <v>591950.37</v>
      </c>
      <c r="F2763" s="16"/>
      <c r="G2763" s="16"/>
      <c r="H2763" s="16"/>
    </row>
    <row r="2764" spans="1:8" x14ac:dyDescent="0.3">
      <c r="A2764" t="s">
        <v>1065</v>
      </c>
      <c r="B2764" s="3">
        <f t="shared" si="37"/>
        <v>43466</v>
      </c>
      <c r="C2764" s="2" t="str">
        <f>VLOOKUP(MONTH(Tabela1[[#This Row],[Periodo]]),NUMMESES,2,FALSE)</f>
        <v>Janeiro</v>
      </c>
      <c r="D2764" s="2">
        <f>YEAR(Tabela1[[#This Row],[Periodo]])</f>
        <v>2019</v>
      </c>
      <c r="E2764" s="16">
        <f>(INDEX(TBBP[],MATCH("2.1.1.1.01",planoContas,0)+1,MATCH(Tabela1[[#This Row],[Periodo]],listaPeriodos,0)))</f>
        <v>1070339.33</v>
      </c>
      <c r="F2764" s="16"/>
      <c r="G2764" s="16"/>
      <c r="H2764" s="16"/>
    </row>
    <row r="2765" spans="1:8" x14ac:dyDescent="0.3">
      <c r="A2765" t="s">
        <v>1065</v>
      </c>
      <c r="B2765" s="3">
        <f t="shared" si="37"/>
        <v>43497</v>
      </c>
      <c r="C2765" s="2" t="str">
        <f>VLOOKUP(MONTH(Tabela1[[#This Row],[Periodo]]),NUMMESES,2,FALSE)</f>
        <v>Fevereiro</v>
      </c>
      <c r="D2765" s="2">
        <f>YEAR(Tabela1[[#This Row],[Periodo]])</f>
        <v>2019</v>
      </c>
      <c r="E2765" s="16">
        <f>(INDEX(TBBP[],MATCH("2.1.1.1.01",planoContas,0)+1,MATCH(Tabela1[[#This Row],[Periodo]],listaPeriodos,0)))</f>
        <v>1407681.15</v>
      </c>
      <c r="F2765" s="16"/>
      <c r="G2765" s="16"/>
      <c r="H2765" s="16"/>
    </row>
    <row r="2766" spans="1:8" x14ac:dyDescent="0.3">
      <c r="A2766" t="s">
        <v>1065</v>
      </c>
      <c r="B2766" s="3">
        <f t="shared" si="37"/>
        <v>43525</v>
      </c>
      <c r="C2766" s="2" t="str">
        <f>VLOOKUP(MONTH(Tabela1[[#This Row],[Periodo]]),NUMMESES,2,FALSE)</f>
        <v>Março</v>
      </c>
      <c r="D2766" s="2">
        <f>YEAR(Tabela1[[#This Row],[Periodo]])</f>
        <v>2019</v>
      </c>
      <c r="E2766" s="16">
        <f>(INDEX(TBBP[],MATCH("2.1.1.1.01",planoContas,0)+1,MATCH(Tabela1[[#This Row],[Periodo]],listaPeriodos,0)))</f>
        <v>1886208.73</v>
      </c>
      <c r="F2766" s="16"/>
      <c r="G2766" s="16"/>
      <c r="H2766" s="16"/>
    </row>
    <row r="2767" spans="1:8" x14ac:dyDescent="0.3">
      <c r="A2767" t="s">
        <v>1065</v>
      </c>
      <c r="B2767" s="3">
        <f t="shared" si="37"/>
        <v>43556</v>
      </c>
      <c r="C2767" s="2" t="str">
        <f>VLOOKUP(MONTH(Tabela1[[#This Row],[Periodo]]),NUMMESES,2,FALSE)</f>
        <v>Abril</v>
      </c>
      <c r="D2767" s="2">
        <f>YEAR(Tabela1[[#This Row],[Periodo]])</f>
        <v>2019</v>
      </c>
      <c r="E2767" s="16">
        <f>(INDEX(TBBP[],MATCH("2.1.1.1.01",planoContas,0)+1,MATCH(Tabela1[[#This Row],[Periodo]],listaPeriodos,0)))</f>
        <v>2017047.45</v>
      </c>
      <c r="F2767" s="16"/>
      <c r="G2767" s="16"/>
      <c r="H2767" s="16"/>
    </row>
    <row r="2768" spans="1:8" x14ac:dyDescent="0.3">
      <c r="A2768" t="s">
        <v>1065</v>
      </c>
      <c r="B2768" s="3">
        <f t="shared" si="37"/>
        <v>43586</v>
      </c>
      <c r="C2768" s="2" t="str">
        <f>VLOOKUP(MONTH(Tabela1[[#This Row],[Periodo]]),NUMMESES,2,FALSE)</f>
        <v>Maio</v>
      </c>
      <c r="D2768" s="2">
        <f>YEAR(Tabela1[[#This Row],[Periodo]])</f>
        <v>2019</v>
      </c>
      <c r="E2768" s="16">
        <f>(INDEX(TBBP[],MATCH("2.1.1.1.01",planoContas,0)+1,MATCH(Tabela1[[#This Row],[Periodo]],listaPeriodos,0)))</f>
        <v>2194824.5299999998</v>
      </c>
      <c r="F2768" s="16"/>
      <c r="G2768" s="16"/>
      <c r="H2768" s="16"/>
    </row>
    <row r="2769" spans="1:8" x14ac:dyDescent="0.3">
      <c r="A2769" t="s">
        <v>1065</v>
      </c>
      <c r="B2769" s="3">
        <f t="shared" si="37"/>
        <v>43617</v>
      </c>
      <c r="C2769" s="2" t="str">
        <f>VLOOKUP(MONTH(Tabela1[[#This Row],[Periodo]]),NUMMESES,2,FALSE)</f>
        <v>Junho</v>
      </c>
      <c r="D2769" s="2">
        <f>YEAR(Tabela1[[#This Row],[Periodo]])</f>
        <v>2019</v>
      </c>
      <c r="E2769" s="16">
        <f>(INDEX(TBBP[],MATCH("2.1.1.1.01",planoContas,0)+1,MATCH(Tabela1[[#This Row],[Periodo]],listaPeriodos,0)))</f>
        <v>1894584.34</v>
      </c>
      <c r="F2769" s="16"/>
      <c r="G2769" s="16"/>
      <c r="H2769" s="16"/>
    </row>
    <row r="2770" spans="1:8" x14ac:dyDescent="0.3">
      <c r="A2770" t="s">
        <v>1065</v>
      </c>
      <c r="B2770" s="3">
        <f t="shared" si="37"/>
        <v>43647</v>
      </c>
      <c r="C2770" s="2" t="str">
        <f>VLOOKUP(MONTH(Tabela1[[#This Row],[Periodo]]),NUMMESES,2,FALSE)</f>
        <v>Julho</v>
      </c>
      <c r="D2770" s="2">
        <f>YEAR(Tabela1[[#This Row],[Periodo]])</f>
        <v>2019</v>
      </c>
      <c r="E2770" s="16">
        <f>(INDEX(TBBP[],MATCH("2.1.1.1.01",planoContas,0)+1,MATCH(Tabela1[[#This Row],[Periodo]],listaPeriodos,0)))</f>
        <v>1213339.2</v>
      </c>
      <c r="F2770" s="16"/>
      <c r="G2770" s="16"/>
      <c r="H2770" s="16"/>
    </row>
    <row r="2771" spans="1:8" x14ac:dyDescent="0.3">
      <c r="A2771" t="s">
        <v>1065</v>
      </c>
      <c r="B2771" s="3">
        <f t="shared" si="37"/>
        <v>43678</v>
      </c>
      <c r="C2771" s="2" t="str">
        <f>VLOOKUP(MONTH(Tabela1[[#This Row],[Periodo]]),NUMMESES,2,FALSE)</f>
        <v>Agosto</v>
      </c>
      <c r="D2771" s="2">
        <f>YEAR(Tabela1[[#This Row],[Periodo]])</f>
        <v>2019</v>
      </c>
      <c r="E2771" s="16">
        <f>(INDEX(TBBP[],MATCH("2.1.1.1.01",planoContas,0)+1,MATCH(Tabela1[[#This Row],[Periodo]],listaPeriodos,0)))</f>
        <v>1071145.77</v>
      </c>
      <c r="F2771" s="16"/>
      <c r="G2771" s="16"/>
      <c r="H2771" s="16"/>
    </row>
    <row r="2772" spans="1:8" x14ac:dyDescent="0.3">
      <c r="A2772" t="s">
        <v>1065</v>
      </c>
      <c r="B2772" s="3">
        <f t="shared" si="37"/>
        <v>43709</v>
      </c>
      <c r="C2772" s="2" t="str">
        <f>VLOOKUP(MONTH(Tabela1[[#This Row],[Periodo]]),NUMMESES,2,FALSE)</f>
        <v>Setembro</v>
      </c>
      <c r="D2772" s="2">
        <f>YEAR(Tabela1[[#This Row],[Periodo]])</f>
        <v>2019</v>
      </c>
      <c r="E2772" s="16">
        <f>(INDEX(TBBP[],MATCH("2.1.1.1.01",planoContas,0)+1,MATCH(Tabela1[[#This Row],[Periodo]],listaPeriodos,0)))</f>
        <v>1489306.41</v>
      </c>
      <c r="F2772" s="16"/>
      <c r="G2772" s="16"/>
      <c r="H2772" s="16"/>
    </row>
    <row r="2773" spans="1:8" x14ac:dyDescent="0.3">
      <c r="A2773" t="s">
        <v>1065</v>
      </c>
      <c r="B2773" s="3">
        <f t="shared" si="37"/>
        <v>43739</v>
      </c>
      <c r="C2773" s="2" t="str">
        <f>VLOOKUP(MONTH(Tabela1[[#This Row],[Periodo]]),NUMMESES,2,FALSE)</f>
        <v>Outubro</v>
      </c>
      <c r="D2773" s="2">
        <f>YEAR(Tabela1[[#This Row],[Periodo]])</f>
        <v>2019</v>
      </c>
      <c r="E2773" s="16">
        <f>(INDEX(TBBP[],MATCH("2.1.1.1.01",planoContas,0)+1,MATCH(Tabela1[[#This Row],[Periodo]],listaPeriodos,0)))</f>
        <v>2187203.92</v>
      </c>
      <c r="F2773" s="16"/>
      <c r="G2773" s="16"/>
      <c r="H2773" s="16"/>
    </row>
    <row r="2774" spans="1:8" x14ac:dyDescent="0.3">
      <c r="A2774" t="s">
        <v>1065</v>
      </c>
      <c r="B2774" s="3">
        <f t="shared" si="37"/>
        <v>43770</v>
      </c>
      <c r="C2774" s="2" t="str">
        <f>VLOOKUP(MONTH(Tabela1[[#This Row],[Periodo]]),NUMMESES,2,FALSE)</f>
        <v>Novembro</v>
      </c>
      <c r="D2774" s="2">
        <f>YEAR(Tabela1[[#This Row],[Periodo]])</f>
        <v>2019</v>
      </c>
      <c r="E2774" s="16">
        <f>(INDEX(TBBP[],MATCH("2.1.1.1.01",planoContas,0)+1,MATCH(Tabela1[[#This Row],[Periodo]],listaPeriodos,0)))</f>
        <v>2177038.09</v>
      </c>
      <c r="F2774" s="16"/>
      <c r="G2774" s="16"/>
      <c r="H2774" s="16"/>
    </row>
    <row r="2775" spans="1:8" x14ac:dyDescent="0.3">
      <c r="A2775" t="s">
        <v>1065</v>
      </c>
      <c r="B2775" s="3">
        <f t="shared" si="37"/>
        <v>43800</v>
      </c>
      <c r="C2775" s="2" t="str">
        <f>VLOOKUP(MONTH(Tabela1[[#This Row],[Periodo]]),NUMMESES,2,FALSE)</f>
        <v>Dezembro</v>
      </c>
      <c r="D2775" s="2">
        <f>YEAR(Tabela1[[#This Row],[Periodo]])</f>
        <v>2019</v>
      </c>
      <c r="E2775" s="16">
        <f>(INDEX(TBBP[],MATCH("2.1.1.1.01",planoContas,0)+1,MATCH(Tabela1[[#This Row],[Periodo]],listaPeriodos,0)))</f>
        <v>1462923.24</v>
      </c>
      <c r="F2775" s="16"/>
      <c r="G2775" s="16"/>
      <c r="H2775" s="16"/>
    </row>
    <row r="2776" spans="1:8" x14ac:dyDescent="0.3">
      <c r="A2776" t="s">
        <v>1065</v>
      </c>
      <c r="B2776" s="3">
        <f t="shared" si="37"/>
        <v>43831</v>
      </c>
      <c r="C2776" s="2" t="str">
        <f>VLOOKUP(MONTH(Tabela1[[#This Row],[Periodo]]),NUMMESES,2,FALSE)</f>
        <v>Janeiro</v>
      </c>
      <c r="D2776" s="2">
        <f>YEAR(Tabela1[[#This Row],[Periodo]])</f>
        <v>2020</v>
      </c>
      <c r="E2776" s="16">
        <f>(INDEX(TBBP[],MATCH("2.1.1.1.01",planoContas,0)+1,MATCH(Tabela1[[#This Row],[Periodo]],listaPeriodos,0)))</f>
        <v>1838067.33</v>
      </c>
      <c r="F2776" s="16"/>
      <c r="G2776" s="16"/>
      <c r="H2776" s="16"/>
    </row>
    <row r="2777" spans="1:8" x14ac:dyDescent="0.3">
      <c r="A2777" t="s">
        <v>1065</v>
      </c>
      <c r="B2777" s="3">
        <f t="shared" si="37"/>
        <v>43862</v>
      </c>
      <c r="C2777" s="2" t="str">
        <f>VLOOKUP(MONTH(Tabela1[[#This Row],[Periodo]]),NUMMESES,2,FALSE)</f>
        <v>Fevereiro</v>
      </c>
      <c r="D2777" s="2">
        <f>YEAR(Tabela1[[#This Row],[Periodo]])</f>
        <v>2020</v>
      </c>
      <c r="E2777" s="16">
        <f>(INDEX(TBBP[],MATCH("2.1.1.1.01",planoContas,0)+1,MATCH(Tabela1[[#This Row],[Periodo]],listaPeriodos,0)))</f>
        <v>2355052.0099999998</v>
      </c>
      <c r="F2777" s="16"/>
      <c r="G2777" s="16"/>
      <c r="H2777" s="16"/>
    </row>
    <row r="2778" spans="1:8" x14ac:dyDescent="0.3">
      <c r="A2778" t="s">
        <v>1065</v>
      </c>
      <c r="B2778" s="3">
        <f t="shared" si="37"/>
        <v>43891</v>
      </c>
      <c r="C2778" s="2" t="str">
        <f>VLOOKUP(MONTH(Tabela1[[#This Row],[Periodo]]),NUMMESES,2,FALSE)</f>
        <v>Março</v>
      </c>
      <c r="D2778" s="2">
        <f>YEAR(Tabela1[[#This Row],[Periodo]])</f>
        <v>2020</v>
      </c>
      <c r="E2778" s="16">
        <f>(INDEX(TBBP[],MATCH("2.1.1.1.01",planoContas,0)+1,MATCH(Tabela1[[#This Row],[Periodo]],listaPeriodos,0)))</f>
        <v>1812435.14</v>
      </c>
      <c r="F2778" s="16"/>
      <c r="G2778" s="16"/>
      <c r="H2778" s="16"/>
    </row>
    <row r="2779" spans="1:8" x14ac:dyDescent="0.3">
      <c r="A2779" t="s">
        <v>1065</v>
      </c>
      <c r="B2779" s="3">
        <f t="shared" si="37"/>
        <v>43922</v>
      </c>
      <c r="C2779" s="2" t="str">
        <f>VLOOKUP(MONTH(Tabela1[[#This Row],[Periodo]]),NUMMESES,2,FALSE)</f>
        <v>Abril</v>
      </c>
      <c r="D2779" s="2">
        <f>YEAR(Tabela1[[#This Row],[Periodo]])</f>
        <v>2020</v>
      </c>
      <c r="E2779" s="16">
        <f>(INDEX(TBBP[],MATCH("2.1.1.1.01",planoContas,0)+1,MATCH(Tabela1[[#This Row],[Periodo]],listaPeriodos,0)))</f>
        <v>894549.5</v>
      </c>
      <c r="F2779" s="16"/>
      <c r="G2779" s="16"/>
      <c r="H2779" s="16"/>
    </row>
    <row r="2780" spans="1:8" x14ac:dyDescent="0.3">
      <c r="A2780" t="s">
        <v>1065</v>
      </c>
      <c r="B2780" s="3">
        <f t="shared" si="37"/>
        <v>43952</v>
      </c>
      <c r="C2780" s="2" t="str">
        <f>VLOOKUP(MONTH(Tabela1[[#This Row],[Periodo]]),NUMMESES,2,FALSE)</f>
        <v>Maio</v>
      </c>
      <c r="D2780" s="2">
        <f>YEAR(Tabela1[[#This Row],[Periodo]])</f>
        <v>2020</v>
      </c>
      <c r="E2780" s="16">
        <f>(INDEX(TBBP[],MATCH("2.1.1.1.01",planoContas,0)+1,MATCH(Tabela1[[#This Row],[Periodo]],listaPeriodos,0)))</f>
        <v>862513.16</v>
      </c>
      <c r="F2780" s="16"/>
      <c r="G2780" s="16"/>
      <c r="H2780" s="16"/>
    </row>
    <row r="2781" spans="1:8" x14ac:dyDescent="0.3">
      <c r="A2781" t="s">
        <v>1065</v>
      </c>
      <c r="B2781" s="3">
        <f t="shared" si="37"/>
        <v>43983</v>
      </c>
      <c r="C2781" s="2" t="str">
        <f>VLOOKUP(MONTH(Tabela1[[#This Row],[Periodo]]),NUMMESES,2,FALSE)</f>
        <v>Junho</v>
      </c>
      <c r="D2781" s="2">
        <f>YEAR(Tabela1[[#This Row],[Periodo]])</f>
        <v>2020</v>
      </c>
      <c r="E2781" s="16">
        <f>(INDEX(TBBP[],MATCH("2.1.1.1.01",planoContas,0)+1,MATCH(Tabela1[[#This Row],[Periodo]],listaPeriodos,0)))</f>
        <v>1086925.6200000001</v>
      </c>
      <c r="F2781" s="16"/>
      <c r="G2781" s="16"/>
      <c r="H2781" s="16"/>
    </row>
    <row r="2782" spans="1:8" x14ac:dyDescent="0.3">
      <c r="A2782" t="s">
        <v>1065</v>
      </c>
      <c r="B2782" s="3">
        <f t="shared" si="37"/>
        <v>44013</v>
      </c>
      <c r="C2782" s="2" t="str">
        <f>VLOOKUP(MONTH(Tabela1[[#This Row],[Periodo]]),NUMMESES,2,FALSE)</f>
        <v>Julho</v>
      </c>
      <c r="D2782" s="2">
        <f>YEAR(Tabela1[[#This Row],[Periodo]])</f>
        <v>2020</v>
      </c>
      <c r="E2782" s="16">
        <f>(INDEX(TBBP[],MATCH("2.1.1.1.01",planoContas,0)+1,MATCH(Tabela1[[#This Row],[Periodo]],listaPeriodos,0)))</f>
        <v>2241912.41</v>
      </c>
      <c r="F2782" s="16"/>
      <c r="G2782" s="16"/>
      <c r="H2782" s="16"/>
    </row>
    <row r="2783" spans="1:8" x14ac:dyDescent="0.3">
      <c r="A2783" t="s">
        <v>1065</v>
      </c>
      <c r="B2783" s="3">
        <f t="shared" si="37"/>
        <v>44044</v>
      </c>
      <c r="C2783" s="2" t="str">
        <f>VLOOKUP(MONTH(Tabela1[[#This Row],[Periodo]]),NUMMESES,2,FALSE)</f>
        <v>Agosto</v>
      </c>
      <c r="D2783" s="2">
        <f>YEAR(Tabela1[[#This Row],[Periodo]])</f>
        <v>2020</v>
      </c>
      <c r="E2783" s="16">
        <f>(INDEX(TBBP[],MATCH("2.1.1.1.01",planoContas,0)+1,MATCH(Tabela1[[#This Row],[Periodo]],listaPeriodos,0)))</f>
        <v>2565038.0099999998</v>
      </c>
      <c r="F2783" s="16"/>
      <c r="G2783" s="16"/>
      <c r="H2783" s="16"/>
    </row>
    <row r="2784" spans="1:8" x14ac:dyDescent="0.3">
      <c r="A2784" t="s">
        <v>1065</v>
      </c>
      <c r="B2784" s="3">
        <f t="shared" si="37"/>
        <v>44075</v>
      </c>
      <c r="C2784" s="2" t="str">
        <f>VLOOKUP(MONTH(Tabela1[[#This Row],[Periodo]]),NUMMESES,2,FALSE)</f>
        <v>Setembro</v>
      </c>
      <c r="D2784" s="2">
        <f>YEAR(Tabela1[[#This Row],[Periodo]])</f>
        <v>2020</v>
      </c>
      <c r="E2784" s="16">
        <f>(INDEX(TBBP[],MATCH("2.1.1.1.01",planoContas,0)+1,MATCH(Tabela1[[#This Row],[Periodo]],listaPeriodos,0)))</f>
        <v>2556746.54</v>
      </c>
      <c r="F2784" s="16"/>
      <c r="G2784" s="16"/>
      <c r="H2784" s="16"/>
    </row>
    <row r="2785" spans="1:8" x14ac:dyDescent="0.3">
      <c r="A2785" t="s">
        <v>1065</v>
      </c>
      <c r="B2785" s="3">
        <f t="shared" si="37"/>
        <v>44105</v>
      </c>
      <c r="C2785" s="2" t="str">
        <f>VLOOKUP(MONTH(Tabela1[[#This Row],[Periodo]]),NUMMESES,2,FALSE)</f>
        <v>Outubro</v>
      </c>
      <c r="D2785" s="2">
        <f>YEAR(Tabela1[[#This Row],[Periodo]])</f>
        <v>2020</v>
      </c>
      <c r="E2785" s="16">
        <f>(INDEX(TBBP[],MATCH("2.1.1.1.01",planoContas,0)+1,MATCH(Tabela1[[#This Row],[Periodo]],listaPeriodos,0)))</f>
        <v>2208341.5099999998</v>
      </c>
      <c r="F2785" s="16"/>
      <c r="G2785" s="16"/>
      <c r="H2785" s="16"/>
    </row>
    <row r="2786" spans="1:8" x14ac:dyDescent="0.3">
      <c r="A2786" t="s">
        <v>1065</v>
      </c>
      <c r="B2786" s="3">
        <f t="shared" si="37"/>
        <v>44136</v>
      </c>
      <c r="C2786" s="2" t="str">
        <f>VLOOKUP(MONTH(Tabela1[[#This Row],[Periodo]]),NUMMESES,2,FALSE)</f>
        <v>Novembro</v>
      </c>
      <c r="D2786" s="2">
        <f>YEAR(Tabela1[[#This Row],[Periodo]])</f>
        <v>2020</v>
      </c>
      <c r="E2786" s="16">
        <f>(INDEX(TBBP[],MATCH("2.1.1.1.01",planoContas,0)+1,MATCH(Tabela1[[#This Row],[Periodo]],listaPeriodos,0)))</f>
        <v>2914759.25</v>
      </c>
      <c r="F2786" s="16"/>
      <c r="G2786" s="16"/>
      <c r="H2786" s="16"/>
    </row>
    <row r="2787" spans="1:8" x14ac:dyDescent="0.3">
      <c r="A2787" t="s">
        <v>1065</v>
      </c>
      <c r="B2787" s="3">
        <f t="shared" si="37"/>
        <v>44166</v>
      </c>
      <c r="C2787" s="2" t="str">
        <f>VLOOKUP(MONTH(Tabela1[[#This Row],[Periodo]]),NUMMESES,2,FALSE)</f>
        <v>Dezembro</v>
      </c>
      <c r="D2787" s="2">
        <f>YEAR(Tabela1[[#This Row],[Periodo]])</f>
        <v>2020</v>
      </c>
      <c r="E2787" s="16">
        <f>(INDEX(TBBP[],MATCH("2.1.1.1.01",planoContas,0)+1,MATCH(Tabela1[[#This Row],[Periodo]],listaPeriodos,0)))</f>
        <v>2763954.82</v>
      </c>
      <c r="F2787" s="16"/>
      <c r="G2787" s="16"/>
      <c r="H2787" s="16"/>
    </row>
    <row r="2788" spans="1:8" x14ac:dyDescent="0.3">
      <c r="A2788" t="s">
        <v>1065</v>
      </c>
      <c r="B2788" s="3">
        <f t="shared" si="37"/>
        <v>44197</v>
      </c>
      <c r="C2788" s="2" t="str">
        <f>VLOOKUP(MONTH(Tabela1[[#This Row],[Periodo]]),NUMMESES,2,FALSE)</f>
        <v>Janeiro</v>
      </c>
      <c r="D2788" s="2">
        <f>YEAR(Tabela1[[#This Row],[Periodo]])</f>
        <v>2021</v>
      </c>
      <c r="E2788" s="16">
        <f>(INDEX(TBBP[],MATCH("2.1.1.1.01",planoContas,0)+1,MATCH(Tabela1[[#This Row],[Periodo]],listaPeriodos,0)))</f>
        <v>2473880.4300000002</v>
      </c>
      <c r="F2788" s="16"/>
      <c r="G2788" s="16"/>
      <c r="H2788" s="16"/>
    </row>
    <row r="2789" spans="1:8" x14ac:dyDescent="0.3">
      <c r="A2789" t="s">
        <v>1065</v>
      </c>
      <c r="B2789" s="3">
        <f t="shared" si="37"/>
        <v>44228</v>
      </c>
      <c r="C2789" s="2" t="str">
        <f>VLOOKUP(MONTH(Tabela1[[#This Row],[Periodo]]),NUMMESES,2,FALSE)</f>
        <v>Fevereiro</v>
      </c>
      <c r="D2789" s="2">
        <f>YEAR(Tabela1[[#This Row],[Periodo]])</f>
        <v>2021</v>
      </c>
      <c r="E2789" s="16">
        <f>(INDEX(TBBP[],MATCH("2.1.1.1.01",planoContas,0)+1,MATCH(Tabela1[[#This Row],[Periodo]],listaPeriodos,0)))</f>
        <v>3340220.21</v>
      </c>
      <c r="F2789" s="16"/>
      <c r="G2789" s="16"/>
      <c r="H2789" s="16"/>
    </row>
    <row r="2790" spans="1:8" x14ac:dyDescent="0.3">
      <c r="A2790" t="s">
        <v>1065</v>
      </c>
      <c r="B2790" s="3">
        <f t="shared" si="37"/>
        <v>44256</v>
      </c>
      <c r="C2790" s="2" t="str">
        <f>VLOOKUP(MONTH(Tabela1[[#This Row],[Periodo]]),NUMMESES,2,FALSE)</f>
        <v>Março</v>
      </c>
      <c r="D2790" s="2">
        <f>YEAR(Tabela1[[#This Row],[Periodo]])</f>
        <v>2021</v>
      </c>
      <c r="E2790" s="16">
        <f>(INDEX(TBBP[],MATCH("2.1.1.1.01",planoContas,0)+1,MATCH(Tabela1[[#This Row],[Periodo]],listaPeriodos,0)))</f>
        <v>3920176.37</v>
      </c>
      <c r="F2790" s="16"/>
      <c r="G2790" s="16"/>
      <c r="H2790" s="16"/>
    </row>
    <row r="2791" spans="1:8" x14ac:dyDescent="0.3">
      <c r="A2791" t="s">
        <v>1065</v>
      </c>
      <c r="B2791" s="3">
        <f t="shared" si="37"/>
        <v>44287</v>
      </c>
      <c r="C2791" s="2" t="str">
        <f>VLOOKUP(MONTH(Tabela1[[#This Row],[Periodo]]),NUMMESES,2,FALSE)</f>
        <v>Abril</v>
      </c>
      <c r="D2791" s="2">
        <f>YEAR(Tabela1[[#This Row],[Periodo]])</f>
        <v>2021</v>
      </c>
      <c r="E2791" s="16">
        <f>(INDEX(TBBP[],MATCH("2.1.1.1.01",planoContas,0)+1,MATCH(Tabela1[[#This Row],[Periodo]],listaPeriodos,0)))</f>
        <v>4364837.42</v>
      </c>
      <c r="F2791" s="16"/>
      <c r="G2791" s="16"/>
      <c r="H2791" s="16"/>
    </row>
    <row r="2792" spans="1:8" x14ac:dyDescent="0.3">
      <c r="A2792" t="s">
        <v>1065</v>
      </c>
      <c r="B2792" s="3">
        <f t="shared" si="37"/>
        <v>44317</v>
      </c>
      <c r="C2792" s="2" t="str">
        <f>VLOOKUP(MONTH(Tabela1[[#This Row],[Periodo]]),NUMMESES,2,FALSE)</f>
        <v>Maio</v>
      </c>
      <c r="D2792" s="2">
        <f>YEAR(Tabela1[[#This Row],[Periodo]])</f>
        <v>2021</v>
      </c>
      <c r="E2792" s="16">
        <f>(INDEX(TBBP[],MATCH("2.1.1.1.01",planoContas,0)+1,MATCH(Tabela1[[#This Row],[Periodo]],listaPeriodos,0)))</f>
        <v>4691801.7699999996</v>
      </c>
      <c r="F2792" s="16"/>
      <c r="G2792" s="16"/>
      <c r="H2792" s="16"/>
    </row>
    <row r="2793" spans="1:8" x14ac:dyDescent="0.3">
      <c r="A2793" t="s">
        <v>1065</v>
      </c>
      <c r="B2793" s="3">
        <f t="shared" si="37"/>
        <v>44348</v>
      </c>
      <c r="C2793" s="2" t="str">
        <f>VLOOKUP(MONTH(Tabela1[[#This Row],[Periodo]]),NUMMESES,2,FALSE)</f>
        <v>Junho</v>
      </c>
      <c r="D2793" s="2">
        <f>YEAR(Tabela1[[#This Row],[Periodo]])</f>
        <v>2021</v>
      </c>
      <c r="E2793" s="16">
        <f>(INDEX(TBBP[],MATCH("2.1.1.1.01",planoContas,0)+1,MATCH(Tabela1[[#This Row],[Periodo]],listaPeriodos,0)))</f>
        <v>4905657.2300000004</v>
      </c>
      <c r="F2793" s="16"/>
      <c r="G2793" s="16"/>
      <c r="H2793" s="16"/>
    </row>
    <row r="2794" spans="1:8" x14ac:dyDescent="0.3">
      <c r="A2794" t="s">
        <v>1065</v>
      </c>
      <c r="B2794" s="3">
        <f t="shared" si="37"/>
        <v>44378</v>
      </c>
      <c r="C2794" s="2" t="str">
        <f>VLOOKUP(MONTH(Tabela1[[#This Row],[Periodo]]),NUMMESES,2,FALSE)</f>
        <v>Julho</v>
      </c>
      <c r="D2794" s="2">
        <f>YEAR(Tabela1[[#This Row],[Periodo]])</f>
        <v>2021</v>
      </c>
      <c r="E2794" s="16">
        <f>(INDEX(TBBP[],MATCH("2.1.1.1.01",planoContas,0)+1,MATCH(Tabela1[[#This Row],[Periodo]],listaPeriodos,0)))</f>
        <v>5024769.0599999996</v>
      </c>
      <c r="F2794" s="16"/>
      <c r="G2794" s="16"/>
      <c r="H2794" s="16"/>
    </row>
    <row r="2795" spans="1:8" x14ac:dyDescent="0.3">
      <c r="A2795" t="s">
        <v>1065</v>
      </c>
      <c r="B2795" s="3">
        <f t="shared" si="37"/>
        <v>44409</v>
      </c>
      <c r="C2795" s="2" t="str">
        <f>VLOOKUP(MONTH(Tabela1[[#This Row],[Periodo]]),NUMMESES,2,FALSE)</f>
        <v>Agosto</v>
      </c>
      <c r="D2795" s="2">
        <f>YEAR(Tabela1[[#This Row],[Periodo]])</f>
        <v>2021</v>
      </c>
      <c r="E2795" s="16">
        <f>(INDEX(TBBP[],MATCH("2.1.1.1.01",planoContas,0)+1,MATCH(Tabela1[[#This Row],[Periodo]],listaPeriodos,0)))</f>
        <v>4122144.79</v>
      </c>
      <c r="F2795" s="16"/>
      <c r="G2795" s="16"/>
      <c r="H2795" s="16"/>
    </row>
    <row r="2796" spans="1:8" x14ac:dyDescent="0.3">
      <c r="A2796" t="s">
        <v>1065</v>
      </c>
      <c r="B2796" s="3">
        <f t="shared" si="37"/>
        <v>44440</v>
      </c>
      <c r="C2796" s="2" t="str">
        <f>VLOOKUP(MONTH(Tabela1[[#This Row],[Periodo]]),NUMMESES,2,FALSE)</f>
        <v>Setembro</v>
      </c>
      <c r="D2796" s="2">
        <f>YEAR(Tabela1[[#This Row],[Periodo]])</f>
        <v>2021</v>
      </c>
      <c r="E2796" s="16">
        <f>(INDEX(TBBP[],MATCH("2.1.1.1.01",planoContas,0)+1,MATCH(Tabela1[[#This Row],[Periodo]],listaPeriodos,0)))</f>
        <v>3611594.01</v>
      </c>
      <c r="F2796" s="16"/>
      <c r="G2796" s="16"/>
      <c r="H2796" s="16"/>
    </row>
    <row r="2797" spans="1:8" x14ac:dyDescent="0.3">
      <c r="A2797" t="s">
        <v>1065</v>
      </c>
      <c r="B2797" s="3">
        <f t="shared" si="37"/>
        <v>44470</v>
      </c>
      <c r="C2797" s="2" t="str">
        <f>VLOOKUP(MONTH(Tabela1[[#This Row],[Periodo]]),NUMMESES,2,FALSE)</f>
        <v>Outubro</v>
      </c>
      <c r="D2797" s="2">
        <f>YEAR(Tabela1[[#This Row],[Periodo]])</f>
        <v>2021</v>
      </c>
      <c r="E2797" s="16">
        <f>(INDEX(TBBP[],MATCH("2.1.1.1.01",planoContas,0)+1,MATCH(Tabela1[[#This Row],[Periodo]],listaPeriodos,0)))</f>
        <v>4143806.15</v>
      </c>
      <c r="F2797" s="16"/>
      <c r="G2797" s="16"/>
      <c r="H2797" s="16"/>
    </row>
    <row r="2798" spans="1:8" x14ac:dyDescent="0.3">
      <c r="A2798" t="s">
        <v>1065</v>
      </c>
      <c r="B2798" s="3">
        <f t="shared" si="37"/>
        <v>44501</v>
      </c>
      <c r="C2798" s="2" t="str">
        <f>VLOOKUP(MONTH(Tabela1[[#This Row],[Periodo]]),NUMMESES,2,FALSE)</f>
        <v>Novembro</v>
      </c>
      <c r="D2798" s="2">
        <f>YEAR(Tabela1[[#This Row],[Periodo]])</f>
        <v>2021</v>
      </c>
      <c r="E2798" s="16">
        <f>(INDEX(TBBP[],MATCH("2.1.1.1.01",planoContas,0)+1,MATCH(Tabela1[[#This Row],[Periodo]],listaPeriodos,0)))</f>
        <v>3327623.87</v>
      </c>
      <c r="F2798" s="16"/>
      <c r="G2798" s="16"/>
      <c r="H2798" s="16"/>
    </row>
    <row r="2799" spans="1:8" x14ac:dyDescent="0.3">
      <c r="A2799" t="s">
        <v>1065</v>
      </c>
      <c r="B2799" s="3">
        <f t="shared" si="37"/>
        <v>44531</v>
      </c>
      <c r="C2799" s="2" t="str">
        <f>VLOOKUP(MONTH(Tabela1[[#This Row],[Periodo]]),NUMMESES,2,FALSE)</f>
        <v>Dezembro</v>
      </c>
      <c r="D2799" s="2">
        <f>YEAR(Tabela1[[#This Row],[Periodo]])</f>
        <v>2021</v>
      </c>
      <c r="E2799" s="16">
        <f>(INDEX(TBBP[],MATCH("2.1.1.1.01",planoContas,0)+1,MATCH(Tabela1[[#This Row],[Periodo]],listaPeriodos,0)))</f>
        <v>2539758.56</v>
      </c>
      <c r="F2799" s="16"/>
      <c r="G2799" s="16"/>
      <c r="H2799" s="16"/>
    </row>
    <row r="2800" spans="1:8" x14ac:dyDescent="0.3">
      <c r="A2800" t="s">
        <v>1065</v>
      </c>
      <c r="B2800" s="3">
        <f t="shared" si="37"/>
        <v>44562</v>
      </c>
      <c r="C2800" s="2" t="str">
        <f>VLOOKUP(MONTH(Tabela1[[#This Row],[Periodo]]),NUMMESES,2,FALSE)</f>
        <v>Janeiro</v>
      </c>
      <c r="D2800" s="2">
        <f>YEAR(Tabela1[[#This Row],[Periodo]])</f>
        <v>2022</v>
      </c>
      <c r="E2800" s="16">
        <f>(INDEX(TBBP[],MATCH("2.1.1.1.01",planoContas,0)+1,MATCH(Tabela1[[#This Row],[Periodo]],listaPeriodos,0)))</f>
        <v>2739477.82</v>
      </c>
      <c r="F2800" s="16"/>
      <c r="G2800" s="16"/>
      <c r="H2800" s="16"/>
    </row>
    <row r="2801" spans="1:8" x14ac:dyDescent="0.3">
      <c r="A2801" t="s">
        <v>1065</v>
      </c>
      <c r="B2801" s="3">
        <f t="shared" si="37"/>
        <v>44593</v>
      </c>
      <c r="C2801" s="2" t="str">
        <f>VLOOKUP(MONTH(Tabela1[[#This Row],[Periodo]]),NUMMESES,2,FALSE)</f>
        <v>Fevereiro</v>
      </c>
      <c r="D2801" s="2">
        <f>YEAR(Tabela1[[#This Row],[Periodo]])</f>
        <v>2022</v>
      </c>
      <c r="E2801" s="16">
        <f>(INDEX(TBBP[],MATCH("2.1.1.1.01",planoContas,0)+1,MATCH(Tabela1[[#This Row],[Periodo]],listaPeriodos,0)))</f>
        <v>3792926.25</v>
      </c>
      <c r="F2801" s="16"/>
      <c r="G2801" s="16"/>
      <c r="H2801" s="16"/>
    </row>
    <row r="2802" spans="1:8" x14ac:dyDescent="0.3">
      <c r="A2802" t="s">
        <v>1065</v>
      </c>
      <c r="B2802" s="3">
        <f t="shared" si="37"/>
        <v>44621</v>
      </c>
      <c r="C2802" s="2" t="str">
        <f>VLOOKUP(MONTH(Tabela1[[#This Row],[Periodo]]),NUMMESES,2,FALSE)</f>
        <v>Março</v>
      </c>
      <c r="D2802" s="2">
        <f>YEAR(Tabela1[[#This Row],[Periodo]])</f>
        <v>2022</v>
      </c>
      <c r="E2802" s="16">
        <f>(INDEX(TBBP[],MATCH("2.1.1.1.01",planoContas,0)+1,MATCH(Tabela1[[#This Row],[Periodo]],listaPeriodos,0)))</f>
        <v>4249314.96</v>
      </c>
      <c r="F2802" s="16"/>
      <c r="G2802" s="16"/>
      <c r="H2802" s="16"/>
    </row>
    <row r="2803" spans="1:8" x14ac:dyDescent="0.3">
      <c r="A2803" t="s">
        <v>1065</v>
      </c>
      <c r="B2803" s="3">
        <f t="shared" si="37"/>
        <v>44652</v>
      </c>
      <c r="C2803" s="2" t="str">
        <f>VLOOKUP(MONTH(Tabela1[[#This Row],[Periodo]]),NUMMESES,2,FALSE)</f>
        <v>Abril</v>
      </c>
      <c r="D2803" s="2">
        <f>YEAR(Tabela1[[#This Row],[Periodo]])</f>
        <v>2022</v>
      </c>
      <c r="E2803" s="16">
        <f>(INDEX(TBBP[],MATCH("2.1.1.1.01",planoContas,0)+1,MATCH(Tabela1[[#This Row],[Periodo]],listaPeriodos,0)))</f>
        <v>3873619.07</v>
      </c>
      <c r="F2803" s="16"/>
      <c r="G2803" s="16"/>
      <c r="H2803" s="16"/>
    </row>
    <row r="2804" spans="1:8" x14ac:dyDescent="0.3">
      <c r="A2804" t="s">
        <v>1065</v>
      </c>
      <c r="B2804" s="3">
        <f t="shared" si="37"/>
        <v>44682</v>
      </c>
      <c r="C2804" s="2" t="str">
        <f>VLOOKUP(MONTH(Tabela1[[#This Row],[Periodo]]),NUMMESES,2,FALSE)</f>
        <v>Maio</v>
      </c>
      <c r="D2804" s="2">
        <f>YEAR(Tabela1[[#This Row],[Periodo]])</f>
        <v>2022</v>
      </c>
      <c r="E2804" s="16">
        <f>(INDEX(TBBP[],MATCH("2.1.1.1.01",planoContas,0)+1,MATCH(Tabela1[[#This Row],[Periodo]],listaPeriodos,0)))</f>
        <v>4274894.83</v>
      </c>
      <c r="F2804" s="16"/>
      <c r="G2804" s="16"/>
      <c r="H2804" s="16"/>
    </row>
    <row r="2805" spans="1:8" x14ac:dyDescent="0.3">
      <c r="A2805" t="s">
        <v>1065</v>
      </c>
      <c r="B2805" s="3">
        <f t="shared" si="37"/>
        <v>44713</v>
      </c>
      <c r="C2805" s="2" t="str">
        <f>VLOOKUP(MONTH(Tabela1[[#This Row],[Periodo]]),NUMMESES,2,FALSE)</f>
        <v>Junho</v>
      </c>
      <c r="D2805" s="2">
        <f>YEAR(Tabela1[[#This Row],[Periodo]])</f>
        <v>2022</v>
      </c>
      <c r="E2805" s="16">
        <f>(INDEX(TBBP[],MATCH("2.1.1.1.01",planoContas,0)+1,MATCH(Tabela1[[#This Row],[Periodo]],listaPeriodos,0)))</f>
        <v>4176042.67</v>
      </c>
      <c r="F2805" s="16"/>
      <c r="G2805" s="16"/>
      <c r="H2805" s="16"/>
    </row>
    <row r="2806" spans="1:8" x14ac:dyDescent="0.3">
      <c r="A2806" t="s">
        <v>1065</v>
      </c>
      <c r="B2806" s="3">
        <f t="shared" si="37"/>
        <v>44743</v>
      </c>
      <c r="C2806" s="2" t="str">
        <f>VLOOKUP(MONTH(Tabela1[[#This Row],[Periodo]]),NUMMESES,2,FALSE)</f>
        <v>Julho</v>
      </c>
      <c r="D2806" s="2">
        <f>YEAR(Tabela1[[#This Row],[Periodo]])</f>
        <v>2022</v>
      </c>
      <c r="E2806" s="16">
        <f>(INDEX(TBBP[],MATCH("2.1.1.1.01",planoContas,0)+1,MATCH(Tabela1[[#This Row],[Periodo]],listaPeriodos,0)))</f>
        <v>4351851.4800000004</v>
      </c>
      <c r="F2806" s="16"/>
      <c r="G2806" s="16"/>
      <c r="H2806" s="16"/>
    </row>
    <row r="2807" spans="1:8" x14ac:dyDescent="0.3">
      <c r="A2807" t="s">
        <v>1065</v>
      </c>
      <c r="B2807" s="3">
        <f t="shared" si="37"/>
        <v>44774</v>
      </c>
      <c r="C2807" s="2" t="str">
        <f>VLOOKUP(MONTH(Tabela1[[#This Row],[Periodo]]),NUMMESES,2,FALSE)</f>
        <v>Agosto</v>
      </c>
      <c r="D2807" s="2">
        <f>YEAR(Tabela1[[#This Row],[Periodo]])</f>
        <v>2022</v>
      </c>
      <c r="E2807" s="16">
        <f>(INDEX(TBBP[],MATCH("2.1.1.1.01",planoContas,0)+1,MATCH(Tabela1[[#This Row],[Periodo]],listaPeriodos,0)))</f>
        <v>3693984.13</v>
      </c>
      <c r="F2807" s="16"/>
      <c r="G2807" s="16"/>
      <c r="H2807" s="16"/>
    </row>
    <row r="2808" spans="1:8" x14ac:dyDescent="0.3">
      <c r="A2808" t="s">
        <v>1065</v>
      </c>
      <c r="B2808" s="3">
        <f t="shared" si="37"/>
        <v>44805</v>
      </c>
      <c r="C2808" s="2" t="str">
        <f>VLOOKUP(MONTH(Tabela1[[#This Row],[Periodo]]),NUMMESES,2,FALSE)</f>
        <v>Setembro</v>
      </c>
      <c r="D2808" s="2">
        <f>YEAR(Tabela1[[#This Row],[Periodo]])</f>
        <v>2022</v>
      </c>
      <c r="E2808" s="16">
        <f>(INDEX(TBBP[],MATCH("2.1.1.1.01",planoContas,0)+1,MATCH(Tabela1[[#This Row],[Periodo]],listaPeriodos,0)))</f>
        <v>2951514.68</v>
      </c>
      <c r="F2808" s="16"/>
      <c r="G2808" s="16"/>
      <c r="H2808" s="16"/>
    </row>
    <row r="2809" spans="1:8" x14ac:dyDescent="0.3">
      <c r="A2809" t="s">
        <v>1065</v>
      </c>
      <c r="B2809" s="3">
        <f t="shared" si="37"/>
        <v>44835</v>
      </c>
      <c r="C2809" s="2" t="str">
        <f>VLOOKUP(MONTH(Tabela1[[#This Row],[Periodo]]),NUMMESES,2,FALSE)</f>
        <v>Outubro</v>
      </c>
      <c r="D2809" s="2">
        <f>YEAR(Tabela1[[#This Row],[Periodo]])</f>
        <v>2022</v>
      </c>
      <c r="E2809" s="16">
        <f>(INDEX(TBBP[],MATCH("2.1.1.1.01",planoContas,0)+1,MATCH(Tabela1[[#This Row],[Periodo]],listaPeriodos,0)))</f>
        <v>3029685.42</v>
      </c>
      <c r="F2809" s="16"/>
      <c r="G2809" s="16"/>
      <c r="H2809" s="16"/>
    </row>
    <row r="2810" spans="1:8" x14ac:dyDescent="0.3">
      <c r="A2810" t="s">
        <v>1065</v>
      </c>
      <c r="B2810" s="3">
        <f t="shared" si="37"/>
        <v>44866</v>
      </c>
      <c r="C2810" s="2" t="str">
        <f>VLOOKUP(MONTH(Tabela1[[#This Row],[Periodo]]),NUMMESES,2,FALSE)</f>
        <v>Novembro</v>
      </c>
      <c r="D2810" s="2">
        <f>YEAR(Tabela1[[#This Row],[Periodo]])</f>
        <v>2022</v>
      </c>
      <c r="E2810" s="16">
        <f>(INDEX(TBBP[],MATCH("2.1.1.1.01",planoContas,0)+1,MATCH(Tabela1[[#This Row],[Periodo]],listaPeriodos,0)))</f>
        <v>2521647.63</v>
      </c>
      <c r="F2810" s="16"/>
      <c r="G2810" s="16"/>
      <c r="H2810" s="16"/>
    </row>
    <row r="2811" spans="1:8" x14ac:dyDescent="0.3">
      <c r="A2811" t="s">
        <v>1065</v>
      </c>
      <c r="B2811" s="3">
        <f t="shared" si="37"/>
        <v>44896</v>
      </c>
      <c r="C2811" s="2" t="str">
        <f>VLOOKUP(MONTH(Tabela1[[#This Row],[Periodo]]),NUMMESES,2,FALSE)</f>
        <v>Dezembro</v>
      </c>
      <c r="D2811" s="2">
        <f>YEAR(Tabela1[[#This Row],[Periodo]])</f>
        <v>2022</v>
      </c>
      <c r="E2811" s="16">
        <f>(INDEX(TBBP[],MATCH("2.1.1.1.01",planoContas,0)+1,MATCH(Tabela1[[#This Row],[Periodo]],listaPeriodos,0)))</f>
        <v>2073299.29</v>
      </c>
      <c r="F2811" s="16"/>
      <c r="G2811" s="16"/>
      <c r="H2811" s="16"/>
    </row>
    <row r="2812" spans="1:8" x14ac:dyDescent="0.3">
      <c r="A2812" t="s">
        <v>1065</v>
      </c>
      <c r="B2812" s="3">
        <f t="shared" si="37"/>
        <v>44927</v>
      </c>
      <c r="C2812" s="2" t="str">
        <f>VLOOKUP(MONTH(Tabela1[[#This Row],[Periodo]]),NUMMESES,2,FALSE)</f>
        <v>Janeiro</v>
      </c>
      <c r="D2812" s="2">
        <f>YEAR(Tabela1[[#This Row],[Periodo]])</f>
        <v>2023</v>
      </c>
      <c r="E2812" s="16">
        <f>(INDEX(TBBP[],MATCH("2.1.1.1.01",planoContas,0)+1,MATCH(Tabela1[[#This Row],[Periodo]],listaPeriodos,0)))</f>
        <v>1751789.64</v>
      </c>
      <c r="F2812" s="16"/>
      <c r="G2812" s="16"/>
      <c r="H2812" s="16"/>
    </row>
    <row r="2813" spans="1:8" x14ac:dyDescent="0.3">
      <c r="A2813" t="s">
        <v>1065</v>
      </c>
      <c r="B2813" s="3">
        <f t="shared" si="37"/>
        <v>44958</v>
      </c>
      <c r="C2813" s="2" t="str">
        <f>VLOOKUP(MONTH(Tabela1[[#This Row],[Periodo]]),NUMMESES,2,FALSE)</f>
        <v>Fevereiro</v>
      </c>
      <c r="D2813" s="2">
        <f>YEAR(Tabela1[[#This Row],[Periodo]])</f>
        <v>2023</v>
      </c>
      <c r="E2813" s="16">
        <f>(INDEX(TBBP[],MATCH("2.1.1.1.01",planoContas,0)+1,MATCH(Tabela1[[#This Row],[Periodo]],listaPeriodos,0)))</f>
        <v>1597963.54</v>
      </c>
      <c r="F2813" s="16"/>
      <c r="G2813" s="16"/>
      <c r="H2813" s="16"/>
    </row>
    <row r="2814" spans="1:8" x14ac:dyDescent="0.3">
      <c r="A2814" t="s">
        <v>1065</v>
      </c>
      <c r="B2814" s="3">
        <f t="shared" si="37"/>
        <v>44986</v>
      </c>
      <c r="C2814" s="2" t="str">
        <f>VLOOKUP(MONTH(Tabela1[[#This Row],[Periodo]]),NUMMESES,2,FALSE)</f>
        <v>Março</v>
      </c>
      <c r="D2814" s="2">
        <f>YEAR(Tabela1[[#This Row],[Periodo]])</f>
        <v>2023</v>
      </c>
      <c r="E2814" s="16">
        <f>(INDEX(TBBP[],MATCH("2.1.1.1.01",planoContas,0)+1,MATCH(Tabela1[[#This Row],[Periodo]],listaPeriodos,0)))</f>
        <v>1805403.34</v>
      </c>
      <c r="F2814" s="16"/>
      <c r="G2814" s="16"/>
      <c r="H2814" s="16"/>
    </row>
    <row r="2815" spans="1:8" x14ac:dyDescent="0.3">
      <c r="A2815" t="s">
        <v>1065</v>
      </c>
      <c r="B2815" s="3">
        <f t="shared" si="37"/>
        <v>45017</v>
      </c>
      <c r="C2815" s="2" t="str">
        <f>VLOOKUP(MONTH(Tabela1[[#This Row],[Periodo]]),NUMMESES,2,FALSE)</f>
        <v>Abril</v>
      </c>
      <c r="D2815" s="2">
        <f>YEAR(Tabela1[[#This Row],[Periodo]])</f>
        <v>2023</v>
      </c>
      <c r="E2815" s="16">
        <f>(INDEX(TBBP[],MATCH("2.1.1.1.01",planoContas,0)+1,MATCH(Tabela1[[#This Row],[Periodo]],listaPeriodos,0)))</f>
        <v>1834018.38</v>
      </c>
      <c r="F2815" s="16"/>
      <c r="G2815" s="16"/>
      <c r="H2815" s="16"/>
    </row>
    <row r="2816" spans="1:8" x14ac:dyDescent="0.3">
      <c r="A2816" t="s">
        <v>1065</v>
      </c>
      <c r="B2816" s="3">
        <f t="shared" si="37"/>
        <v>45047</v>
      </c>
      <c r="C2816" s="2" t="str">
        <f>VLOOKUP(MONTH(Tabela1[[#This Row],[Periodo]]),NUMMESES,2,FALSE)</f>
        <v>Maio</v>
      </c>
      <c r="D2816" s="2">
        <f>YEAR(Tabela1[[#This Row],[Periodo]])</f>
        <v>2023</v>
      </c>
      <c r="E2816" s="16">
        <f>(INDEX(TBBP[],MATCH("2.1.1.1.01",planoContas,0)+1,MATCH(Tabela1[[#This Row],[Periodo]],listaPeriodos,0)))</f>
        <v>3055320.44</v>
      </c>
      <c r="F2816" s="16"/>
      <c r="G2816" s="16"/>
      <c r="H2816" s="16"/>
    </row>
    <row r="2817" spans="1:8" x14ac:dyDescent="0.3">
      <c r="A2817" t="s">
        <v>1065</v>
      </c>
      <c r="B2817" s="3">
        <f t="shared" si="37"/>
        <v>45078</v>
      </c>
      <c r="C2817" s="2" t="str">
        <f>VLOOKUP(MONTH(Tabela1[[#This Row],[Periodo]]),NUMMESES,2,FALSE)</f>
        <v>Junho</v>
      </c>
      <c r="D2817" s="2">
        <f>YEAR(Tabela1[[#This Row],[Periodo]])</f>
        <v>2023</v>
      </c>
      <c r="E2817" s="16">
        <f>(INDEX(TBBP[],MATCH("2.1.1.1.01",planoContas,0)+1,MATCH(Tabela1[[#This Row],[Periodo]],listaPeriodos,0)))</f>
        <v>3514459.23</v>
      </c>
      <c r="F2817" s="16"/>
      <c r="G2817" s="16"/>
      <c r="H2817" s="16"/>
    </row>
    <row r="2818" spans="1:8" x14ac:dyDescent="0.3">
      <c r="A2818" t="s">
        <v>1065</v>
      </c>
      <c r="B2818" s="3">
        <f t="shared" si="37"/>
        <v>45108</v>
      </c>
      <c r="C2818" s="2" t="str">
        <f>VLOOKUP(MONTH(Tabela1[[#This Row],[Periodo]]),NUMMESES,2,FALSE)</f>
        <v>Julho</v>
      </c>
      <c r="D2818" s="2">
        <f>YEAR(Tabela1[[#This Row],[Periodo]])</f>
        <v>2023</v>
      </c>
      <c r="E2818" s="16">
        <f>(INDEX(TBBP[],MATCH("2.1.1.1.01",planoContas,0)+1,MATCH(Tabela1[[#This Row],[Periodo]],listaPeriodos,0)))</f>
        <v>4016295.36</v>
      </c>
      <c r="F2818" s="16"/>
      <c r="G2818" s="16"/>
      <c r="H2818" s="16"/>
    </row>
    <row r="2819" spans="1:8" x14ac:dyDescent="0.3">
      <c r="A2819" t="s">
        <v>1065</v>
      </c>
      <c r="B2819" s="3">
        <f t="shared" si="37"/>
        <v>45139</v>
      </c>
      <c r="C2819" s="2" t="str">
        <f>VLOOKUP(MONTH(Tabela1[[#This Row],[Periodo]]),NUMMESES,2,FALSE)</f>
        <v>Agosto</v>
      </c>
      <c r="D2819" s="2">
        <f>YEAR(Tabela1[[#This Row],[Periodo]])</f>
        <v>2023</v>
      </c>
      <c r="E2819" s="16">
        <f>(INDEX(TBBP[],MATCH("2.1.1.1.01",planoContas,0)+1,MATCH(Tabela1[[#This Row],[Periodo]],listaPeriodos,0)))</f>
        <v>3804581.5</v>
      </c>
      <c r="F2819" s="16"/>
      <c r="G2819" s="16"/>
      <c r="H2819" s="16"/>
    </row>
    <row r="2820" spans="1:8" x14ac:dyDescent="0.3">
      <c r="A2820" t="s">
        <v>1065</v>
      </c>
      <c r="B2820" s="3">
        <f t="shared" si="37"/>
        <v>45170</v>
      </c>
      <c r="C2820" s="2" t="str">
        <f>VLOOKUP(MONTH(Tabela1[[#This Row],[Periodo]]),NUMMESES,2,FALSE)</f>
        <v>Setembro</v>
      </c>
      <c r="D2820" s="2">
        <f>YEAR(Tabela1[[#This Row],[Periodo]])</f>
        <v>2023</v>
      </c>
      <c r="E2820" s="16">
        <f>(INDEX(TBBP[],MATCH("2.1.1.1.01",planoContas,0)+1,MATCH(Tabela1[[#This Row],[Periodo]],listaPeriodos,0)))</f>
        <v>4981106.2</v>
      </c>
      <c r="F2820" s="16"/>
      <c r="G2820" s="16"/>
      <c r="H2820" s="16"/>
    </row>
    <row r="2821" spans="1:8" x14ac:dyDescent="0.3">
      <c r="A2821" t="s">
        <v>1065</v>
      </c>
      <c r="B2821" s="3">
        <f t="shared" si="37"/>
        <v>45200</v>
      </c>
      <c r="C2821" s="2" t="str">
        <f>VLOOKUP(MONTH(Tabela1[[#This Row],[Periodo]]),NUMMESES,2,FALSE)</f>
        <v>Outubro</v>
      </c>
      <c r="D2821" s="2">
        <f>YEAR(Tabela1[[#This Row],[Periodo]])</f>
        <v>2023</v>
      </c>
      <c r="E2821" s="16">
        <f>(INDEX(TBBP[],MATCH("2.1.1.1.01",planoContas,0)+1,MATCH(Tabela1[[#This Row],[Periodo]],listaPeriodos,0)))</f>
        <v>4614995.62</v>
      </c>
      <c r="F2821" s="16"/>
      <c r="G2821" s="16"/>
      <c r="H2821" s="16"/>
    </row>
    <row r="2822" spans="1:8" x14ac:dyDescent="0.3">
      <c r="A2822" t="s">
        <v>1065</v>
      </c>
      <c r="B2822" s="3">
        <f t="shared" si="37"/>
        <v>45231</v>
      </c>
      <c r="C2822" s="2" t="str">
        <f>VLOOKUP(MONTH(Tabela1[[#This Row],[Periodo]]),NUMMESES,2,FALSE)</f>
        <v>Novembro</v>
      </c>
      <c r="D2822" s="2">
        <f>YEAR(Tabela1[[#This Row],[Periodo]])</f>
        <v>2023</v>
      </c>
      <c r="E2822" s="16">
        <f>(INDEX(TBBP[],MATCH("2.1.1.1.01",planoContas,0)+1,MATCH(Tabela1[[#This Row],[Periodo]],listaPeriodos,0)))</f>
        <v>4297565.1399999997</v>
      </c>
      <c r="F2822" s="16"/>
      <c r="G2822" s="16"/>
      <c r="H2822" s="16"/>
    </row>
    <row r="2823" spans="1:8" x14ac:dyDescent="0.3">
      <c r="A2823" t="s">
        <v>1065</v>
      </c>
      <c r="B2823" s="3">
        <f t="shared" si="37"/>
        <v>45261</v>
      </c>
      <c r="C2823" s="2" t="str">
        <f>VLOOKUP(MONTH(Tabela1[[#This Row],[Periodo]]),NUMMESES,2,FALSE)</f>
        <v>Dezembro</v>
      </c>
      <c r="D2823" s="2">
        <f>YEAR(Tabela1[[#This Row],[Periodo]])</f>
        <v>2023</v>
      </c>
      <c r="E2823" s="16">
        <f>(INDEX(TBBP[],MATCH("2.1.1.1.01",planoContas,0)+1,MATCH(Tabela1[[#This Row],[Periodo]],listaPeriodos,0)))</f>
        <v>3618912.24</v>
      </c>
      <c r="F2823" s="16"/>
      <c r="G2823" s="16"/>
      <c r="H2823" s="16"/>
    </row>
    <row r="2824" spans="1:8" x14ac:dyDescent="0.3">
      <c r="A2824" t="s">
        <v>1065</v>
      </c>
      <c r="B2824" s="3">
        <f t="shared" si="37"/>
        <v>45292</v>
      </c>
      <c r="C2824" s="2" t="str">
        <f>VLOOKUP(MONTH(Tabela1[[#This Row],[Periodo]]),NUMMESES,2,FALSE)</f>
        <v>Janeiro</v>
      </c>
      <c r="D2824" s="2">
        <f>YEAR(Tabela1[[#This Row],[Periodo]])</f>
        <v>2024</v>
      </c>
      <c r="E2824" s="16">
        <f>(INDEX(TBBP[],MATCH("2.1.1.1.01",planoContas,0)+1,MATCH(Tabela1[[#This Row],[Periodo]],listaPeriodos,0)))</f>
        <v>4036174.71</v>
      </c>
      <c r="F2824" s="16"/>
      <c r="G2824" s="16"/>
      <c r="H2824" s="16"/>
    </row>
    <row r="2825" spans="1:8" x14ac:dyDescent="0.3">
      <c r="A2825" t="s">
        <v>1065</v>
      </c>
      <c r="B2825" s="3">
        <f t="shared" si="37"/>
        <v>45323</v>
      </c>
      <c r="C2825" s="2" t="str">
        <f>VLOOKUP(MONTH(Tabela1[[#This Row],[Periodo]]),NUMMESES,2,FALSE)</f>
        <v>Fevereiro</v>
      </c>
      <c r="D2825" s="2">
        <f>YEAR(Tabela1[[#This Row],[Periodo]])</f>
        <v>2024</v>
      </c>
      <c r="E2825" s="16">
        <f>(INDEX(TBBP[],MATCH("2.1.1.1.01",planoContas,0)+1,MATCH(Tabela1[[#This Row],[Periodo]],listaPeriodos,0)))</f>
        <v>4948315.95</v>
      </c>
      <c r="F2825" s="16"/>
      <c r="G2825" s="16"/>
      <c r="H2825" s="16"/>
    </row>
    <row r="2826" spans="1:8" x14ac:dyDescent="0.3">
      <c r="A2826" t="s">
        <v>1065</v>
      </c>
      <c r="B2826" s="3">
        <f t="shared" si="37"/>
        <v>45352</v>
      </c>
      <c r="C2826" s="2" t="str">
        <f>VLOOKUP(MONTH(Tabela1[[#This Row],[Periodo]]),NUMMESES,2,FALSE)</f>
        <v>Março</v>
      </c>
      <c r="D2826" s="2">
        <f>YEAR(Tabela1[[#This Row],[Periodo]])</f>
        <v>2024</v>
      </c>
      <c r="E2826" s="16">
        <f>(INDEX(TBBP[],MATCH("2.1.1.1.01",planoContas,0)+1,MATCH(Tabela1[[#This Row],[Periodo]],listaPeriodos,0)))</f>
        <v>6815448.0700000003</v>
      </c>
      <c r="F2826" s="16"/>
      <c r="G2826" s="16"/>
      <c r="H2826" s="16"/>
    </row>
    <row r="2827" spans="1:8" x14ac:dyDescent="0.3">
      <c r="A2827" t="s">
        <v>1065</v>
      </c>
      <c r="B2827" s="3">
        <f t="shared" si="37"/>
        <v>45383</v>
      </c>
      <c r="C2827" s="2" t="str">
        <f>VLOOKUP(MONTH(Tabela1[[#This Row],[Periodo]]),NUMMESES,2,FALSE)</f>
        <v>Abril</v>
      </c>
      <c r="D2827" s="2">
        <f>YEAR(Tabela1[[#This Row],[Periodo]])</f>
        <v>2024</v>
      </c>
      <c r="E2827" s="16">
        <f>(INDEX(TBBP[],MATCH("2.1.1.1.01",planoContas,0)+1,MATCH(Tabela1[[#This Row],[Periodo]],listaPeriodos,0)))</f>
        <v>6896823.0499999998</v>
      </c>
      <c r="F2827" s="16"/>
      <c r="G2827" s="16"/>
      <c r="H2827" s="16"/>
    </row>
    <row r="2828" spans="1:8" x14ac:dyDescent="0.3">
      <c r="A2828" t="s">
        <v>1065</v>
      </c>
      <c r="B2828" s="3">
        <f t="shared" si="37"/>
        <v>45413</v>
      </c>
      <c r="C2828" s="2" t="str">
        <f>VLOOKUP(MONTH(Tabela1[[#This Row],[Periodo]]),NUMMESES,2,FALSE)</f>
        <v>Maio</v>
      </c>
      <c r="D2828" s="2">
        <f>YEAR(Tabela1[[#This Row],[Periodo]])</f>
        <v>2024</v>
      </c>
      <c r="E2828" s="16">
        <f>(INDEX(TBBP[],MATCH("2.1.1.1.01",planoContas,0)+1,MATCH(Tabela1[[#This Row],[Periodo]],listaPeriodos,0)))</f>
        <v>11751964.25</v>
      </c>
      <c r="F2828" s="16"/>
      <c r="G2828" s="16"/>
      <c r="H2828" s="16"/>
    </row>
    <row r="2829" spans="1:8" x14ac:dyDescent="0.3">
      <c r="A2829" t="s">
        <v>1065</v>
      </c>
      <c r="B2829" s="3">
        <f t="shared" si="37"/>
        <v>45444</v>
      </c>
      <c r="C2829" s="2" t="str">
        <f>VLOOKUP(MONTH(Tabela1[[#This Row],[Periodo]]),NUMMESES,2,FALSE)</f>
        <v>Junho</v>
      </c>
      <c r="D2829" s="2">
        <f>YEAR(Tabela1[[#This Row],[Periodo]])</f>
        <v>2024</v>
      </c>
      <c r="E2829" s="16">
        <f>(INDEX(TBBP[],MATCH("2.1.1.1.01",planoContas,0)+1,MATCH(Tabela1[[#This Row],[Periodo]],listaPeriodos,0)))</f>
        <v>9187624.2100000009</v>
      </c>
      <c r="F2829" s="16"/>
      <c r="G2829" s="16"/>
      <c r="H2829" s="16"/>
    </row>
    <row r="2830" spans="1:8" x14ac:dyDescent="0.3">
      <c r="A2830" t="s">
        <v>1065</v>
      </c>
      <c r="B2830" s="3">
        <f t="shared" si="37"/>
        <v>45474</v>
      </c>
      <c r="C2830" s="2" t="str">
        <f>VLOOKUP(MONTH(Tabela1[[#This Row],[Periodo]]),NUMMESES,2,FALSE)</f>
        <v>Julho</v>
      </c>
      <c r="D2830" s="2">
        <f>YEAR(Tabela1[[#This Row],[Periodo]])</f>
        <v>2024</v>
      </c>
      <c r="E2830" s="16">
        <f>(INDEX(TBBP[],MATCH("2.1.1.1.01",planoContas,0)+1,MATCH(Tabela1[[#This Row],[Periodo]],listaPeriodos,0)))</f>
        <v>8448433.2899999991</v>
      </c>
      <c r="F2830" s="16"/>
      <c r="G2830" s="16"/>
      <c r="H2830" s="16"/>
    </row>
    <row r="2831" spans="1:8" x14ac:dyDescent="0.3">
      <c r="A2831" t="s">
        <v>1065</v>
      </c>
      <c r="B2831" s="3">
        <f t="shared" si="37"/>
        <v>45505</v>
      </c>
      <c r="C2831" s="2" t="str">
        <f>VLOOKUP(MONTH(Tabela1[[#This Row],[Periodo]]),NUMMESES,2,FALSE)</f>
        <v>Agosto</v>
      </c>
      <c r="D2831" s="2">
        <f>YEAR(Tabela1[[#This Row],[Periodo]])</f>
        <v>2024</v>
      </c>
      <c r="E2831" s="16">
        <f>(INDEX(TBBP[],MATCH("2.1.1.1.01",planoContas,0)+1,MATCH(Tabela1[[#This Row],[Periodo]],listaPeriodos,0)))</f>
        <v>8353577.9000000004</v>
      </c>
      <c r="F2831" s="16"/>
      <c r="G2831" s="16"/>
      <c r="H2831" s="16"/>
    </row>
    <row r="2832" spans="1:8" x14ac:dyDescent="0.3">
      <c r="A2832" t="s">
        <v>1065</v>
      </c>
      <c r="B2832" s="3">
        <f t="shared" si="37"/>
        <v>45536</v>
      </c>
      <c r="C2832" s="2" t="str">
        <f>VLOOKUP(MONTH(Tabela1[[#This Row],[Periodo]]),NUMMESES,2,FALSE)</f>
        <v>Setembro</v>
      </c>
      <c r="D2832" s="2">
        <f>YEAR(Tabela1[[#This Row],[Periodo]])</f>
        <v>2024</v>
      </c>
      <c r="E2832" s="16">
        <f>(INDEX(TBBP[],MATCH("2.1.1.1.01",planoContas,0)+1,MATCH(Tabela1[[#This Row],[Periodo]],listaPeriodos,0)))</f>
        <v>7300031.8600000003</v>
      </c>
      <c r="F2832" s="16"/>
      <c r="G2832" s="16"/>
      <c r="H2832" s="16"/>
    </row>
    <row r="2833" spans="1:8" x14ac:dyDescent="0.3">
      <c r="A2833" t="s">
        <v>1065</v>
      </c>
      <c r="B2833" s="3">
        <f t="shared" si="37"/>
        <v>45566</v>
      </c>
      <c r="C2833" s="2" t="str">
        <f>VLOOKUP(MONTH(Tabela1[[#This Row],[Periodo]]),NUMMESES,2,FALSE)</f>
        <v>Outubro</v>
      </c>
      <c r="D2833" s="2">
        <f>YEAR(Tabela1[[#This Row],[Periodo]])</f>
        <v>2024</v>
      </c>
      <c r="E2833" s="16">
        <f>(INDEX(TBBP[],MATCH("2.1.1.1.01",planoContas,0)+1,MATCH(Tabela1[[#This Row],[Periodo]],listaPeriodos,0)))</f>
        <v>6844843.8499999996</v>
      </c>
      <c r="F2833" s="16"/>
      <c r="G2833" s="16"/>
      <c r="H2833" s="16"/>
    </row>
    <row r="2834" spans="1:8" x14ac:dyDescent="0.3">
      <c r="A2834" t="s">
        <v>1065</v>
      </c>
      <c r="B2834" s="3">
        <f t="shared" si="37"/>
        <v>45597</v>
      </c>
      <c r="C2834" s="2" t="str">
        <f>VLOOKUP(MONTH(Tabela1[[#This Row],[Periodo]]),NUMMESES,2,FALSE)</f>
        <v>Novembro</v>
      </c>
      <c r="D2834" s="2">
        <f>YEAR(Tabela1[[#This Row],[Periodo]])</f>
        <v>2024</v>
      </c>
      <c r="E2834" s="16">
        <f>(INDEX(TBBP[],MATCH("2.1.1.1.01",planoContas,0)+1,MATCH(Tabela1[[#This Row],[Periodo]],listaPeriodos,0)))</f>
        <v>7411482.8399999999</v>
      </c>
      <c r="F2834" s="16"/>
      <c r="G2834" s="16"/>
      <c r="H2834" s="16"/>
    </row>
    <row r="2835" spans="1:8" x14ac:dyDescent="0.3">
      <c r="A2835" t="s">
        <v>1065</v>
      </c>
      <c r="B2835" s="3">
        <f t="shared" si="37"/>
        <v>45627</v>
      </c>
      <c r="C2835" s="2" t="str">
        <f>VLOOKUP(MONTH(Tabela1[[#This Row],[Periodo]]),NUMMESES,2,FALSE)</f>
        <v>Dezembro</v>
      </c>
      <c r="D2835" s="2">
        <f>YEAR(Tabela1[[#This Row],[Periodo]])</f>
        <v>2024</v>
      </c>
      <c r="E2835" s="16">
        <f>(INDEX(TBBP[],MATCH("2.1.1.1.01",planoContas,0)+1,MATCH(Tabela1[[#This Row],[Periodo]],listaPeriodos,0)))</f>
        <v>5277068.1900000004</v>
      </c>
      <c r="F2835" s="16"/>
      <c r="G2835" s="16"/>
      <c r="H2835" s="16"/>
    </row>
    <row r="2836" spans="1:8" x14ac:dyDescent="0.3">
      <c r="A2836" t="s">
        <v>1065</v>
      </c>
      <c r="B2836" s="3">
        <f t="shared" si="37"/>
        <v>45658</v>
      </c>
      <c r="C2836" s="2" t="str">
        <f>VLOOKUP(MONTH(Tabela1[[#This Row],[Periodo]]),NUMMESES,2,FALSE)</f>
        <v>Janeiro</v>
      </c>
      <c r="D2836" s="2">
        <f>YEAR(Tabela1[[#This Row],[Periodo]])</f>
        <v>2025</v>
      </c>
      <c r="E2836" s="16">
        <f>(INDEX(TBBP[],MATCH("2.1.1.1.01",planoContas,0)+1,MATCH(Tabela1[[#This Row],[Periodo]],listaPeriodos,0)))</f>
        <v>7123752.6100000003</v>
      </c>
      <c r="F2836" s="16"/>
      <c r="G2836" s="16"/>
      <c r="H2836" s="16"/>
    </row>
    <row r="2837" spans="1:8" x14ac:dyDescent="0.3">
      <c r="A2837" t="s">
        <v>1065</v>
      </c>
      <c r="B2837" s="3">
        <f t="shared" si="37"/>
        <v>45689</v>
      </c>
      <c r="C2837" s="2" t="str">
        <f>VLOOKUP(MONTH(Tabela1[[#This Row],[Periodo]]),NUMMESES,2,FALSE)</f>
        <v>Fevereiro</v>
      </c>
      <c r="D2837" s="2">
        <f>YEAR(Tabela1[[#This Row],[Periodo]])</f>
        <v>2025</v>
      </c>
      <c r="E2837" s="16">
        <f>(INDEX(TBBP[],MATCH("2.1.1.1.01",planoContas,0)+1,MATCH(Tabela1[[#This Row],[Periodo]],listaPeriodos,0)))</f>
        <v>7323281.0999999996</v>
      </c>
      <c r="F2837" s="16"/>
      <c r="G2837" s="16"/>
      <c r="H2837" s="16"/>
    </row>
    <row r="2838" spans="1:8" x14ac:dyDescent="0.3">
      <c r="A2838" t="s">
        <v>1065</v>
      </c>
      <c r="B2838" s="3">
        <f t="shared" si="37"/>
        <v>45717</v>
      </c>
      <c r="C2838" s="2" t="str">
        <f>VLOOKUP(MONTH(Tabela1[[#This Row],[Periodo]]),NUMMESES,2,FALSE)</f>
        <v>Março</v>
      </c>
      <c r="D2838" s="2">
        <f>YEAR(Tabela1[[#This Row],[Periodo]])</f>
        <v>2025</v>
      </c>
      <c r="E2838" s="16">
        <f>(INDEX(TBBP[],MATCH("2.1.1.1.01",planoContas,0)+1,MATCH(Tabela1[[#This Row],[Periodo]],listaPeriodos,0)))</f>
        <v>5448274.1900000004</v>
      </c>
      <c r="F2838" s="16"/>
      <c r="G2838" s="16"/>
      <c r="H2838" s="16"/>
    </row>
    <row r="2839" spans="1:8" x14ac:dyDescent="0.3">
      <c r="A2839" t="s">
        <v>1065</v>
      </c>
      <c r="B2839" s="3">
        <f t="shared" si="37"/>
        <v>45748</v>
      </c>
      <c r="C2839" s="2" t="str">
        <f>VLOOKUP(MONTH(Tabela1[[#This Row],[Periodo]]),NUMMESES,2,FALSE)</f>
        <v>Abril</v>
      </c>
      <c r="D2839" s="2">
        <f>YEAR(Tabela1[[#This Row],[Periodo]])</f>
        <v>2025</v>
      </c>
      <c r="E2839" s="16">
        <f>(INDEX(TBBP[],MATCH("2.1.1.1.01",planoContas,0)+1,MATCH(Tabela1[[#This Row],[Periodo]],listaPeriodos,0)))</f>
        <v>4727651.09</v>
      </c>
      <c r="F2839" s="16"/>
      <c r="G2839" s="16"/>
      <c r="H2839" s="16"/>
    </row>
    <row r="2840" spans="1:8" x14ac:dyDescent="0.3">
      <c r="A2840" t="s">
        <v>1065</v>
      </c>
      <c r="B2840" s="3">
        <f t="shared" si="37"/>
        <v>45778</v>
      </c>
      <c r="C2840" s="2" t="str">
        <f>VLOOKUP(MONTH(Tabela1[[#This Row],[Periodo]]),NUMMESES,2,FALSE)</f>
        <v>Maio</v>
      </c>
      <c r="D2840" s="2">
        <f>YEAR(Tabela1[[#This Row],[Periodo]])</f>
        <v>2025</v>
      </c>
      <c r="E2840" s="16">
        <f>(INDEX(TBBP[],MATCH("2.1.1.1.01",planoContas,0)+1,MATCH(Tabela1[[#This Row],[Periodo]],listaPeriodos,0)))</f>
        <v>4912673.3600000003</v>
      </c>
      <c r="F2840" s="16"/>
      <c r="G2840" s="16"/>
      <c r="H2840" s="16"/>
    </row>
    <row r="2841" spans="1:8" x14ac:dyDescent="0.3">
      <c r="A2841" t="s">
        <v>1065</v>
      </c>
      <c r="B2841" s="3">
        <f t="shared" si="37"/>
        <v>45809</v>
      </c>
      <c r="C2841" s="2" t="str">
        <f>VLOOKUP(MONTH(Tabela1[[#This Row],[Periodo]]),NUMMESES,2,FALSE)</f>
        <v>Junho</v>
      </c>
      <c r="D2841" s="2">
        <f>YEAR(Tabela1[[#This Row],[Periodo]])</f>
        <v>2025</v>
      </c>
      <c r="E2841" s="16">
        <f>(INDEX(TBBP[],MATCH("2.1.1.1.01",planoContas,0)+1,MATCH(Tabela1[[#This Row],[Periodo]],listaPeriodos,0)))</f>
        <v>6116291.8200000003</v>
      </c>
      <c r="F2841" s="16"/>
      <c r="G2841" s="16"/>
      <c r="H2841" s="16"/>
    </row>
    <row r="2842" spans="1:8" x14ac:dyDescent="0.3">
      <c r="A2842" t="s">
        <v>1065</v>
      </c>
      <c r="B2842" s="3">
        <f t="shared" si="37"/>
        <v>45839</v>
      </c>
      <c r="C2842" s="2" t="str">
        <f>VLOOKUP(MONTH(Tabela1[[#This Row],[Periodo]]),NUMMESES,2,FALSE)</f>
        <v>Julho</v>
      </c>
      <c r="D2842" s="2">
        <f>YEAR(Tabela1[[#This Row],[Periodo]])</f>
        <v>2025</v>
      </c>
      <c r="E2842" s="16">
        <f>(INDEX(TBBP[],MATCH("2.1.1.1.01",planoContas,0)+1,MATCH(Tabela1[[#This Row],[Periodo]],listaPeriodos,0)))</f>
        <v>6038372.8300000001</v>
      </c>
      <c r="F2842" s="16"/>
      <c r="G2842" s="16"/>
      <c r="H2842" s="16"/>
    </row>
    <row r="2843" spans="1:8" x14ac:dyDescent="0.3">
      <c r="A2843" t="s">
        <v>1065</v>
      </c>
      <c r="B2843" s="3">
        <f t="shared" si="37"/>
        <v>45870</v>
      </c>
      <c r="C2843" s="2" t="str">
        <f>VLOOKUP(MONTH(Tabela1[[#This Row],[Periodo]]),NUMMESES,2,FALSE)</f>
        <v>Agosto</v>
      </c>
      <c r="D2843" s="2">
        <f>YEAR(Tabela1[[#This Row],[Periodo]])</f>
        <v>2025</v>
      </c>
      <c r="E2843" s="16">
        <f>(INDEX(TBBP[],MATCH("2.1.1.1.01",planoContas,0)+1,MATCH(Tabela1[[#This Row],[Periodo]],listaPeriodos,0)))</f>
        <v>4610653.37</v>
      </c>
      <c r="F2843" s="16"/>
      <c r="G2843" s="16"/>
      <c r="H2843" s="16"/>
    </row>
    <row r="2844" spans="1:8" x14ac:dyDescent="0.3">
      <c r="A2844" t="s">
        <v>1065</v>
      </c>
      <c r="B2844" s="3">
        <f t="shared" si="37"/>
        <v>45901</v>
      </c>
      <c r="C2844" s="2" t="str">
        <f>VLOOKUP(MONTH(Tabela1[[#This Row],[Periodo]]),NUMMESES,2,FALSE)</f>
        <v>Setembro</v>
      </c>
      <c r="D2844" s="2">
        <f>YEAR(Tabela1[[#This Row],[Periodo]])</f>
        <v>2025</v>
      </c>
      <c r="E2844" s="16">
        <f>(INDEX(TBBP[],MATCH("2.1.1.1.01",planoContas,0)+1,MATCH(Tabela1[[#This Row],[Periodo]],listaPeriodos,0)))</f>
        <v>3866048.08</v>
      </c>
      <c r="F2844" s="16"/>
      <c r="G2844" s="16"/>
      <c r="H2844" s="16"/>
    </row>
    <row r="2845" spans="1:8" x14ac:dyDescent="0.3">
      <c r="A2845" t="s">
        <v>1065</v>
      </c>
      <c r="B2845" s="3">
        <f t="shared" si="37"/>
        <v>45931</v>
      </c>
      <c r="C2845" s="2" t="str">
        <f>VLOOKUP(MONTH(Tabela1[[#This Row],[Periodo]]),NUMMESES,2,FALSE)</f>
        <v>Outubro</v>
      </c>
      <c r="D2845" s="2">
        <f>YEAR(Tabela1[[#This Row],[Periodo]])</f>
        <v>2025</v>
      </c>
      <c r="E2845" s="16">
        <f>(INDEX(TBBP[],MATCH("2.1.1.1.01",planoContas,0)+1,MATCH(Tabela1[[#This Row],[Periodo]],listaPeriodos,0)))</f>
        <v>3665479.09</v>
      </c>
      <c r="F2845" s="16"/>
      <c r="G2845" s="16"/>
      <c r="H2845" s="16"/>
    </row>
    <row r="2846" spans="1:8" x14ac:dyDescent="0.3">
      <c r="A2846" t="s">
        <v>1065</v>
      </c>
      <c r="B2846" s="3">
        <f t="shared" si="37"/>
        <v>45962</v>
      </c>
      <c r="C2846" s="2" t="str">
        <f>VLOOKUP(MONTH(Tabela1[[#This Row],[Periodo]]),NUMMESES,2,FALSE)</f>
        <v>Novembro</v>
      </c>
      <c r="D2846" s="2">
        <f>YEAR(Tabela1[[#This Row],[Periodo]])</f>
        <v>2025</v>
      </c>
      <c r="E2846" s="16">
        <f>(INDEX(TBBP[],MATCH("2.1.1.1.01",planoContas,0)+1,MATCH(Tabela1[[#This Row],[Periodo]],listaPeriodos,0)))</f>
        <v>4601275.7</v>
      </c>
      <c r="F2846" s="16"/>
      <c r="G2846" s="16"/>
      <c r="H2846" s="16"/>
    </row>
    <row r="2847" spans="1:8" x14ac:dyDescent="0.3">
      <c r="A2847" t="s">
        <v>1065</v>
      </c>
      <c r="B2847" s="3">
        <f t="shared" si="37"/>
        <v>45992</v>
      </c>
      <c r="C2847" s="2" t="str">
        <f>VLOOKUP(MONTH(Tabela1[[#This Row],[Periodo]]),NUMMESES,2,FALSE)</f>
        <v>Dezembro</v>
      </c>
      <c r="D2847" s="2">
        <f>YEAR(Tabela1[[#This Row],[Periodo]])</f>
        <v>2025</v>
      </c>
      <c r="E2847" s="16">
        <f>(INDEX(TBBP[],MATCH("2.1.1.1.01",planoContas,0)+1,MATCH(Tabela1[[#This Row],[Periodo]],listaPeriodos,0)))</f>
        <v>4475096.8499999996</v>
      </c>
      <c r="F2847" s="16"/>
      <c r="G2847" s="16"/>
      <c r="H2847" s="16"/>
    </row>
    <row r="2848" spans="1:8" x14ac:dyDescent="0.3">
      <c r="A2848" t="s">
        <v>1065</v>
      </c>
      <c r="B2848" s="3">
        <f t="shared" si="37"/>
        <v>46023</v>
      </c>
      <c r="C2848" s="2" t="str">
        <f>VLOOKUP(MONTH(Tabela1[[#This Row],[Periodo]]),NUMMESES,2,FALSE)</f>
        <v>Janeiro</v>
      </c>
      <c r="D2848" s="2">
        <f>YEAR(Tabela1[[#This Row],[Periodo]])</f>
        <v>2026</v>
      </c>
      <c r="E2848" s="16">
        <f>(INDEX(TBBP[],MATCH("2.1.1.1.01",planoContas,0)+1,MATCH(Tabela1[[#This Row],[Periodo]],listaPeriodos,0)))</f>
        <v>4681750.3</v>
      </c>
      <c r="F2848" s="16"/>
      <c r="G2848" s="16"/>
      <c r="H2848" s="16"/>
    </row>
    <row r="2849" spans="1:8" x14ac:dyDescent="0.3">
      <c r="B2849" s="3"/>
      <c r="C2849" s="2"/>
      <c r="D2849" s="2"/>
      <c r="E2849" s="16"/>
      <c r="F2849" s="16"/>
      <c r="G2849" s="16"/>
      <c r="H2849" s="16"/>
    </row>
    <row r="2850" spans="1:8" x14ac:dyDescent="0.3">
      <c r="A2850" t="s">
        <v>1066</v>
      </c>
      <c r="B2850" s="3">
        <v>41609</v>
      </c>
      <c r="C2850" s="2" t="str">
        <f>VLOOKUP(MONTH(Tabela1[[#This Row],[Periodo]]),NUMMESES,2,FALSE)</f>
        <v>Dezembro</v>
      </c>
      <c r="D2850" s="2">
        <f>YEAR(Tabela1[[#This Row],[Periodo]])</f>
        <v>2013</v>
      </c>
      <c r="E2850" s="16">
        <f>(INDEX(TBBP[],MATCH("2.1.1.1.03",planoContas,0)+1,MATCH(Tabela1[[#This Row],[Periodo]],listaPeriodos,0)))</f>
        <v>0</v>
      </c>
      <c r="F2850" s="16"/>
      <c r="G2850" s="16"/>
      <c r="H2850" s="16"/>
    </row>
    <row r="2851" spans="1:8" x14ac:dyDescent="0.3">
      <c r="A2851" t="s">
        <v>1066</v>
      </c>
      <c r="B2851" s="3">
        <v>41974</v>
      </c>
      <c r="C2851" s="2" t="str">
        <f>VLOOKUP(MONTH(Tabela1[[#This Row],[Periodo]]),NUMMESES,2,FALSE)</f>
        <v>Dezembro</v>
      </c>
      <c r="D2851" s="2">
        <f>YEAR(Tabela1[[#This Row],[Periodo]])</f>
        <v>2014</v>
      </c>
      <c r="E2851" s="16">
        <f>(INDEX(TBBP[],MATCH("2.1.1.1.03",planoContas,0)+1,MATCH(Tabela1[[#This Row],[Periodo]],listaPeriodos,0)))</f>
        <v>777851.74</v>
      </c>
      <c r="F2851" s="16"/>
      <c r="G2851" s="16"/>
      <c r="H2851" s="16"/>
    </row>
    <row r="2852" spans="1:8" x14ac:dyDescent="0.3">
      <c r="A2852" t="s">
        <v>1066</v>
      </c>
      <c r="B2852" s="3">
        <v>42339</v>
      </c>
      <c r="C2852" s="2" t="str">
        <f>VLOOKUP(MONTH(Tabela1[[#This Row],[Periodo]]),NUMMESES,2,FALSE)</f>
        <v>Dezembro</v>
      </c>
      <c r="D2852" s="2">
        <f>YEAR(Tabela1[[#This Row],[Periodo]])</f>
        <v>2015</v>
      </c>
      <c r="E2852" s="16">
        <f>(INDEX(TBBP[],MATCH("2.1.1.1.03",planoContas,0)+1,MATCH(Tabela1[[#This Row],[Periodo]],listaPeriodos,0)))</f>
        <v>343274.65</v>
      </c>
      <c r="F2852" s="16"/>
      <c r="G2852" s="16"/>
      <c r="H2852" s="16"/>
    </row>
    <row r="2853" spans="1:8" x14ac:dyDescent="0.3">
      <c r="A2853" t="s">
        <v>1066</v>
      </c>
      <c r="B2853" s="3">
        <v>42705</v>
      </c>
      <c r="C2853" s="2" t="str">
        <f>VLOOKUP(MONTH(Tabela1[[#This Row],[Periodo]]),NUMMESES,2,FALSE)</f>
        <v>Dezembro</v>
      </c>
      <c r="D2853" s="2">
        <f>YEAR(Tabela1[[#This Row],[Periodo]])</f>
        <v>2016</v>
      </c>
      <c r="E2853" s="16">
        <f>(INDEX(TBBP[],MATCH("2.1.1.1.03",planoContas,0)+1,MATCH(Tabela1[[#This Row],[Periodo]],listaPeriodos,0)))</f>
        <v>0</v>
      </c>
      <c r="F2853" s="16"/>
      <c r="G2853" s="16"/>
      <c r="H2853" s="16"/>
    </row>
    <row r="2854" spans="1:8" x14ac:dyDescent="0.3">
      <c r="A2854" t="s">
        <v>1066</v>
      </c>
      <c r="B2854" s="3">
        <v>43070</v>
      </c>
      <c r="C2854" s="2" t="str">
        <f>VLOOKUP(MONTH(Tabela1[[#This Row],[Periodo]]),NUMMESES,2,FALSE)</f>
        <v>Dezembro</v>
      </c>
      <c r="D2854" s="2">
        <f>YEAR(Tabela1[[#This Row],[Periodo]])</f>
        <v>2017</v>
      </c>
      <c r="E2854" s="16">
        <f>(INDEX(TBBP[],MATCH("2.1.1.1.03",planoContas,0)+1,MATCH(Tabela1[[#This Row],[Periodo]],listaPeriodos,0)))</f>
        <v>384067.26</v>
      </c>
      <c r="F2854" s="16"/>
      <c r="G2854" s="16"/>
      <c r="H2854" s="16"/>
    </row>
    <row r="2855" spans="1:8" x14ac:dyDescent="0.3">
      <c r="A2855" t="s">
        <v>1066</v>
      </c>
      <c r="B2855" s="3">
        <v>43101</v>
      </c>
      <c r="C2855" s="2" t="str">
        <f>VLOOKUP(MONTH(Tabela1[[#This Row],[Periodo]]),NUMMESES,2,FALSE)</f>
        <v>Janeiro</v>
      </c>
      <c r="D2855" s="2">
        <f>YEAR(Tabela1[[#This Row],[Periodo]])</f>
        <v>2018</v>
      </c>
      <c r="E2855" s="16">
        <f>(INDEX(TBBP[],MATCH("2.1.1.1.03",planoContas,0)+1,MATCH(Tabela1[[#This Row],[Periodo]],listaPeriodos,0)))</f>
        <v>0</v>
      </c>
      <c r="F2855" s="16"/>
      <c r="G2855" s="16"/>
      <c r="H2855" s="16"/>
    </row>
    <row r="2856" spans="1:8" x14ac:dyDescent="0.3">
      <c r="A2856" t="s">
        <v>1066</v>
      </c>
      <c r="B2856" s="3">
        <f t="shared" ref="B2856:B2951" si="38">DATE(YEAR(B2855),MONTH(B2855)+1,DAY(B2855))</f>
        <v>43132</v>
      </c>
      <c r="C2856" s="2" t="str">
        <f>VLOOKUP(MONTH(Tabela1[[#This Row],[Periodo]]),NUMMESES,2,FALSE)</f>
        <v>Fevereiro</v>
      </c>
      <c r="D2856" s="2">
        <f>YEAR(Tabela1[[#This Row],[Periodo]])</f>
        <v>2018</v>
      </c>
      <c r="E2856" s="16">
        <f>(INDEX(TBBP[],MATCH("2.1.1.1.03",planoContas,0)+1,MATCH(Tabela1[[#This Row],[Periodo]],listaPeriodos,0)))</f>
        <v>6457.3</v>
      </c>
      <c r="F2856" s="16"/>
      <c r="G2856" s="16"/>
      <c r="H2856" s="16"/>
    </row>
    <row r="2857" spans="1:8" x14ac:dyDescent="0.3">
      <c r="A2857" t="s">
        <v>1066</v>
      </c>
      <c r="B2857" s="3">
        <f t="shared" si="38"/>
        <v>43160</v>
      </c>
      <c r="C2857" s="2" t="str">
        <f>VLOOKUP(MONTH(Tabela1[[#This Row],[Periodo]]),NUMMESES,2,FALSE)</f>
        <v>Março</v>
      </c>
      <c r="D2857" s="2">
        <f>YEAR(Tabela1[[#This Row],[Periodo]])</f>
        <v>2018</v>
      </c>
      <c r="E2857" s="16">
        <f>(INDEX(TBBP[],MATCH("2.1.1.1.03",planoContas,0)+1,MATCH(Tabela1[[#This Row],[Periodo]],listaPeriodos,0)))</f>
        <v>6663.65</v>
      </c>
      <c r="F2857" s="16"/>
      <c r="G2857" s="16"/>
      <c r="H2857" s="16"/>
    </row>
    <row r="2858" spans="1:8" x14ac:dyDescent="0.3">
      <c r="A2858" t="s">
        <v>1066</v>
      </c>
      <c r="B2858" s="3">
        <f t="shared" si="38"/>
        <v>43191</v>
      </c>
      <c r="C2858" s="2" t="str">
        <f>VLOOKUP(MONTH(Tabela1[[#This Row],[Periodo]]),NUMMESES,2,FALSE)</f>
        <v>Abril</v>
      </c>
      <c r="D2858" s="2">
        <f>YEAR(Tabela1[[#This Row],[Periodo]])</f>
        <v>2018</v>
      </c>
      <c r="E2858" s="16">
        <f>(INDEX(TBBP[],MATCH("2.1.1.1.03",planoContas,0)+1,MATCH(Tabela1[[#This Row],[Periodo]],listaPeriodos,0)))</f>
        <v>5517.2</v>
      </c>
      <c r="F2858" s="16"/>
      <c r="G2858" s="16"/>
      <c r="H2858" s="16"/>
    </row>
    <row r="2859" spans="1:8" x14ac:dyDescent="0.3">
      <c r="A2859" t="s">
        <v>1066</v>
      </c>
      <c r="B2859" s="3">
        <f t="shared" si="38"/>
        <v>43221</v>
      </c>
      <c r="C2859" s="2" t="str">
        <f>VLOOKUP(MONTH(Tabela1[[#This Row],[Periodo]]),NUMMESES,2,FALSE)</f>
        <v>Maio</v>
      </c>
      <c r="D2859" s="2">
        <f>YEAR(Tabela1[[#This Row],[Periodo]])</f>
        <v>2018</v>
      </c>
      <c r="E2859" s="16">
        <f>(INDEX(TBBP[],MATCH("2.1.1.1.03",planoContas,0)+1,MATCH(Tabela1[[#This Row],[Periodo]],listaPeriodos,0)))</f>
        <v>11336.03</v>
      </c>
      <c r="F2859" s="16"/>
      <c r="G2859" s="16"/>
      <c r="H2859" s="16"/>
    </row>
    <row r="2860" spans="1:8" x14ac:dyDescent="0.3">
      <c r="A2860" t="s">
        <v>1066</v>
      </c>
      <c r="B2860" s="3">
        <f t="shared" si="38"/>
        <v>43252</v>
      </c>
      <c r="C2860" s="2" t="str">
        <f>VLOOKUP(MONTH(Tabela1[[#This Row],[Periodo]]),NUMMESES,2,FALSE)</f>
        <v>Junho</v>
      </c>
      <c r="D2860" s="2">
        <f>YEAR(Tabela1[[#This Row],[Periodo]])</f>
        <v>2018</v>
      </c>
      <c r="E2860" s="16">
        <f>(INDEX(TBBP[],MATCH("2.1.1.1.03",planoContas,0)+1,MATCH(Tabela1[[#This Row],[Periodo]],listaPeriodos,0)))</f>
        <v>317918.59999999998</v>
      </c>
      <c r="F2860" s="16"/>
      <c r="G2860" s="16"/>
      <c r="H2860" s="16"/>
    </row>
    <row r="2861" spans="1:8" x14ac:dyDescent="0.3">
      <c r="A2861" t="s">
        <v>1066</v>
      </c>
      <c r="B2861" s="3">
        <f t="shared" si="38"/>
        <v>43282</v>
      </c>
      <c r="C2861" s="2" t="str">
        <f>VLOOKUP(MONTH(Tabela1[[#This Row],[Periodo]]),NUMMESES,2,FALSE)</f>
        <v>Julho</v>
      </c>
      <c r="D2861" s="2">
        <f>YEAR(Tabela1[[#This Row],[Periodo]])</f>
        <v>2018</v>
      </c>
      <c r="E2861" s="16">
        <f>(INDEX(TBBP[],MATCH("2.1.1.1.03",planoContas,0)+1,MATCH(Tabela1[[#This Row],[Periodo]],listaPeriodos,0)))</f>
        <v>4639.2</v>
      </c>
      <c r="F2861" s="16"/>
      <c r="G2861" s="16"/>
      <c r="H2861" s="16"/>
    </row>
    <row r="2862" spans="1:8" x14ac:dyDescent="0.3">
      <c r="A2862" t="s">
        <v>1066</v>
      </c>
      <c r="B2862" s="3">
        <f t="shared" si="38"/>
        <v>43313</v>
      </c>
      <c r="C2862" s="2" t="str">
        <f>VLOOKUP(MONTH(Tabela1[[#This Row],[Periodo]]),NUMMESES,2,FALSE)</f>
        <v>Agosto</v>
      </c>
      <c r="D2862" s="2">
        <f>YEAR(Tabela1[[#This Row],[Periodo]])</f>
        <v>2018</v>
      </c>
      <c r="E2862" s="16">
        <f>(INDEX(TBBP[],MATCH("2.1.1.1.03",planoContas,0)+1,MATCH(Tabela1[[#This Row],[Periodo]],listaPeriodos,0)))</f>
        <v>6703.33</v>
      </c>
      <c r="F2862" s="16"/>
      <c r="G2862" s="16"/>
      <c r="H2862" s="16"/>
    </row>
    <row r="2863" spans="1:8" x14ac:dyDescent="0.3">
      <c r="A2863" t="s">
        <v>1066</v>
      </c>
      <c r="B2863" s="3">
        <f t="shared" si="38"/>
        <v>43344</v>
      </c>
      <c r="C2863" s="2" t="str">
        <f>VLOOKUP(MONTH(Tabela1[[#This Row],[Periodo]]),NUMMESES,2,FALSE)</f>
        <v>Setembro</v>
      </c>
      <c r="D2863" s="2">
        <f>YEAR(Tabela1[[#This Row],[Periodo]])</f>
        <v>2018</v>
      </c>
      <c r="E2863" s="16">
        <f>(INDEX(TBBP[],MATCH("2.1.1.1.03",planoContas,0)+1,MATCH(Tabela1[[#This Row],[Periodo]],listaPeriodos,0)))</f>
        <v>6577.66</v>
      </c>
      <c r="F2863" s="16"/>
      <c r="G2863" s="16"/>
      <c r="H2863" s="16"/>
    </row>
    <row r="2864" spans="1:8" x14ac:dyDescent="0.3">
      <c r="A2864" t="s">
        <v>1066</v>
      </c>
      <c r="B2864" s="3">
        <f t="shared" si="38"/>
        <v>43374</v>
      </c>
      <c r="C2864" s="2" t="str">
        <f>VLOOKUP(MONTH(Tabela1[[#This Row],[Periodo]]),NUMMESES,2,FALSE)</f>
        <v>Outubro</v>
      </c>
      <c r="D2864" s="2">
        <f>YEAR(Tabela1[[#This Row],[Periodo]])</f>
        <v>2018</v>
      </c>
      <c r="E2864" s="16">
        <f>(INDEX(TBBP[],MATCH("2.1.1.1.03",planoContas,0)+1,MATCH(Tabela1[[#This Row],[Periodo]],listaPeriodos,0)))</f>
        <v>442818.17</v>
      </c>
      <c r="F2864" s="16"/>
      <c r="G2864" s="16"/>
      <c r="H2864" s="16"/>
    </row>
    <row r="2865" spans="1:8" x14ac:dyDescent="0.3">
      <c r="A2865" t="s">
        <v>1066</v>
      </c>
      <c r="B2865" s="3">
        <f t="shared" si="38"/>
        <v>43405</v>
      </c>
      <c r="C2865" s="2" t="str">
        <f>VLOOKUP(MONTH(Tabela1[[#This Row],[Periodo]]),NUMMESES,2,FALSE)</f>
        <v>Novembro</v>
      </c>
      <c r="D2865" s="2">
        <f>YEAR(Tabela1[[#This Row],[Periodo]])</f>
        <v>2018</v>
      </c>
      <c r="E2865" s="16">
        <f>(INDEX(TBBP[],MATCH("2.1.1.1.03",planoContas,0)+1,MATCH(Tabela1[[#This Row],[Periodo]],listaPeriodos,0)))</f>
        <v>394639.77</v>
      </c>
      <c r="F2865" s="16"/>
      <c r="G2865" s="16"/>
      <c r="H2865" s="16"/>
    </row>
    <row r="2866" spans="1:8" x14ac:dyDescent="0.3">
      <c r="A2866" t="s">
        <v>1066</v>
      </c>
      <c r="B2866" s="3">
        <f t="shared" si="38"/>
        <v>43435</v>
      </c>
      <c r="C2866" s="2" t="str">
        <f>VLOOKUP(MONTH(Tabela1[[#This Row],[Periodo]]),NUMMESES,2,FALSE)</f>
        <v>Dezembro</v>
      </c>
      <c r="D2866" s="2">
        <f>YEAR(Tabela1[[#This Row],[Periodo]])</f>
        <v>2018</v>
      </c>
      <c r="E2866" s="16">
        <f>(INDEX(TBBP[],MATCH("2.1.1.1.03",planoContas,0)+1,MATCH(Tabela1[[#This Row],[Periodo]],listaPeriodos,0)))</f>
        <v>608579.86</v>
      </c>
      <c r="F2866" s="16"/>
      <c r="G2866" s="16"/>
      <c r="H2866" s="16"/>
    </row>
    <row r="2867" spans="1:8" x14ac:dyDescent="0.3">
      <c r="A2867" t="s">
        <v>1066</v>
      </c>
      <c r="B2867" s="3">
        <f t="shared" si="38"/>
        <v>43466</v>
      </c>
      <c r="C2867" s="2" t="str">
        <f>VLOOKUP(MONTH(Tabela1[[#This Row],[Periodo]]),NUMMESES,2,FALSE)</f>
        <v>Janeiro</v>
      </c>
      <c r="D2867" s="2">
        <f>YEAR(Tabela1[[#This Row],[Periodo]])</f>
        <v>2019</v>
      </c>
      <c r="E2867" s="16">
        <f>(INDEX(TBBP[],MATCH("2.1.1.1.03",planoContas,0)+1,MATCH(Tabela1[[#This Row],[Periodo]],listaPeriodos,0)))</f>
        <v>899432.09</v>
      </c>
      <c r="F2867" s="16"/>
      <c r="G2867" s="16"/>
      <c r="H2867" s="16"/>
    </row>
    <row r="2868" spans="1:8" x14ac:dyDescent="0.3">
      <c r="A2868" t="s">
        <v>1066</v>
      </c>
      <c r="B2868" s="3">
        <f t="shared" si="38"/>
        <v>43497</v>
      </c>
      <c r="C2868" s="2" t="str">
        <f>VLOOKUP(MONTH(Tabela1[[#This Row],[Periodo]]),NUMMESES,2,FALSE)</f>
        <v>Fevereiro</v>
      </c>
      <c r="D2868" s="2">
        <f>YEAR(Tabela1[[#This Row],[Periodo]])</f>
        <v>2019</v>
      </c>
      <c r="E2868" s="16">
        <f>(INDEX(TBBP[],MATCH("2.1.1.1.03",planoContas,0)+1,MATCH(Tabela1[[#This Row],[Periodo]],listaPeriodos,0)))</f>
        <v>170697.45</v>
      </c>
      <c r="F2868" s="16"/>
      <c r="G2868" s="16"/>
      <c r="H2868" s="16"/>
    </row>
    <row r="2869" spans="1:8" x14ac:dyDescent="0.3">
      <c r="A2869" t="s">
        <v>1066</v>
      </c>
      <c r="B2869" s="3">
        <f t="shared" si="38"/>
        <v>43525</v>
      </c>
      <c r="C2869" s="2" t="str">
        <f>VLOOKUP(MONTH(Tabela1[[#This Row],[Periodo]]),NUMMESES,2,FALSE)</f>
        <v>Março</v>
      </c>
      <c r="D2869" s="2">
        <f>YEAR(Tabela1[[#This Row],[Periodo]])</f>
        <v>2019</v>
      </c>
      <c r="E2869" s="16">
        <f>(INDEX(TBBP[],MATCH("2.1.1.1.03",planoContas,0)+1,MATCH(Tabela1[[#This Row],[Periodo]],listaPeriodos,0)))</f>
        <v>175438.6</v>
      </c>
      <c r="F2869" s="16"/>
      <c r="G2869" s="16"/>
      <c r="H2869" s="16"/>
    </row>
    <row r="2870" spans="1:8" x14ac:dyDescent="0.3">
      <c r="A2870" t="s">
        <v>1066</v>
      </c>
      <c r="B2870" s="3">
        <f t="shared" si="38"/>
        <v>43556</v>
      </c>
      <c r="C2870" s="2" t="str">
        <f>VLOOKUP(MONTH(Tabela1[[#This Row],[Periodo]]),NUMMESES,2,FALSE)</f>
        <v>Abril</v>
      </c>
      <c r="D2870" s="2">
        <f>YEAR(Tabela1[[#This Row],[Periodo]])</f>
        <v>2019</v>
      </c>
      <c r="E2870" s="16">
        <f>(INDEX(TBBP[],MATCH("2.1.1.1.03",planoContas,0)+1,MATCH(Tabela1[[#This Row],[Periodo]],listaPeriodos,0)))</f>
        <v>542278.56000000006</v>
      </c>
      <c r="F2870" s="16"/>
      <c r="G2870" s="16"/>
      <c r="H2870" s="16"/>
    </row>
    <row r="2871" spans="1:8" x14ac:dyDescent="0.3">
      <c r="A2871" t="s">
        <v>1066</v>
      </c>
      <c r="B2871" s="3">
        <f t="shared" si="38"/>
        <v>43586</v>
      </c>
      <c r="C2871" s="2" t="str">
        <f>VLOOKUP(MONTH(Tabela1[[#This Row],[Periodo]]),NUMMESES,2,FALSE)</f>
        <v>Maio</v>
      </c>
      <c r="D2871" s="2">
        <f>YEAR(Tabela1[[#This Row],[Periodo]])</f>
        <v>2019</v>
      </c>
      <c r="E2871" s="16">
        <f>(INDEX(TBBP[],MATCH("2.1.1.1.03",planoContas,0)+1,MATCH(Tabela1[[#This Row],[Periodo]],listaPeriodos,0)))</f>
        <v>541118.47</v>
      </c>
      <c r="F2871" s="16"/>
      <c r="G2871" s="16"/>
      <c r="H2871" s="16"/>
    </row>
    <row r="2872" spans="1:8" x14ac:dyDescent="0.3">
      <c r="A2872" t="s">
        <v>1066</v>
      </c>
      <c r="B2872" s="3">
        <f t="shared" si="38"/>
        <v>43617</v>
      </c>
      <c r="C2872" s="2" t="str">
        <f>VLOOKUP(MONTH(Tabela1[[#This Row],[Periodo]]),NUMMESES,2,FALSE)</f>
        <v>Junho</v>
      </c>
      <c r="D2872" s="2">
        <f>YEAR(Tabela1[[#This Row],[Periodo]])</f>
        <v>2019</v>
      </c>
      <c r="E2872" s="16">
        <f>(INDEX(TBBP[],MATCH("2.1.1.1.03",planoContas,0)+1,MATCH(Tabela1[[#This Row],[Periodo]],listaPeriodos,0)))</f>
        <v>1240675.74</v>
      </c>
      <c r="F2872" s="16"/>
      <c r="G2872" s="16"/>
      <c r="H2872" s="16"/>
    </row>
    <row r="2873" spans="1:8" x14ac:dyDescent="0.3">
      <c r="A2873" t="s">
        <v>1066</v>
      </c>
      <c r="B2873" s="3">
        <f t="shared" si="38"/>
        <v>43647</v>
      </c>
      <c r="C2873" s="2" t="str">
        <f>VLOOKUP(MONTH(Tabela1[[#This Row],[Periodo]]),NUMMESES,2,FALSE)</f>
        <v>Julho</v>
      </c>
      <c r="D2873" s="2">
        <f>YEAR(Tabela1[[#This Row],[Periodo]])</f>
        <v>2019</v>
      </c>
      <c r="E2873" s="16">
        <f>(INDEX(TBBP[],MATCH("2.1.1.1.03",planoContas,0)+1,MATCH(Tabela1[[#This Row],[Periodo]],listaPeriodos,0)))</f>
        <v>969920.28</v>
      </c>
      <c r="F2873" s="16"/>
      <c r="G2873" s="16"/>
      <c r="H2873" s="16"/>
    </row>
    <row r="2874" spans="1:8" x14ac:dyDescent="0.3">
      <c r="A2874" t="s">
        <v>1066</v>
      </c>
      <c r="B2874" s="3">
        <f t="shared" si="38"/>
        <v>43678</v>
      </c>
      <c r="C2874" s="2" t="str">
        <f>VLOOKUP(MONTH(Tabela1[[#This Row],[Periodo]]),NUMMESES,2,FALSE)</f>
        <v>Agosto</v>
      </c>
      <c r="D2874" s="2">
        <f>YEAR(Tabela1[[#This Row],[Periodo]])</f>
        <v>2019</v>
      </c>
      <c r="E2874" s="16">
        <f>(INDEX(TBBP[],MATCH("2.1.1.1.03",planoContas,0)+1,MATCH(Tabela1[[#This Row],[Periodo]],listaPeriodos,0)))</f>
        <v>653434.28</v>
      </c>
      <c r="F2874" s="16"/>
      <c r="G2874" s="16"/>
      <c r="H2874" s="16"/>
    </row>
    <row r="2875" spans="1:8" x14ac:dyDescent="0.3">
      <c r="A2875" t="s">
        <v>1066</v>
      </c>
      <c r="B2875" s="3">
        <f t="shared" si="38"/>
        <v>43709</v>
      </c>
      <c r="C2875" s="2" t="str">
        <f>VLOOKUP(MONTH(Tabela1[[#This Row],[Periodo]]),NUMMESES,2,FALSE)</f>
        <v>Setembro</v>
      </c>
      <c r="D2875" s="2">
        <f>YEAR(Tabela1[[#This Row],[Periodo]])</f>
        <v>2019</v>
      </c>
      <c r="E2875" s="16">
        <f>(INDEX(TBBP[],MATCH("2.1.1.1.03",planoContas,0)+1,MATCH(Tabela1[[#This Row],[Periodo]],listaPeriodos,0)))</f>
        <v>899208.53</v>
      </c>
      <c r="F2875" s="16"/>
      <c r="G2875" s="16"/>
      <c r="H2875" s="16"/>
    </row>
    <row r="2876" spans="1:8" x14ac:dyDescent="0.3">
      <c r="A2876" t="s">
        <v>1066</v>
      </c>
      <c r="B2876" s="3">
        <f t="shared" si="38"/>
        <v>43739</v>
      </c>
      <c r="C2876" s="2" t="str">
        <f>VLOOKUP(MONTH(Tabela1[[#This Row],[Periodo]]),NUMMESES,2,FALSE)</f>
        <v>Outubro</v>
      </c>
      <c r="D2876" s="2">
        <f>YEAR(Tabela1[[#This Row],[Periodo]])</f>
        <v>2019</v>
      </c>
      <c r="E2876" s="16">
        <f>(INDEX(TBBP[],MATCH("2.1.1.1.03",planoContas,0)+1,MATCH(Tabela1[[#This Row],[Periodo]],listaPeriodos,0)))</f>
        <v>470223.31</v>
      </c>
      <c r="F2876" s="16"/>
      <c r="G2876" s="16"/>
      <c r="H2876" s="16"/>
    </row>
    <row r="2877" spans="1:8" x14ac:dyDescent="0.3">
      <c r="A2877" t="s">
        <v>1066</v>
      </c>
      <c r="B2877" s="3">
        <f t="shared" si="38"/>
        <v>43770</v>
      </c>
      <c r="C2877" s="2" t="str">
        <f>VLOOKUP(MONTH(Tabela1[[#This Row],[Periodo]]),NUMMESES,2,FALSE)</f>
        <v>Novembro</v>
      </c>
      <c r="D2877" s="2">
        <f>YEAR(Tabela1[[#This Row],[Periodo]])</f>
        <v>2019</v>
      </c>
      <c r="E2877" s="16">
        <f>(INDEX(TBBP[],MATCH("2.1.1.1.03",planoContas,0)+1,MATCH(Tabela1[[#This Row],[Periodo]],listaPeriodos,0)))</f>
        <v>1002399.8</v>
      </c>
      <c r="F2877" s="16"/>
      <c r="G2877" s="16"/>
      <c r="H2877" s="16"/>
    </row>
    <row r="2878" spans="1:8" x14ac:dyDescent="0.3">
      <c r="A2878" t="s">
        <v>1066</v>
      </c>
      <c r="B2878" s="3">
        <f t="shared" si="38"/>
        <v>43800</v>
      </c>
      <c r="C2878" s="2" t="str">
        <f>VLOOKUP(MONTH(Tabela1[[#This Row],[Periodo]]),NUMMESES,2,FALSE)</f>
        <v>Dezembro</v>
      </c>
      <c r="D2878" s="2">
        <f>YEAR(Tabela1[[#This Row],[Periodo]])</f>
        <v>2019</v>
      </c>
      <c r="E2878" s="16">
        <f>(INDEX(TBBP[],MATCH("2.1.1.1.03",planoContas,0)+1,MATCH(Tabela1[[#This Row],[Periodo]],listaPeriodos,0)))</f>
        <v>1260466.68</v>
      </c>
      <c r="F2878" s="16"/>
      <c r="G2878" s="16"/>
      <c r="H2878" s="16"/>
    </row>
    <row r="2879" spans="1:8" x14ac:dyDescent="0.3">
      <c r="A2879" t="s">
        <v>1066</v>
      </c>
      <c r="B2879" s="3">
        <f t="shared" si="38"/>
        <v>43831</v>
      </c>
      <c r="C2879" s="2" t="str">
        <f>VLOOKUP(MONTH(Tabela1[[#This Row],[Periodo]]),NUMMESES,2,FALSE)</f>
        <v>Janeiro</v>
      </c>
      <c r="D2879" s="2">
        <f>YEAR(Tabela1[[#This Row],[Periodo]])</f>
        <v>2020</v>
      </c>
      <c r="E2879" s="16">
        <f>(INDEX(TBBP[],MATCH("2.1.1.1.03",planoContas,0)+1,MATCH(Tabela1[[#This Row],[Periodo]],listaPeriodos,0)))</f>
        <v>1205959.49</v>
      </c>
      <c r="F2879" s="16"/>
      <c r="G2879" s="16"/>
      <c r="H2879" s="16"/>
    </row>
    <row r="2880" spans="1:8" x14ac:dyDescent="0.3">
      <c r="A2880" t="s">
        <v>1066</v>
      </c>
      <c r="B2880" s="3">
        <f t="shared" si="38"/>
        <v>43862</v>
      </c>
      <c r="C2880" s="2" t="str">
        <f>VLOOKUP(MONTH(Tabela1[[#This Row],[Periodo]]),NUMMESES,2,FALSE)</f>
        <v>Fevereiro</v>
      </c>
      <c r="D2880" s="2">
        <f>YEAR(Tabela1[[#This Row],[Periodo]])</f>
        <v>2020</v>
      </c>
      <c r="E2880" s="16">
        <f>(INDEX(TBBP[],MATCH("2.1.1.1.03",planoContas,0)+1,MATCH(Tabela1[[#This Row],[Periodo]],listaPeriodos,0)))</f>
        <v>1439809.54</v>
      </c>
      <c r="F2880" s="16"/>
      <c r="G2880" s="16"/>
      <c r="H2880" s="16"/>
    </row>
    <row r="2881" spans="1:8" x14ac:dyDescent="0.3">
      <c r="A2881" t="s">
        <v>1066</v>
      </c>
      <c r="B2881" s="3">
        <f t="shared" si="38"/>
        <v>43891</v>
      </c>
      <c r="C2881" s="2" t="str">
        <f>VLOOKUP(MONTH(Tabela1[[#This Row],[Periodo]]),NUMMESES,2,FALSE)</f>
        <v>Março</v>
      </c>
      <c r="D2881" s="2">
        <f>YEAR(Tabela1[[#This Row],[Periodo]])</f>
        <v>2020</v>
      </c>
      <c r="E2881" s="16">
        <f>(INDEX(TBBP[],MATCH("2.1.1.1.03",planoContas,0)+1,MATCH(Tabela1[[#This Row],[Periodo]],listaPeriodos,0)))</f>
        <v>1414834.14</v>
      </c>
      <c r="F2881" s="16"/>
      <c r="G2881" s="16"/>
      <c r="H2881" s="16"/>
    </row>
    <row r="2882" spans="1:8" x14ac:dyDescent="0.3">
      <c r="A2882" t="s">
        <v>1066</v>
      </c>
      <c r="B2882" s="3">
        <f t="shared" si="38"/>
        <v>43922</v>
      </c>
      <c r="C2882" s="2" t="str">
        <f>VLOOKUP(MONTH(Tabela1[[#This Row],[Periodo]]),NUMMESES,2,FALSE)</f>
        <v>Abril</v>
      </c>
      <c r="D2882" s="2">
        <f>YEAR(Tabela1[[#This Row],[Periodo]])</f>
        <v>2020</v>
      </c>
      <c r="E2882" s="16">
        <f>(INDEX(TBBP[],MATCH("2.1.1.1.03",planoContas,0)+1,MATCH(Tabela1[[#This Row],[Periodo]],listaPeriodos,0)))</f>
        <v>1330325.03</v>
      </c>
      <c r="F2882" s="16"/>
      <c r="G2882" s="16"/>
      <c r="H2882" s="16"/>
    </row>
    <row r="2883" spans="1:8" x14ac:dyDescent="0.3">
      <c r="A2883" t="s">
        <v>1066</v>
      </c>
      <c r="B2883" s="3">
        <f t="shared" si="38"/>
        <v>43952</v>
      </c>
      <c r="C2883" s="2" t="str">
        <f>VLOOKUP(MONTH(Tabela1[[#This Row],[Periodo]]),NUMMESES,2,FALSE)</f>
        <v>Maio</v>
      </c>
      <c r="D2883" s="2">
        <f>YEAR(Tabela1[[#This Row],[Periodo]])</f>
        <v>2020</v>
      </c>
      <c r="E2883" s="16">
        <f>(INDEX(TBBP[],MATCH("2.1.1.1.03",planoContas,0)+1,MATCH(Tabela1[[#This Row],[Periodo]],listaPeriodos,0)))</f>
        <v>1895365.35</v>
      </c>
      <c r="F2883" s="16"/>
      <c r="G2883" s="16"/>
      <c r="H2883" s="16"/>
    </row>
    <row r="2884" spans="1:8" x14ac:dyDescent="0.3">
      <c r="A2884" t="s">
        <v>1066</v>
      </c>
      <c r="B2884" s="3">
        <f t="shared" si="38"/>
        <v>43983</v>
      </c>
      <c r="C2884" s="2" t="str">
        <f>VLOOKUP(MONTH(Tabela1[[#This Row],[Periodo]]),NUMMESES,2,FALSE)</f>
        <v>Junho</v>
      </c>
      <c r="D2884" s="2">
        <f>YEAR(Tabela1[[#This Row],[Periodo]])</f>
        <v>2020</v>
      </c>
      <c r="E2884" s="16">
        <f>(INDEX(TBBP[],MATCH("2.1.1.1.03",planoContas,0)+1,MATCH(Tabela1[[#This Row],[Periodo]],listaPeriodos,0)))</f>
        <v>1301608.67</v>
      </c>
      <c r="F2884" s="16"/>
      <c r="G2884" s="16"/>
      <c r="H2884" s="16"/>
    </row>
    <row r="2885" spans="1:8" x14ac:dyDescent="0.3">
      <c r="A2885" t="s">
        <v>1066</v>
      </c>
      <c r="B2885" s="3">
        <f t="shared" si="38"/>
        <v>44013</v>
      </c>
      <c r="C2885" s="2" t="str">
        <f>VLOOKUP(MONTH(Tabela1[[#This Row],[Periodo]]),NUMMESES,2,FALSE)</f>
        <v>Julho</v>
      </c>
      <c r="D2885" s="2">
        <f>YEAR(Tabela1[[#This Row],[Periodo]])</f>
        <v>2020</v>
      </c>
      <c r="E2885" s="16">
        <f>(INDEX(TBBP[],MATCH("2.1.1.1.03",planoContas,0)+1,MATCH(Tabela1[[#This Row],[Periodo]],listaPeriodos,0)))</f>
        <v>265284.15999999997</v>
      </c>
      <c r="F2885" s="16"/>
      <c r="G2885" s="16"/>
      <c r="H2885" s="16"/>
    </row>
    <row r="2886" spans="1:8" x14ac:dyDescent="0.3">
      <c r="A2886" t="s">
        <v>1066</v>
      </c>
      <c r="B2886" s="3">
        <f t="shared" si="38"/>
        <v>44044</v>
      </c>
      <c r="C2886" s="2" t="str">
        <f>VLOOKUP(MONTH(Tabela1[[#This Row],[Periodo]]),NUMMESES,2,FALSE)</f>
        <v>Agosto</v>
      </c>
      <c r="D2886" s="2">
        <f>YEAR(Tabela1[[#This Row],[Periodo]])</f>
        <v>2020</v>
      </c>
      <c r="E2886" s="16">
        <f>(INDEX(TBBP[],MATCH("2.1.1.1.03",planoContas,0)+1,MATCH(Tabela1[[#This Row],[Periodo]],listaPeriodos,0)))</f>
        <v>281993.01</v>
      </c>
      <c r="F2886" s="16"/>
      <c r="G2886" s="16"/>
      <c r="H2886" s="16"/>
    </row>
    <row r="2887" spans="1:8" x14ac:dyDescent="0.3">
      <c r="A2887" t="s">
        <v>1066</v>
      </c>
      <c r="B2887" s="3">
        <f t="shared" si="38"/>
        <v>44075</v>
      </c>
      <c r="C2887" s="2" t="str">
        <f>VLOOKUP(MONTH(Tabela1[[#This Row],[Periodo]]),NUMMESES,2,FALSE)</f>
        <v>Setembro</v>
      </c>
      <c r="D2887" s="2">
        <f>YEAR(Tabela1[[#This Row],[Periodo]])</f>
        <v>2020</v>
      </c>
      <c r="E2887" s="16">
        <f>(INDEX(TBBP[],MATCH("2.1.1.1.03",planoContas,0)+1,MATCH(Tabela1[[#This Row],[Periodo]],listaPeriodos,0)))</f>
        <v>147786.54999999999</v>
      </c>
      <c r="F2887" s="16"/>
      <c r="G2887" s="16"/>
      <c r="H2887" s="16"/>
    </row>
    <row r="2888" spans="1:8" x14ac:dyDescent="0.3">
      <c r="A2888" t="s">
        <v>1066</v>
      </c>
      <c r="B2888" s="3">
        <f t="shared" si="38"/>
        <v>44105</v>
      </c>
      <c r="C2888" s="2" t="str">
        <f>VLOOKUP(MONTH(Tabela1[[#This Row],[Periodo]]),NUMMESES,2,FALSE)</f>
        <v>Outubro</v>
      </c>
      <c r="D2888" s="2">
        <f>YEAR(Tabela1[[#This Row],[Periodo]])</f>
        <v>2020</v>
      </c>
      <c r="E2888" s="16">
        <f>(INDEX(TBBP[],MATCH("2.1.1.1.03",planoContas,0)+1,MATCH(Tabela1[[#This Row],[Periodo]],listaPeriodos,0)))</f>
        <v>150265.98000000001</v>
      </c>
      <c r="F2888" s="16"/>
      <c r="G2888" s="16"/>
      <c r="H2888" s="16"/>
    </row>
    <row r="2889" spans="1:8" x14ac:dyDescent="0.3">
      <c r="A2889" t="s">
        <v>1066</v>
      </c>
      <c r="B2889" s="3">
        <f t="shared" si="38"/>
        <v>44136</v>
      </c>
      <c r="C2889" s="2" t="str">
        <f>VLOOKUP(MONTH(Tabela1[[#This Row],[Periodo]]),NUMMESES,2,FALSE)</f>
        <v>Novembro</v>
      </c>
      <c r="D2889" s="2">
        <f>YEAR(Tabela1[[#This Row],[Periodo]])</f>
        <v>2020</v>
      </c>
      <c r="E2889" s="16">
        <f>(INDEX(TBBP[],MATCH("2.1.1.1.03",planoContas,0)+1,MATCH(Tabela1[[#This Row],[Periodo]],listaPeriodos,0)))</f>
        <v>505894.95</v>
      </c>
      <c r="F2889" s="16"/>
      <c r="G2889" s="16"/>
      <c r="H2889" s="16"/>
    </row>
    <row r="2890" spans="1:8" x14ac:dyDescent="0.3">
      <c r="A2890" t="s">
        <v>1066</v>
      </c>
      <c r="B2890" s="3">
        <f t="shared" si="38"/>
        <v>44166</v>
      </c>
      <c r="C2890" s="2" t="str">
        <f>VLOOKUP(MONTH(Tabela1[[#This Row],[Periodo]]),NUMMESES,2,FALSE)</f>
        <v>Dezembro</v>
      </c>
      <c r="D2890" s="2">
        <f>YEAR(Tabela1[[#This Row],[Periodo]])</f>
        <v>2020</v>
      </c>
      <c r="E2890" s="16">
        <f>(INDEX(TBBP[],MATCH("2.1.1.1.03",planoContas,0)+1,MATCH(Tabela1[[#This Row],[Periodo]],listaPeriodos,0)))</f>
        <v>122838.68</v>
      </c>
      <c r="F2890" s="16"/>
      <c r="G2890" s="16"/>
      <c r="H2890" s="16"/>
    </row>
    <row r="2891" spans="1:8" x14ac:dyDescent="0.3">
      <c r="A2891" t="s">
        <v>1066</v>
      </c>
      <c r="B2891" s="3">
        <f t="shared" si="38"/>
        <v>44197</v>
      </c>
      <c r="C2891" s="2" t="str">
        <f>VLOOKUP(MONTH(Tabela1[[#This Row],[Periodo]]),NUMMESES,2,FALSE)</f>
        <v>Janeiro</v>
      </c>
      <c r="D2891" s="2">
        <f>YEAR(Tabela1[[#This Row],[Periodo]])</f>
        <v>2021</v>
      </c>
      <c r="E2891" s="16">
        <f>(INDEX(TBBP[],MATCH("2.1.1.1.03",planoContas,0)+1,MATCH(Tabela1[[#This Row],[Periodo]],listaPeriodos,0)))</f>
        <v>384366.05</v>
      </c>
      <c r="F2891" s="16"/>
      <c r="G2891" s="16"/>
      <c r="H2891" s="16"/>
    </row>
    <row r="2892" spans="1:8" x14ac:dyDescent="0.3">
      <c r="A2892" t="s">
        <v>1066</v>
      </c>
      <c r="B2892" s="3">
        <f t="shared" si="38"/>
        <v>44228</v>
      </c>
      <c r="C2892" s="2" t="str">
        <f>VLOOKUP(MONTH(Tabela1[[#This Row],[Periodo]]),NUMMESES,2,FALSE)</f>
        <v>Fevereiro</v>
      </c>
      <c r="D2892" s="2">
        <f>YEAR(Tabela1[[#This Row],[Periodo]])</f>
        <v>2021</v>
      </c>
      <c r="E2892" s="16">
        <f>(INDEX(TBBP[],MATCH("2.1.1.1.03",planoContas,0)+1,MATCH(Tabela1[[#This Row],[Periodo]],listaPeriodos,0)))</f>
        <v>884735.97</v>
      </c>
      <c r="F2892" s="16"/>
      <c r="G2892" s="16"/>
      <c r="H2892" s="16"/>
    </row>
    <row r="2893" spans="1:8" x14ac:dyDescent="0.3">
      <c r="A2893" t="s">
        <v>1066</v>
      </c>
      <c r="B2893" s="3">
        <f t="shared" si="38"/>
        <v>44256</v>
      </c>
      <c r="C2893" s="2" t="str">
        <f>VLOOKUP(MONTH(Tabela1[[#This Row],[Periodo]]),NUMMESES,2,FALSE)</f>
        <v>Março</v>
      </c>
      <c r="D2893" s="2">
        <f>YEAR(Tabela1[[#This Row],[Periodo]])</f>
        <v>2021</v>
      </c>
      <c r="E2893" s="16">
        <f>(INDEX(TBBP[],MATCH("2.1.1.1.03",planoContas,0)+1,MATCH(Tabela1[[#This Row],[Periodo]],listaPeriodos,0)))</f>
        <v>996386.94</v>
      </c>
      <c r="F2893" s="16"/>
      <c r="G2893" s="16"/>
      <c r="H2893" s="16"/>
    </row>
    <row r="2894" spans="1:8" x14ac:dyDescent="0.3">
      <c r="A2894" t="s">
        <v>1066</v>
      </c>
      <c r="B2894" s="3">
        <f t="shared" si="38"/>
        <v>44287</v>
      </c>
      <c r="C2894" s="2" t="str">
        <f>VLOOKUP(MONTH(Tabela1[[#This Row],[Periodo]]),NUMMESES,2,FALSE)</f>
        <v>Abril</v>
      </c>
      <c r="D2894" s="2">
        <f>YEAR(Tabela1[[#This Row],[Periodo]])</f>
        <v>2021</v>
      </c>
      <c r="E2894" s="16">
        <f>(INDEX(TBBP[],MATCH("2.1.1.1.03",planoContas,0)+1,MATCH(Tabela1[[#This Row],[Periodo]],listaPeriodos,0)))</f>
        <v>703492.9</v>
      </c>
      <c r="F2894" s="16"/>
      <c r="G2894" s="16"/>
      <c r="H2894" s="16"/>
    </row>
    <row r="2895" spans="1:8" x14ac:dyDescent="0.3">
      <c r="A2895" t="s">
        <v>1066</v>
      </c>
      <c r="B2895" s="3">
        <f t="shared" si="38"/>
        <v>44317</v>
      </c>
      <c r="C2895" s="2" t="str">
        <f>VLOOKUP(MONTH(Tabela1[[#This Row],[Periodo]]),NUMMESES,2,FALSE)</f>
        <v>Maio</v>
      </c>
      <c r="D2895" s="2">
        <f>YEAR(Tabela1[[#This Row],[Periodo]])</f>
        <v>2021</v>
      </c>
      <c r="E2895" s="16">
        <f>(INDEX(TBBP[],MATCH("2.1.1.1.03",planoContas,0)+1,MATCH(Tabela1[[#This Row],[Periodo]],listaPeriodos,0)))</f>
        <v>226627.14</v>
      </c>
      <c r="F2895" s="16"/>
      <c r="G2895" s="16"/>
      <c r="H2895" s="16"/>
    </row>
    <row r="2896" spans="1:8" x14ac:dyDescent="0.3">
      <c r="A2896" t="s">
        <v>1066</v>
      </c>
      <c r="B2896" s="3">
        <f t="shared" si="38"/>
        <v>44348</v>
      </c>
      <c r="C2896" s="2" t="str">
        <f>VLOOKUP(MONTH(Tabela1[[#This Row],[Periodo]]),NUMMESES,2,FALSE)</f>
        <v>Junho</v>
      </c>
      <c r="D2896" s="2">
        <f>YEAR(Tabela1[[#This Row],[Periodo]])</f>
        <v>2021</v>
      </c>
      <c r="E2896" s="16">
        <f>(INDEX(TBBP[],MATCH("2.1.1.1.03",planoContas,0)+1,MATCH(Tabela1[[#This Row],[Periodo]],listaPeriodos,0)))</f>
        <v>201446.53</v>
      </c>
      <c r="F2896" s="16"/>
      <c r="G2896" s="16"/>
      <c r="H2896" s="16"/>
    </row>
    <row r="2897" spans="1:8" x14ac:dyDescent="0.3">
      <c r="A2897" t="s">
        <v>1066</v>
      </c>
      <c r="B2897" s="3">
        <f t="shared" si="38"/>
        <v>44378</v>
      </c>
      <c r="C2897" s="2" t="str">
        <f>VLOOKUP(MONTH(Tabela1[[#This Row],[Periodo]]),NUMMESES,2,FALSE)</f>
        <v>Julho</v>
      </c>
      <c r="D2897" s="2">
        <f>YEAR(Tabela1[[#This Row],[Periodo]])</f>
        <v>2021</v>
      </c>
      <c r="E2897" s="16">
        <f>(INDEX(TBBP[],MATCH("2.1.1.1.03",planoContas,0)+1,MATCH(Tabela1[[#This Row],[Periodo]],listaPeriodos,0)))</f>
        <v>103285.13</v>
      </c>
      <c r="F2897" s="16"/>
      <c r="G2897" s="16"/>
      <c r="H2897" s="16"/>
    </row>
    <row r="2898" spans="1:8" x14ac:dyDescent="0.3">
      <c r="A2898" t="s">
        <v>1066</v>
      </c>
      <c r="B2898" s="3">
        <f t="shared" si="38"/>
        <v>44409</v>
      </c>
      <c r="C2898" s="2" t="str">
        <f>VLOOKUP(MONTH(Tabela1[[#This Row],[Periodo]]),NUMMESES,2,FALSE)</f>
        <v>Agosto</v>
      </c>
      <c r="D2898" s="2">
        <f>YEAR(Tabela1[[#This Row],[Periodo]])</f>
        <v>2021</v>
      </c>
      <c r="E2898" s="16">
        <f>(INDEX(TBBP[],MATCH("2.1.1.1.03",planoContas,0)+1,MATCH(Tabela1[[#This Row],[Periodo]],listaPeriodos,0)))</f>
        <v>103145.73</v>
      </c>
      <c r="F2898" s="16"/>
      <c r="G2898" s="16"/>
      <c r="H2898" s="16"/>
    </row>
    <row r="2899" spans="1:8" x14ac:dyDescent="0.3">
      <c r="A2899" t="s">
        <v>1066</v>
      </c>
      <c r="B2899" s="3">
        <f t="shared" si="38"/>
        <v>44440</v>
      </c>
      <c r="C2899" s="2" t="str">
        <f>VLOOKUP(MONTH(Tabela1[[#This Row],[Periodo]]),NUMMESES,2,FALSE)</f>
        <v>Setembro</v>
      </c>
      <c r="D2899" s="2">
        <f>YEAR(Tabela1[[#This Row],[Periodo]])</f>
        <v>2021</v>
      </c>
      <c r="E2899" s="16">
        <f>(INDEX(TBBP[],MATCH("2.1.1.1.03",planoContas,0)+1,MATCH(Tabela1[[#This Row],[Periodo]],listaPeriodos,0)))</f>
        <v>1719438.51</v>
      </c>
      <c r="F2899" s="16"/>
      <c r="G2899" s="16"/>
      <c r="H2899" s="16"/>
    </row>
    <row r="2900" spans="1:8" x14ac:dyDescent="0.3">
      <c r="A2900" t="s">
        <v>1066</v>
      </c>
      <c r="B2900" s="3">
        <f t="shared" si="38"/>
        <v>44470</v>
      </c>
      <c r="C2900" s="2" t="str">
        <f>VLOOKUP(MONTH(Tabela1[[#This Row],[Periodo]]),NUMMESES,2,FALSE)</f>
        <v>Outubro</v>
      </c>
      <c r="D2900" s="2">
        <f>YEAR(Tabela1[[#This Row],[Periodo]])</f>
        <v>2021</v>
      </c>
      <c r="E2900" s="16">
        <f>(INDEX(TBBP[],MATCH("2.1.1.1.03",planoContas,0)+1,MATCH(Tabela1[[#This Row],[Periodo]],listaPeriodos,0)))</f>
        <v>1127630.26</v>
      </c>
      <c r="F2900" s="16"/>
      <c r="G2900" s="16"/>
      <c r="H2900" s="16"/>
    </row>
    <row r="2901" spans="1:8" x14ac:dyDescent="0.3">
      <c r="A2901" t="s">
        <v>1066</v>
      </c>
      <c r="B2901" s="3">
        <f t="shared" si="38"/>
        <v>44501</v>
      </c>
      <c r="C2901" s="2" t="str">
        <f>VLOOKUP(MONTH(Tabela1[[#This Row],[Periodo]]),NUMMESES,2,FALSE)</f>
        <v>Novembro</v>
      </c>
      <c r="D2901" s="2">
        <f>YEAR(Tabela1[[#This Row],[Periodo]])</f>
        <v>2021</v>
      </c>
      <c r="E2901" s="16">
        <f>(INDEX(TBBP[],MATCH("2.1.1.1.03",planoContas,0)+1,MATCH(Tabela1[[#This Row],[Periodo]],listaPeriodos,0)))</f>
        <v>963267.72</v>
      </c>
      <c r="F2901" s="16"/>
      <c r="G2901" s="16"/>
      <c r="H2901" s="16"/>
    </row>
    <row r="2902" spans="1:8" x14ac:dyDescent="0.3">
      <c r="A2902" t="s">
        <v>1066</v>
      </c>
      <c r="B2902" s="3">
        <f t="shared" si="38"/>
        <v>44531</v>
      </c>
      <c r="C2902" s="2" t="str">
        <f>VLOOKUP(MONTH(Tabela1[[#This Row],[Periodo]]),NUMMESES,2,FALSE)</f>
        <v>Dezembro</v>
      </c>
      <c r="D2902" s="2">
        <f>YEAR(Tabela1[[#This Row],[Periodo]])</f>
        <v>2021</v>
      </c>
      <c r="E2902" s="16">
        <f>(INDEX(TBBP[],MATCH("2.1.1.1.03",planoContas,0)+1,MATCH(Tabela1[[#This Row],[Periodo]],listaPeriodos,0)))</f>
        <v>296204.23</v>
      </c>
      <c r="F2902" s="16"/>
      <c r="G2902" s="16"/>
      <c r="H2902" s="16"/>
    </row>
    <row r="2903" spans="1:8" x14ac:dyDescent="0.3">
      <c r="A2903" t="s">
        <v>1066</v>
      </c>
      <c r="B2903" s="3">
        <f t="shared" si="38"/>
        <v>44562</v>
      </c>
      <c r="C2903" s="2" t="str">
        <f>VLOOKUP(MONTH(Tabela1[[#This Row],[Periodo]]),NUMMESES,2,FALSE)</f>
        <v>Janeiro</v>
      </c>
      <c r="D2903" s="2">
        <f>YEAR(Tabela1[[#This Row],[Periodo]])</f>
        <v>2022</v>
      </c>
      <c r="E2903" s="16">
        <f>(INDEX(TBBP[],MATCH("2.1.1.1.03",planoContas,0)+1,MATCH(Tabela1[[#This Row],[Periodo]],listaPeriodos,0)))</f>
        <v>902001.12</v>
      </c>
      <c r="F2903" s="16"/>
      <c r="G2903" s="16"/>
      <c r="H2903" s="16"/>
    </row>
    <row r="2904" spans="1:8" x14ac:dyDescent="0.3">
      <c r="A2904" t="s">
        <v>1066</v>
      </c>
      <c r="B2904" s="3">
        <f t="shared" si="38"/>
        <v>44593</v>
      </c>
      <c r="C2904" s="2" t="str">
        <f>VLOOKUP(MONTH(Tabela1[[#This Row],[Periodo]]),NUMMESES,2,FALSE)</f>
        <v>Fevereiro</v>
      </c>
      <c r="D2904" s="2">
        <f>YEAR(Tabela1[[#This Row],[Periodo]])</f>
        <v>2022</v>
      </c>
      <c r="E2904" s="16">
        <f>(INDEX(TBBP[],MATCH("2.1.1.1.03",planoContas,0)+1,MATCH(Tabela1[[#This Row],[Periodo]],listaPeriodos,0)))</f>
        <v>874054.93</v>
      </c>
      <c r="F2904" s="16"/>
      <c r="G2904" s="16"/>
      <c r="H2904" s="16"/>
    </row>
    <row r="2905" spans="1:8" x14ac:dyDescent="0.3">
      <c r="A2905" t="s">
        <v>1066</v>
      </c>
      <c r="B2905" s="3">
        <f t="shared" si="38"/>
        <v>44621</v>
      </c>
      <c r="C2905" s="2" t="str">
        <f>VLOOKUP(MONTH(Tabela1[[#This Row],[Periodo]]),NUMMESES,2,FALSE)</f>
        <v>Março</v>
      </c>
      <c r="D2905" s="2">
        <f>YEAR(Tabela1[[#This Row],[Periodo]])</f>
        <v>2022</v>
      </c>
      <c r="E2905" s="16">
        <f>(INDEX(TBBP[],MATCH("2.1.1.1.03",planoContas,0)+1,MATCH(Tabela1[[#This Row],[Periodo]],listaPeriodos,0)))</f>
        <v>754773.37</v>
      </c>
      <c r="F2905" s="16"/>
      <c r="G2905" s="16"/>
      <c r="H2905" s="16"/>
    </row>
    <row r="2906" spans="1:8" x14ac:dyDescent="0.3">
      <c r="A2906" t="s">
        <v>1066</v>
      </c>
      <c r="B2906" s="3">
        <f t="shared" si="38"/>
        <v>44652</v>
      </c>
      <c r="C2906" s="2" t="str">
        <f>VLOOKUP(MONTH(Tabela1[[#This Row],[Periodo]]),NUMMESES,2,FALSE)</f>
        <v>Abril</v>
      </c>
      <c r="D2906" s="2">
        <f>YEAR(Tabela1[[#This Row],[Periodo]])</f>
        <v>2022</v>
      </c>
      <c r="E2906" s="16">
        <f>(INDEX(TBBP[],MATCH("2.1.1.1.03",planoContas,0)+1,MATCH(Tabela1[[#This Row],[Periodo]],listaPeriodos,0)))</f>
        <v>659374.68000000005</v>
      </c>
      <c r="F2906" s="16"/>
      <c r="G2906" s="16"/>
      <c r="H2906" s="16"/>
    </row>
    <row r="2907" spans="1:8" x14ac:dyDescent="0.3">
      <c r="A2907" t="s">
        <v>1066</v>
      </c>
      <c r="B2907" s="3">
        <f t="shared" si="38"/>
        <v>44682</v>
      </c>
      <c r="C2907" s="2" t="str">
        <f>VLOOKUP(MONTH(Tabela1[[#This Row],[Periodo]]),NUMMESES,2,FALSE)</f>
        <v>Maio</v>
      </c>
      <c r="D2907" s="2">
        <f>YEAR(Tabela1[[#This Row],[Periodo]])</f>
        <v>2022</v>
      </c>
      <c r="E2907" s="16">
        <f>(INDEX(TBBP[],MATCH("2.1.1.1.03",planoContas,0)+1,MATCH(Tabela1[[#This Row],[Periodo]],listaPeriodos,0)))</f>
        <v>562010.13</v>
      </c>
      <c r="F2907" s="16"/>
      <c r="G2907" s="16"/>
      <c r="H2907" s="16"/>
    </row>
    <row r="2908" spans="1:8" x14ac:dyDescent="0.3">
      <c r="A2908" t="s">
        <v>1066</v>
      </c>
      <c r="B2908" s="3">
        <f t="shared" si="38"/>
        <v>44713</v>
      </c>
      <c r="C2908" s="2" t="str">
        <f>VLOOKUP(MONTH(Tabela1[[#This Row],[Periodo]]),NUMMESES,2,FALSE)</f>
        <v>Junho</v>
      </c>
      <c r="D2908" s="2">
        <f>YEAR(Tabela1[[#This Row],[Periodo]])</f>
        <v>2022</v>
      </c>
      <c r="E2908" s="16">
        <f>(INDEX(TBBP[],MATCH("2.1.1.1.03",planoContas,0)+1,MATCH(Tabela1[[#This Row],[Periodo]],listaPeriodos,0)))</f>
        <v>1659397.02</v>
      </c>
      <c r="F2908" s="16"/>
      <c r="G2908" s="16"/>
      <c r="H2908" s="16"/>
    </row>
    <row r="2909" spans="1:8" x14ac:dyDescent="0.3">
      <c r="A2909" t="s">
        <v>1066</v>
      </c>
      <c r="B2909" s="3">
        <f t="shared" si="38"/>
        <v>44743</v>
      </c>
      <c r="C2909" s="2" t="str">
        <f>VLOOKUP(MONTH(Tabela1[[#This Row],[Periodo]]),NUMMESES,2,FALSE)</f>
        <v>Julho</v>
      </c>
      <c r="D2909" s="2">
        <f>YEAR(Tabela1[[#This Row],[Periodo]])</f>
        <v>2022</v>
      </c>
      <c r="E2909" s="16">
        <f>(INDEX(TBBP[],MATCH("2.1.1.1.03",planoContas,0)+1,MATCH(Tabela1[[#This Row],[Periodo]],listaPeriodos,0)))</f>
        <v>351893.41</v>
      </c>
      <c r="F2909" s="16"/>
      <c r="G2909" s="16"/>
      <c r="H2909" s="16"/>
    </row>
    <row r="2910" spans="1:8" x14ac:dyDescent="0.3">
      <c r="A2910" t="s">
        <v>1066</v>
      </c>
      <c r="B2910" s="3">
        <f t="shared" si="38"/>
        <v>44774</v>
      </c>
      <c r="C2910" s="2" t="str">
        <f>VLOOKUP(MONTH(Tabela1[[#This Row],[Periodo]]),NUMMESES,2,FALSE)</f>
        <v>Agosto</v>
      </c>
      <c r="D2910" s="2">
        <f>YEAR(Tabela1[[#This Row],[Periodo]])</f>
        <v>2022</v>
      </c>
      <c r="E2910" s="16">
        <f>(INDEX(TBBP[],MATCH("2.1.1.1.03",planoContas,0)+1,MATCH(Tabela1[[#This Row],[Periodo]],listaPeriodos,0)))</f>
        <v>1542184.34</v>
      </c>
      <c r="F2910" s="16"/>
      <c r="G2910" s="16"/>
      <c r="H2910" s="16"/>
    </row>
    <row r="2911" spans="1:8" x14ac:dyDescent="0.3">
      <c r="A2911" t="s">
        <v>1066</v>
      </c>
      <c r="B2911" s="3">
        <f t="shared" si="38"/>
        <v>44805</v>
      </c>
      <c r="C2911" s="2" t="str">
        <f>VLOOKUP(MONTH(Tabela1[[#This Row],[Periodo]]),NUMMESES,2,FALSE)</f>
        <v>Setembro</v>
      </c>
      <c r="D2911" s="2">
        <f>YEAR(Tabela1[[#This Row],[Periodo]])</f>
        <v>2022</v>
      </c>
      <c r="E2911" s="16">
        <f>(INDEX(TBBP[],MATCH("2.1.1.1.03",planoContas,0)+1,MATCH(Tabela1[[#This Row],[Periodo]],listaPeriodos,0)))</f>
        <v>2196001.86</v>
      </c>
      <c r="F2911" s="16"/>
      <c r="G2911" s="16"/>
      <c r="H2911" s="16"/>
    </row>
    <row r="2912" spans="1:8" x14ac:dyDescent="0.3">
      <c r="A2912" t="s">
        <v>1066</v>
      </c>
      <c r="B2912" s="3">
        <f t="shared" si="38"/>
        <v>44835</v>
      </c>
      <c r="C2912" s="2" t="str">
        <f>VLOOKUP(MONTH(Tabela1[[#This Row],[Periodo]]),NUMMESES,2,FALSE)</f>
        <v>Outubro</v>
      </c>
      <c r="D2912" s="2">
        <f>YEAR(Tabela1[[#This Row],[Periodo]])</f>
        <v>2022</v>
      </c>
      <c r="E2912" s="16">
        <f>(INDEX(TBBP[],MATCH("2.1.1.1.03",planoContas,0)+1,MATCH(Tabela1[[#This Row],[Periodo]],listaPeriodos,0)))</f>
        <v>2378742.69</v>
      </c>
      <c r="F2912" s="16"/>
      <c r="G2912" s="16"/>
      <c r="H2912" s="16"/>
    </row>
    <row r="2913" spans="1:8" x14ac:dyDescent="0.3">
      <c r="A2913" t="s">
        <v>1066</v>
      </c>
      <c r="B2913" s="3">
        <f t="shared" si="38"/>
        <v>44866</v>
      </c>
      <c r="C2913" s="2" t="str">
        <f>VLOOKUP(MONTH(Tabela1[[#This Row],[Periodo]]),NUMMESES,2,FALSE)</f>
        <v>Novembro</v>
      </c>
      <c r="D2913" s="2">
        <f>YEAR(Tabela1[[#This Row],[Periodo]])</f>
        <v>2022</v>
      </c>
      <c r="E2913" s="16">
        <f>(INDEX(TBBP[],MATCH("2.1.1.1.03",planoContas,0)+1,MATCH(Tabela1[[#This Row],[Periodo]],listaPeriodos,0)))</f>
        <v>613862.43999999994</v>
      </c>
      <c r="F2913" s="16"/>
      <c r="G2913" s="16"/>
      <c r="H2913" s="16"/>
    </row>
    <row r="2914" spans="1:8" x14ac:dyDescent="0.3">
      <c r="A2914" t="s">
        <v>1066</v>
      </c>
      <c r="B2914" s="3">
        <f t="shared" si="38"/>
        <v>44896</v>
      </c>
      <c r="C2914" s="2" t="str">
        <f>VLOOKUP(MONTH(Tabela1[[#This Row],[Periodo]]),NUMMESES,2,FALSE)</f>
        <v>Dezembro</v>
      </c>
      <c r="D2914" s="2">
        <f>YEAR(Tabela1[[#This Row],[Periodo]])</f>
        <v>2022</v>
      </c>
      <c r="E2914" s="16">
        <f>(INDEX(TBBP[],MATCH("2.1.1.1.03",planoContas,0)+1,MATCH(Tabela1[[#This Row],[Periodo]],listaPeriodos,0)))</f>
        <v>1669095.21</v>
      </c>
      <c r="F2914" s="16"/>
      <c r="G2914" s="16"/>
      <c r="H2914" s="16"/>
    </row>
    <row r="2915" spans="1:8" x14ac:dyDescent="0.3">
      <c r="A2915" t="s">
        <v>1066</v>
      </c>
      <c r="B2915" s="3">
        <f t="shared" si="38"/>
        <v>44927</v>
      </c>
      <c r="C2915" s="2" t="str">
        <f>VLOOKUP(MONTH(Tabela1[[#This Row],[Periodo]]),NUMMESES,2,FALSE)</f>
        <v>Janeiro</v>
      </c>
      <c r="D2915" s="2">
        <f>YEAR(Tabela1[[#This Row],[Periodo]])</f>
        <v>2023</v>
      </c>
      <c r="E2915" s="16">
        <f>(INDEX(TBBP[],MATCH("2.1.1.1.03",planoContas,0)+1,MATCH(Tabela1[[#This Row],[Periodo]],listaPeriodos,0)))</f>
        <v>458360.69</v>
      </c>
      <c r="F2915" s="16"/>
      <c r="G2915" s="16"/>
      <c r="H2915" s="16"/>
    </row>
    <row r="2916" spans="1:8" x14ac:dyDescent="0.3">
      <c r="A2916" t="s">
        <v>1066</v>
      </c>
      <c r="B2916" s="3">
        <f t="shared" si="38"/>
        <v>44958</v>
      </c>
      <c r="C2916" s="2" t="str">
        <f>VLOOKUP(MONTH(Tabela1[[#This Row],[Periodo]]),NUMMESES,2,FALSE)</f>
        <v>Fevereiro</v>
      </c>
      <c r="D2916" s="2">
        <f>YEAR(Tabela1[[#This Row],[Periodo]])</f>
        <v>2023</v>
      </c>
      <c r="E2916" s="16">
        <f>(INDEX(TBBP[],MATCH("2.1.1.1.03",planoContas,0)+1,MATCH(Tabela1[[#This Row],[Periodo]],listaPeriodos,0)))</f>
        <v>1780305.33</v>
      </c>
      <c r="F2916" s="16"/>
      <c r="G2916" s="16"/>
      <c r="H2916" s="16"/>
    </row>
    <row r="2917" spans="1:8" x14ac:dyDescent="0.3">
      <c r="A2917" t="s">
        <v>1066</v>
      </c>
      <c r="B2917" s="3">
        <f t="shared" si="38"/>
        <v>44986</v>
      </c>
      <c r="C2917" s="2" t="str">
        <f>VLOOKUP(MONTH(Tabela1[[#This Row],[Periodo]]),NUMMESES,2,FALSE)</f>
        <v>Março</v>
      </c>
      <c r="D2917" s="2">
        <f>YEAR(Tabela1[[#This Row],[Periodo]])</f>
        <v>2023</v>
      </c>
      <c r="E2917" s="16">
        <f>(INDEX(TBBP[],MATCH("2.1.1.1.03",planoContas,0)+1,MATCH(Tabela1[[#This Row],[Periodo]],listaPeriodos,0)))</f>
        <v>2008219.17</v>
      </c>
      <c r="F2917" s="16"/>
      <c r="G2917" s="16"/>
      <c r="H2917" s="16"/>
    </row>
    <row r="2918" spans="1:8" x14ac:dyDescent="0.3">
      <c r="A2918" t="s">
        <v>1066</v>
      </c>
      <c r="B2918" s="3">
        <f t="shared" si="38"/>
        <v>45017</v>
      </c>
      <c r="C2918" s="2" t="str">
        <f>VLOOKUP(MONTH(Tabela1[[#This Row],[Periodo]]),NUMMESES,2,FALSE)</f>
        <v>Abril</v>
      </c>
      <c r="D2918" s="2">
        <f>YEAR(Tabela1[[#This Row],[Periodo]])</f>
        <v>2023</v>
      </c>
      <c r="E2918" s="16">
        <f>(INDEX(TBBP[],MATCH("2.1.1.1.03",planoContas,0)+1,MATCH(Tabela1[[#This Row],[Periodo]],listaPeriodos,0)))</f>
        <v>1227030.6200000001</v>
      </c>
      <c r="F2918" s="16"/>
      <c r="G2918" s="16"/>
      <c r="H2918" s="16"/>
    </row>
    <row r="2919" spans="1:8" x14ac:dyDescent="0.3">
      <c r="A2919" t="s">
        <v>1066</v>
      </c>
      <c r="B2919" s="3">
        <f t="shared" si="38"/>
        <v>45047</v>
      </c>
      <c r="C2919" s="2" t="str">
        <f>VLOOKUP(MONTH(Tabela1[[#This Row],[Periodo]]),NUMMESES,2,FALSE)</f>
        <v>Maio</v>
      </c>
      <c r="D2919" s="2">
        <f>YEAR(Tabela1[[#This Row],[Periodo]])</f>
        <v>2023</v>
      </c>
      <c r="E2919" s="16">
        <f>(INDEX(TBBP[],MATCH("2.1.1.1.03",planoContas,0)+1,MATCH(Tabela1[[#This Row],[Periodo]],listaPeriodos,0)))</f>
        <v>2814343.87</v>
      </c>
      <c r="F2919" s="16"/>
      <c r="G2919" s="16"/>
      <c r="H2919" s="16"/>
    </row>
    <row r="2920" spans="1:8" x14ac:dyDescent="0.3">
      <c r="A2920" t="s">
        <v>1066</v>
      </c>
      <c r="B2920" s="3">
        <f t="shared" si="38"/>
        <v>45078</v>
      </c>
      <c r="C2920" s="2" t="str">
        <f>VLOOKUP(MONTH(Tabela1[[#This Row],[Periodo]]),NUMMESES,2,FALSE)</f>
        <v>Junho</v>
      </c>
      <c r="D2920" s="2">
        <f>YEAR(Tabela1[[#This Row],[Periodo]])</f>
        <v>2023</v>
      </c>
      <c r="E2920" s="16">
        <f>(INDEX(TBBP[],MATCH("2.1.1.1.03",planoContas,0)+1,MATCH(Tabela1[[#This Row],[Periodo]],listaPeriodos,0)))</f>
        <v>2263210.14</v>
      </c>
      <c r="F2920" s="16"/>
      <c r="G2920" s="16"/>
      <c r="H2920" s="16"/>
    </row>
    <row r="2921" spans="1:8" x14ac:dyDescent="0.3">
      <c r="A2921" t="s">
        <v>1066</v>
      </c>
      <c r="B2921" s="3">
        <f t="shared" si="38"/>
        <v>45108</v>
      </c>
      <c r="C2921" s="2" t="str">
        <f>VLOOKUP(MONTH(Tabela1[[#This Row],[Periodo]]),NUMMESES,2,FALSE)</f>
        <v>Julho</v>
      </c>
      <c r="D2921" s="2">
        <f>YEAR(Tabela1[[#This Row],[Periodo]])</f>
        <v>2023</v>
      </c>
      <c r="E2921" s="16">
        <f>(INDEX(TBBP[],MATCH("2.1.1.1.03",planoContas,0)+1,MATCH(Tabela1[[#This Row],[Periodo]],listaPeriodos,0)))</f>
        <v>1622676.79</v>
      </c>
      <c r="F2921" s="16"/>
      <c r="G2921" s="16"/>
      <c r="H2921" s="16"/>
    </row>
    <row r="2922" spans="1:8" x14ac:dyDescent="0.3">
      <c r="A2922" t="s">
        <v>1066</v>
      </c>
      <c r="B2922" s="3">
        <f t="shared" si="38"/>
        <v>45139</v>
      </c>
      <c r="C2922" s="2" t="str">
        <f>VLOOKUP(MONTH(Tabela1[[#This Row],[Periodo]]),NUMMESES,2,FALSE)</f>
        <v>Agosto</v>
      </c>
      <c r="D2922" s="2">
        <f>YEAR(Tabela1[[#This Row],[Periodo]])</f>
        <v>2023</v>
      </c>
      <c r="E2922" s="16">
        <f>(INDEX(TBBP[],MATCH("2.1.1.1.03",planoContas,0)+1,MATCH(Tabela1[[#This Row],[Periodo]],listaPeriodos,0)))</f>
        <v>1190927.83</v>
      </c>
      <c r="F2922" s="16"/>
      <c r="G2922" s="16"/>
      <c r="H2922" s="16"/>
    </row>
    <row r="2923" spans="1:8" x14ac:dyDescent="0.3">
      <c r="A2923" t="s">
        <v>1066</v>
      </c>
      <c r="B2923" s="3">
        <f t="shared" si="38"/>
        <v>45170</v>
      </c>
      <c r="C2923" s="2" t="str">
        <f>VLOOKUP(MONTH(Tabela1[[#This Row],[Periodo]]),NUMMESES,2,FALSE)</f>
        <v>Setembro</v>
      </c>
      <c r="D2923" s="2">
        <f>YEAR(Tabela1[[#This Row],[Periodo]])</f>
        <v>2023</v>
      </c>
      <c r="E2923" s="16">
        <f>(INDEX(TBBP[],MATCH("2.1.1.1.03",planoContas,0)+1,MATCH(Tabela1[[#This Row],[Periodo]],listaPeriodos,0)))</f>
        <v>2096509.36</v>
      </c>
      <c r="F2923" s="16"/>
      <c r="G2923" s="16"/>
      <c r="H2923" s="16"/>
    </row>
    <row r="2924" spans="1:8" x14ac:dyDescent="0.3">
      <c r="A2924" t="s">
        <v>1066</v>
      </c>
      <c r="B2924" s="3">
        <f t="shared" si="38"/>
        <v>45200</v>
      </c>
      <c r="C2924" s="2" t="str">
        <f>VLOOKUP(MONTH(Tabela1[[#This Row],[Periodo]]),NUMMESES,2,FALSE)</f>
        <v>Outubro</v>
      </c>
      <c r="D2924" s="2">
        <f>YEAR(Tabela1[[#This Row],[Periodo]])</f>
        <v>2023</v>
      </c>
      <c r="E2924" s="16">
        <f>(INDEX(TBBP[],MATCH("2.1.1.1.03",planoContas,0)+1,MATCH(Tabela1[[#This Row],[Periodo]],listaPeriodos,0)))</f>
        <v>2009789.4399999999</v>
      </c>
      <c r="F2924" s="16"/>
      <c r="G2924" s="16"/>
      <c r="H2924" s="16"/>
    </row>
    <row r="2925" spans="1:8" x14ac:dyDescent="0.3">
      <c r="A2925" t="s">
        <v>1066</v>
      </c>
      <c r="B2925" s="3">
        <f t="shared" si="38"/>
        <v>45231</v>
      </c>
      <c r="C2925" s="2" t="str">
        <f>VLOOKUP(MONTH(Tabela1[[#This Row],[Periodo]]),NUMMESES,2,FALSE)</f>
        <v>Novembro</v>
      </c>
      <c r="D2925" s="2">
        <f>YEAR(Tabela1[[#This Row],[Periodo]])</f>
        <v>2023</v>
      </c>
      <c r="E2925" s="16">
        <f>(INDEX(TBBP[],MATCH("2.1.1.1.03",planoContas,0)+1,MATCH(Tabela1[[#This Row],[Periodo]],listaPeriodos,0)))</f>
        <v>207660.16</v>
      </c>
      <c r="F2925" s="16"/>
      <c r="G2925" s="16"/>
      <c r="H2925" s="16"/>
    </row>
    <row r="2926" spans="1:8" x14ac:dyDescent="0.3">
      <c r="A2926" t="s">
        <v>1066</v>
      </c>
      <c r="B2926" s="3">
        <f t="shared" si="38"/>
        <v>45261</v>
      </c>
      <c r="C2926" s="2" t="str">
        <f>VLOOKUP(MONTH(Tabela1[[#This Row],[Periodo]]),NUMMESES,2,FALSE)</f>
        <v>Dezembro</v>
      </c>
      <c r="D2926" s="2">
        <f>YEAR(Tabela1[[#This Row],[Periodo]])</f>
        <v>2023</v>
      </c>
      <c r="E2926" s="16">
        <f>(INDEX(TBBP[],MATCH("2.1.1.1.03",planoContas,0)+1,MATCH(Tabela1[[#This Row],[Periodo]],listaPeriodos,0)))</f>
        <v>631018.89</v>
      </c>
      <c r="F2926" s="16"/>
      <c r="G2926" s="16"/>
      <c r="H2926" s="16"/>
    </row>
    <row r="2927" spans="1:8" x14ac:dyDescent="0.3">
      <c r="A2927" t="s">
        <v>1066</v>
      </c>
      <c r="B2927" s="3">
        <f t="shared" si="38"/>
        <v>45292</v>
      </c>
      <c r="C2927" s="2" t="str">
        <f>VLOOKUP(MONTH(Tabela1[[#This Row],[Periodo]]),NUMMESES,2,FALSE)</f>
        <v>Janeiro</v>
      </c>
      <c r="D2927" s="2">
        <f>YEAR(Tabela1[[#This Row],[Periodo]])</f>
        <v>2024</v>
      </c>
      <c r="E2927" s="16">
        <f>(INDEX(TBBP[],MATCH("2.1.1.1.03",planoContas,0)+1,MATCH(Tabela1[[#This Row],[Periodo]],listaPeriodos,0)))</f>
        <v>2025280.49</v>
      </c>
      <c r="F2927" s="16"/>
      <c r="G2927" s="16"/>
      <c r="H2927" s="16"/>
    </row>
    <row r="2928" spans="1:8" x14ac:dyDescent="0.3">
      <c r="A2928" t="s">
        <v>1066</v>
      </c>
      <c r="B2928" s="3">
        <f t="shared" si="38"/>
        <v>45323</v>
      </c>
      <c r="C2928" s="2" t="str">
        <f>VLOOKUP(MONTH(Tabela1[[#This Row],[Periodo]]),NUMMESES,2,FALSE)</f>
        <v>Fevereiro</v>
      </c>
      <c r="D2928" s="2">
        <f>YEAR(Tabela1[[#This Row],[Periodo]])</f>
        <v>2024</v>
      </c>
      <c r="E2928" s="16">
        <f>(INDEX(TBBP[],MATCH("2.1.1.1.03",planoContas,0)+1,MATCH(Tabela1[[#This Row],[Periodo]],listaPeriodos,0)))</f>
        <v>1732320.29</v>
      </c>
      <c r="F2928" s="16"/>
      <c r="G2928" s="16"/>
      <c r="H2928" s="16"/>
    </row>
    <row r="2929" spans="1:8" x14ac:dyDescent="0.3">
      <c r="A2929" t="s">
        <v>1066</v>
      </c>
      <c r="B2929" s="3">
        <f t="shared" si="38"/>
        <v>45352</v>
      </c>
      <c r="C2929" s="2" t="str">
        <f>VLOOKUP(MONTH(Tabela1[[#This Row],[Periodo]]),NUMMESES,2,FALSE)</f>
        <v>Março</v>
      </c>
      <c r="D2929" s="2">
        <f>YEAR(Tabela1[[#This Row],[Periodo]])</f>
        <v>2024</v>
      </c>
      <c r="E2929" s="16">
        <f>(INDEX(TBBP[],MATCH("2.1.1.1.03",planoContas,0)+1,MATCH(Tabela1[[#This Row],[Periodo]],listaPeriodos,0)))</f>
        <v>795192.03</v>
      </c>
      <c r="F2929" s="16"/>
      <c r="G2929" s="16"/>
      <c r="H2929" s="16"/>
    </row>
    <row r="2930" spans="1:8" x14ac:dyDescent="0.3">
      <c r="A2930" t="s">
        <v>1066</v>
      </c>
      <c r="B2930" s="3">
        <f t="shared" si="38"/>
        <v>45383</v>
      </c>
      <c r="C2930" s="2" t="str">
        <f>VLOOKUP(MONTH(Tabela1[[#This Row],[Periodo]]),NUMMESES,2,FALSE)</f>
        <v>Abril</v>
      </c>
      <c r="D2930" s="2">
        <f>YEAR(Tabela1[[#This Row],[Periodo]])</f>
        <v>2024</v>
      </c>
      <c r="E2930" s="16">
        <f>(INDEX(TBBP[],MATCH("2.1.1.1.03",planoContas,0)+1,MATCH(Tabela1[[#This Row],[Periodo]],listaPeriodos,0)))</f>
        <v>1856681.76</v>
      </c>
      <c r="F2930" s="16"/>
      <c r="G2930" s="16"/>
      <c r="H2930" s="16"/>
    </row>
    <row r="2931" spans="1:8" x14ac:dyDescent="0.3">
      <c r="A2931" t="s">
        <v>1066</v>
      </c>
      <c r="B2931" s="3">
        <f t="shared" si="38"/>
        <v>45413</v>
      </c>
      <c r="C2931" s="2" t="str">
        <f>VLOOKUP(MONTH(Tabela1[[#This Row],[Periodo]]),NUMMESES,2,FALSE)</f>
        <v>Maio</v>
      </c>
      <c r="D2931" s="2">
        <f>YEAR(Tabela1[[#This Row],[Periodo]])</f>
        <v>2024</v>
      </c>
      <c r="E2931" s="16">
        <f>(INDEX(TBBP[],MATCH("2.1.1.1.03",planoContas,0)+1,MATCH(Tabela1[[#This Row],[Periodo]],listaPeriodos,0)))</f>
        <v>2119039.31</v>
      </c>
      <c r="F2931" s="16"/>
      <c r="G2931" s="16"/>
      <c r="H2931" s="16"/>
    </row>
    <row r="2932" spans="1:8" x14ac:dyDescent="0.3">
      <c r="A2932" t="s">
        <v>1066</v>
      </c>
      <c r="B2932" s="3">
        <f t="shared" si="38"/>
        <v>45444</v>
      </c>
      <c r="C2932" s="2" t="str">
        <f>VLOOKUP(MONTH(Tabela1[[#This Row],[Periodo]]),NUMMESES,2,FALSE)</f>
        <v>Junho</v>
      </c>
      <c r="D2932" s="2">
        <f>YEAR(Tabela1[[#This Row],[Periodo]])</f>
        <v>2024</v>
      </c>
      <c r="E2932" s="16">
        <f>(INDEX(TBBP[],MATCH("2.1.1.1.03",planoContas,0)+1,MATCH(Tabela1[[#This Row],[Periodo]],listaPeriodos,0)))</f>
        <v>1645703.27</v>
      </c>
      <c r="F2932" s="16"/>
      <c r="G2932" s="16"/>
      <c r="H2932" s="16"/>
    </row>
    <row r="2933" spans="1:8" x14ac:dyDescent="0.3">
      <c r="A2933" t="s">
        <v>1066</v>
      </c>
      <c r="B2933" s="3">
        <f t="shared" si="38"/>
        <v>45474</v>
      </c>
      <c r="C2933" s="2" t="str">
        <f>VLOOKUP(MONTH(Tabela1[[#This Row],[Periodo]]),NUMMESES,2,FALSE)</f>
        <v>Julho</v>
      </c>
      <c r="D2933" s="2">
        <f>YEAR(Tabela1[[#This Row],[Periodo]])</f>
        <v>2024</v>
      </c>
      <c r="E2933" s="16">
        <f>(INDEX(TBBP[],MATCH("2.1.1.1.03",planoContas,0)+1,MATCH(Tabela1[[#This Row],[Periodo]],listaPeriodos,0)))</f>
        <v>1171687.24</v>
      </c>
      <c r="F2933" s="16"/>
      <c r="G2933" s="16"/>
      <c r="H2933" s="16"/>
    </row>
    <row r="2934" spans="1:8" x14ac:dyDescent="0.3">
      <c r="A2934" t="s">
        <v>1066</v>
      </c>
      <c r="B2934" s="3">
        <f t="shared" si="38"/>
        <v>45505</v>
      </c>
      <c r="C2934" s="2" t="str">
        <f>VLOOKUP(MONTH(Tabela1[[#This Row],[Periodo]]),NUMMESES,2,FALSE)</f>
        <v>Agosto</v>
      </c>
      <c r="D2934" s="2">
        <f>YEAR(Tabela1[[#This Row],[Periodo]])</f>
        <v>2024</v>
      </c>
      <c r="E2934" s="16">
        <f>(INDEX(TBBP[],MATCH("2.1.1.1.03",planoContas,0)+1,MATCH(Tabela1[[#This Row],[Periodo]],listaPeriodos,0)))</f>
        <v>1848265.12</v>
      </c>
      <c r="F2934" s="16"/>
      <c r="G2934" s="16"/>
      <c r="H2934" s="16"/>
    </row>
    <row r="2935" spans="1:8" x14ac:dyDescent="0.3">
      <c r="A2935" t="s">
        <v>1066</v>
      </c>
      <c r="B2935" s="3">
        <f t="shared" si="38"/>
        <v>45536</v>
      </c>
      <c r="C2935" s="2" t="str">
        <f>VLOOKUP(MONTH(Tabela1[[#This Row],[Periodo]]),NUMMESES,2,FALSE)</f>
        <v>Setembro</v>
      </c>
      <c r="D2935" s="2">
        <f>YEAR(Tabela1[[#This Row],[Periodo]])</f>
        <v>2024</v>
      </c>
      <c r="E2935" s="16">
        <f>(INDEX(TBBP[],MATCH("2.1.1.1.03",planoContas,0)+1,MATCH(Tabela1[[#This Row],[Periodo]],listaPeriodos,0)))</f>
        <v>957129.5</v>
      </c>
      <c r="F2935" s="16"/>
      <c r="G2935" s="16"/>
      <c r="H2935" s="16"/>
    </row>
    <row r="2936" spans="1:8" x14ac:dyDescent="0.3">
      <c r="A2936" t="s">
        <v>1066</v>
      </c>
      <c r="B2936" s="3">
        <f t="shared" si="38"/>
        <v>45566</v>
      </c>
      <c r="C2936" s="2" t="str">
        <f>VLOOKUP(MONTH(Tabela1[[#This Row],[Periodo]]),NUMMESES,2,FALSE)</f>
        <v>Outubro</v>
      </c>
      <c r="D2936" s="2">
        <f>YEAR(Tabela1[[#This Row],[Periodo]])</f>
        <v>2024</v>
      </c>
      <c r="E2936" s="16">
        <f>(INDEX(TBBP[],MATCH("2.1.1.1.03",planoContas,0)+1,MATCH(Tabela1[[#This Row],[Periodo]],listaPeriodos,0)))</f>
        <v>1953543.58</v>
      </c>
      <c r="F2936" s="16"/>
      <c r="G2936" s="16"/>
      <c r="H2936" s="16"/>
    </row>
    <row r="2937" spans="1:8" x14ac:dyDescent="0.3">
      <c r="A2937" t="s">
        <v>1066</v>
      </c>
      <c r="B2937" s="3">
        <f t="shared" si="38"/>
        <v>45597</v>
      </c>
      <c r="C2937" s="2" t="str">
        <f>VLOOKUP(MONTH(Tabela1[[#This Row],[Periodo]]),NUMMESES,2,FALSE)</f>
        <v>Novembro</v>
      </c>
      <c r="D2937" s="2">
        <f>YEAR(Tabela1[[#This Row],[Periodo]])</f>
        <v>2024</v>
      </c>
      <c r="E2937" s="16">
        <f>(INDEX(TBBP[],MATCH("2.1.1.1.03",planoContas,0)+1,MATCH(Tabela1[[#This Row],[Periodo]],listaPeriodos,0)))</f>
        <v>2685597.76</v>
      </c>
      <c r="F2937" s="16"/>
      <c r="G2937" s="16"/>
      <c r="H2937" s="16"/>
    </row>
    <row r="2938" spans="1:8" x14ac:dyDescent="0.3">
      <c r="A2938" t="s">
        <v>1066</v>
      </c>
      <c r="B2938" s="3">
        <f t="shared" si="38"/>
        <v>45627</v>
      </c>
      <c r="C2938" s="2" t="str">
        <f>VLOOKUP(MONTH(Tabela1[[#This Row],[Periodo]]),NUMMESES,2,FALSE)</f>
        <v>Dezembro</v>
      </c>
      <c r="D2938" s="2">
        <f>YEAR(Tabela1[[#This Row],[Periodo]])</f>
        <v>2024</v>
      </c>
      <c r="E2938" s="16">
        <f>(INDEX(TBBP[],MATCH("2.1.1.1.03",planoContas,0)+1,MATCH(Tabela1[[#This Row],[Periodo]],listaPeriodos,0)))</f>
        <v>2620762.5299999998</v>
      </c>
      <c r="F2938" s="16"/>
      <c r="G2938" s="16"/>
      <c r="H2938" s="16"/>
    </row>
    <row r="2939" spans="1:8" x14ac:dyDescent="0.3">
      <c r="A2939" t="s">
        <v>1066</v>
      </c>
      <c r="B2939" s="3">
        <f t="shared" si="38"/>
        <v>45658</v>
      </c>
      <c r="C2939" s="2" t="str">
        <f>VLOOKUP(MONTH(Tabela1[[#This Row],[Periodo]]),NUMMESES,2,FALSE)</f>
        <v>Janeiro</v>
      </c>
      <c r="D2939" s="2">
        <f>YEAR(Tabela1[[#This Row],[Periodo]])</f>
        <v>2025</v>
      </c>
      <c r="E2939" s="16">
        <f>(INDEX(TBBP[],MATCH("2.1.1.1.03",planoContas,0)+1,MATCH(Tabela1[[#This Row],[Periodo]],listaPeriodos,0)))</f>
        <v>2262168.83</v>
      </c>
      <c r="F2939" s="16"/>
      <c r="G2939" s="16"/>
      <c r="H2939" s="16"/>
    </row>
    <row r="2940" spans="1:8" x14ac:dyDescent="0.3">
      <c r="A2940" t="s">
        <v>1066</v>
      </c>
      <c r="B2940" s="3">
        <f t="shared" si="38"/>
        <v>45689</v>
      </c>
      <c r="C2940" s="2" t="str">
        <f>VLOOKUP(MONTH(Tabela1[[#This Row],[Periodo]]),NUMMESES,2,FALSE)</f>
        <v>Fevereiro</v>
      </c>
      <c r="D2940" s="2">
        <f>YEAR(Tabela1[[#This Row],[Periodo]])</f>
        <v>2025</v>
      </c>
      <c r="E2940" s="16">
        <f>(INDEX(TBBP[],MATCH("2.1.1.1.03",planoContas,0)+1,MATCH(Tabela1[[#This Row],[Periodo]],listaPeriodos,0)))</f>
        <v>1580189.19</v>
      </c>
      <c r="F2940" s="16"/>
      <c r="G2940" s="16"/>
      <c r="H2940" s="16"/>
    </row>
    <row r="2941" spans="1:8" x14ac:dyDescent="0.3">
      <c r="A2941" t="s">
        <v>1066</v>
      </c>
      <c r="B2941" s="3">
        <f t="shared" si="38"/>
        <v>45717</v>
      </c>
      <c r="C2941" s="2" t="str">
        <f>VLOOKUP(MONTH(Tabela1[[#This Row],[Periodo]]),NUMMESES,2,FALSE)</f>
        <v>Março</v>
      </c>
      <c r="D2941" s="2">
        <f>YEAR(Tabela1[[#This Row],[Periodo]])</f>
        <v>2025</v>
      </c>
      <c r="E2941" s="16">
        <f>(INDEX(TBBP[],MATCH("2.1.1.1.03",planoContas,0)+1,MATCH(Tabela1[[#This Row],[Periodo]],listaPeriodos,0)))</f>
        <v>1713345.09</v>
      </c>
      <c r="F2941" s="16"/>
      <c r="G2941" s="16"/>
      <c r="H2941" s="16"/>
    </row>
    <row r="2942" spans="1:8" x14ac:dyDescent="0.3">
      <c r="A2942" t="s">
        <v>1066</v>
      </c>
      <c r="B2942" s="3">
        <f t="shared" si="38"/>
        <v>45748</v>
      </c>
      <c r="C2942" s="2" t="str">
        <f>VLOOKUP(MONTH(Tabela1[[#This Row],[Periodo]]),NUMMESES,2,FALSE)</f>
        <v>Abril</v>
      </c>
      <c r="D2942" s="2">
        <f>YEAR(Tabela1[[#This Row],[Periodo]])</f>
        <v>2025</v>
      </c>
      <c r="E2942" s="16">
        <f>(INDEX(TBBP[],MATCH("2.1.1.1.03",planoContas,0)+1,MATCH(Tabela1[[#This Row],[Periodo]],listaPeriodos,0)))</f>
        <v>1240506.5900000001</v>
      </c>
      <c r="F2942" s="16"/>
      <c r="G2942" s="16"/>
      <c r="H2942" s="16"/>
    </row>
    <row r="2943" spans="1:8" x14ac:dyDescent="0.3">
      <c r="A2943" t="s">
        <v>1066</v>
      </c>
      <c r="B2943" s="3">
        <f t="shared" si="38"/>
        <v>45778</v>
      </c>
      <c r="C2943" s="2" t="str">
        <f>VLOOKUP(MONTH(Tabela1[[#This Row],[Periodo]]),NUMMESES,2,FALSE)</f>
        <v>Maio</v>
      </c>
      <c r="D2943" s="2">
        <f>YEAR(Tabela1[[#This Row],[Periodo]])</f>
        <v>2025</v>
      </c>
      <c r="E2943" s="16">
        <f>(INDEX(TBBP[],MATCH("2.1.1.1.03",planoContas,0)+1,MATCH(Tabela1[[#This Row],[Periodo]],listaPeriodos,0)))</f>
        <v>1029939.46</v>
      </c>
      <c r="F2943" s="16"/>
      <c r="G2943" s="16"/>
      <c r="H2943" s="16"/>
    </row>
    <row r="2944" spans="1:8" x14ac:dyDescent="0.3">
      <c r="A2944" t="s">
        <v>1066</v>
      </c>
      <c r="B2944" s="3">
        <f t="shared" si="38"/>
        <v>45809</v>
      </c>
      <c r="C2944" s="2" t="str">
        <f>VLOOKUP(MONTH(Tabela1[[#This Row],[Periodo]]),NUMMESES,2,FALSE)</f>
        <v>Junho</v>
      </c>
      <c r="D2944" s="2">
        <f>YEAR(Tabela1[[#This Row],[Periodo]])</f>
        <v>2025</v>
      </c>
      <c r="E2944" s="16">
        <f>(INDEX(TBBP[],MATCH("2.1.1.1.03",planoContas,0)+1,MATCH(Tabela1[[#This Row],[Periodo]],listaPeriodos,0)))</f>
        <v>2382663.56</v>
      </c>
      <c r="F2944" s="16"/>
      <c r="G2944" s="16"/>
      <c r="H2944" s="16"/>
    </row>
    <row r="2945" spans="1:8" x14ac:dyDescent="0.3">
      <c r="A2945" t="s">
        <v>1066</v>
      </c>
      <c r="B2945" s="3">
        <f t="shared" si="38"/>
        <v>45839</v>
      </c>
      <c r="C2945" s="2" t="str">
        <f>VLOOKUP(MONTH(Tabela1[[#This Row],[Periodo]]),NUMMESES,2,FALSE)</f>
        <v>Julho</v>
      </c>
      <c r="D2945" s="2">
        <f>YEAR(Tabela1[[#This Row],[Periodo]])</f>
        <v>2025</v>
      </c>
      <c r="E2945" s="16">
        <f>(INDEX(TBBP[],MATCH("2.1.1.1.03",planoContas,0)+1,MATCH(Tabela1[[#This Row],[Periodo]],listaPeriodos,0)))</f>
        <v>1358704.55</v>
      </c>
      <c r="F2945" s="16"/>
      <c r="G2945" s="16"/>
      <c r="H2945" s="16"/>
    </row>
    <row r="2946" spans="1:8" x14ac:dyDescent="0.3">
      <c r="A2946" t="s">
        <v>1066</v>
      </c>
      <c r="B2946" s="3">
        <f t="shared" si="38"/>
        <v>45870</v>
      </c>
      <c r="C2946" s="2" t="str">
        <f>VLOOKUP(MONTH(Tabela1[[#This Row],[Periodo]]),NUMMESES,2,FALSE)</f>
        <v>Agosto</v>
      </c>
      <c r="D2946" s="2">
        <f>YEAR(Tabela1[[#This Row],[Periodo]])</f>
        <v>2025</v>
      </c>
      <c r="E2946" s="16">
        <f>(INDEX(TBBP[],MATCH("2.1.1.1.03",planoContas,0)+1,MATCH(Tabela1[[#This Row],[Periodo]],listaPeriodos,0)))</f>
        <v>674567.75</v>
      </c>
      <c r="F2946" s="16"/>
      <c r="G2946" s="16"/>
      <c r="H2946" s="16"/>
    </row>
    <row r="2947" spans="1:8" x14ac:dyDescent="0.3">
      <c r="A2947" t="s">
        <v>1066</v>
      </c>
      <c r="B2947" s="3">
        <f t="shared" si="38"/>
        <v>45901</v>
      </c>
      <c r="C2947" s="2" t="str">
        <f>VLOOKUP(MONTH(Tabela1[[#This Row],[Periodo]]),NUMMESES,2,FALSE)</f>
        <v>Setembro</v>
      </c>
      <c r="D2947" s="2">
        <f>YEAR(Tabela1[[#This Row],[Periodo]])</f>
        <v>2025</v>
      </c>
      <c r="E2947" s="16">
        <f>(INDEX(TBBP[],MATCH("2.1.1.1.03",planoContas,0)+1,MATCH(Tabela1[[#This Row],[Periodo]],listaPeriodos,0)))</f>
        <v>675762.37</v>
      </c>
      <c r="F2947" s="16"/>
      <c r="G2947" s="16"/>
      <c r="H2947" s="16"/>
    </row>
    <row r="2948" spans="1:8" x14ac:dyDescent="0.3">
      <c r="A2948" t="s">
        <v>1066</v>
      </c>
      <c r="B2948" s="3">
        <f t="shared" si="38"/>
        <v>45931</v>
      </c>
      <c r="C2948" s="2" t="str">
        <f>VLOOKUP(MONTH(Tabela1[[#This Row],[Periodo]]),NUMMESES,2,FALSE)</f>
        <v>Outubro</v>
      </c>
      <c r="D2948" s="2">
        <f>YEAR(Tabela1[[#This Row],[Periodo]])</f>
        <v>2025</v>
      </c>
      <c r="E2948" s="16">
        <f>(INDEX(TBBP[],MATCH("2.1.1.1.03",planoContas,0)+1,MATCH(Tabela1[[#This Row],[Periodo]],listaPeriodos,0)))</f>
        <v>1996940.91</v>
      </c>
      <c r="F2948" s="16"/>
      <c r="G2948" s="16"/>
      <c r="H2948" s="16"/>
    </row>
    <row r="2949" spans="1:8" x14ac:dyDescent="0.3">
      <c r="A2949" t="s">
        <v>1066</v>
      </c>
      <c r="B2949" s="3">
        <f t="shared" si="38"/>
        <v>45962</v>
      </c>
      <c r="C2949" s="2" t="str">
        <f>VLOOKUP(MONTH(Tabela1[[#This Row],[Periodo]]),NUMMESES,2,FALSE)</f>
        <v>Novembro</v>
      </c>
      <c r="D2949" s="2">
        <f>YEAR(Tabela1[[#This Row],[Periodo]])</f>
        <v>2025</v>
      </c>
      <c r="E2949" s="16">
        <f>(INDEX(TBBP[],MATCH("2.1.1.1.03",planoContas,0)+1,MATCH(Tabela1[[#This Row],[Periodo]],listaPeriodos,0)))</f>
        <v>733867.08</v>
      </c>
      <c r="F2949" s="16"/>
      <c r="G2949" s="16"/>
      <c r="H2949" s="16"/>
    </row>
    <row r="2950" spans="1:8" x14ac:dyDescent="0.3">
      <c r="A2950" t="s">
        <v>1066</v>
      </c>
      <c r="B2950" s="3">
        <f t="shared" si="38"/>
        <v>45992</v>
      </c>
      <c r="C2950" s="2" t="str">
        <f>VLOOKUP(MONTH(Tabela1[[#This Row],[Periodo]]),NUMMESES,2,FALSE)</f>
        <v>Dezembro</v>
      </c>
      <c r="D2950" s="2">
        <f>YEAR(Tabela1[[#This Row],[Periodo]])</f>
        <v>2025</v>
      </c>
      <c r="E2950" s="16">
        <f>(INDEX(TBBP[],MATCH("2.1.1.1.03",planoContas,0)+1,MATCH(Tabela1[[#This Row],[Periodo]],listaPeriodos,0)))</f>
        <v>123330.96</v>
      </c>
      <c r="F2950" s="16"/>
      <c r="G2950" s="16"/>
      <c r="H2950" s="16"/>
    </row>
    <row r="2951" spans="1:8" x14ac:dyDescent="0.3">
      <c r="A2951" t="s">
        <v>1066</v>
      </c>
      <c r="B2951" s="3">
        <f t="shared" si="38"/>
        <v>46023</v>
      </c>
      <c r="C2951" s="2" t="str">
        <f>VLOOKUP(MONTH(Tabela1[[#This Row],[Periodo]]),NUMMESES,2,FALSE)</f>
        <v>Janeiro</v>
      </c>
      <c r="D2951" s="2">
        <f>YEAR(Tabela1[[#This Row],[Periodo]])</f>
        <v>2026</v>
      </c>
      <c r="E2951" s="16">
        <f>(INDEX(TBBP[],MATCH("2.1.1.1.03",planoContas,0)+1,MATCH(Tabela1[[#This Row],[Periodo]],listaPeriodos,0)))</f>
        <v>1775303.89</v>
      </c>
      <c r="F2951" s="16"/>
      <c r="G2951" s="16"/>
      <c r="H2951" s="16"/>
    </row>
    <row r="2952" spans="1:8" x14ac:dyDescent="0.3">
      <c r="G2952" s="223"/>
      <c r="H2952" s="16"/>
    </row>
    <row r="2953" spans="1:8" x14ac:dyDescent="0.3">
      <c r="A2953" t="s">
        <v>767</v>
      </c>
      <c r="B2953" s="3">
        <v>41609</v>
      </c>
      <c r="C2953" s="2" t="str">
        <f>VLOOKUP(MONTH(Tabela1[[#This Row],[Periodo]]),NUMMESES,2,FALSE)</f>
        <v>Dezembro</v>
      </c>
      <c r="D2953" s="2">
        <f>YEAR(Tabela1[[#This Row],[Periodo]])</f>
        <v>2013</v>
      </c>
      <c r="E2953" s="16">
        <f>(INDEX(TBBP[],MATCH("2.1.1.8",planoContas,0)+1,MATCH(Tabela1[[#This Row],[Periodo]],listaPeriodos,0)))</f>
        <v>238187.36</v>
      </c>
      <c r="F2953" s="2"/>
      <c r="G2953" s="223"/>
      <c r="H2953" s="16"/>
    </row>
    <row r="2954" spans="1:8" x14ac:dyDescent="0.3">
      <c r="A2954" t="s">
        <v>767</v>
      </c>
      <c r="B2954" s="3">
        <v>41974</v>
      </c>
      <c r="C2954" s="2" t="str">
        <f>VLOOKUP(MONTH(Tabela1[[#This Row],[Periodo]]),NUMMESES,2,FALSE)</f>
        <v>Dezembro</v>
      </c>
      <c r="D2954" s="2">
        <f>YEAR(Tabela1[[#This Row],[Periodo]])</f>
        <v>2014</v>
      </c>
      <c r="E2954" s="16">
        <f>(INDEX(TBBP[],MATCH("2.1.1.8",planoContas,0)+1,MATCH(Tabela1[[#This Row],[Periodo]],listaPeriodos,0)))</f>
        <v>153589.75000000003</v>
      </c>
      <c r="F2954" s="2"/>
      <c r="G2954" s="223"/>
      <c r="H2954" s="16"/>
    </row>
    <row r="2955" spans="1:8" x14ac:dyDescent="0.3">
      <c r="A2955" t="s">
        <v>767</v>
      </c>
      <c r="B2955" s="3">
        <v>42339</v>
      </c>
      <c r="C2955" s="2" t="str">
        <f>VLOOKUP(MONTH(Tabela1[[#This Row],[Periodo]]),NUMMESES,2,FALSE)</f>
        <v>Dezembro</v>
      </c>
      <c r="D2955" s="2">
        <f>YEAR(Tabela1[[#This Row],[Periodo]])</f>
        <v>2015</v>
      </c>
      <c r="E2955" s="16">
        <f>(INDEX(TBBP[],MATCH("2.1.1.8",planoContas,0)+1,MATCH(Tabela1[[#This Row],[Periodo]],listaPeriodos,0)))</f>
        <v>174440</v>
      </c>
      <c r="F2955" s="2"/>
      <c r="G2955" s="223"/>
      <c r="H2955" s="16"/>
    </row>
    <row r="2956" spans="1:8" x14ac:dyDescent="0.3">
      <c r="A2956" t="s">
        <v>767</v>
      </c>
      <c r="B2956" s="3">
        <v>42705</v>
      </c>
      <c r="C2956" s="2" t="str">
        <f>VLOOKUP(MONTH(Tabela1[[#This Row],[Periodo]]),NUMMESES,2,FALSE)</f>
        <v>Dezembro</v>
      </c>
      <c r="D2956" s="2">
        <f>YEAR(Tabela1[[#This Row],[Periodo]])</f>
        <v>2016</v>
      </c>
      <c r="E2956" s="16">
        <f>(INDEX(TBBP[],MATCH("2.1.1.8",planoContas,0)+1,MATCH(Tabela1[[#This Row],[Periodo]],listaPeriodos,0)))</f>
        <v>509441.11</v>
      </c>
      <c r="F2956" s="2"/>
      <c r="G2956" s="223"/>
      <c r="H2956" s="16"/>
    </row>
    <row r="2957" spans="1:8" x14ac:dyDescent="0.3">
      <c r="A2957" t="s">
        <v>767</v>
      </c>
      <c r="B2957" s="3">
        <v>43070</v>
      </c>
      <c r="C2957" s="2" t="str">
        <f>VLOOKUP(MONTH(Tabela1[[#This Row],[Periodo]]),NUMMESES,2,FALSE)</f>
        <v>Dezembro</v>
      </c>
      <c r="D2957" s="2">
        <f>YEAR(Tabela1[[#This Row],[Periodo]])</f>
        <v>2017</v>
      </c>
      <c r="E2957" s="16">
        <f>(INDEX(TBBP[],MATCH("2.1.1.8",planoContas,0)+1,MATCH(Tabela1[[#This Row],[Periodo]],listaPeriodos,0)))</f>
        <v>246874.33</v>
      </c>
      <c r="F2957" s="2"/>
      <c r="G2957" s="223"/>
      <c r="H2957" s="16"/>
    </row>
    <row r="2958" spans="1:8" x14ac:dyDescent="0.3">
      <c r="A2958" t="s">
        <v>767</v>
      </c>
      <c r="B2958" s="3">
        <v>43101</v>
      </c>
      <c r="C2958" s="2" t="str">
        <f>VLOOKUP(MONTH(Tabela1[[#This Row],[Periodo]]),NUMMESES,2,FALSE)</f>
        <v>Janeiro</v>
      </c>
      <c r="D2958" s="2">
        <f>YEAR(Tabela1[[#This Row],[Periodo]])</f>
        <v>2018</v>
      </c>
      <c r="E2958" s="16">
        <f>(INDEX(TBBP[],MATCH("2.1.1.8",planoContas,0)+1,MATCH(Tabela1[[#This Row],[Periodo]],listaPeriodos,0)))</f>
        <v>293840.37</v>
      </c>
      <c r="F2958" s="2"/>
      <c r="G2958" s="223"/>
      <c r="H2958" s="16"/>
    </row>
    <row r="2959" spans="1:8" x14ac:dyDescent="0.3">
      <c r="A2959" t="s">
        <v>767</v>
      </c>
      <c r="B2959" s="3">
        <f t="shared" ref="B2959:B3054" si="39">DATE(YEAR(B2958),MONTH(B2958)+1,DAY(B2958))</f>
        <v>43132</v>
      </c>
      <c r="C2959" s="2" t="str">
        <f>VLOOKUP(MONTH(Tabela1[[#This Row],[Periodo]]),NUMMESES,2,FALSE)</f>
        <v>Fevereiro</v>
      </c>
      <c r="D2959" s="2">
        <f>YEAR(Tabela1[[#This Row],[Periodo]])</f>
        <v>2018</v>
      </c>
      <c r="E2959" s="16">
        <f>(INDEX(TBBP[],MATCH("2.1.1.8",planoContas,0)+1,MATCH(Tabela1[[#This Row],[Periodo]],listaPeriodos,0)))</f>
        <v>276661.64</v>
      </c>
      <c r="F2959" s="2"/>
      <c r="G2959" s="223"/>
      <c r="H2959" s="16"/>
    </row>
    <row r="2960" spans="1:8" x14ac:dyDescent="0.3">
      <c r="A2960" t="s">
        <v>767</v>
      </c>
      <c r="B2960" s="3">
        <f t="shared" si="39"/>
        <v>43160</v>
      </c>
      <c r="C2960" s="2" t="str">
        <f>VLOOKUP(MONTH(Tabela1[[#This Row],[Periodo]]),NUMMESES,2,FALSE)</f>
        <v>Março</v>
      </c>
      <c r="D2960" s="2">
        <f>YEAR(Tabela1[[#This Row],[Periodo]])</f>
        <v>2018</v>
      </c>
      <c r="E2960" s="16">
        <f>(INDEX(TBBP[],MATCH("2.1.1.8",planoContas,0)+1,MATCH(Tabela1[[#This Row],[Periodo]],listaPeriodos,0)))</f>
        <v>433881.92</v>
      </c>
      <c r="F2960" s="2"/>
      <c r="G2960" s="223"/>
      <c r="H2960" s="16"/>
    </row>
    <row r="2961" spans="1:8" x14ac:dyDescent="0.3">
      <c r="A2961" t="s">
        <v>767</v>
      </c>
      <c r="B2961" s="3">
        <f t="shared" si="39"/>
        <v>43191</v>
      </c>
      <c r="C2961" s="2" t="str">
        <f>VLOOKUP(MONTH(Tabela1[[#This Row],[Periodo]]),NUMMESES,2,FALSE)</f>
        <v>Abril</v>
      </c>
      <c r="D2961" s="2">
        <f>YEAR(Tabela1[[#This Row],[Periodo]])</f>
        <v>2018</v>
      </c>
      <c r="E2961" s="16">
        <f>(INDEX(TBBP[],MATCH("2.1.1.8",planoContas,0)+1,MATCH(Tabela1[[#This Row],[Periodo]],listaPeriodos,0)))</f>
        <v>215361.45</v>
      </c>
      <c r="F2961" s="2"/>
      <c r="G2961" s="223"/>
      <c r="H2961" s="16"/>
    </row>
    <row r="2962" spans="1:8" x14ac:dyDescent="0.3">
      <c r="A2962" t="s">
        <v>767</v>
      </c>
      <c r="B2962" s="3">
        <f t="shared" si="39"/>
        <v>43221</v>
      </c>
      <c r="C2962" s="2" t="str">
        <f>VLOOKUP(MONTH(Tabela1[[#This Row],[Periodo]]),NUMMESES,2,FALSE)</f>
        <v>Maio</v>
      </c>
      <c r="D2962" s="2">
        <f>YEAR(Tabela1[[#This Row],[Periodo]])</f>
        <v>2018</v>
      </c>
      <c r="E2962" s="16">
        <f>(INDEX(TBBP[],MATCH("2.1.1.8",planoContas,0)+1,MATCH(Tabela1[[#This Row],[Periodo]],listaPeriodos,0)))</f>
        <v>181523.81</v>
      </c>
      <c r="F2962" s="2"/>
      <c r="G2962" s="223"/>
      <c r="H2962" s="16"/>
    </row>
    <row r="2963" spans="1:8" x14ac:dyDescent="0.3">
      <c r="A2963" t="s">
        <v>767</v>
      </c>
      <c r="B2963" s="3">
        <f t="shared" si="39"/>
        <v>43252</v>
      </c>
      <c r="C2963" s="2" t="str">
        <f>VLOOKUP(MONTH(Tabela1[[#This Row],[Periodo]]),NUMMESES,2,FALSE)</f>
        <v>Junho</v>
      </c>
      <c r="D2963" s="2">
        <f>YEAR(Tabela1[[#This Row],[Periodo]])</f>
        <v>2018</v>
      </c>
      <c r="E2963" s="16">
        <f>(INDEX(TBBP[],MATCH("2.1.1.8",planoContas,0)+1,MATCH(Tabela1[[#This Row],[Periodo]],listaPeriodos,0)))</f>
        <v>207928.17</v>
      </c>
      <c r="F2963" s="2"/>
      <c r="G2963" s="223"/>
      <c r="H2963" s="16"/>
    </row>
    <row r="2964" spans="1:8" x14ac:dyDescent="0.3">
      <c r="A2964" t="s">
        <v>767</v>
      </c>
      <c r="B2964" s="3">
        <f t="shared" si="39"/>
        <v>43282</v>
      </c>
      <c r="C2964" s="2" t="str">
        <f>VLOOKUP(MONTH(Tabela1[[#This Row],[Periodo]]),NUMMESES,2,FALSE)</f>
        <v>Julho</v>
      </c>
      <c r="D2964" s="2">
        <f>YEAR(Tabela1[[#This Row],[Periodo]])</f>
        <v>2018</v>
      </c>
      <c r="E2964" s="16">
        <f>(INDEX(TBBP[],MATCH("2.1.1.8",planoContas,0)+1,MATCH(Tabela1[[#This Row],[Periodo]],listaPeriodos,0)))</f>
        <v>183771.51999999999</v>
      </c>
      <c r="F2964" s="2"/>
      <c r="G2964" s="223"/>
      <c r="H2964" s="16"/>
    </row>
    <row r="2965" spans="1:8" x14ac:dyDescent="0.3">
      <c r="A2965" t="s">
        <v>767</v>
      </c>
      <c r="B2965" s="3">
        <f t="shared" si="39"/>
        <v>43313</v>
      </c>
      <c r="C2965" s="2" t="str">
        <f>VLOOKUP(MONTH(Tabela1[[#This Row],[Periodo]]),NUMMESES,2,FALSE)</f>
        <v>Agosto</v>
      </c>
      <c r="D2965" s="2">
        <f>YEAR(Tabela1[[#This Row],[Periodo]])</f>
        <v>2018</v>
      </c>
      <c r="E2965" s="16">
        <f>(INDEX(TBBP[],MATCH("2.1.1.8",planoContas,0)+1,MATCH(Tabela1[[#This Row],[Periodo]],listaPeriodos,0)))</f>
        <v>294456.2</v>
      </c>
      <c r="F2965" s="2"/>
      <c r="G2965" s="223"/>
      <c r="H2965" s="16"/>
    </row>
    <row r="2966" spans="1:8" x14ac:dyDescent="0.3">
      <c r="A2966" t="s">
        <v>767</v>
      </c>
      <c r="B2966" s="3">
        <f t="shared" si="39"/>
        <v>43344</v>
      </c>
      <c r="C2966" s="2" t="str">
        <f>VLOOKUP(MONTH(Tabela1[[#This Row],[Periodo]]),NUMMESES,2,FALSE)</f>
        <v>Setembro</v>
      </c>
      <c r="D2966" s="2">
        <f>YEAR(Tabela1[[#This Row],[Periodo]])</f>
        <v>2018</v>
      </c>
      <c r="E2966" s="16">
        <f>(INDEX(TBBP[],MATCH("2.1.1.8",planoContas,0)+1,MATCH(Tabela1[[#This Row],[Periodo]],listaPeriodos,0)))</f>
        <v>590966.21</v>
      </c>
      <c r="F2966" s="2"/>
      <c r="G2966" s="223"/>
      <c r="H2966" s="16"/>
    </row>
    <row r="2967" spans="1:8" x14ac:dyDescent="0.3">
      <c r="A2967" t="s">
        <v>767</v>
      </c>
      <c r="B2967" s="3">
        <f t="shared" si="39"/>
        <v>43374</v>
      </c>
      <c r="C2967" s="2" t="str">
        <f>VLOOKUP(MONTH(Tabela1[[#This Row],[Periodo]]),NUMMESES,2,FALSE)</f>
        <v>Outubro</v>
      </c>
      <c r="D2967" s="2">
        <f>YEAR(Tabela1[[#This Row],[Periodo]])</f>
        <v>2018</v>
      </c>
      <c r="E2967" s="16">
        <f>(INDEX(TBBP[],MATCH("2.1.1.8",planoContas,0)+1,MATCH(Tabela1[[#This Row],[Periodo]],listaPeriodos,0)))</f>
        <v>177852.7</v>
      </c>
      <c r="F2967" s="2"/>
      <c r="G2967" s="223"/>
      <c r="H2967" s="16"/>
    </row>
    <row r="2968" spans="1:8" x14ac:dyDescent="0.3">
      <c r="A2968" t="s">
        <v>767</v>
      </c>
      <c r="B2968" s="3">
        <f t="shared" si="39"/>
        <v>43405</v>
      </c>
      <c r="C2968" s="2" t="str">
        <f>VLOOKUP(MONTH(Tabela1[[#This Row],[Periodo]]),NUMMESES,2,FALSE)</f>
        <v>Novembro</v>
      </c>
      <c r="D2968" s="2">
        <f>YEAR(Tabela1[[#This Row],[Periodo]])</f>
        <v>2018</v>
      </c>
      <c r="E2968" s="16">
        <f>(INDEX(TBBP[],MATCH("2.1.1.8",planoContas,0)+1,MATCH(Tabela1[[#This Row],[Periodo]],listaPeriodos,0)))</f>
        <v>87761.600000000006</v>
      </c>
      <c r="F2968" s="2"/>
      <c r="G2968" s="223"/>
      <c r="H2968" s="16"/>
    </row>
    <row r="2969" spans="1:8" x14ac:dyDescent="0.3">
      <c r="A2969" t="s">
        <v>767</v>
      </c>
      <c r="B2969" s="3">
        <f t="shared" si="39"/>
        <v>43435</v>
      </c>
      <c r="C2969" s="2" t="str">
        <f>VLOOKUP(MONTH(Tabela1[[#This Row],[Periodo]]),NUMMESES,2,FALSE)</f>
        <v>Dezembro</v>
      </c>
      <c r="D2969" s="2">
        <f>YEAR(Tabela1[[#This Row],[Periodo]])</f>
        <v>2018</v>
      </c>
      <c r="E2969" s="16">
        <f>(INDEX(TBBP[],MATCH("2.1.1.8",planoContas,0)+1,MATCH(Tabela1[[#This Row],[Periodo]],listaPeriodos,0)))</f>
        <v>283835.37</v>
      </c>
      <c r="F2969" s="2"/>
      <c r="G2969" s="223"/>
      <c r="H2969" s="16"/>
    </row>
    <row r="2970" spans="1:8" x14ac:dyDescent="0.3">
      <c r="A2970" t="s">
        <v>767</v>
      </c>
      <c r="B2970" s="3">
        <f t="shared" si="39"/>
        <v>43466</v>
      </c>
      <c r="C2970" s="2" t="str">
        <f>VLOOKUP(MONTH(Tabela1[[#This Row],[Periodo]]),NUMMESES,2,FALSE)</f>
        <v>Janeiro</v>
      </c>
      <c r="D2970" s="2">
        <f>YEAR(Tabela1[[#This Row],[Periodo]])</f>
        <v>2019</v>
      </c>
      <c r="E2970" s="16">
        <f>(INDEX(TBBP[],MATCH("2.1.1.8",planoContas,0)+1,MATCH(Tabela1[[#This Row],[Periodo]],listaPeriodos,0)))</f>
        <v>264454.90000000002</v>
      </c>
      <c r="F2970" s="2"/>
      <c r="G2970" s="223"/>
    </row>
    <row r="2971" spans="1:8" x14ac:dyDescent="0.3">
      <c r="A2971" t="s">
        <v>767</v>
      </c>
      <c r="B2971" s="3">
        <f t="shared" si="39"/>
        <v>43497</v>
      </c>
      <c r="C2971" s="2" t="str">
        <f>VLOOKUP(MONTH(Tabela1[[#This Row],[Periodo]]),NUMMESES,2,FALSE)</f>
        <v>Fevereiro</v>
      </c>
      <c r="D2971" s="2">
        <f>YEAR(Tabela1[[#This Row],[Periodo]])</f>
        <v>2019</v>
      </c>
      <c r="E2971" s="16">
        <f>(INDEX(TBBP[],MATCH("2.1.1.8",planoContas,0)+1,MATCH(Tabela1[[#This Row],[Periodo]],listaPeriodos,0)))</f>
        <v>266359.40000000002</v>
      </c>
      <c r="F2971" s="2"/>
      <c r="G2971" s="223"/>
      <c r="H2971" s="2"/>
    </row>
    <row r="2972" spans="1:8" x14ac:dyDescent="0.3">
      <c r="A2972" t="s">
        <v>767</v>
      </c>
      <c r="B2972" s="3">
        <f t="shared" si="39"/>
        <v>43525</v>
      </c>
      <c r="C2972" s="2" t="str">
        <f>VLOOKUP(MONTH(Tabela1[[#This Row],[Periodo]]),NUMMESES,2,FALSE)</f>
        <v>Março</v>
      </c>
      <c r="D2972" s="2">
        <f>YEAR(Tabela1[[#This Row],[Periodo]])</f>
        <v>2019</v>
      </c>
      <c r="E2972" s="16">
        <f>(INDEX(TBBP[],MATCH("2.1.1.8",planoContas,0)+1,MATCH(Tabela1[[#This Row],[Periodo]],listaPeriodos,0)))</f>
        <v>275321.65999999997</v>
      </c>
      <c r="F2972" s="2"/>
      <c r="G2972" s="223"/>
      <c r="H2972" s="2"/>
    </row>
    <row r="2973" spans="1:8" x14ac:dyDescent="0.3">
      <c r="A2973" t="s">
        <v>767</v>
      </c>
      <c r="B2973" s="3">
        <f t="shared" si="39"/>
        <v>43556</v>
      </c>
      <c r="C2973" s="2" t="str">
        <f>VLOOKUP(MONTH(Tabela1[[#This Row],[Periodo]]),NUMMESES,2,FALSE)</f>
        <v>Abril</v>
      </c>
      <c r="D2973" s="2">
        <f>YEAR(Tabela1[[#This Row],[Periodo]])</f>
        <v>2019</v>
      </c>
      <c r="E2973" s="16">
        <f>(INDEX(TBBP[],MATCH("2.1.1.8",planoContas,0)+1,MATCH(Tabela1[[#This Row],[Periodo]],listaPeriodos,0)))</f>
        <v>262890.40000000002</v>
      </c>
      <c r="F2973" s="2"/>
      <c r="G2973" s="223"/>
      <c r="H2973" s="2"/>
    </row>
    <row r="2974" spans="1:8" x14ac:dyDescent="0.3">
      <c r="A2974" t="s">
        <v>767</v>
      </c>
      <c r="B2974" s="3">
        <f t="shared" si="39"/>
        <v>43586</v>
      </c>
      <c r="C2974" s="2" t="str">
        <f>VLOOKUP(MONTH(Tabela1[[#This Row],[Periodo]]),NUMMESES,2,FALSE)</f>
        <v>Maio</v>
      </c>
      <c r="D2974" s="2">
        <f>YEAR(Tabela1[[#This Row],[Periodo]])</f>
        <v>2019</v>
      </c>
      <c r="E2974" s="16">
        <f>(INDEX(TBBP[],MATCH("2.1.1.8",planoContas,0)+1,MATCH(Tabela1[[#This Row],[Periodo]],listaPeriodos,0)))</f>
        <v>395688.49</v>
      </c>
      <c r="F2974" s="2"/>
      <c r="G2974" s="223"/>
      <c r="H2974" s="2"/>
    </row>
    <row r="2975" spans="1:8" x14ac:dyDescent="0.3">
      <c r="A2975" t="s">
        <v>767</v>
      </c>
      <c r="B2975" s="3">
        <f t="shared" si="39"/>
        <v>43617</v>
      </c>
      <c r="C2975" s="2" t="str">
        <f>VLOOKUP(MONTH(Tabela1[[#This Row],[Periodo]]),NUMMESES,2,FALSE)</f>
        <v>Junho</v>
      </c>
      <c r="D2975" s="2">
        <f>YEAR(Tabela1[[#This Row],[Periodo]])</f>
        <v>2019</v>
      </c>
      <c r="E2975" s="16">
        <f>(INDEX(TBBP[],MATCH("2.1.1.8",planoContas,0)+1,MATCH(Tabela1[[#This Row],[Periodo]],listaPeriodos,0)))</f>
        <v>433589.23</v>
      </c>
      <c r="F2975" s="2"/>
      <c r="G2975" s="223"/>
      <c r="H2975" s="2"/>
    </row>
    <row r="2976" spans="1:8" x14ac:dyDescent="0.3">
      <c r="A2976" t="s">
        <v>767</v>
      </c>
      <c r="B2976" s="3">
        <f t="shared" si="39"/>
        <v>43647</v>
      </c>
      <c r="C2976" s="2" t="str">
        <f>VLOOKUP(MONTH(Tabela1[[#This Row],[Periodo]]),NUMMESES,2,FALSE)</f>
        <v>Julho</v>
      </c>
      <c r="D2976" s="2">
        <f>YEAR(Tabela1[[#This Row],[Periodo]])</f>
        <v>2019</v>
      </c>
      <c r="E2976" s="16">
        <f>(INDEX(TBBP[],MATCH("2.1.1.8",planoContas,0)+1,MATCH(Tabela1[[#This Row],[Periodo]],listaPeriodos,0)))</f>
        <v>628941.88</v>
      </c>
      <c r="F2976" s="2"/>
      <c r="G2976" s="223"/>
      <c r="H2976" s="2"/>
    </row>
    <row r="2977" spans="1:8" x14ac:dyDescent="0.3">
      <c r="A2977" t="s">
        <v>767</v>
      </c>
      <c r="B2977" s="3">
        <f t="shared" si="39"/>
        <v>43678</v>
      </c>
      <c r="C2977" s="2" t="str">
        <f>VLOOKUP(MONTH(Tabela1[[#This Row],[Periodo]]),NUMMESES,2,FALSE)</f>
        <v>Agosto</v>
      </c>
      <c r="D2977" s="2">
        <f>YEAR(Tabela1[[#This Row],[Periodo]])</f>
        <v>2019</v>
      </c>
      <c r="E2977" s="16">
        <f>(INDEX(TBBP[],MATCH("2.1.1.8",planoContas,0)+1,MATCH(Tabela1[[#This Row],[Periodo]],listaPeriodos,0)))</f>
        <v>415791.21</v>
      </c>
      <c r="F2977" s="2"/>
      <c r="G2977" s="223"/>
      <c r="H2977" s="2"/>
    </row>
    <row r="2978" spans="1:8" x14ac:dyDescent="0.3">
      <c r="A2978" t="s">
        <v>767</v>
      </c>
      <c r="B2978" s="3">
        <f t="shared" si="39"/>
        <v>43709</v>
      </c>
      <c r="C2978" s="2" t="str">
        <f>VLOOKUP(MONTH(Tabela1[[#This Row],[Periodo]]),NUMMESES,2,FALSE)</f>
        <v>Setembro</v>
      </c>
      <c r="D2978" s="2">
        <f>YEAR(Tabela1[[#This Row],[Periodo]])</f>
        <v>2019</v>
      </c>
      <c r="E2978" s="16">
        <f>(INDEX(TBBP[],MATCH("2.1.1.8",planoContas,0)+1,MATCH(Tabela1[[#This Row],[Periodo]],listaPeriodos,0)))</f>
        <v>231568.23</v>
      </c>
      <c r="F2978" s="2"/>
      <c r="G2978" s="223"/>
      <c r="H2978" s="2"/>
    </row>
    <row r="2979" spans="1:8" x14ac:dyDescent="0.3">
      <c r="A2979" t="s">
        <v>767</v>
      </c>
      <c r="B2979" s="3">
        <f t="shared" si="39"/>
        <v>43739</v>
      </c>
      <c r="C2979" s="2" t="str">
        <f>VLOOKUP(MONTH(Tabela1[[#This Row],[Periodo]]),NUMMESES,2,FALSE)</f>
        <v>Outubro</v>
      </c>
      <c r="D2979" s="2">
        <f>YEAR(Tabela1[[#This Row],[Periodo]])</f>
        <v>2019</v>
      </c>
      <c r="E2979" s="16">
        <f>(INDEX(TBBP[],MATCH("2.1.1.8",planoContas,0)+1,MATCH(Tabela1[[#This Row],[Periodo]],listaPeriodos,0)))</f>
        <v>355342.45</v>
      </c>
      <c r="F2979" s="2"/>
      <c r="G2979" s="223"/>
      <c r="H2979" s="2"/>
    </row>
    <row r="2980" spans="1:8" x14ac:dyDescent="0.3">
      <c r="A2980" t="s">
        <v>767</v>
      </c>
      <c r="B2980" s="3">
        <f t="shared" si="39"/>
        <v>43770</v>
      </c>
      <c r="C2980" s="2" t="str">
        <f>VLOOKUP(MONTH(Tabela1[[#This Row],[Periodo]]),NUMMESES,2,FALSE)</f>
        <v>Novembro</v>
      </c>
      <c r="D2980" s="2">
        <f>YEAR(Tabela1[[#This Row],[Periodo]])</f>
        <v>2019</v>
      </c>
      <c r="E2980" s="16">
        <f>(INDEX(TBBP[],MATCH("2.1.1.8",planoContas,0)+1,MATCH(Tabela1[[#This Row],[Periodo]],listaPeriodos,0)))</f>
        <v>280205.67</v>
      </c>
      <c r="F2980" s="2"/>
      <c r="G2980" s="223"/>
      <c r="H2980" s="2"/>
    </row>
    <row r="2981" spans="1:8" x14ac:dyDescent="0.3">
      <c r="A2981" t="s">
        <v>767</v>
      </c>
      <c r="B2981" s="3">
        <f t="shared" si="39"/>
        <v>43800</v>
      </c>
      <c r="C2981" s="2" t="str">
        <f>VLOOKUP(MONTH(Tabela1[[#This Row],[Periodo]]),NUMMESES,2,FALSE)</f>
        <v>Dezembro</v>
      </c>
      <c r="D2981" s="2">
        <f>YEAR(Tabela1[[#This Row],[Periodo]])</f>
        <v>2019</v>
      </c>
      <c r="E2981" s="16">
        <f>(INDEX(TBBP[],MATCH("2.1.1.8",planoContas,0)+1,MATCH(Tabela1[[#This Row],[Periodo]],listaPeriodos,0)))</f>
        <v>171215.29</v>
      </c>
      <c r="F2981" s="2"/>
      <c r="G2981" s="223"/>
      <c r="H2981" s="2"/>
    </row>
    <row r="2982" spans="1:8" x14ac:dyDescent="0.3">
      <c r="A2982" t="s">
        <v>767</v>
      </c>
      <c r="B2982" s="3">
        <f t="shared" si="39"/>
        <v>43831</v>
      </c>
      <c r="C2982" s="2" t="str">
        <f>VLOOKUP(MONTH(Tabela1[[#This Row],[Periodo]]),NUMMESES,2,FALSE)</f>
        <v>Janeiro</v>
      </c>
      <c r="D2982" s="2">
        <f>YEAR(Tabela1[[#This Row],[Periodo]])</f>
        <v>2020</v>
      </c>
      <c r="E2982" s="16">
        <f>(INDEX(TBBP[],MATCH("2.1.1.8",planoContas,0)+1,MATCH(Tabela1[[#This Row],[Periodo]],listaPeriodos,0)))</f>
        <v>150294.60999999999</v>
      </c>
      <c r="F2982" s="2"/>
      <c r="G2982" s="223"/>
      <c r="H2982" s="2"/>
    </row>
    <row r="2983" spans="1:8" x14ac:dyDescent="0.3">
      <c r="A2983" t="s">
        <v>767</v>
      </c>
      <c r="B2983" s="3">
        <f t="shared" si="39"/>
        <v>43862</v>
      </c>
      <c r="C2983" s="2" t="str">
        <f>VLOOKUP(MONTH(Tabela1[[#This Row],[Periodo]]),NUMMESES,2,FALSE)</f>
        <v>Fevereiro</v>
      </c>
      <c r="D2983" s="2">
        <f>YEAR(Tabela1[[#This Row],[Periodo]])</f>
        <v>2020</v>
      </c>
      <c r="E2983" s="16">
        <f>(INDEX(TBBP[],MATCH("2.1.1.8",planoContas,0)+1,MATCH(Tabela1[[#This Row],[Periodo]],listaPeriodos,0)))</f>
        <v>156955.69</v>
      </c>
      <c r="F2983" s="2"/>
      <c r="G2983" s="223"/>
      <c r="H2983" s="2"/>
    </row>
    <row r="2984" spans="1:8" x14ac:dyDescent="0.3">
      <c r="A2984" t="s">
        <v>767</v>
      </c>
      <c r="B2984" s="3">
        <f t="shared" si="39"/>
        <v>43891</v>
      </c>
      <c r="C2984" s="2" t="str">
        <f>VLOOKUP(MONTH(Tabela1[[#This Row],[Periodo]]),NUMMESES,2,FALSE)</f>
        <v>Março</v>
      </c>
      <c r="D2984" s="2">
        <f>YEAR(Tabela1[[#This Row],[Periodo]])</f>
        <v>2020</v>
      </c>
      <c r="E2984" s="16">
        <f>(INDEX(TBBP[],MATCH("2.1.1.8",planoContas,0)+1,MATCH(Tabela1[[#This Row],[Periodo]],listaPeriodos,0)))</f>
        <v>141914.67000000001</v>
      </c>
      <c r="F2984" s="2"/>
      <c r="G2984" s="223"/>
      <c r="H2984" s="2"/>
    </row>
    <row r="2985" spans="1:8" x14ac:dyDescent="0.3">
      <c r="A2985" t="s">
        <v>767</v>
      </c>
      <c r="B2985" s="3">
        <f t="shared" si="39"/>
        <v>43922</v>
      </c>
      <c r="C2985" s="2" t="str">
        <f>VLOOKUP(MONTH(Tabela1[[#This Row],[Periodo]]),NUMMESES,2,FALSE)</f>
        <v>Abril</v>
      </c>
      <c r="D2985" s="2">
        <f>YEAR(Tabela1[[#This Row],[Periodo]])</f>
        <v>2020</v>
      </c>
      <c r="E2985" s="16">
        <f>(INDEX(TBBP[],MATCH("2.1.1.8",planoContas,0)+1,MATCH(Tabela1[[#This Row],[Periodo]],listaPeriodos,0)))</f>
        <v>369312.42</v>
      </c>
      <c r="F2985" s="2"/>
      <c r="G2985" s="223"/>
      <c r="H2985" s="2"/>
    </row>
    <row r="2986" spans="1:8" x14ac:dyDescent="0.3">
      <c r="A2986" t="s">
        <v>767</v>
      </c>
      <c r="B2986" s="3">
        <f t="shared" si="39"/>
        <v>43952</v>
      </c>
      <c r="C2986" s="2" t="str">
        <f>VLOOKUP(MONTH(Tabela1[[#This Row],[Periodo]]),NUMMESES,2,FALSE)</f>
        <v>Maio</v>
      </c>
      <c r="D2986" s="2">
        <f>YEAR(Tabela1[[#This Row],[Periodo]])</f>
        <v>2020</v>
      </c>
      <c r="E2986" s="16">
        <f>(INDEX(TBBP[],MATCH("2.1.1.8",planoContas,0)+1,MATCH(Tabela1[[#This Row],[Periodo]],listaPeriodos,0)))</f>
        <v>409065.41</v>
      </c>
      <c r="F2986" s="2"/>
      <c r="G2986" s="223"/>
      <c r="H2986" s="2"/>
    </row>
    <row r="2987" spans="1:8" x14ac:dyDescent="0.3">
      <c r="A2987" t="s">
        <v>767</v>
      </c>
      <c r="B2987" s="3">
        <f t="shared" si="39"/>
        <v>43983</v>
      </c>
      <c r="C2987" s="2" t="str">
        <f>VLOOKUP(MONTH(Tabela1[[#This Row],[Periodo]]),NUMMESES,2,FALSE)</f>
        <v>Junho</v>
      </c>
      <c r="D2987" s="2">
        <f>YEAR(Tabela1[[#This Row],[Periodo]])</f>
        <v>2020</v>
      </c>
      <c r="E2987" s="16">
        <f>(INDEX(TBBP[],MATCH("2.1.1.8",planoContas,0)+1,MATCH(Tabela1[[#This Row],[Periodo]],listaPeriodos,0)))</f>
        <v>778555.69</v>
      </c>
      <c r="F2987" s="2"/>
      <c r="G2987" s="223"/>
      <c r="H2987" s="2"/>
    </row>
    <row r="2988" spans="1:8" x14ac:dyDescent="0.3">
      <c r="A2988" t="s">
        <v>767</v>
      </c>
      <c r="B2988" s="3">
        <f t="shared" si="39"/>
        <v>44013</v>
      </c>
      <c r="C2988" s="2" t="str">
        <f>VLOOKUP(MONTH(Tabela1[[#This Row],[Periodo]]),NUMMESES,2,FALSE)</f>
        <v>Julho</v>
      </c>
      <c r="D2988" s="2">
        <f>YEAR(Tabela1[[#This Row],[Periodo]])</f>
        <v>2020</v>
      </c>
      <c r="E2988" s="16">
        <f>(INDEX(TBBP[],MATCH("2.1.1.8",planoContas,0)+1,MATCH(Tabela1[[#This Row],[Periodo]],listaPeriodos,0)))</f>
        <v>899522.98</v>
      </c>
      <c r="F2988" s="2"/>
      <c r="G2988" s="223"/>
      <c r="H2988" s="2"/>
    </row>
    <row r="2989" spans="1:8" x14ac:dyDescent="0.3">
      <c r="A2989" t="s">
        <v>767</v>
      </c>
      <c r="B2989" s="3">
        <f t="shared" si="39"/>
        <v>44044</v>
      </c>
      <c r="C2989" s="2" t="str">
        <f>VLOOKUP(MONTH(Tabela1[[#This Row],[Periodo]]),NUMMESES,2,FALSE)</f>
        <v>Agosto</v>
      </c>
      <c r="D2989" s="2">
        <f>YEAR(Tabela1[[#This Row],[Periodo]])</f>
        <v>2020</v>
      </c>
      <c r="E2989" s="16">
        <f>(INDEX(TBBP[],MATCH("2.1.1.8",planoContas,0)+1,MATCH(Tabela1[[#This Row],[Periodo]],listaPeriodos,0)))</f>
        <v>1034470.21</v>
      </c>
      <c r="F2989" s="2"/>
      <c r="G2989" s="223"/>
      <c r="H2989" s="2"/>
    </row>
    <row r="2990" spans="1:8" x14ac:dyDescent="0.3">
      <c r="A2990" t="s">
        <v>767</v>
      </c>
      <c r="B2990" s="3">
        <f t="shared" si="39"/>
        <v>44075</v>
      </c>
      <c r="C2990" s="2" t="str">
        <f>VLOOKUP(MONTH(Tabela1[[#This Row],[Periodo]]),NUMMESES,2,FALSE)</f>
        <v>Setembro</v>
      </c>
      <c r="D2990" s="2">
        <f>YEAR(Tabela1[[#This Row],[Periodo]])</f>
        <v>2020</v>
      </c>
      <c r="E2990" s="16">
        <f>(INDEX(TBBP[],MATCH("2.1.1.8",planoContas,0)+1,MATCH(Tabela1[[#This Row],[Periodo]],listaPeriodos,0)))</f>
        <v>1545563.32</v>
      </c>
      <c r="F2990" s="2"/>
      <c r="G2990" s="223"/>
      <c r="H2990" s="2"/>
    </row>
    <row r="2991" spans="1:8" x14ac:dyDescent="0.3">
      <c r="A2991" t="s">
        <v>767</v>
      </c>
      <c r="B2991" s="3">
        <f t="shared" si="39"/>
        <v>44105</v>
      </c>
      <c r="C2991" s="2" t="str">
        <f>VLOOKUP(MONTH(Tabela1[[#This Row],[Periodo]]),NUMMESES,2,FALSE)</f>
        <v>Outubro</v>
      </c>
      <c r="D2991" s="2">
        <f>YEAR(Tabela1[[#This Row],[Periodo]])</f>
        <v>2020</v>
      </c>
      <c r="E2991" s="16">
        <f>(INDEX(TBBP[],MATCH("2.1.1.8",planoContas,0)+1,MATCH(Tabela1[[#This Row],[Periodo]],listaPeriodos,0)))</f>
        <v>1168375.1200000001</v>
      </c>
      <c r="F2991" s="2"/>
      <c r="G2991" s="223"/>
      <c r="H2991" s="2"/>
    </row>
    <row r="2992" spans="1:8" x14ac:dyDescent="0.3">
      <c r="A2992" t="s">
        <v>767</v>
      </c>
      <c r="B2992" s="3">
        <f t="shared" si="39"/>
        <v>44136</v>
      </c>
      <c r="C2992" s="2" t="str">
        <f>VLOOKUP(MONTH(Tabela1[[#This Row],[Periodo]]),NUMMESES,2,FALSE)</f>
        <v>Novembro</v>
      </c>
      <c r="D2992" s="2">
        <f>YEAR(Tabela1[[#This Row],[Periodo]])</f>
        <v>2020</v>
      </c>
      <c r="E2992" s="16">
        <f>(INDEX(TBBP[],MATCH("2.1.1.8",planoContas,0)+1,MATCH(Tabela1[[#This Row],[Periodo]],listaPeriodos,0)))</f>
        <v>1080779.26</v>
      </c>
      <c r="F2992" s="2"/>
      <c r="G2992" s="223"/>
      <c r="H2992" s="2"/>
    </row>
    <row r="2993" spans="1:8" x14ac:dyDescent="0.3">
      <c r="A2993" t="s">
        <v>767</v>
      </c>
      <c r="B2993" s="3">
        <f t="shared" si="39"/>
        <v>44166</v>
      </c>
      <c r="C2993" s="2" t="str">
        <f>VLOOKUP(MONTH(Tabela1[[#This Row],[Periodo]]),NUMMESES,2,FALSE)</f>
        <v>Dezembro</v>
      </c>
      <c r="D2993" s="2">
        <f>YEAR(Tabela1[[#This Row],[Periodo]])</f>
        <v>2020</v>
      </c>
      <c r="E2993" s="16">
        <f>(INDEX(TBBP[],MATCH("2.1.1.8",planoContas,0)+1,MATCH(Tabela1[[#This Row],[Periodo]],listaPeriodos,0)))</f>
        <v>1529731.5</v>
      </c>
      <c r="F2993" s="2"/>
      <c r="G2993" s="223"/>
      <c r="H2993" s="2"/>
    </row>
    <row r="2994" spans="1:8" x14ac:dyDescent="0.3">
      <c r="A2994" t="s">
        <v>767</v>
      </c>
      <c r="B2994" s="3">
        <f t="shared" si="39"/>
        <v>44197</v>
      </c>
      <c r="C2994" s="2" t="str">
        <f>VLOOKUP(MONTH(Tabela1[[#This Row],[Periodo]]),NUMMESES,2,FALSE)</f>
        <v>Janeiro</v>
      </c>
      <c r="D2994" s="2">
        <f>YEAR(Tabela1[[#This Row],[Periodo]])</f>
        <v>2021</v>
      </c>
      <c r="E2994" s="16">
        <f>(INDEX(TBBP[],MATCH("2.1.1.8",planoContas,0)+1,MATCH(Tabela1[[#This Row],[Periodo]],listaPeriodos,0)))</f>
        <v>1553049.42</v>
      </c>
      <c r="F2994" s="2"/>
      <c r="G2994" s="223"/>
      <c r="H2994" s="2"/>
    </row>
    <row r="2995" spans="1:8" x14ac:dyDescent="0.3">
      <c r="A2995" t="s">
        <v>767</v>
      </c>
      <c r="B2995" s="3">
        <f t="shared" si="39"/>
        <v>44228</v>
      </c>
      <c r="C2995" s="2" t="str">
        <f>VLOOKUP(MONTH(Tabela1[[#This Row],[Periodo]]),NUMMESES,2,FALSE)</f>
        <v>Fevereiro</v>
      </c>
      <c r="D2995" s="2">
        <f>YEAR(Tabela1[[#This Row],[Periodo]])</f>
        <v>2021</v>
      </c>
      <c r="E2995" s="16">
        <f>(INDEX(TBBP[],MATCH("2.1.1.8",planoContas,0)+1,MATCH(Tabela1[[#This Row],[Periodo]],listaPeriodos,0)))</f>
        <v>2676649.36</v>
      </c>
      <c r="F2995" s="2"/>
      <c r="G2995" s="223"/>
      <c r="H2995" s="2"/>
    </row>
    <row r="2996" spans="1:8" x14ac:dyDescent="0.3">
      <c r="A2996" t="s">
        <v>767</v>
      </c>
      <c r="B2996" s="3">
        <f t="shared" si="39"/>
        <v>44256</v>
      </c>
      <c r="C2996" s="2" t="str">
        <f>VLOOKUP(MONTH(Tabela1[[#This Row],[Periodo]]),NUMMESES,2,FALSE)</f>
        <v>Março</v>
      </c>
      <c r="D2996" s="2">
        <f>YEAR(Tabela1[[#This Row],[Periodo]])</f>
        <v>2021</v>
      </c>
      <c r="E2996" s="16">
        <f>(INDEX(TBBP[],MATCH("2.1.1.8",planoContas,0)+1,MATCH(Tabela1[[#This Row],[Periodo]],listaPeriodos,0)))</f>
        <v>2919611.77</v>
      </c>
      <c r="F2996" s="2"/>
      <c r="G2996" s="223"/>
      <c r="H2996" s="2"/>
    </row>
    <row r="2997" spans="1:8" x14ac:dyDescent="0.3">
      <c r="A2997" t="s">
        <v>767</v>
      </c>
      <c r="B2997" s="3">
        <f t="shared" si="39"/>
        <v>44287</v>
      </c>
      <c r="C2997" s="2" t="str">
        <f>VLOOKUP(MONTH(Tabela1[[#This Row],[Periodo]]),NUMMESES,2,FALSE)</f>
        <v>Abril</v>
      </c>
      <c r="D2997" s="2">
        <f>YEAR(Tabela1[[#This Row],[Periodo]])</f>
        <v>2021</v>
      </c>
      <c r="E2997" s="16">
        <f>(INDEX(TBBP[],MATCH("2.1.1.8",planoContas,0)+1,MATCH(Tabela1[[#This Row],[Periodo]],listaPeriodos,0)))</f>
        <v>3186324.23</v>
      </c>
      <c r="F2997" s="2"/>
      <c r="G2997" s="223"/>
      <c r="H2997" s="2"/>
    </row>
    <row r="2998" spans="1:8" x14ac:dyDescent="0.3">
      <c r="A2998" t="s">
        <v>767</v>
      </c>
      <c r="B2998" s="3">
        <f t="shared" si="39"/>
        <v>44317</v>
      </c>
      <c r="C2998" s="2" t="str">
        <f>VLOOKUP(MONTH(Tabela1[[#This Row],[Periodo]]),NUMMESES,2,FALSE)</f>
        <v>Maio</v>
      </c>
      <c r="D2998" s="2">
        <f>YEAR(Tabela1[[#This Row],[Periodo]])</f>
        <v>2021</v>
      </c>
      <c r="E2998" s="16">
        <f>(INDEX(TBBP[],MATCH("2.1.1.8",planoContas,0)+1,MATCH(Tabela1[[#This Row],[Periodo]],listaPeriodos,0)))</f>
        <v>3531543.61</v>
      </c>
      <c r="F2998" s="2"/>
      <c r="G2998" s="223"/>
      <c r="H2998" s="2"/>
    </row>
    <row r="2999" spans="1:8" x14ac:dyDescent="0.3">
      <c r="A2999" t="s">
        <v>767</v>
      </c>
      <c r="B2999" s="3">
        <f t="shared" si="39"/>
        <v>44348</v>
      </c>
      <c r="C2999" s="2" t="str">
        <f>VLOOKUP(MONTH(Tabela1[[#This Row],[Periodo]]),NUMMESES,2,FALSE)</f>
        <v>Junho</v>
      </c>
      <c r="D2999" s="2">
        <f>YEAR(Tabela1[[#This Row],[Periodo]])</f>
        <v>2021</v>
      </c>
      <c r="E2999" s="16">
        <f>(INDEX(TBBP[],MATCH("2.1.1.8",planoContas,0)+1,MATCH(Tabela1[[#This Row],[Periodo]],listaPeriodos,0)))</f>
        <v>3621847.98</v>
      </c>
      <c r="F2999" s="2"/>
      <c r="G2999" s="223"/>
      <c r="H2999" s="2"/>
    </row>
    <row r="3000" spans="1:8" x14ac:dyDescent="0.3">
      <c r="A3000" t="s">
        <v>767</v>
      </c>
      <c r="B3000" s="3">
        <f t="shared" si="39"/>
        <v>44378</v>
      </c>
      <c r="C3000" s="2" t="str">
        <f>VLOOKUP(MONTH(Tabela1[[#This Row],[Periodo]]),NUMMESES,2,FALSE)</f>
        <v>Julho</v>
      </c>
      <c r="D3000" s="2">
        <f>YEAR(Tabela1[[#This Row],[Periodo]])</f>
        <v>2021</v>
      </c>
      <c r="E3000" s="16">
        <f>(INDEX(TBBP[],MATCH("2.1.1.8",planoContas,0)+1,MATCH(Tabela1[[#This Row],[Periodo]],listaPeriodos,0)))</f>
        <v>3700884.54</v>
      </c>
      <c r="F3000" s="2"/>
      <c r="G3000" s="223"/>
      <c r="H3000" s="2"/>
    </row>
    <row r="3001" spans="1:8" x14ac:dyDescent="0.3">
      <c r="A3001" t="s">
        <v>767</v>
      </c>
      <c r="B3001" s="3">
        <f t="shared" si="39"/>
        <v>44409</v>
      </c>
      <c r="C3001" s="2" t="str">
        <f>VLOOKUP(MONTH(Tabela1[[#This Row],[Periodo]]),NUMMESES,2,FALSE)</f>
        <v>Agosto</v>
      </c>
      <c r="D3001" s="2">
        <f>YEAR(Tabela1[[#This Row],[Periodo]])</f>
        <v>2021</v>
      </c>
      <c r="E3001" s="16">
        <f>(INDEX(TBBP[],MATCH("2.1.1.8",planoContas,0)+1,MATCH(Tabela1[[#This Row],[Periodo]],listaPeriodos,0)))</f>
        <v>3561269.27</v>
      </c>
      <c r="F3001" s="2"/>
      <c r="G3001" s="223"/>
      <c r="H3001" s="2"/>
    </row>
    <row r="3002" spans="1:8" x14ac:dyDescent="0.3">
      <c r="A3002" t="s">
        <v>767</v>
      </c>
      <c r="B3002" s="3">
        <f t="shared" si="39"/>
        <v>44440</v>
      </c>
      <c r="C3002" s="2" t="str">
        <f>VLOOKUP(MONTH(Tabela1[[#This Row],[Periodo]]),NUMMESES,2,FALSE)</f>
        <v>Setembro</v>
      </c>
      <c r="D3002" s="2">
        <f>YEAR(Tabela1[[#This Row],[Periodo]])</f>
        <v>2021</v>
      </c>
      <c r="E3002" s="16">
        <f>(INDEX(TBBP[],MATCH("2.1.1.8",planoContas,0)+1,MATCH(Tabela1[[#This Row],[Periodo]],listaPeriodos,0)))</f>
        <v>3076719.86</v>
      </c>
      <c r="F3002" s="2"/>
      <c r="G3002" s="223"/>
      <c r="H3002" s="2"/>
    </row>
    <row r="3003" spans="1:8" x14ac:dyDescent="0.3">
      <c r="A3003" t="s">
        <v>767</v>
      </c>
      <c r="B3003" s="3">
        <f t="shared" si="39"/>
        <v>44470</v>
      </c>
      <c r="C3003" s="2" t="str">
        <f>VLOOKUP(MONTH(Tabela1[[#This Row],[Periodo]]),NUMMESES,2,FALSE)</f>
        <v>Outubro</v>
      </c>
      <c r="D3003" s="2">
        <f>YEAR(Tabela1[[#This Row],[Periodo]])</f>
        <v>2021</v>
      </c>
      <c r="E3003" s="16">
        <f>(INDEX(TBBP[],MATCH("2.1.1.8",planoContas,0)+1,MATCH(Tabela1[[#This Row],[Periodo]],listaPeriodos,0)))</f>
        <v>2894623.63</v>
      </c>
      <c r="F3003" s="2"/>
      <c r="G3003" s="223"/>
      <c r="H3003" s="2"/>
    </row>
    <row r="3004" spans="1:8" x14ac:dyDescent="0.3">
      <c r="A3004" t="s">
        <v>767</v>
      </c>
      <c r="B3004" s="3">
        <f t="shared" si="39"/>
        <v>44501</v>
      </c>
      <c r="C3004" s="2" t="str">
        <f>VLOOKUP(MONTH(Tabela1[[#This Row],[Periodo]]),NUMMESES,2,FALSE)</f>
        <v>Novembro</v>
      </c>
      <c r="D3004" s="2">
        <f>YEAR(Tabela1[[#This Row],[Periodo]])</f>
        <v>2021</v>
      </c>
      <c r="E3004" s="16">
        <f>(INDEX(TBBP[],MATCH("2.1.1.8",planoContas,0)+1,MATCH(Tabela1[[#This Row],[Periodo]],listaPeriodos,0)))</f>
        <v>2854578.31</v>
      </c>
      <c r="F3004" s="2"/>
      <c r="G3004" s="223"/>
      <c r="H3004" s="2"/>
    </row>
    <row r="3005" spans="1:8" x14ac:dyDescent="0.3">
      <c r="A3005" t="s">
        <v>767</v>
      </c>
      <c r="B3005" s="3">
        <f t="shared" si="39"/>
        <v>44531</v>
      </c>
      <c r="C3005" s="2" t="str">
        <f>VLOOKUP(MONTH(Tabela1[[#This Row],[Periodo]]),NUMMESES,2,FALSE)</f>
        <v>Dezembro</v>
      </c>
      <c r="D3005" s="2">
        <f>YEAR(Tabela1[[#This Row],[Periodo]])</f>
        <v>2021</v>
      </c>
      <c r="E3005" s="16">
        <f>(INDEX(TBBP[],MATCH("2.1.1.8",planoContas,0)+1,MATCH(Tabela1[[#This Row],[Periodo]],listaPeriodos,0)))</f>
        <v>4432658.42</v>
      </c>
      <c r="F3005" s="2"/>
      <c r="G3005" s="223"/>
      <c r="H3005" s="2"/>
    </row>
    <row r="3006" spans="1:8" x14ac:dyDescent="0.3">
      <c r="A3006" t="s">
        <v>767</v>
      </c>
      <c r="B3006" s="3">
        <f t="shared" si="39"/>
        <v>44562</v>
      </c>
      <c r="C3006" s="2" t="str">
        <f>VLOOKUP(MONTH(Tabela1[[#This Row],[Periodo]]),NUMMESES,2,FALSE)</f>
        <v>Janeiro</v>
      </c>
      <c r="D3006" s="2">
        <f>YEAR(Tabela1[[#This Row],[Periodo]])</f>
        <v>2022</v>
      </c>
      <c r="E3006" s="16">
        <f>(INDEX(TBBP[],MATCH("2.1.1.8",planoContas,0)+1,MATCH(Tabela1[[#This Row],[Periodo]],listaPeriodos,0)))</f>
        <v>3674849.41</v>
      </c>
      <c r="F3006" s="2"/>
      <c r="G3006" s="223"/>
      <c r="H3006" s="2"/>
    </row>
    <row r="3007" spans="1:8" x14ac:dyDescent="0.3">
      <c r="A3007" t="s">
        <v>767</v>
      </c>
      <c r="B3007" s="3">
        <f t="shared" si="39"/>
        <v>44593</v>
      </c>
      <c r="C3007" s="2" t="str">
        <f>VLOOKUP(MONTH(Tabela1[[#This Row],[Periodo]]),NUMMESES,2,FALSE)</f>
        <v>Fevereiro</v>
      </c>
      <c r="D3007" s="2">
        <f>YEAR(Tabela1[[#This Row],[Periodo]])</f>
        <v>2022</v>
      </c>
      <c r="E3007" s="16">
        <f>(INDEX(TBBP[],MATCH("2.1.1.8",planoContas,0)+1,MATCH(Tabela1[[#This Row],[Periodo]],listaPeriodos,0)))</f>
        <v>3504583.9</v>
      </c>
      <c r="F3007" s="2"/>
      <c r="G3007" s="223"/>
      <c r="H3007" s="2"/>
    </row>
    <row r="3008" spans="1:8" x14ac:dyDescent="0.3">
      <c r="A3008" t="s">
        <v>767</v>
      </c>
      <c r="B3008" s="3">
        <f t="shared" si="39"/>
        <v>44621</v>
      </c>
      <c r="C3008" s="2" t="str">
        <f>VLOOKUP(MONTH(Tabela1[[#This Row],[Periodo]]),NUMMESES,2,FALSE)</f>
        <v>Março</v>
      </c>
      <c r="D3008" s="2">
        <f>YEAR(Tabela1[[#This Row],[Periodo]])</f>
        <v>2022</v>
      </c>
      <c r="E3008" s="16">
        <f>(INDEX(TBBP[],MATCH("2.1.1.8",planoContas,0)+1,MATCH(Tabela1[[#This Row],[Periodo]],listaPeriodos,0)))</f>
        <v>3268473.48</v>
      </c>
      <c r="F3008" s="2"/>
      <c r="G3008" s="223"/>
      <c r="H3008" s="2"/>
    </row>
    <row r="3009" spans="1:8" x14ac:dyDescent="0.3">
      <c r="A3009" t="s">
        <v>767</v>
      </c>
      <c r="B3009" s="3">
        <f t="shared" si="39"/>
        <v>44652</v>
      </c>
      <c r="C3009" s="2" t="str">
        <f>VLOOKUP(MONTH(Tabela1[[#This Row],[Periodo]]),NUMMESES,2,FALSE)</f>
        <v>Abril</v>
      </c>
      <c r="D3009" s="2">
        <f>YEAR(Tabela1[[#This Row],[Periodo]])</f>
        <v>2022</v>
      </c>
      <c r="E3009" s="16">
        <f>(INDEX(TBBP[],MATCH("2.1.1.8",planoContas,0)+1,MATCH(Tabela1[[#This Row],[Periodo]],listaPeriodos,0)))</f>
        <v>3666401.26</v>
      </c>
      <c r="F3009" s="2"/>
      <c r="G3009" s="223"/>
      <c r="H3009" s="2"/>
    </row>
    <row r="3010" spans="1:8" x14ac:dyDescent="0.3">
      <c r="A3010" t="s">
        <v>767</v>
      </c>
      <c r="B3010" s="3">
        <f t="shared" si="39"/>
        <v>44682</v>
      </c>
      <c r="C3010" s="2" t="str">
        <f>VLOOKUP(MONTH(Tabela1[[#This Row],[Periodo]]),NUMMESES,2,FALSE)</f>
        <v>Maio</v>
      </c>
      <c r="D3010" s="2">
        <f>YEAR(Tabela1[[#This Row],[Periodo]])</f>
        <v>2022</v>
      </c>
      <c r="E3010" s="16">
        <f>(INDEX(TBBP[],MATCH("2.1.1.8",planoContas,0)+1,MATCH(Tabela1[[#This Row],[Periodo]],listaPeriodos,0)))</f>
        <v>2016838.97</v>
      </c>
      <c r="F3010" s="2"/>
      <c r="G3010" s="223"/>
      <c r="H3010" s="2"/>
    </row>
    <row r="3011" spans="1:8" x14ac:dyDescent="0.3">
      <c r="A3011" t="s">
        <v>767</v>
      </c>
      <c r="B3011" s="3">
        <f t="shared" si="39"/>
        <v>44713</v>
      </c>
      <c r="C3011" s="2" t="str">
        <f>VLOOKUP(MONTH(Tabela1[[#This Row],[Periodo]]),NUMMESES,2,FALSE)</f>
        <v>Junho</v>
      </c>
      <c r="D3011" s="2">
        <f>YEAR(Tabela1[[#This Row],[Periodo]])</f>
        <v>2022</v>
      </c>
      <c r="E3011" s="16">
        <f>(INDEX(TBBP[],MATCH("2.1.1.8",planoContas,0)+1,MATCH(Tabela1[[#This Row],[Periodo]],listaPeriodos,0)))</f>
        <v>1577587.87</v>
      </c>
      <c r="F3011" s="2"/>
      <c r="G3011" s="223"/>
      <c r="H3011" s="2"/>
    </row>
    <row r="3012" spans="1:8" x14ac:dyDescent="0.3">
      <c r="A3012" t="s">
        <v>767</v>
      </c>
      <c r="B3012" s="3">
        <f t="shared" si="39"/>
        <v>44743</v>
      </c>
      <c r="C3012" s="2" t="str">
        <f>VLOOKUP(MONTH(Tabela1[[#This Row],[Periodo]]),NUMMESES,2,FALSE)</f>
        <v>Julho</v>
      </c>
      <c r="D3012" s="2">
        <f>YEAR(Tabela1[[#This Row],[Periodo]])</f>
        <v>2022</v>
      </c>
      <c r="E3012" s="16">
        <f>(INDEX(TBBP[],MATCH("2.1.1.8",planoContas,0)+1,MATCH(Tabela1[[#This Row],[Periodo]],listaPeriodos,0)))</f>
        <v>2054612.38</v>
      </c>
      <c r="F3012" s="2"/>
      <c r="G3012" s="223"/>
      <c r="H3012" s="2"/>
    </row>
    <row r="3013" spans="1:8" x14ac:dyDescent="0.3">
      <c r="A3013" t="s">
        <v>767</v>
      </c>
      <c r="B3013" s="3">
        <f t="shared" si="39"/>
        <v>44774</v>
      </c>
      <c r="C3013" s="2" t="str">
        <f>VLOOKUP(MONTH(Tabela1[[#This Row],[Periodo]]),NUMMESES,2,FALSE)</f>
        <v>Agosto</v>
      </c>
      <c r="D3013" s="2">
        <f>YEAR(Tabela1[[#This Row],[Periodo]])</f>
        <v>2022</v>
      </c>
      <c r="E3013" s="16">
        <f>(INDEX(TBBP[],MATCH("2.1.1.8",planoContas,0)+1,MATCH(Tabela1[[#This Row],[Periodo]],listaPeriodos,0)))</f>
        <v>2190550</v>
      </c>
      <c r="F3013" s="2"/>
      <c r="G3013" s="223"/>
      <c r="H3013" s="2"/>
    </row>
    <row r="3014" spans="1:8" x14ac:dyDescent="0.3">
      <c r="A3014" t="s">
        <v>767</v>
      </c>
      <c r="B3014" s="3">
        <f t="shared" si="39"/>
        <v>44805</v>
      </c>
      <c r="C3014" s="2" t="str">
        <f>VLOOKUP(MONTH(Tabela1[[#This Row],[Periodo]]),NUMMESES,2,FALSE)</f>
        <v>Setembro</v>
      </c>
      <c r="D3014" s="2">
        <f>YEAR(Tabela1[[#This Row],[Periodo]])</f>
        <v>2022</v>
      </c>
      <c r="E3014" s="16">
        <f>(INDEX(TBBP[],MATCH("2.1.1.8",planoContas,0)+1,MATCH(Tabela1[[#This Row],[Periodo]],listaPeriodos,0)))</f>
        <v>2665629.25</v>
      </c>
      <c r="F3014" s="2"/>
      <c r="G3014" s="223"/>
      <c r="H3014" s="2"/>
    </row>
    <row r="3015" spans="1:8" x14ac:dyDescent="0.3">
      <c r="A3015" t="s">
        <v>767</v>
      </c>
      <c r="B3015" s="3">
        <f t="shared" si="39"/>
        <v>44835</v>
      </c>
      <c r="C3015" s="2" t="str">
        <f>VLOOKUP(MONTH(Tabela1[[#This Row],[Periodo]]),NUMMESES,2,FALSE)</f>
        <v>Outubro</v>
      </c>
      <c r="D3015" s="2">
        <f>YEAR(Tabela1[[#This Row],[Periodo]])</f>
        <v>2022</v>
      </c>
      <c r="E3015" s="16">
        <f>(INDEX(TBBP[],MATCH("2.1.1.8",planoContas,0)+1,MATCH(Tabela1[[#This Row],[Periodo]],listaPeriodos,0)))</f>
        <v>2967505.37</v>
      </c>
      <c r="F3015" s="2"/>
      <c r="G3015" s="223"/>
      <c r="H3015" s="2"/>
    </row>
    <row r="3016" spans="1:8" x14ac:dyDescent="0.3">
      <c r="A3016" t="s">
        <v>767</v>
      </c>
      <c r="B3016" s="3">
        <f t="shared" si="39"/>
        <v>44866</v>
      </c>
      <c r="C3016" s="2" t="str">
        <f>VLOOKUP(MONTH(Tabela1[[#This Row],[Periodo]]),NUMMESES,2,FALSE)</f>
        <v>Novembro</v>
      </c>
      <c r="D3016" s="2">
        <f>YEAR(Tabela1[[#This Row],[Periodo]])</f>
        <v>2022</v>
      </c>
      <c r="E3016" s="16">
        <f>(INDEX(TBBP[],MATCH("2.1.1.8",planoContas,0)+1,MATCH(Tabela1[[#This Row],[Periodo]],listaPeriodos,0)))</f>
        <v>2446890.85</v>
      </c>
      <c r="F3016" s="2"/>
      <c r="G3016" s="223"/>
      <c r="H3016" s="2"/>
    </row>
    <row r="3017" spans="1:8" x14ac:dyDescent="0.3">
      <c r="A3017" t="s">
        <v>767</v>
      </c>
      <c r="B3017" s="3">
        <f t="shared" si="39"/>
        <v>44896</v>
      </c>
      <c r="C3017" s="2" t="str">
        <f>VLOOKUP(MONTH(Tabela1[[#This Row],[Periodo]]),NUMMESES,2,FALSE)</f>
        <v>Dezembro</v>
      </c>
      <c r="D3017" s="2">
        <f>YEAR(Tabela1[[#This Row],[Periodo]])</f>
        <v>2022</v>
      </c>
      <c r="E3017" s="16">
        <f>(INDEX(TBBP[],MATCH("2.1.1.8",planoContas,0)+1,MATCH(Tabela1[[#This Row],[Periodo]],listaPeriodos,0)))</f>
        <v>2074277.93</v>
      </c>
      <c r="F3017" s="2"/>
      <c r="G3017" s="223"/>
      <c r="H3017" s="2"/>
    </row>
    <row r="3018" spans="1:8" x14ac:dyDescent="0.3">
      <c r="A3018" t="s">
        <v>767</v>
      </c>
      <c r="B3018" s="3">
        <f t="shared" si="39"/>
        <v>44927</v>
      </c>
      <c r="C3018" s="2" t="str">
        <f>VLOOKUP(MONTH(Tabela1[[#This Row],[Periodo]]),NUMMESES,2,FALSE)</f>
        <v>Janeiro</v>
      </c>
      <c r="D3018" s="2">
        <f>YEAR(Tabela1[[#This Row],[Periodo]])</f>
        <v>2023</v>
      </c>
      <c r="E3018" s="16">
        <f>(INDEX(TBBP[],MATCH("2.1.1.8",planoContas,0)+1,MATCH(Tabela1[[#This Row],[Periodo]],listaPeriodos,0)))</f>
        <v>1880445.97</v>
      </c>
      <c r="F3018" s="2"/>
      <c r="G3018" s="223"/>
      <c r="H3018" s="2"/>
    </row>
    <row r="3019" spans="1:8" x14ac:dyDescent="0.3">
      <c r="A3019" t="s">
        <v>767</v>
      </c>
      <c r="B3019" s="3">
        <f t="shared" si="39"/>
        <v>44958</v>
      </c>
      <c r="C3019" s="2" t="str">
        <f>VLOOKUP(MONTH(Tabela1[[#This Row],[Periodo]]),NUMMESES,2,FALSE)</f>
        <v>Fevereiro</v>
      </c>
      <c r="D3019" s="2">
        <f>YEAR(Tabela1[[#This Row],[Periodo]])</f>
        <v>2023</v>
      </c>
      <c r="E3019" s="16">
        <f>(INDEX(TBBP[],MATCH("2.1.1.8",planoContas,0)+1,MATCH(Tabela1[[#This Row],[Periodo]],listaPeriodos,0)))</f>
        <v>1947054.61</v>
      </c>
      <c r="F3019" s="2"/>
      <c r="G3019" s="223"/>
      <c r="H3019" s="2"/>
    </row>
    <row r="3020" spans="1:8" x14ac:dyDescent="0.3">
      <c r="A3020" t="s">
        <v>767</v>
      </c>
      <c r="B3020" s="3">
        <f t="shared" si="39"/>
        <v>44986</v>
      </c>
      <c r="C3020" s="2" t="str">
        <f>VLOOKUP(MONTH(Tabela1[[#This Row],[Periodo]]),NUMMESES,2,FALSE)</f>
        <v>Março</v>
      </c>
      <c r="D3020" s="2">
        <f>YEAR(Tabela1[[#This Row],[Periodo]])</f>
        <v>2023</v>
      </c>
      <c r="E3020" s="16">
        <f>(INDEX(TBBP[],MATCH("2.1.1.8",planoContas,0)+1,MATCH(Tabela1[[#This Row],[Periodo]],listaPeriodos,0)))</f>
        <v>2556042.48</v>
      </c>
      <c r="F3020" s="2"/>
      <c r="G3020" s="223"/>
      <c r="H3020" s="2"/>
    </row>
    <row r="3021" spans="1:8" x14ac:dyDescent="0.3">
      <c r="A3021" t="s">
        <v>767</v>
      </c>
      <c r="B3021" s="3">
        <f t="shared" si="39"/>
        <v>45017</v>
      </c>
      <c r="C3021" s="2" t="str">
        <f>VLOOKUP(MONTH(Tabela1[[#This Row],[Periodo]]),NUMMESES,2,FALSE)</f>
        <v>Abril</v>
      </c>
      <c r="D3021" s="2">
        <f>YEAR(Tabela1[[#This Row],[Periodo]])</f>
        <v>2023</v>
      </c>
      <c r="E3021" s="16">
        <f>(INDEX(TBBP[],MATCH("2.1.1.8",planoContas,0)+1,MATCH(Tabela1[[#This Row],[Periodo]],listaPeriodos,0)))</f>
        <v>2389476.84</v>
      </c>
      <c r="F3021" s="2"/>
      <c r="G3021" s="223"/>
      <c r="H3021" s="2"/>
    </row>
    <row r="3022" spans="1:8" x14ac:dyDescent="0.3">
      <c r="A3022" t="s">
        <v>767</v>
      </c>
      <c r="B3022" s="3">
        <f t="shared" si="39"/>
        <v>45047</v>
      </c>
      <c r="C3022" s="2" t="str">
        <f>VLOOKUP(MONTH(Tabela1[[#This Row],[Periodo]]),NUMMESES,2,FALSE)</f>
        <v>Maio</v>
      </c>
      <c r="D3022" s="2">
        <f>YEAR(Tabela1[[#This Row],[Periodo]])</f>
        <v>2023</v>
      </c>
      <c r="E3022" s="16">
        <f>(INDEX(TBBP[],MATCH("2.1.1.8",planoContas,0)+1,MATCH(Tabela1[[#This Row],[Periodo]],listaPeriodos,0)))</f>
        <v>2396076.21</v>
      </c>
      <c r="F3022" s="2"/>
      <c r="G3022" s="223"/>
      <c r="H3022" s="2"/>
    </row>
    <row r="3023" spans="1:8" x14ac:dyDescent="0.3">
      <c r="A3023" t="s">
        <v>767</v>
      </c>
      <c r="B3023" s="3">
        <f t="shared" si="39"/>
        <v>45078</v>
      </c>
      <c r="C3023" s="2" t="str">
        <f>VLOOKUP(MONTH(Tabela1[[#This Row],[Periodo]]),NUMMESES,2,FALSE)</f>
        <v>Junho</v>
      </c>
      <c r="D3023" s="2">
        <f>YEAR(Tabela1[[#This Row],[Periodo]])</f>
        <v>2023</v>
      </c>
      <c r="E3023" s="16">
        <f>(INDEX(TBBP[],MATCH("2.1.1.8",planoContas,0)+1,MATCH(Tabela1[[#This Row],[Periodo]],listaPeriodos,0)))</f>
        <v>2391241.69</v>
      </c>
      <c r="F3023" s="2"/>
      <c r="G3023" s="223"/>
      <c r="H3023" s="2"/>
    </row>
    <row r="3024" spans="1:8" x14ac:dyDescent="0.3">
      <c r="A3024" t="s">
        <v>767</v>
      </c>
      <c r="B3024" s="3">
        <f t="shared" si="39"/>
        <v>45108</v>
      </c>
      <c r="C3024" s="2" t="str">
        <f>VLOOKUP(MONTH(Tabela1[[#This Row],[Periodo]]),NUMMESES,2,FALSE)</f>
        <v>Julho</v>
      </c>
      <c r="D3024" s="2">
        <f>YEAR(Tabela1[[#This Row],[Periodo]])</f>
        <v>2023</v>
      </c>
      <c r="E3024" s="16">
        <f>(INDEX(TBBP[],MATCH("2.1.1.8",planoContas,0)+1,MATCH(Tabela1[[#This Row],[Periodo]],listaPeriodos,0)))</f>
        <v>2525376.65</v>
      </c>
      <c r="F3024" s="2"/>
      <c r="G3024" s="223"/>
      <c r="H3024" s="2"/>
    </row>
    <row r="3025" spans="1:8" x14ac:dyDescent="0.3">
      <c r="A3025" t="s">
        <v>767</v>
      </c>
      <c r="B3025" s="3">
        <f t="shared" si="39"/>
        <v>45139</v>
      </c>
      <c r="C3025" s="2" t="str">
        <f>VLOOKUP(MONTH(Tabela1[[#This Row],[Periodo]]),NUMMESES,2,FALSE)</f>
        <v>Agosto</v>
      </c>
      <c r="D3025" s="2">
        <f>YEAR(Tabela1[[#This Row],[Periodo]])</f>
        <v>2023</v>
      </c>
      <c r="E3025" s="16">
        <f>(INDEX(TBBP[],MATCH("2.1.1.8",planoContas,0)+1,MATCH(Tabela1[[#This Row],[Periodo]],listaPeriodos,0)))</f>
        <v>2336615.2799999998</v>
      </c>
      <c r="F3025" s="2"/>
      <c r="G3025" s="223"/>
      <c r="H3025" s="2"/>
    </row>
    <row r="3026" spans="1:8" x14ac:dyDescent="0.3">
      <c r="A3026" t="s">
        <v>767</v>
      </c>
      <c r="B3026" s="3">
        <f t="shared" si="39"/>
        <v>45170</v>
      </c>
      <c r="C3026" s="2" t="str">
        <f>VLOOKUP(MONTH(Tabela1[[#This Row],[Periodo]]),NUMMESES,2,FALSE)</f>
        <v>Setembro</v>
      </c>
      <c r="D3026" s="2">
        <f>YEAR(Tabela1[[#This Row],[Periodo]])</f>
        <v>2023</v>
      </c>
      <c r="E3026" s="16">
        <f>(INDEX(TBBP[],MATCH("2.1.1.8",planoContas,0)+1,MATCH(Tabela1[[#This Row],[Periodo]],listaPeriodos,0)))</f>
        <v>3530867.79</v>
      </c>
      <c r="F3026" s="2"/>
      <c r="G3026" s="223"/>
      <c r="H3026" s="2"/>
    </row>
    <row r="3027" spans="1:8" x14ac:dyDescent="0.3">
      <c r="A3027" t="s">
        <v>767</v>
      </c>
      <c r="B3027" s="3">
        <f t="shared" si="39"/>
        <v>45200</v>
      </c>
      <c r="C3027" s="2" t="str">
        <f>VLOOKUP(MONTH(Tabela1[[#This Row],[Periodo]]),NUMMESES,2,FALSE)</f>
        <v>Outubro</v>
      </c>
      <c r="D3027" s="2">
        <f>YEAR(Tabela1[[#This Row],[Periodo]])</f>
        <v>2023</v>
      </c>
      <c r="E3027" s="16">
        <f>(INDEX(TBBP[],MATCH("2.1.1.8",planoContas,0)+1,MATCH(Tabela1[[#This Row],[Periodo]],listaPeriodos,0)))</f>
        <v>3644362.18</v>
      </c>
      <c r="F3027" s="2"/>
      <c r="G3027" s="223"/>
      <c r="H3027" s="2"/>
    </row>
    <row r="3028" spans="1:8" x14ac:dyDescent="0.3">
      <c r="A3028" t="s">
        <v>767</v>
      </c>
      <c r="B3028" s="3">
        <f t="shared" si="39"/>
        <v>45231</v>
      </c>
      <c r="C3028" s="2" t="str">
        <f>VLOOKUP(MONTH(Tabela1[[#This Row],[Periodo]]),NUMMESES,2,FALSE)</f>
        <v>Novembro</v>
      </c>
      <c r="D3028" s="2">
        <f>YEAR(Tabela1[[#This Row],[Periodo]])</f>
        <v>2023</v>
      </c>
      <c r="E3028" s="16">
        <f>(INDEX(TBBP[],MATCH("2.1.1.8",planoContas,0)+1,MATCH(Tabela1[[#This Row],[Periodo]],listaPeriodos,0)))</f>
        <v>3457135.47</v>
      </c>
      <c r="F3028" s="2"/>
      <c r="G3028" s="223"/>
      <c r="H3028" s="2"/>
    </row>
    <row r="3029" spans="1:8" x14ac:dyDescent="0.3">
      <c r="A3029" t="s">
        <v>767</v>
      </c>
      <c r="B3029" s="3">
        <f t="shared" si="39"/>
        <v>45261</v>
      </c>
      <c r="C3029" s="2" t="str">
        <f>VLOOKUP(MONTH(Tabela1[[#This Row],[Periodo]]),NUMMESES,2,FALSE)</f>
        <v>Dezembro</v>
      </c>
      <c r="D3029" s="2">
        <f>YEAR(Tabela1[[#This Row],[Periodo]])</f>
        <v>2023</v>
      </c>
      <c r="E3029" s="16">
        <f>(INDEX(TBBP[],MATCH("2.1.1.8",planoContas,0)+1,MATCH(Tabela1[[#This Row],[Periodo]],listaPeriodos,0)))</f>
        <v>3268301.18</v>
      </c>
      <c r="F3029" s="2"/>
      <c r="G3029" s="223"/>
      <c r="H3029" s="2"/>
    </row>
    <row r="3030" spans="1:8" x14ac:dyDescent="0.3">
      <c r="A3030" t="s">
        <v>767</v>
      </c>
      <c r="B3030" s="3">
        <f t="shared" si="39"/>
        <v>45292</v>
      </c>
      <c r="C3030" s="2" t="str">
        <f>VLOOKUP(MONTH(Tabela1[[#This Row],[Periodo]]),NUMMESES,2,FALSE)</f>
        <v>Janeiro</v>
      </c>
      <c r="D3030" s="2">
        <f>YEAR(Tabela1[[#This Row],[Periodo]])</f>
        <v>2024</v>
      </c>
      <c r="E3030" s="16">
        <f>(INDEX(TBBP[],MATCH("2.1.1.8",planoContas,0)+1,MATCH(Tabela1[[#This Row],[Periodo]],listaPeriodos,0)))</f>
        <v>2450352.88</v>
      </c>
      <c r="F3030" s="2"/>
      <c r="G3030" s="223"/>
      <c r="H3030" s="2"/>
    </row>
    <row r="3031" spans="1:8" x14ac:dyDescent="0.3">
      <c r="A3031" t="s">
        <v>767</v>
      </c>
      <c r="B3031" s="3">
        <f t="shared" si="39"/>
        <v>45323</v>
      </c>
      <c r="C3031" s="2" t="str">
        <f>VLOOKUP(MONTH(Tabela1[[#This Row],[Periodo]]),NUMMESES,2,FALSE)</f>
        <v>Fevereiro</v>
      </c>
      <c r="D3031" s="2">
        <f>YEAR(Tabela1[[#This Row],[Periodo]])</f>
        <v>2024</v>
      </c>
      <c r="E3031" s="16">
        <f>(INDEX(TBBP[],MATCH("2.1.1.8",planoContas,0)+1,MATCH(Tabela1[[#This Row],[Periodo]],listaPeriodos,0)))</f>
        <v>3116511.15</v>
      </c>
      <c r="F3031" s="2"/>
      <c r="G3031" s="223"/>
      <c r="H3031" s="2"/>
    </row>
    <row r="3032" spans="1:8" x14ac:dyDescent="0.3">
      <c r="A3032" t="s">
        <v>767</v>
      </c>
      <c r="B3032" s="3">
        <f t="shared" si="39"/>
        <v>45352</v>
      </c>
      <c r="C3032" s="2" t="str">
        <f>VLOOKUP(MONTH(Tabela1[[#This Row],[Periodo]]),NUMMESES,2,FALSE)</f>
        <v>Março</v>
      </c>
      <c r="D3032" s="2">
        <f>YEAR(Tabela1[[#This Row],[Periodo]])</f>
        <v>2024</v>
      </c>
      <c r="E3032" s="16">
        <f>(INDEX(TBBP[],MATCH("2.1.1.8",planoContas,0)+1,MATCH(Tabela1[[#This Row],[Periodo]],listaPeriodos,0)))</f>
        <v>4422337.7699999996</v>
      </c>
      <c r="F3032" s="2"/>
      <c r="G3032" s="223"/>
      <c r="H3032" s="2"/>
    </row>
    <row r="3033" spans="1:8" x14ac:dyDescent="0.3">
      <c r="A3033" t="s">
        <v>767</v>
      </c>
      <c r="B3033" s="3">
        <f t="shared" si="39"/>
        <v>45383</v>
      </c>
      <c r="C3033" s="2" t="str">
        <f>VLOOKUP(MONTH(Tabela1[[#This Row],[Periodo]]),NUMMESES,2,FALSE)</f>
        <v>Abril</v>
      </c>
      <c r="D3033" s="2">
        <f>YEAR(Tabela1[[#This Row],[Periodo]])</f>
        <v>2024</v>
      </c>
      <c r="E3033" s="16">
        <f>(INDEX(TBBP[],MATCH("2.1.1.8",planoContas,0)+1,MATCH(Tabela1[[#This Row],[Periodo]],listaPeriodos,0)))</f>
        <v>5241177.29</v>
      </c>
      <c r="F3033" s="2"/>
      <c r="G3033" s="223"/>
      <c r="H3033" s="2"/>
    </row>
    <row r="3034" spans="1:8" x14ac:dyDescent="0.3">
      <c r="A3034" t="s">
        <v>767</v>
      </c>
      <c r="B3034" s="3">
        <f t="shared" si="39"/>
        <v>45413</v>
      </c>
      <c r="C3034" s="2" t="str">
        <f>VLOOKUP(MONTH(Tabela1[[#This Row],[Periodo]]),NUMMESES,2,FALSE)</f>
        <v>Maio</v>
      </c>
      <c r="D3034" s="2">
        <f>YEAR(Tabela1[[#This Row],[Periodo]])</f>
        <v>2024</v>
      </c>
      <c r="E3034" s="16">
        <f>(INDEX(TBBP[],MATCH("2.1.1.8",planoContas,0)+1,MATCH(Tabela1[[#This Row],[Periodo]],listaPeriodos,0)))</f>
        <v>5493049.2000000002</v>
      </c>
      <c r="F3034" s="2"/>
      <c r="G3034" s="223"/>
      <c r="H3034" s="2"/>
    </row>
    <row r="3035" spans="1:8" x14ac:dyDescent="0.3">
      <c r="A3035" t="s">
        <v>767</v>
      </c>
      <c r="B3035" s="3">
        <f t="shared" si="39"/>
        <v>45444</v>
      </c>
      <c r="C3035" s="2" t="str">
        <f>VLOOKUP(MONTH(Tabela1[[#This Row],[Periodo]]),NUMMESES,2,FALSE)</f>
        <v>Junho</v>
      </c>
      <c r="D3035" s="2">
        <f>YEAR(Tabela1[[#This Row],[Periodo]])</f>
        <v>2024</v>
      </c>
      <c r="E3035" s="16">
        <f>(INDEX(TBBP[],MATCH("2.1.1.8",planoContas,0)+1,MATCH(Tabela1[[#This Row],[Periodo]],listaPeriodos,0)))</f>
        <v>5020370.43</v>
      </c>
      <c r="F3035" s="2"/>
      <c r="G3035" s="223"/>
      <c r="H3035" s="2"/>
    </row>
    <row r="3036" spans="1:8" x14ac:dyDescent="0.3">
      <c r="A3036" t="s">
        <v>767</v>
      </c>
      <c r="B3036" s="3">
        <f t="shared" si="39"/>
        <v>45474</v>
      </c>
      <c r="C3036" s="2" t="str">
        <f>VLOOKUP(MONTH(Tabela1[[#This Row],[Periodo]]),NUMMESES,2,FALSE)</f>
        <v>Julho</v>
      </c>
      <c r="D3036" s="2">
        <f>YEAR(Tabela1[[#This Row],[Periodo]])</f>
        <v>2024</v>
      </c>
      <c r="E3036" s="16">
        <f>(INDEX(TBBP[],MATCH("2.1.1.8",planoContas,0)+1,MATCH(Tabela1[[#This Row],[Periodo]],listaPeriodos,0)))</f>
        <v>5623688.1900000004</v>
      </c>
      <c r="F3036" s="2"/>
      <c r="G3036" s="223"/>
      <c r="H3036" s="2"/>
    </row>
    <row r="3037" spans="1:8" x14ac:dyDescent="0.3">
      <c r="A3037" t="s">
        <v>767</v>
      </c>
      <c r="B3037" s="3">
        <f t="shared" si="39"/>
        <v>45505</v>
      </c>
      <c r="C3037" s="2" t="str">
        <f>VLOOKUP(MONTH(Tabela1[[#This Row],[Periodo]]),NUMMESES,2,FALSE)</f>
        <v>Agosto</v>
      </c>
      <c r="D3037" s="2">
        <f>YEAR(Tabela1[[#This Row],[Periodo]])</f>
        <v>2024</v>
      </c>
      <c r="E3037" s="16">
        <f>(INDEX(TBBP[],MATCH("2.1.1.8",planoContas,0)+1,MATCH(Tabela1[[#This Row],[Periodo]],listaPeriodos,0)))</f>
        <v>4750512.1500000004</v>
      </c>
      <c r="F3037" s="2"/>
      <c r="G3037" s="223"/>
      <c r="H3037" s="2"/>
    </row>
    <row r="3038" spans="1:8" x14ac:dyDescent="0.3">
      <c r="A3038" t="s">
        <v>767</v>
      </c>
      <c r="B3038" s="3">
        <f t="shared" si="39"/>
        <v>45536</v>
      </c>
      <c r="C3038" s="2" t="str">
        <f>VLOOKUP(MONTH(Tabela1[[#This Row],[Periodo]]),NUMMESES,2,FALSE)</f>
        <v>Setembro</v>
      </c>
      <c r="D3038" s="2">
        <f>YEAR(Tabela1[[#This Row],[Periodo]])</f>
        <v>2024</v>
      </c>
      <c r="E3038" s="16">
        <f>(INDEX(TBBP[],MATCH("2.1.1.8",planoContas,0)+1,MATCH(Tabela1[[#This Row],[Periodo]],listaPeriodos,0)))</f>
        <v>5268430.18</v>
      </c>
      <c r="F3038" s="2"/>
      <c r="G3038" s="223"/>
      <c r="H3038" s="2"/>
    </row>
    <row r="3039" spans="1:8" x14ac:dyDescent="0.3">
      <c r="A3039" t="s">
        <v>767</v>
      </c>
      <c r="B3039" s="3">
        <f t="shared" si="39"/>
        <v>45566</v>
      </c>
      <c r="C3039" s="2" t="str">
        <f>VLOOKUP(MONTH(Tabela1[[#This Row],[Periodo]]),NUMMESES,2,FALSE)</f>
        <v>Outubro</v>
      </c>
      <c r="D3039" s="2">
        <f>YEAR(Tabela1[[#This Row],[Periodo]])</f>
        <v>2024</v>
      </c>
      <c r="E3039" s="16">
        <f>(INDEX(TBBP[],MATCH("2.1.1.8",planoContas,0)+1,MATCH(Tabela1[[#This Row],[Periodo]],listaPeriodos,0)))</f>
        <v>5340472.95</v>
      </c>
      <c r="F3039" s="2"/>
      <c r="G3039" s="223"/>
      <c r="H3039" s="2"/>
    </row>
    <row r="3040" spans="1:8" x14ac:dyDescent="0.3">
      <c r="A3040" t="s">
        <v>767</v>
      </c>
      <c r="B3040" s="3">
        <f t="shared" si="39"/>
        <v>45597</v>
      </c>
      <c r="C3040" s="2" t="str">
        <f>VLOOKUP(MONTH(Tabela1[[#This Row],[Periodo]]),NUMMESES,2,FALSE)</f>
        <v>Novembro</v>
      </c>
      <c r="D3040" s="2">
        <f>YEAR(Tabela1[[#This Row],[Periodo]])</f>
        <v>2024</v>
      </c>
      <c r="E3040" s="16">
        <f>(INDEX(TBBP[],MATCH("2.1.1.8",planoContas,0)+1,MATCH(Tabela1[[#This Row],[Periodo]],listaPeriodos,0)))</f>
        <v>6143627.6100000003</v>
      </c>
      <c r="F3040" s="2"/>
      <c r="G3040" s="223"/>
      <c r="H3040" s="2"/>
    </row>
    <row r="3041" spans="1:8" x14ac:dyDescent="0.3">
      <c r="A3041" t="s">
        <v>767</v>
      </c>
      <c r="B3041" s="3">
        <f t="shared" si="39"/>
        <v>45627</v>
      </c>
      <c r="C3041" s="2" t="str">
        <f>VLOOKUP(MONTH(Tabela1[[#This Row],[Periodo]]),NUMMESES,2,FALSE)</f>
        <v>Dezembro</v>
      </c>
      <c r="D3041" s="2">
        <f>YEAR(Tabela1[[#This Row],[Periodo]])</f>
        <v>2024</v>
      </c>
      <c r="E3041" s="16">
        <f>(INDEX(TBBP[],MATCH("2.1.1.8",planoContas,0)+1,MATCH(Tabela1[[#This Row],[Periodo]],listaPeriodos,0)))</f>
        <v>8077947.7800000003</v>
      </c>
      <c r="F3041" s="2"/>
      <c r="G3041" s="223"/>
      <c r="H3041" s="2"/>
    </row>
    <row r="3042" spans="1:8" x14ac:dyDescent="0.3">
      <c r="A3042" t="s">
        <v>767</v>
      </c>
      <c r="B3042" s="3">
        <f t="shared" si="39"/>
        <v>45658</v>
      </c>
      <c r="C3042" s="2" t="str">
        <f>VLOOKUP(MONTH(Tabela1[[#This Row],[Periodo]]),NUMMESES,2,FALSE)</f>
        <v>Janeiro</v>
      </c>
      <c r="D3042" s="2">
        <f>YEAR(Tabela1[[#This Row],[Periodo]])</f>
        <v>2025</v>
      </c>
      <c r="E3042" s="16">
        <f>(INDEX(TBBP[],MATCH("2.1.1.8",planoContas,0)+1,MATCH(Tabela1[[#This Row],[Periodo]],listaPeriodos,0)))</f>
        <v>7903877.0899999999</v>
      </c>
      <c r="F3042" s="2"/>
      <c r="G3042" s="223"/>
      <c r="H3042" s="2"/>
    </row>
    <row r="3043" spans="1:8" x14ac:dyDescent="0.3">
      <c r="A3043" t="s">
        <v>767</v>
      </c>
      <c r="B3043" s="3">
        <f t="shared" si="39"/>
        <v>45689</v>
      </c>
      <c r="C3043" s="2" t="str">
        <f>VLOOKUP(MONTH(Tabela1[[#This Row],[Periodo]]),NUMMESES,2,FALSE)</f>
        <v>Fevereiro</v>
      </c>
      <c r="D3043" s="2">
        <f>YEAR(Tabela1[[#This Row],[Periodo]])</f>
        <v>2025</v>
      </c>
      <c r="E3043" s="16">
        <f>(INDEX(TBBP[],MATCH("2.1.1.8",planoContas,0)+1,MATCH(Tabela1[[#This Row],[Periodo]],listaPeriodos,0)))</f>
        <v>7329370.6299999999</v>
      </c>
      <c r="F3043" s="2"/>
      <c r="G3043" s="223"/>
      <c r="H3043" s="2"/>
    </row>
    <row r="3044" spans="1:8" x14ac:dyDescent="0.3">
      <c r="A3044" t="s">
        <v>767</v>
      </c>
      <c r="B3044" s="3">
        <f t="shared" si="39"/>
        <v>45717</v>
      </c>
      <c r="C3044" s="2" t="str">
        <f>VLOOKUP(MONTH(Tabela1[[#This Row],[Periodo]]),NUMMESES,2,FALSE)</f>
        <v>Março</v>
      </c>
      <c r="D3044" s="2">
        <f>YEAR(Tabela1[[#This Row],[Periodo]])</f>
        <v>2025</v>
      </c>
      <c r="E3044" s="16">
        <f>(INDEX(TBBP[],MATCH("2.1.1.8",planoContas,0)+1,MATCH(Tabela1[[#This Row],[Periodo]],listaPeriodos,0)))</f>
        <v>5331748.3</v>
      </c>
      <c r="F3044" s="2"/>
      <c r="G3044" s="223"/>
      <c r="H3044" s="2"/>
    </row>
    <row r="3045" spans="1:8" x14ac:dyDescent="0.3">
      <c r="A3045" t="s">
        <v>767</v>
      </c>
      <c r="B3045" s="3">
        <f t="shared" si="39"/>
        <v>45748</v>
      </c>
      <c r="C3045" s="2" t="str">
        <f>VLOOKUP(MONTH(Tabela1[[#This Row],[Periodo]]),NUMMESES,2,FALSE)</f>
        <v>Abril</v>
      </c>
      <c r="D3045" s="2">
        <f>YEAR(Tabela1[[#This Row],[Periodo]])</f>
        <v>2025</v>
      </c>
      <c r="E3045" s="16">
        <f>(INDEX(TBBP[],MATCH("2.1.1.8",planoContas,0)+1,MATCH(Tabela1[[#This Row],[Periodo]],listaPeriodos,0)))</f>
        <v>4254781.76</v>
      </c>
      <c r="F3045" s="2"/>
      <c r="G3045" s="223"/>
      <c r="H3045" s="2"/>
    </row>
    <row r="3046" spans="1:8" x14ac:dyDescent="0.3">
      <c r="A3046" t="s">
        <v>767</v>
      </c>
      <c r="B3046" s="3">
        <f t="shared" si="39"/>
        <v>45778</v>
      </c>
      <c r="C3046" s="2" t="str">
        <f>VLOOKUP(MONTH(Tabela1[[#This Row],[Periodo]]),NUMMESES,2,FALSE)</f>
        <v>Maio</v>
      </c>
      <c r="D3046" s="2">
        <f>YEAR(Tabela1[[#This Row],[Periodo]])</f>
        <v>2025</v>
      </c>
      <c r="E3046" s="16">
        <f>(INDEX(TBBP[],MATCH("2.1.1.8",planoContas,0)+1,MATCH(Tabela1[[#This Row],[Periodo]],listaPeriodos,0)))</f>
        <v>4200488.91</v>
      </c>
      <c r="F3046" s="2"/>
      <c r="G3046" s="223"/>
      <c r="H3046" s="2"/>
    </row>
    <row r="3047" spans="1:8" x14ac:dyDescent="0.3">
      <c r="A3047" t="s">
        <v>767</v>
      </c>
      <c r="B3047" s="3">
        <f t="shared" si="39"/>
        <v>45809</v>
      </c>
      <c r="C3047" s="2" t="str">
        <f>VLOOKUP(MONTH(Tabela1[[#This Row],[Periodo]]),NUMMESES,2,FALSE)</f>
        <v>Junho</v>
      </c>
      <c r="D3047" s="2">
        <f>YEAR(Tabela1[[#This Row],[Periodo]])</f>
        <v>2025</v>
      </c>
      <c r="E3047" s="16">
        <f>(INDEX(TBBP[],MATCH("2.1.1.8",planoContas,0)+1,MATCH(Tabela1[[#This Row],[Periodo]],listaPeriodos,0)))</f>
        <v>5521891.8099999996</v>
      </c>
      <c r="F3047" s="2"/>
      <c r="G3047" s="223"/>
      <c r="H3047" s="2"/>
    </row>
    <row r="3048" spans="1:8" x14ac:dyDescent="0.3">
      <c r="A3048" t="s">
        <v>767</v>
      </c>
      <c r="B3048" s="3">
        <f t="shared" si="39"/>
        <v>45839</v>
      </c>
      <c r="C3048" s="2" t="str">
        <f>VLOOKUP(MONTH(Tabela1[[#This Row],[Periodo]]),NUMMESES,2,FALSE)</f>
        <v>Julho</v>
      </c>
      <c r="D3048" s="2">
        <f>YEAR(Tabela1[[#This Row],[Periodo]])</f>
        <v>2025</v>
      </c>
      <c r="E3048" s="16">
        <f>(INDEX(TBBP[],MATCH("2.1.1.8",planoContas,0)+1,MATCH(Tabela1[[#This Row],[Periodo]],listaPeriodos,0)))</f>
        <v>5271565.54</v>
      </c>
      <c r="F3048" s="2"/>
      <c r="G3048" s="223"/>
      <c r="H3048" s="2"/>
    </row>
    <row r="3049" spans="1:8" x14ac:dyDescent="0.3">
      <c r="A3049" t="s">
        <v>767</v>
      </c>
      <c r="B3049" s="3">
        <f t="shared" si="39"/>
        <v>45870</v>
      </c>
      <c r="C3049" s="2" t="str">
        <f>VLOOKUP(MONTH(Tabela1[[#This Row],[Periodo]]),NUMMESES,2,FALSE)</f>
        <v>Agosto</v>
      </c>
      <c r="D3049" s="2">
        <f>YEAR(Tabela1[[#This Row],[Periodo]])</f>
        <v>2025</v>
      </c>
      <c r="E3049" s="16">
        <f>(INDEX(TBBP[],MATCH("2.1.1.8",planoContas,0)+1,MATCH(Tabela1[[#This Row],[Periodo]],listaPeriodos,0)))</f>
        <v>5670414.3899999997</v>
      </c>
      <c r="F3049" s="2"/>
      <c r="G3049" s="223"/>
      <c r="H3049" s="2"/>
    </row>
    <row r="3050" spans="1:8" x14ac:dyDescent="0.3">
      <c r="A3050" t="s">
        <v>767</v>
      </c>
      <c r="B3050" s="3">
        <f t="shared" si="39"/>
        <v>45901</v>
      </c>
      <c r="C3050" s="2" t="str">
        <f>VLOOKUP(MONTH(Tabela1[[#This Row],[Periodo]]),NUMMESES,2,FALSE)</f>
        <v>Setembro</v>
      </c>
      <c r="D3050" s="2">
        <f>YEAR(Tabela1[[#This Row],[Periodo]])</f>
        <v>2025</v>
      </c>
      <c r="E3050" s="16">
        <f>(INDEX(TBBP[],MATCH("2.1.1.8",planoContas,0)+1,MATCH(Tabela1[[#This Row],[Periodo]],listaPeriodos,0)))</f>
        <v>6283620.2599999998</v>
      </c>
      <c r="F3050" s="2"/>
      <c r="G3050" s="223"/>
      <c r="H3050" s="2"/>
    </row>
    <row r="3051" spans="1:8" x14ac:dyDescent="0.3">
      <c r="A3051" t="s">
        <v>767</v>
      </c>
      <c r="B3051" s="3">
        <f t="shared" si="39"/>
        <v>45931</v>
      </c>
      <c r="C3051" s="2" t="str">
        <f>VLOOKUP(MONTH(Tabela1[[#This Row],[Periodo]]),NUMMESES,2,FALSE)</f>
        <v>Outubro</v>
      </c>
      <c r="D3051" s="2">
        <f>YEAR(Tabela1[[#This Row],[Periodo]])</f>
        <v>2025</v>
      </c>
      <c r="E3051" s="16">
        <f>(INDEX(TBBP[],MATCH("2.1.1.8",planoContas,0)+1,MATCH(Tabela1[[#This Row],[Periodo]],listaPeriodos,0)))</f>
        <v>7032493.4800000004</v>
      </c>
      <c r="F3051" s="2"/>
      <c r="G3051" s="223"/>
      <c r="H3051" s="2"/>
    </row>
    <row r="3052" spans="1:8" x14ac:dyDescent="0.3">
      <c r="A3052" t="s">
        <v>767</v>
      </c>
      <c r="B3052" s="3">
        <f t="shared" si="39"/>
        <v>45962</v>
      </c>
      <c r="C3052" s="2" t="str">
        <f>VLOOKUP(MONTH(Tabela1[[#This Row],[Periodo]]),NUMMESES,2,FALSE)</f>
        <v>Novembro</v>
      </c>
      <c r="D3052" s="2">
        <f>YEAR(Tabela1[[#This Row],[Periodo]])</f>
        <v>2025</v>
      </c>
      <c r="E3052" s="16">
        <f>(INDEX(TBBP[],MATCH("2.1.1.8",planoContas,0)+1,MATCH(Tabela1[[#This Row],[Periodo]],listaPeriodos,0)))</f>
        <v>7411714.0499999998</v>
      </c>
      <c r="F3052" s="2"/>
      <c r="G3052" s="223"/>
      <c r="H3052" s="2"/>
    </row>
    <row r="3053" spans="1:8" x14ac:dyDescent="0.3">
      <c r="A3053" t="s">
        <v>767</v>
      </c>
      <c r="B3053" s="3">
        <f t="shared" si="39"/>
        <v>45992</v>
      </c>
      <c r="C3053" s="2" t="str">
        <f>VLOOKUP(MONTH(Tabela1[[#This Row],[Periodo]]),NUMMESES,2,FALSE)</f>
        <v>Dezembro</v>
      </c>
      <c r="D3053" s="2">
        <f>YEAR(Tabela1[[#This Row],[Periodo]])</f>
        <v>2025</v>
      </c>
      <c r="E3053" s="16">
        <f>(INDEX(TBBP[],MATCH("2.1.1.8",planoContas,0)+1,MATCH(Tabela1[[#This Row],[Periodo]],listaPeriodos,0)))</f>
        <v>7125334.3600000003</v>
      </c>
      <c r="F3053" s="2"/>
      <c r="G3053" s="223"/>
      <c r="H3053" s="2"/>
    </row>
    <row r="3054" spans="1:8" x14ac:dyDescent="0.3">
      <c r="A3054" t="s">
        <v>767</v>
      </c>
      <c r="B3054" s="3">
        <f t="shared" si="39"/>
        <v>46023</v>
      </c>
      <c r="C3054" s="2" t="str">
        <f>VLOOKUP(MONTH(Tabela1[[#This Row],[Periodo]]),NUMMESES,2,FALSE)</f>
        <v>Janeiro</v>
      </c>
      <c r="D3054" s="2">
        <f>YEAR(Tabela1[[#This Row],[Periodo]])</f>
        <v>2026</v>
      </c>
      <c r="E3054" s="16">
        <f>(INDEX(TBBP[],MATCH("2.1.1.8",planoContas,0)+1,MATCH(Tabela1[[#This Row],[Periodo]],listaPeriodos,0)))</f>
        <v>6857881.0999999996</v>
      </c>
      <c r="F3054" s="2"/>
      <c r="G3054" s="223"/>
      <c r="H3054" s="2"/>
    </row>
    <row r="3055" spans="1:8" x14ac:dyDescent="0.3">
      <c r="B3055" s="3"/>
      <c r="C3055" s="2"/>
      <c r="D3055" s="2"/>
      <c r="E3055" s="16"/>
      <c r="F3055" s="2"/>
      <c r="G3055" s="223"/>
      <c r="H3055" s="2"/>
    </row>
    <row r="3056" spans="1:8" x14ac:dyDescent="0.3">
      <c r="A3056" t="s">
        <v>1080</v>
      </c>
      <c r="B3056" s="3">
        <v>44197</v>
      </c>
      <c r="C3056" s="2" t="str">
        <f>VLOOKUP(MONTH(Tabela1[[#This Row],[Periodo]]),NUMMESES,2,FALSE)</f>
        <v>Janeiro</v>
      </c>
      <c r="D3056" s="2">
        <f>YEAR(Tabela1[[#This Row],[Periodo]])</f>
        <v>2021</v>
      </c>
      <c r="E3056" s="33">
        <f>(INDEX(TBBP[],MATCH("1.1.1.6",planoContas,0)+1,MATCH(Tabela1[[#This Row],[Periodo]],listaPeriodos,0)))/INDEX(tbFatMensal[],MATCH(Tabela1[[#This Row],[Periodo]],TBFatMensalData,0)-1,5)</f>
        <v>0.22235454318022355</v>
      </c>
      <c r="F3056" s="2"/>
      <c r="G3056" s="223"/>
      <c r="H3056" s="2"/>
    </row>
    <row r="3057" spans="1:8" x14ac:dyDescent="0.3">
      <c r="A3057" t="s">
        <v>1080</v>
      </c>
      <c r="B3057" s="3">
        <f t="shared" ref="B3057:B3084" si="40">DATE(YEAR(B3056),MONTH(B3056)+1,DAY(B3056))</f>
        <v>44228</v>
      </c>
      <c r="C3057" s="2" t="str">
        <f>VLOOKUP(MONTH(Tabela1[[#This Row],[Periodo]]),NUMMESES,2,FALSE)</f>
        <v>Fevereiro</v>
      </c>
      <c r="D3057" s="2">
        <f>YEAR(Tabela1[[#This Row],[Periodo]])</f>
        <v>2021</v>
      </c>
      <c r="E3057" s="33">
        <f>(INDEX(TBBP[],MATCH("1.1.1.6",planoContas,0)+1,MATCH(Tabela1[[#This Row],[Periodo]],listaPeriodos,0)))/INDEX(tbFatMensal[],MATCH(Tabela1[[#This Row],[Periodo]],TBFatMensalData,0)-1,5)</f>
        <v>0.23349752827562539</v>
      </c>
      <c r="F3057" s="2"/>
      <c r="G3057" s="223"/>
      <c r="H3057" s="2"/>
    </row>
    <row r="3058" spans="1:8" x14ac:dyDescent="0.3">
      <c r="A3058" t="s">
        <v>1080</v>
      </c>
      <c r="B3058" s="3">
        <f t="shared" si="40"/>
        <v>44256</v>
      </c>
      <c r="C3058" s="2" t="str">
        <f>VLOOKUP(MONTH(Tabela1[[#This Row],[Periodo]]),NUMMESES,2,FALSE)</f>
        <v>Março</v>
      </c>
      <c r="D3058" s="2">
        <f>YEAR(Tabela1[[#This Row],[Periodo]])</f>
        <v>2021</v>
      </c>
      <c r="E3058" s="33">
        <f>(INDEX(TBBP[],MATCH("1.1.1.6",planoContas,0)+1,MATCH(Tabela1[[#This Row],[Periodo]],listaPeriodos,0)))/INDEX(tbFatMensal[],MATCH(Tabela1[[#This Row],[Periodo]],TBFatMensalData,0)-1,5)</f>
        <v>0.22484717397466988</v>
      </c>
      <c r="F3058" s="2"/>
      <c r="G3058" s="223"/>
      <c r="H3058" s="2"/>
    </row>
    <row r="3059" spans="1:8" x14ac:dyDescent="0.3">
      <c r="A3059" t="s">
        <v>1080</v>
      </c>
      <c r="B3059" s="3">
        <f t="shared" si="40"/>
        <v>44287</v>
      </c>
      <c r="C3059" s="2" t="str">
        <f>VLOOKUP(MONTH(Tabela1[[#This Row],[Periodo]]),NUMMESES,2,FALSE)</f>
        <v>Abril</v>
      </c>
      <c r="D3059" s="2">
        <f>YEAR(Tabela1[[#This Row],[Periodo]])</f>
        <v>2021</v>
      </c>
      <c r="E3059" s="33">
        <f>(INDEX(TBBP[],MATCH("1.1.1.6",planoContas,0)+1,MATCH(Tabela1[[#This Row],[Periodo]],listaPeriodos,0)))/INDEX(tbFatMensal[],MATCH(Tabela1[[#This Row],[Periodo]],TBFatMensalData,0)-1,5)</f>
        <v>0.23621172551169303</v>
      </c>
      <c r="F3059" s="2"/>
      <c r="G3059" s="223"/>
      <c r="H3059" s="2"/>
    </row>
    <row r="3060" spans="1:8" x14ac:dyDescent="0.3">
      <c r="A3060" t="s">
        <v>1080</v>
      </c>
      <c r="B3060" s="3">
        <f t="shared" si="40"/>
        <v>44317</v>
      </c>
      <c r="C3060" s="2" t="str">
        <f>VLOOKUP(MONTH(Tabela1[[#This Row],[Periodo]]),NUMMESES,2,FALSE)</f>
        <v>Maio</v>
      </c>
      <c r="D3060" s="2">
        <f>YEAR(Tabela1[[#This Row],[Periodo]])</f>
        <v>2021</v>
      </c>
      <c r="E3060" s="33">
        <f>(INDEX(TBBP[],MATCH("1.1.1.6",planoContas,0)+1,MATCH(Tabela1[[#This Row],[Periodo]],listaPeriodos,0)))/INDEX(tbFatMensal[],MATCH(Tabela1[[#This Row],[Periodo]],TBFatMensalData,0)-1,5)</f>
        <v>0.20163448451903124</v>
      </c>
      <c r="F3060" s="2"/>
      <c r="G3060" s="223"/>
      <c r="H3060" s="2"/>
    </row>
    <row r="3061" spans="1:8" x14ac:dyDescent="0.3">
      <c r="A3061" t="s">
        <v>1080</v>
      </c>
      <c r="B3061" s="3">
        <f t="shared" si="40"/>
        <v>44348</v>
      </c>
      <c r="C3061" s="2" t="str">
        <f>VLOOKUP(MONTH(Tabela1[[#This Row],[Periodo]]),NUMMESES,2,FALSE)</f>
        <v>Junho</v>
      </c>
      <c r="D3061" s="2">
        <f>YEAR(Tabela1[[#This Row],[Periodo]])</f>
        <v>2021</v>
      </c>
      <c r="E3061" s="33">
        <f>(INDEX(TBBP[],MATCH("1.1.1.6",planoContas,0)+1,MATCH(Tabela1[[#This Row],[Periodo]],listaPeriodos,0)))/INDEX(tbFatMensal[],MATCH(Tabela1[[#This Row],[Periodo]],TBFatMensalData,0)-1,5)</f>
        <v>0.18702150586826041</v>
      </c>
      <c r="F3061" s="2"/>
      <c r="G3061" s="223"/>
      <c r="H3061" s="2"/>
    </row>
    <row r="3062" spans="1:8" x14ac:dyDescent="0.3">
      <c r="A3062" t="s">
        <v>1080</v>
      </c>
      <c r="B3062" s="3">
        <f t="shared" si="40"/>
        <v>44378</v>
      </c>
      <c r="C3062" s="2" t="str">
        <f>VLOOKUP(MONTH(Tabela1[[#This Row],[Periodo]]),NUMMESES,2,FALSE)</f>
        <v>Julho</v>
      </c>
      <c r="D3062" s="2">
        <f>YEAR(Tabela1[[#This Row],[Periodo]])</f>
        <v>2021</v>
      </c>
      <c r="E3062" s="33">
        <f>(INDEX(TBBP[],MATCH("1.1.1.6",planoContas,0)+1,MATCH(Tabela1[[#This Row],[Periodo]],listaPeriodos,0)))/INDEX(tbFatMensal[],MATCH(Tabela1[[#This Row],[Periodo]],TBFatMensalData,0)-1,5)</f>
        <v>0.17228393794359323</v>
      </c>
      <c r="F3062" s="2"/>
      <c r="G3062" s="223"/>
      <c r="H3062" s="2"/>
    </row>
    <row r="3063" spans="1:8" x14ac:dyDescent="0.3">
      <c r="A3063" t="s">
        <v>1080</v>
      </c>
      <c r="B3063" s="3">
        <f t="shared" si="40"/>
        <v>44409</v>
      </c>
      <c r="C3063" s="2" t="str">
        <f>VLOOKUP(MONTH(Tabela1[[#This Row],[Periodo]]),NUMMESES,2,FALSE)</f>
        <v>Agosto</v>
      </c>
      <c r="D3063" s="2">
        <f>YEAR(Tabela1[[#This Row],[Periodo]])</f>
        <v>2021</v>
      </c>
      <c r="E3063" s="33">
        <f>(INDEX(TBBP[],MATCH("1.1.1.6",planoContas,0)+1,MATCH(Tabela1[[#This Row],[Periodo]],listaPeriodos,0)))/INDEX(tbFatMensal[],MATCH(Tabela1[[#This Row],[Periodo]],TBFatMensalData,0)-1,5)</f>
        <v>0.17687076110406094</v>
      </c>
      <c r="F3063" s="2"/>
      <c r="G3063" s="223"/>
      <c r="H3063" s="2"/>
    </row>
    <row r="3064" spans="1:8" x14ac:dyDescent="0.3">
      <c r="A3064" t="s">
        <v>1080</v>
      </c>
      <c r="B3064" s="3">
        <f t="shared" si="40"/>
        <v>44440</v>
      </c>
      <c r="C3064" s="2" t="str">
        <f>VLOOKUP(MONTH(Tabela1[[#This Row],[Periodo]]),NUMMESES,2,FALSE)</f>
        <v>Setembro</v>
      </c>
      <c r="D3064" s="2">
        <f>YEAR(Tabela1[[#This Row],[Periodo]])</f>
        <v>2021</v>
      </c>
      <c r="E3064" s="33">
        <f>(INDEX(TBBP[],MATCH("1.1.1.6",planoContas,0)+1,MATCH(Tabela1[[#This Row],[Periodo]],listaPeriodos,0)))/INDEX(tbFatMensal[],MATCH(Tabela1[[#This Row],[Periodo]],TBFatMensalData,0)-1,5)</f>
        <v>0.18892155147617376</v>
      </c>
      <c r="F3064" s="2"/>
      <c r="G3064" s="223"/>
      <c r="H3064" s="2"/>
    </row>
    <row r="3065" spans="1:8" x14ac:dyDescent="0.3">
      <c r="A3065" t="s">
        <v>1080</v>
      </c>
      <c r="B3065" s="3">
        <f t="shared" si="40"/>
        <v>44470</v>
      </c>
      <c r="C3065" s="2" t="str">
        <f>VLOOKUP(MONTH(Tabela1[[#This Row],[Periodo]]),NUMMESES,2,FALSE)</f>
        <v>Outubro</v>
      </c>
      <c r="D3065" s="2">
        <f>YEAR(Tabela1[[#This Row],[Periodo]])</f>
        <v>2021</v>
      </c>
      <c r="E3065" s="33">
        <f>(INDEX(TBBP[],MATCH("1.1.1.6",planoContas,0)+1,MATCH(Tabela1[[#This Row],[Periodo]],listaPeriodos,0)))/INDEX(tbFatMensal[],MATCH(Tabela1[[#This Row],[Periodo]],TBFatMensalData,0)-1,5)</f>
        <v>0.19352472004370233</v>
      </c>
      <c r="F3065" s="2"/>
      <c r="G3065" s="223"/>
      <c r="H3065" s="2"/>
    </row>
    <row r="3066" spans="1:8" x14ac:dyDescent="0.3">
      <c r="A3066" t="s">
        <v>1080</v>
      </c>
      <c r="B3066" s="3">
        <f t="shared" si="40"/>
        <v>44501</v>
      </c>
      <c r="C3066" s="2" t="str">
        <f>VLOOKUP(MONTH(Tabela1[[#This Row],[Periodo]]),NUMMESES,2,FALSE)</f>
        <v>Novembro</v>
      </c>
      <c r="D3066" s="2">
        <f>YEAR(Tabela1[[#This Row],[Periodo]])</f>
        <v>2021</v>
      </c>
      <c r="E3066" s="33">
        <f>(INDEX(TBBP[],MATCH("1.1.1.6",planoContas,0)+1,MATCH(Tabela1[[#This Row],[Periodo]],listaPeriodos,0)))/INDEX(tbFatMensal[],MATCH(Tabela1[[#This Row],[Periodo]],TBFatMensalData,0)-1,5)</f>
        <v>0.18932642018883303</v>
      </c>
      <c r="F3066" s="2"/>
      <c r="G3066" s="223"/>
      <c r="H3066" s="2"/>
    </row>
    <row r="3067" spans="1:8" x14ac:dyDescent="0.3">
      <c r="A3067" t="s">
        <v>1080</v>
      </c>
      <c r="B3067" s="3">
        <f t="shared" si="40"/>
        <v>44531</v>
      </c>
      <c r="C3067" s="2" t="str">
        <f>VLOOKUP(MONTH(Tabela1[[#This Row],[Periodo]]),NUMMESES,2,FALSE)</f>
        <v>Dezembro</v>
      </c>
      <c r="D3067" s="2">
        <f>YEAR(Tabela1[[#This Row],[Periodo]])</f>
        <v>2021</v>
      </c>
      <c r="E3067" s="33">
        <f>(INDEX(TBBP[],MATCH("1.1.1.6",planoContas,0)+1,MATCH(Tabela1[[#This Row],[Periodo]],listaPeriodos,0)))/INDEX(tbFatMensal[],MATCH(Tabela1[[#This Row],[Periodo]],TBFatMensalData,0)-1,5)</f>
        <v>0.18481624501028865</v>
      </c>
      <c r="F3067" s="2"/>
      <c r="G3067" s="223"/>
      <c r="H3067" s="2"/>
    </row>
    <row r="3068" spans="1:8" x14ac:dyDescent="0.3">
      <c r="A3068" t="s">
        <v>1080</v>
      </c>
      <c r="B3068" s="3">
        <f t="shared" si="40"/>
        <v>44562</v>
      </c>
      <c r="C3068" s="2" t="str">
        <f>VLOOKUP(MONTH(Tabela1[[#This Row],[Periodo]]),NUMMESES,2,FALSE)</f>
        <v>Janeiro</v>
      </c>
      <c r="D3068" s="2">
        <f>YEAR(Tabela1[[#This Row],[Periodo]])</f>
        <v>2022</v>
      </c>
      <c r="E3068" s="33">
        <f>(INDEX(TBBP[],MATCH("1.1.1.6",planoContas,0)+1,MATCH(Tabela1[[#This Row],[Periodo]],listaPeriodos,0)))/INDEX(tbFatMensal[],MATCH(Tabela1[[#This Row],[Periodo]],TBFatMensalData,0)-1,5)</f>
        <v>0.18460133712997417</v>
      </c>
      <c r="F3068" s="2"/>
      <c r="G3068" s="223"/>
      <c r="H3068" s="2"/>
    </row>
    <row r="3069" spans="1:8" x14ac:dyDescent="0.3">
      <c r="A3069" t="s">
        <v>1080</v>
      </c>
      <c r="B3069" s="3">
        <f t="shared" si="40"/>
        <v>44593</v>
      </c>
      <c r="C3069" s="2" t="str">
        <f>VLOOKUP(MONTH(Tabela1[[#This Row],[Periodo]]),NUMMESES,2,FALSE)</f>
        <v>Fevereiro</v>
      </c>
      <c r="D3069" s="2">
        <f>YEAR(Tabela1[[#This Row],[Periodo]])</f>
        <v>2022</v>
      </c>
      <c r="E3069" s="33">
        <f>(INDEX(TBBP[],MATCH("1.1.1.6",planoContas,0)+1,MATCH(Tabela1[[#This Row],[Periodo]],listaPeriodos,0)))/INDEX(tbFatMensal[],MATCH(Tabela1[[#This Row],[Periodo]],TBFatMensalData,0)-1,5)</f>
        <v>0.18690300068666171</v>
      </c>
      <c r="F3069" s="2"/>
      <c r="G3069" s="223"/>
      <c r="H3069" s="2"/>
    </row>
    <row r="3070" spans="1:8" x14ac:dyDescent="0.3">
      <c r="A3070" t="s">
        <v>1080</v>
      </c>
      <c r="B3070" s="3">
        <f t="shared" si="40"/>
        <v>44621</v>
      </c>
      <c r="C3070" s="2" t="str">
        <f>VLOOKUP(MONTH(Tabela1[[#This Row],[Periodo]]),NUMMESES,2,FALSE)</f>
        <v>Março</v>
      </c>
      <c r="D3070" s="2">
        <f>YEAR(Tabela1[[#This Row],[Periodo]])</f>
        <v>2022</v>
      </c>
      <c r="E3070" s="33">
        <f>(INDEX(TBBP[],MATCH("1.1.1.6",planoContas,0)+1,MATCH(Tabela1[[#This Row],[Periodo]],listaPeriodos,0)))/INDEX(tbFatMensal[],MATCH(Tabela1[[#This Row],[Periodo]],TBFatMensalData,0)-1,5)</f>
        <v>0.17124899740224331</v>
      </c>
      <c r="F3070" s="2"/>
      <c r="G3070" s="223"/>
      <c r="H3070" s="2"/>
    </row>
    <row r="3071" spans="1:8" x14ac:dyDescent="0.3">
      <c r="A3071" t="s">
        <v>1080</v>
      </c>
      <c r="B3071" s="3">
        <f t="shared" si="40"/>
        <v>44652</v>
      </c>
      <c r="C3071" s="2" t="str">
        <f>VLOOKUP(MONTH(Tabela1[[#This Row],[Periodo]]),NUMMESES,2,FALSE)</f>
        <v>Abril</v>
      </c>
      <c r="D3071" s="2">
        <f>YEAR(Tabela1[[#This Row],[Periodo]])</f>
        <v>2022</v>
      </c>
      <c r="E3071" s="33">
        <f>(INDEX(TBBP[],MATCH("1.1.1.6",planoContas,0)+1,MATCH(Tabela1[[#This Row],[Periodo]],listaPeriodos,0)))/INDEX(tbFatMensal[],MATCH(Tabela1[[#This Row],[Periodo]],TBFatMensalData,0)-1,5)</f>
        <v>0.16650530114163961</v>
      </c>
      <c r="F3071" s="2"/>
      <c r="G3071" s="223"/>
      <c r="H3071" s="2"/>
    </row>
    <row r="3072" spans="1:8" x14ac:dyDescent="0.3">
      <c r="A3072" t="s">
        <v>1080</v>
      </c>
      <c r="B3072" s="3">
        <f t="shared" si="40"/>
        <v>44682</v>
      </c>
      <c r="C3072" s="2" t="str">
        <f>VLOOKUP(MONTH(Tabela1[[#This Row],[Periodo]]),NUMMESES,2,FALSE)</f>
        <v>Maio</v>
      </c>
      <c r="D3072" s="2">
        <f>YEAR(Tabela1[[#This Row],[Periodo]])</f>
        <v>2022</v>
      </c>
      <c r="E3072" s="33">
        <f>(INDEX(TBBP[],MATCH("1.1.1.6",planoContas,0)+1,MATCH(Tabela1[[#This Row],[Periodo]],listaPeriodos,0)))/INDEX(tbFatMensal[],MATCH(Tabela1[[#This Row],[Periodo]],TBFatMensalData,0)-1,5)</f>
        <v>0.16016684611679213</v>
      </c>
      <c r="F3072" s="2"/>
      <c r="G3072" s="223"/>
      <c r="H3072" s="2"/>
    </row>
    <row r="3073" spans="1:9" x14ac:dyDescent="0.3">
      <c r="A3073" t="s">
        <v>1080</v>
      </c>
      <c r="B3073" s="3">
        <f t="shared" si="40"/>
        <v>44713</v>
      </c>
      <c r="C3073" s="2" t="str">
        <f>VLOOKUP(MONTH(Tabela1[[#This Row],[Periodo]]),NUMMESES,2,FALSE)</f>
        <v>Junho</v>
      </c>
      <c r="D3073" s="2">
        <f>YEAR(Tabela1[[#This Row],[Periodo]])</f>
        <v>2022</v>
      </c>
      <c r="E3073" s="33">
        <f>(INDEX(TBBP[],MATCH("1.1.1.6",planoContas,0)+1,MATCH(Tabela1[[#This Row],[Periodo]],listaPeriodos,0)))/INDEX(tbFatMensal[],MATCH(Tabela1[[#This Row],[Periodo]],TBFatMensalData,0)-1,5)</f>
        <v>0.17027042994207195</v>
      </c>
      <c r="F3073" s="2"/>
      <c r="G3073" s="223"/>
      <c r="H3073" s="2"/>
    </row>
    <row r="3074" spans="1:9" x14ac:dyDescent="0.3">
      <c r="A3074" t="s">
        <v>1080</v>
      </c>
      <c r="B3074" s="3">
        <f t="shared" si="40"/>
        <v>44743</v>
      </c>
      <c r="C3074" s="2" t="str">
        <f>VLOOKUP(MONTH(Tabela1[[#This Row],[Periodo]]),NUMMESES,2,FALSE)</f>
        <v>Julho</v>
      </c>
      <c r="D3074" s="2">
        <f>YEAR(Tabela1[[#This Row],[Periodo]])</f>
        <v>2022</v>
      </c>
      <c r="E3074" s="33">
        <f>(INDEX(TBBP[],MATCH("1.1.1.6",planoContas,0)+1,MATCH(Tabela1[[#This Row],[Periodo]],listaPeriodos,0)))/INDEX(tbFatMensal[],MATCH(Tabela1[[#This Row],[Periodo]],TBFatMensalData,0)-1,5)</f>
        <v>0.18569066082631516</v>
      </c>
      <c r="F3074" s="2"/>
      <c r="G3074" s="223"/>
      <c r="H3074" s="2"/>
    </row>
    <row r="3075" spans="1:9" x14ac:dyDescent="0.3">
      <c r="A3075" t="s">
        <v>1080</v>
      </c>
      <c r="B3075" s="3">
        <f t="shared" si="40"/>
        <v>44774</v>
      </c>
      <c r="C3075" s="2" t="str">
        <f>VLOOKUP(MONTH(Tabela1[[#This Row],[Periodo]]),NUMMESES,2,FALSE)</f>
        <v>Agosto</v>
      </c>
      <c r="D3075" s="2">
        <f>YEAR(Tabela1[[#This Row],[Periodo]])</f>
        <v>2022</v>
      </c>
      <c r="E3075" s="33">
        <f>(INDEX(TBBP[],MATCH("1.1.1.6",planoContas,0)+1,MATCH(Tabela1[[#This Row],[Periodo]],listaPeriodos,0)))/INDEX(tbFatMensal[],MATCH(Tabela1[[#This Row],[Periodo]],TBFatMensalData,0)-1,5)</f>
        <v>0.19599692722815484</v>
      </c>
      <c r="F3075" s="2"/>
      <c r="G3075" s="223"/>
      <c r="H3075" s="2"/>
    </row>
    <row r="3076" spans="1:9" x14ac:dyDescent="0.3">
      <c r="A3076" t="s">
        <v>1080</v>
      </c>
      <c r="B3076" s="3">
        <f t="shared" si="40"/>
        <v>44805</v>
      </c>
      <c r="C3076" s="2" t="str">
        <f>VLOOKUP(MONTH(Tabela1[[#This Row],[Periodo]]),NUMMESES,2,FALSE)</f>
        <v>Setembro</v>
      </c>
      <c r="D3076" s="2">
        <f>YEAR(Tabela1[[#This Row],[Periodo]])</f>
        <v>2022</v>
      </c>
      <c r="E3076" s="33">
        <f>(INDEX(TBBP[],MATCH("1.1.1.6",planoContas,0)+1,MATCH(Tabela1[[#This Row],[Periodo]],listaPeriodos,0)))/INDEX(tbFatMensal[],MATCH(Tabela1[[#This Row],[Periodo]],TBFatMensalData,0)-1,5)</f>
        <v>0.20941625935688513</v>
      </c>
      <c r="F3076" s="2"/>
      <c r="G3076" s="223"/>
      <c r="H3076" s="2"/>
    </row>
    <row r="3077" spans="1:9" x14ac:dyDescent="0.3">
      <c r="A3077" t="s">
        <v>1080</v>
      </c>
      <c r="B3077" s="3">
        <f t="shared" si="40"/>
        <v>44835</v>
      </c>
      <c r="C3077" s="2" t="str">
        <f>VLOOKUP(MONTH(Tabela1[[#This Row],[Periodo]]),NUMMESES,2,FALSE)</f>
        <v>Outubro</v>
      </c>
      <c r="D3077" s="2">
        <f>YEAR(Tabela1[[#This Row],[Periodo]])</f>
        <v>2022</v>
      </c>
      <c r="E3077" s="33">
        <f>(INDEX(TBBP[],MATCH("1.1.1.6",planoContas,0)+1,MATCH(Tabela1[[#This Row],[Periodo]],listaPeriodos,0)))/INDEX(tbFatMensal[],MATCH(Tabela1[[#This Row],[Periodo]],TBFatMensalData,0)-1,5)</f>
        <v>0.21771818590016831</v>
      </c>
      <c r="F3077" s="2"/>
      <c r="G3077" s="223"/>
      <c r="H3077" s="2"/>
    </row>
    <row r="3078" spans="1:9" x14ac:dyDescent="0.3">
      <c r="A3078" t="s">
        <v>1080</v>
      </c>
      <c r="B3078" s="3">
        <f t="shared" si="40"/>
        <v>44866</v>
      </c>
      <c r="C3078" s="2" t="str">
        <f>VLOOKUP(MONTH(Tabela1[[#This Row],[Periodo]]),NUMMESES,2,FALSE)</f>
        <v>Novembro</v>
      </c>
      <c r="D3078" s="2">
        <f>YEAR(Tabela1[[#This Row],[Periodo]])</f>
        <v>2022</v>
      </c>
      <c r="E3078" s="33">
        <f>(INDEX(TBBP[],MATCH("1.1.1.6",planoContas,0)+1,MATCH(Tabela1[[#This Row],[Periodo]],listaPeriodos,0)))/INDEX(tbFatMensal[],MATCH(Tabela1[[#This Row],[Periodo]],TBFatMensalData,0)-1,5)</f>
        <v>0.21349682685313418</v>
      </c>
      <c r="F3078" s="2"/>
      <c r="G3078" s="223"/>
      <c r="H3078" s="2"/>
    </row>
    <row r="3079" spans="1:9" x14ac:dyDescent="0.3">
      <c r="A3079" t="s">
        <v>1080</v>
      </c>
      <c r="B3079" s="3">
        <f t="shared" si="40"/>
        <v>44896</v>
      </c>
      <c r="C3079" s="2" t="str">
        <f>VLOOKUP(MONTH(Tabela1[[#This Row],[Periodo]]),NUMMESES,2,FALSE)</f>
        <v>Dezembro</v>
      </c>
      <c r="D3079" s="2">
        <f>YEAR(Tabela1[[#This Row],[Periodo]])</f>
        <v>2022</v>
      </c>
      <c r="E3079" s="33">
        <f>(INDEX(TBBP[],MATCH("1.1.1.6",planoContas,0)+1,MATCH(Tabela1[[#This Row],[Periodo]],listaPeriodos,0)))/INDEX(tbFatMensal[],MATCH(Tabela1[[#This Row],[Periodo]],TBFatMensalData,0)-1,5)</f>
        <v>0.22224005311037812</v>
      </c>
      <c r="F3079" s="2"/>
      <c r="G3079" s="223"/>
      <c r="H3079" s="2"/>
    </row>
    <row r="3080" spans="1:9" x14ac:dyDescent="0.3">
      <c r="A3080" t="s">
        <v>1080</v>
      </c>
      <c r="B3080" s="3">
        <f t="shared" si="40"/>
        <v>44927</v>
      </c>
      <c r="C3080" s="2" t="str">
        <f>VLOOKUP(MONTH(Tabela1[[#This Row],[Periodo]]),NUMMESES,2,FALSE)</f>
        <v>Janeiro</v>
      </c>
      <c r="D3080" s="2">
        <f>YEAR(Tabela1[[#This Row],[Periodo]])</f>
        <v>2023</v>
      </c>
      <c r="E3080" s="33">
        <f>(INDEX(TBBP[],MATCH("1.1.1.6",planoContas,0)+1,MATCH(Tabela1[[#This Row],[Periodo]],listaPeriodos,0)))/INDEX(tbFatMensal[],MATCH(Tabela1[[#This Row],[Periodo]],TBFatMensalData,0)-1,5)</f>
        <v>0.22317584018353298</v>
      </c>
      <c r="F3080" s="2"/>
      <c r="G3080" s="223"/>
      <c r="H3080" s="2"/>
    </row>
    <row r="3081" spans="1:9" x14ac:dyDescent="0.3">
      <c r="A3081" t="s">
        <v>1080</v>
      </c>
      <c r="B3081" s="3">
        <f t="shared" si="40"/>
        <v>44958</v>
      </c>
      <c r="C3081" s="2" t="str">
        <f>VLOOKUP(MONTH(Tabela1[[#This Row],[Periodo]]),NUMMESES,2,FALSE)</f>
        <v>Fevereiro</v>
      </c>
      <c r="D3081" s="2">
        <f>YEAR(Tabela1[[#This Row],[Periodo]])</f>
        <v>2023</v>
      </c>
      <c r="E3081" s="33">
        <f>(INDEX(TBBP[],MATCH("1.1.1.6",planoContas,0)+1,MATCH(Tabela1[[#This Row],[Periodo]],listaPeriodos,0)))/INDEX(tbFatMensal[],MATCH(Tabela1[[#This Row],[Periodo]],TBFatMensalData,0)-1,5)</f>
        <v>0.22703757224628721</v>
      </c>
      <c r="F3081" s="2"/>
      <c r="G3081" s="223"/>
      <c r="H3081" s="2"/>
    </row>
    <row r="3082" spans="1:9" x14ac:dyDescent="0.3">
      <c r="A3082" t="s">
        <v>1080</v>
      </c>
      <c r="B3082" s="3">
        <f t="shared" si="40"/>
        <v>44986</v>
      </c>
      <c r="C3082" s="2" t="str">
        <f>VLOOKUP(MONTH(Tabela1[[#This Row],[Periodo]]),NUMMESES,2,FALSE)</f>
        <v>Março</v>
      </c>
      <c r="D3082" s="2">
        <f>YEAR(Tabela1[[#This Row],[Periodo]])</f>
        <v>2023</v>
      </c>
      <c r="E3082" s="33">
        <f>(INDEX(TBBP[],MATCH("1.1.1.6",planoContas,0)+1,MATCH(Tabela1[[#This Row],[Periodo]],listaPeriodos,0)))/INDEX(tbFatMensal[],MATCH(Tabela1[[#This Row],[Periodo]],TBFatMensalData,0)-1,5)</f>
        <v>0.25371928197401772</v>
      </c>
      <c r="F3082" s="2"/>
      <c r="G3082" s="223"/>
      <c r="H3082" s="2"/>
    </row>
    <row r="3083" spans="1:9" x14ac:dyDescent="0.3">
      <c r="A3083" t="s">
        <v>1080</v>
      </c>
      <c r="B3083" s="3">
        <f t="shared" si="40"/>
        <v>45017</v>
      </c>
      <c r="C3083" s="2" t="str">
        <f>VLOOKUP(MONTH(Tabela1[[#This Row],[Periodo]]),NUMMESES,2,FALSE)</f>
        <v>Abril</v>
      </c>
      <c r="D3083" s="2">
        <f>YEAR(Tabela1[[#This Row],[Periodo]])</f>
        <v>2023</v>
      </c>
      <c r="E3083" s="33">
        <f>(INDEX(TBBP[],MATCH("1.1.1.6",planoContas,0)+1,MATCH(Tabela1[[#This Row],[Periodo]],listaPeriodos,0)))/INDEX(tbFatMensal[],MATCH(Tabela1[[#This Row],[Periodo]],TBFatMensalData,0)-1,5)</f>
        <v>0.25060132231893056</v>
      </c>
      <c r="F3083" s="2"/>
      <c r="G3083" s="223"/>
      <c r="H3083" s="2"/>
    </row>
    <row r="3084" spans="1:9" x14ac:dyDescent="0.3">
      <c r="A3084" t="s">
        <v>1080</v>
      </c>
      <c r="B3084" s="3">
        <f t="shared" si="40"/>
        <v>45047</v>
      </c>
      <c r="C3084" s="2" t="str">
        <f>VLOOKUP(MONTH(Tabela1[[#This Row],[Periodo]]),NUMMESES,2,FALSE)</f>
        <v>Maio</v>
      </c>
      <c r="D3084" s="2">
        <f>YEAR(Tabela1[[#This Row],[Periodo]])</f>
        <v>2023</v>
      </c>
      <c r="E3084" s="33">
        <f>(INDEX(TBBP[],MATCH("1.1.1.6",planoContas,0)+1,MATCH(Tabela1[[#This Row],[Periodo]],listaPeriodos,0)))/INDEX(tbFatMensal[],MATCH(Tabela1[[#This Row],[Periodo]],TBFatMensalData,0)-1,5)</f>
        <v>0.24694822937879876</v>
      </c>
      <c r="F3084" s="2"/>
      <c r="G3084" s="223"/>
      <c r="H3084" s="2"/>
    </row>
    <row r="3085" spans="1:9" x14ac:dyDescent="0.3">
      <c r="A3085" t="s">
        <v>1080</v>
      </c>
      <c r="B3085" s="3">
        <f t="shared" ref="B3085:B3116" si="41">DATE(YEAR(B3084),MONTH(B3084)+1,DAY(B3084))</f>
        <v>45078</v>
      </c>
      <c r="C3085" s="2" t="str">
        <f>VLOOKUP(MONTH(Tabela1[[#This Row],[Periodo]]),NUMMESES,2,FALSE)</f>
        <v>Junho</v>
      </c>
      <c r="D3085" s="2">
        <f>YEAR(Tabela1[[#This Row],[Periodo]])</f>
        <v>2023</v>
      </c>
      <c r="E3085" s="33">
        <f>(INDEX(TBBP[],MATCH("1.1.1.6",planoContas,0)+1,MATCH(Tabela1[[#This Row],[Periodo]],listaPeriodos,0)))/INDEX(tbFatMensal[],MATCH(Tabela1[[#This Row],[Periodo]],TBFatMensalData,0)-1,5)</f>
        <v>0.23917526867814246</v>
      </c>
      <c r="F3085" s="2"/>
      <c r="G3085" s="223"/>
      <c r="H3085" s="2"/>
    </row>
    <row r="3086" spans="1:9" x14ac:dyDescent="0.3">
      <c r="A3086" t="s">
        <v>1080</v>
      </c>
      <c r="B3086" s="3">
        <f t="shared" si="41"/>
        <v>45108</v>
      </c>
      <c r="C3086" s="2" t="str">
        <f>VLOOKUP(MONTH(Tabela1[[#This Row],[Periodo]]),NUMMESES,2,FALSE)</f>
        <v>Julho</v>
      </c>
      <c r="D3086" s="2">
        <f>YEAR(Tabela1[[#This Row],[Periodo]])</f>
        <v>2023</v>
      </c>
      <c r="E3086" s="33">
        <f>(INDEX(TBBP[],MATCH("1.1.1.6",planoContas,0)+1,MATCH(Tabela1[[#This Row],[Periodo]],listaPeriodos,0)))/INDEX(tbFatMensal[],MATCH(Tabela1[[#This Row],[Periodo]],TBFatMensalData,0)-1,5)</f>
        <v>0.26538620911323024</v>
      </c>
      <c r="F3086" s="2"/>
      <c r="G3086" s="223"/>
      <c r="H3086" s="2"/>
    </row>
    <row r="3087" spans="1:9" x14ac:dyDescent="0.3">
      <c r="A3087" t="s">
        <v>1080</v>
      </c>
      <c r="B3087" s="3">
        <f t="shared" si="41"/>
        <v>45139</v>
      </c>
      <c r="C3087" s="2" t="str">
        <f>VLOOKUP(MONTH(Tabela1[[#This Row],[Periodo]]),NUMMESES,2,FALSE)</f>
        <v>Agosto</v>
      </c>
      <c r="D3087" s="2">
        <f>YEAR(Tabela1[[#This Row],[Periodo]])</f>
        <v>2023</v>
      </c>
      <c r="E3087" s="33">
        <f>(INDEX(TBBP[],MATCH("1.1.1.6",planoContas,0)+1,MATCH(Tabela1[[#This Row],[Periodo]],listaPeriodos,0)))/INDEX(tbFatMensal[],MATCH(Tabela1[[#This Row],[Periodo]],TBFatMensalData,0)-1,5)</f>
        <v>0.25209370459863983</v>
      </c>
      <c r="F3087" s="2"/>
      <c r="G3087" s="223"/>
      <c r="H3087" s="2"/>
    </row>
    <row r="3088" spans="1:9" x14ac:dyDescent="0.3">
      <c r="A3088" t="s">
        <v>1080</v>
      </c>
      <c r="B3088" s="3">
        <f t="shared" si="41"/>
        <v>45170</v>
      </c>
      <c r="C3088" s="2" t="str">
        <f>VLOOKUP(MONTH(Tabela1[[#This Row],[Periodo]]),NUMMESES,2,FALSE)</f>
        <v>Setembro</v>
      </c>
      <c r="D3088" s="2">
        <f>YEAR(Tabela1[[#This Row],[Periodo]])</f>
        <v>2023</v>
      </c>
      <c r="E3088" s="33">
        <f>(INDEX(TBBP[],MATCH("1.1.1.6",planoContas,0)+1,MATCH(Tabela1[[#This Row],[Periodo]],listaPeriodos,0)))/INDEX(tbFatMensal[],MATCH(Tabela1[[#This Row],[Periodo]],TBFatMensalData,0)-1,5)</f>
        <v>0.26771521778597962</v>
      </c>
      <c r="F3088" s="2"/>
      <c r="G3088" s="223"/>
      <c r="H3088" s="2"/>
      <c r="I3088" s="4"/>
    </row>
    <row r="3089" spans="1:8" x14ac:dyDescent="0.3">
      <c r="A3089" t="s">
        <v>1080</v>
      </c>
      <c r="B3089" s="3">
        <f t="shared" si="41"/>
        <v>45200</v>
      </c>
      <c r="C3089" s="2" t="str">
        <f>VLOOKUP(MONTH(Tabela1[[#This Row],[Periodo]]),NUMMESES,2,FALSE)</f>
        <v>Outubro</v>
      </c>
      <c r="D3089" s="2">
        <f>YEAR(Tabela1[[#This Row],[Periodo]])</f>
        <v>2023</v>
      </c>
      <c r="E3089" s="33">
        <f>(INDEX(TBBP[],MATCH("1.1.1.6",planoContas,0)+1,MATCH(Tabela1[[#This Row],[Periodo]],listaPeriodos,0)))/INDEX(tbFatMensal[],MATCH(Tabela1[[#This Row],[Periodo]],TBFatMensalData,0)-1,5)</f>
        <v>0.25459013712072104</v>
      </c>
      <c r="F3089" s="2"/>
      <c r="G3089" s="223"/>
      <c r="H3089" s="2"/>
    </row>
    <row r="3090" spans="1:8" x14ac:dyDescent="0.3">
      <c r="A3090" t="s">
        <v>1080</v>
      </c>
      <c r="B3090" s="3">
        <f t="shared" si="41"/>
        <v>45231</v>
      </c>
      <c r="C3090" s="2" t="str">
        <f>VLOOKUP(MONTH(Tabela1[[#This Row],[Periodo]]),NUMMESES,2,FALSE)</f>
        <v>Novembro</v>
      </c>
      <c r="D3090" s="2">
        <f>YEAR(Tabela1[[#This Row],[Periodo]])</f>
        <v>2023</v>
      </c>
      <c r="E3090" s="33">
        <f>(INDEX(TBBP[],MATCH("1.1.1.6",planoContas,0)+1,MATCH(Tabela1[[#This Row],[Periodo]],listaPeriodos,0)))/INDEX(tbFatMensal[],MATCH(Tabela1[[#This Row],[Periodo]],TBFatMensalData,0)-1,5)</f>
        <v>0.26551606724282362</v>
      </c>
      <c r="F3090" s="2"/>
      <c r="G3090" s="223"/>
      <c r="H3090" s="2"/>
    </row>
    <row r="3091" spans="1:8" x14ac:dyDescent="0.3">
      <c r="A3091" t="s">
        <v>1080</v>
      </c>
      <c r="B3091" s="3">
        <f t="shared" si="41"/>
        <v>45261</v>
      </c>
      <c r="C3091" s="2" t="str">
        <f>VLOOKUP(MONTH(Tabela1[[#This Row],[Periodo]]),NUMMESES,2,FALSE)</f>
        <v>Dezembro</v>
      </c>
      <c r="D3091" s="2">
        <f>YEAR(Tabela1[[#This Row],[Periodo]])</f>
        <v>2023</v>
      </c>
      <c r="E3091" s="33">
        <f>(INDEX(TBBP[],MATCH("1.1.1.6",planoContas,0)+1,MATCH(Tabela1[[#This Row],[Periodo]],listaPeriodos,0)))/INDEX(tbFatMensal[],MATCH(Tabela1[[#This Row],[Periodo]],TBFatMensalData,0)-1,5)</f>
        <v>0.26074563163693071</v>
      </c>
      <c r="F3091" s="2"/>
      <c r="G3091" s="223"/>
      <c r="H3091" s="2"/>
    </row>
    <row r="3092" spans="1:8" x14ac:dyDescent="0.3">
      <c r="A3092" t="s">
        <v>1080</v>
      </c>
      <c r="B3092" s="3">
        <f t="shared" si="41"/>
        <v>45292</v>
      </c>
      <c r="C3092" s="2" t="str">
        <f>VLOOKUP(MONTH(Tabela1[[#This Row],[Periodo]]),NUMMESES,2,FALSE)</f>
        <v>Janeiro</v>
      </c>
      <c r="D3092" s="2">
        <f>YEAR(Tabela1[[#This Row],[Periodo]])</f>
        <v>2024</v>
      </c>
      <c r="E3092" s="33">
        <f>(INDEX(TBBP[],MATCH("1.1.1.6",planoContas,0)+1,MATCH(Tabela1[[#This Row],[Periodo]],listaPeriodos,0)))/INDEX(tbFatMensal[],MATCH(Tabela1[[#This Row],[Periodo]],TBFatMensalData,0)-1,5)</f>
        <v>0.26064536290101009</v>
      </c>
      <c r="F3092" s="2"/>
      <c r="G3092" s="223"/>
      <c r="H3092" s="2"/>
    </row>
    <row r="3093" spans="1:8" x14ac:dyDescent="0.3">
      <c r="A3093" t="s">
        <v>1080</v>
      </c>
      <c r="B3093" s="3">
        <f t="shared" si="41"/>
        <v>45323</v>
      </c>
      <c r="C3093" s="2" t="str">
        <f>VLOOKUP(MONTH(Tabela1[[#This Row],[Periodo]]),NUMMESES,2,FALSE)</f>
        <v>Fevereiro</v>
      </c>
      <c r="D3093" s="2">
        <f>YEAR(Tabela1[[#This Row],[Periodo]])</f>
        <v>2024</v>
      </c>
      <c r="E3093" s="33">
        <f>(INDEX(TBBP[],MATCH("1.1.1.6",planoContas,0)+1,MATCH(Tabela1[[#This Row],[Periodo]],listaPeriodos,0)))/INDEX(tbFatMensal[],MATCH(Tabela1[[#This Row],[Periodo]],TBFatMensalData,0)-1,5)</f>
        <v>0.25283726649234733</v>
      </c>
      <c r="F3093" s="2"/>
      <c r="G3093" s="223"/>
      <c r="H3093" s="2"/>
    </row>
    <row r="3094" spans="1:8" x14ac:dyDescent="0.3">
      <c r="A3094" t="s">
        <v>1080</v>
      </c>
      <c r="B3094" s="3">
        <f t="shared" si="41"/>
        <v>45352</v>
      </c>
      <c r="C3094" s="2" t="str">
        <f>VLOOKUP(MONTH(Tabela1[[#This Row],[Periodo]]),NUMMESES,2,FALSE)</f>
        <v>Março</v>
      </c>
      <c r="D3094" s="2">
        <f>YEAR(Tabela1[[#This Row],[Periodo]])</f>
        <v>2024</v>
      </c>
      <c r="E3094" s="33">
        <f>(INDEX(TBBP[],MATCH("1.1.1.6",planoContas,0)+1,MATCH(Tabela1[[#This Row],[Periodo]],listaPeriodos,0)))/INDEX(tbFatMensal[],MATCH(Tabela1[[#This Row],[Periodo]],TBFatMensalData,0)-1,5)</f>
        <v>0.25035230565892419</v>
      </c>
      <c r="F3094" s="2"/>
      <c r="G3094" s="223"/>
      <c r="H3094" s="2"/>
    </row>
    <row r="3095" spans="1:8" x14ac:dyDescent="0.3">
      <c r="A3095" t="s">
        <v>1080</v>
      </c>
      <c r="B3095" s="3">
        <f t="shared" si="41"/>
        <v>45383</v>
      </c>
      <c r="C3095" s="2" t="str">
        <f>VLOOKUP(MONTH(Tabela1[[#This Row],[Periodo]]),NUMMESES,2,FALSE)</f>
        <v>Abril</v>
      </c>
      <c r="D3095" s="2">
        <f>YEAR(Tabela1[[#This Row],[Periodo]])</f>
        <v>2024</v>
      </c>
      <c r="E3095" s="33">
        <f>(INDEX(TBBP[],MATCH("1.1.1.6",planoContas,0)+1,MATCH(Tabela1[[#This Row],[Periodo]],listaPeriodos,0)))/INDEX(tbFatMensal[],MATCH(Tabela1[[#This Row],[Periodo]],TBFatMensalData,0)-1,5)</f>
        <v>0.23875227315308348</v>
      </c>
      <c r="F3095" s="2"/>
      <c r="G3095" s="223"/>
      <c r="H3095" s="2"/>
    </row>
    <row r="3096" spans="1:8" x14ac:dyDescent="0.3">
      <c r="A3096" t="s">
        <v>1080</v>
      </c>
      <c r="B3096" s="3">
        <f t="shared" si="41"/>
        <v>45413</v>
      </c>
      <c r="C3096" s="2" t="str">
        <f>VLOOKUP(MONTH(Tabela1[[#This Row],[Periodo]]),NUMMESES,2,FALSE)</f>
        <v>Maio</v>
      </c>
      <c r="D3096" s="2">
        <f>YEAR(Tabela1[[#This Row],[Periodo]])</f>
        <v>2024</v>
      </c>
      <c r="E3096" s="33">
        <f>(INDEX(TBBP[],MATCH("1.1.1.6",planoContas,0)+1,MATCH(Tabela1[[#This Row],[Periodo]],listaPeriodos,0)))/INDEX(tbFatMensal[],MATCH(Tabela1[[#This Row],[Periodo]],TBFatMensalData,0)-1,5)</f>
        <v>0.23038618905490518</v>
      </c>
      <c r="F3096" s="2"/>
      <c r="G3096" s="223"/>
      <c r="H3096" s="2"/>
    </row>
    <row r="3097" spans="1:8" x14ac:dyDescent="0.3">
      <c r="A3097" t="s">
        <v>1080</v>
      </c>
      <c r="B3097" s="3">
        <f t="shared" si="41"/>
        <v>45444</v>
      </c>
      <c r="C3097" s="2" t="str">
        <f>VLOOKUP(MONTH(Tabela1[[#This Row],[Periodo]]),NUMMESES,2,FALSE)</f>
        <v>Junho</v>
      </c>
      <c r="D3097" s="2">
        <f>YEAR(Tabela1[[#This Row],[Periodo]])</f>
        <v>2024</v>
      </c>
      <c r="E3097" s="33">
        <f>(INDEX(TBBP[],MATCH("1.1.1.6",planoContas,0)+1,MATCH(Tabela1[[#This Row],[Periodo]],listaPeriodos,0)))/INDEX(tbFatMensal[],MATCH(Tabela1[[#This Row],[Periodo]],TBFatMensalData,0)-1,5)</f>
        <v>0.23525374971961369</v>
      </c>
      <c r="F3097" s="2"/>
      <c r="G3097" s="223"/>
      <c r="H3097" s="2"/>
    </row>
    <row r="3098" spans="1:8" x14ac:dyDescent="0.3">
      <c r="A3098" t="s">
        <v>1080</v>
      </c>
      <c r="B3098" s="3">
        <f t="shared" si="41"/>
        <v>45474</v>
      </c>
      <c r="C3098" s="2" t="str">
        <f>VLOOKUP(MONTH(Tabela1[[#This Row],[Periodo]]),NUMMESES,2,FALSE)</f>
        <v>Julho</v>
      </c>
      <c r="D3098" s="2">
        <f>YEAR(Tabela1[[#This Row],[Periodo]])</f>
        <v>2024</v>
      </c>
      <c r="E3098" s="33">
        <f>(INDEX(TBBP[],MATCH("1.1.1.6",planoContas,0)+1,MATCH(Tabela1[[#This Row],[Periodo]],listaPeriodos,0)))/INDEX(tbFatMensal[],MATCH(Tabela1[[#This Row],[Periodo]],TBFatMensalData,0)-1,5)</f>
        <v>0.20936837872723621</v>
      </c>
      <c r="F3098" s="2"/>
      <c r="G3098" s="223"/>
      <c r="H3098" s="2"/>
    </row>
    <row r="3099" spans="1:8" x14ac:dyDescent="0.3">
      <c r="A3099" t="s">
        <v>1080</v>
      </c>
      <c r="B3099" s="3">
        <f t="shared" si="41"/>
        <v>45505</v>
      </c>
      <c r="C3099" s="2" t="str">
        <f>VLOOKUP(MONTH(Tabela1[[#This Row],[Periodo]]),NUMMESES,2,FALSE)</f>
        <v>Agosto</v>
      </c>
      <c r="D3099" s="2">
        <f>YEAR(Tabela1[[#This Row],[Periodo]])</f>
        <v>2024</v>
      </c>
      <c r="E3099" s="33">
        <f>(INDEX(TBBP[],MATCH("1.1.1.6",planoContas,0)+1,MATCH(Tabela1[[#This Row],[Periodo]],listaPeriodos,0)))/INDEX(tbFatMensal[],MATCH(Tabela1[[#This Row],[Periodo]],TBFatMensalData,0)-1,5)</f>
        <v>0.21198891930411512</v>
      </c>
      <c r="F3099" s="2"/>
      <c r="G3099" s="223"/>
      <c r="H3099" s="2"/>
    </row>
    <row r="3100" spans="1:8" x14ac:dyDescent="0.3">
      <c r="A3100" t="s">
        <v>1080</v>
      </c>
      <c r="B3100" s="3">
        <f t="shared" si="41"/>
        <v>45536</v>
      </c>
      <c r="C3100" s="2" t="str">
        <f>VLOOKUP(MONTH(Tabela1[[#This Row],[Periodo]]),NUMMESES,2,FALSE)</f>
        <v>Setembro</v>
      </c>
      <c r="D3100" s="2">
        <f>YEAR(Tabela1[[#This Row],[Periodo]])</f>
        <v>2024</v>
      </c>
      <c r="E3100" s="33">
        <f>(INDEX(TBBP[],MATCH("1.1.1.6",planoContas,0)+1,MATCH(Tabela1[[#This Row],[Periodo]],listaPeriodos,0)))/INDEX(tbFatMensal[],MATCH(Tabela1[[#This Row],[Periodo]],TBFatMensalData,0)-1,5)</f>
        <v>0.2079389316396445</v>
      </c>
      <c r="F3100" s="2"/>
      <c r="G3100" s="223"/>
      <c r="H3100" s="2"/>
    </row>
    <row r="3101" spans="1:8" x14ac:dyDescent="0.3">
      <c r="A3101" t="s">
        <v>1080</v>
      </c>
      <c r="B3101" s="3">
        <f t="shared" si="41"/>
        <v>45566</v>
      </c>
      <c r="C3101" s="2" t="str">
        <f>VLOOKUP(MONTH(Tabela1[[#This Row],[Periodo]]),NUMMESES,2,FALSE)</f>
        <v>Outubro</v>
      </c>
      <c r="D3101" s="2">
        <f>YEAR(Tabela1[[#This Row],[Periodo]])</f>
        <v>2024</v>
      </c>
      <c r="E3101" s="33">
        <f>(INDEX(TBBP[],MATCH("1.1.1.6",planoContas,0)+1,MATCH(Tabela1[[#This Row],[Periodo]],listaPeriodos,0)))/INDEX(tbFatMensal[],MATCH(Tabela1[[#This Row],[Periodo]],TBFatMensalData,0)-1,5)</f>
        <v>0.21710231588503046</v>
      </c>
      <c r="F3101" s="2"/>
      <c r="G3101" s="223"/>
      <c r="H3101" s="2"/>
    </row>
    <row r="3102" spans="1:8" x14ac:dyDescent="0.3">
      <c r="A3102" t="s">
        <v>1080</v>
      </c>
      <c r="B3102" s="3">
        <f t="shared" si="41"/>
        <v>45597</v>
      </c>
      <c r="C3102" s="2" t="str">
        <f>VLOOKUP(MONTH(Tabela1[[#This Row],[Periodo]]),NUMMESES,2,FALSE)</f>
        <v>Novembro</v>
      </c>
      <c r="D3102" s="2">
        <f>YEAR(Tabela1[[#This Row],[Periodo]])</f>
        <v>2024</v>
      </c>
      <c r="E3102" s="33">
        <f>(INDEX(TBBP[],MATCH("1.1.1.6",planoContas,0)+1,MATCH(Tabela1[[#This Row],[Periodo]],listaPeriodos,0)))/INDEX(tbFatMensal[],MATCH(Tabela1[[#This Row],[Periodo]],TBFatMensalData,0)-1,5)</f>
        <v>0.21805026714715511</v>
      </c>
      <c r="F3102" s="2"/>
      <c r="G3102" s="223"/>
      <c r="H3102" s="2"/>
    </row>
    <row r="3103" spans="1:8" x14ac:dyDescent="0.3">
      <c r="A3103" t="s">
        <v>1080</v>
      </c>
      <c r="B3103" s="3">
        <f t="shared" si="41"/>
        <v>45627</v>
      </c>
      <c r="C3103" s="2" t="str">
        <f>VLOOKUP(MONTH(Tabela1[[#This Row],[Periodo]]),NUMMESES,2,FALSE)</f>
        <v>Dezembro</v>
      </c>
      <c r="D3103" s="2">
        <f>YEAR(Tabela1[[#This Row],[Periodo]])</f>
        <v>2024</v>
      </c>
      <c r="E3103" s="33">
        <f>(INDEX(TBBP[],MATCH("1.1.1.6",planoContas,0)+1,MATCH(Tabela1[[#This Row],[Periodo]],listaPeriodos,0)))/INDEX(tbFatMensal[],MATCH(Tabela1[[#This Row],[Periodo]],TBFatMensalData,0)-1,5)</f>
        <v>0.19547793302679595</v>
      </c>
      <c r="F3103" s="2"/>
      <c r="G3103" s="223"/>
      <c r="H3103" s="2"/>
    </row>
    <row r="3104" spans="1:8" x14ac:dyDescent="0.3">
      <c r="A3104" t="s">
        <v>1080</v>
      </c>
      <c r="B3104" s="3">
        <f t="shared" si="41"/>
        <v>45658</v>
      </c>
      <c r="C3104" s="2" t="str">
        <f>VLOOKUP(MONTH(Tabela1[[#This Row],[Periodo]]),NUMMESES,2,FALSE)</f>
        <v>Janeiro</v>
      </c>
      <c r="D3104" s="2">
        <f>YEAR(Tabela1[[#This Row],[Periodo]])</f>
        <v>2025</v>
      </c>
      <c r="E3104" s="33">
        <f>(INDEX(TBBP[],MATCH("1.1.1.6",planoContas,0)+1,MATCH(Tabela1[[#This Row],[Periodo]],listaPeriodos,0)))/INDEX(tbFatMensal[],MATCH(Tabela1[[#This Row],[Periodo]],TBFatMensalData,0)-1,5)</f>
        <v>0.21073574878307361</v>
      </c>
      <c r="F3104" s="2"/>
      <c r="G3104" s="223"/>
      <c r="H3104" s="2"/>
    </row>
    <row r="3105" spans="1:8" x14ac:dyDescent="0.3">
      <c r="A3105" t="s">
        <v>1080</v>
      </c>
      <c r="B3105" s="3">
        <f t="shared" si="41"/>
        <v>45689</v>
      </c>
      <c r="C3105" s="2" t="str">
        <f>VLOOKUP(MONTH(Tabela1[[#This Row],[Periodo]]),NUMMESES,2,FALSE)</f>
        <v>Fevereiro</v>
      </c>
      <c r="D3105" s="2">
        <f>YEAR(Tabela1[[#This Row],[Periodo]])</f>
        <v>2025</v>
      </c>
      <c r="E3105" s="33">
        <f>(INDEX(TBBP[],MATCH("1.1.1.6",planoContas,0)+1,MATCH(Tabela1[[#This Row],[Periodo]],listaPeriodos,0)))/INDEX(tbFatMensal[],MATCH(Tabela1[[#This Row],[Periodo]],TBFatMensalData,0)-1,5)</f>
        <v>0.20444549361817574</v>
      </c>
      <c r="F3105" s="2"/>
      <c r="G3105" s="223"/>
      <c r="H3105" s="2"/>
    </row>
    <row r="3106" spans="1:8" x14ac:dyDescent="0.3">
      <c r="A3106" t="s">
        <v>1080</v>
      </c>
      <c r="B3106" s="3">
        <f t="shared" si="41"/>
        <v>45717</v>
      </c>
      <c r="C3106" s="2" t="str">
        <f>VLOOKUP(MONTH(Tabela1[[#This Row],[Periodo]]),NUMMESES,2,FALSE)</f>
        <v>Março</v>
      </c>
      <c r="D3106" s="2">
        <f>YEAR(Tabela1[[#This Row],[Periodo]])</f>
        <v>2025</v>
      </c>
      <c r="E3106" s="33">
        <f>(INDEX(TBBP[],MATCH("1.1.1.6",planoContas,0)+1,MATCH(Tabela1[[#This Row],[Periodo]],listaPeriodos,0)))/INDEX(tbFatMensal[],MATCH(Tabela1[[#This Row],[Periodo]],TBFatMensalData,0)-1,5)</f>
        <v>0.200853045313342</v>
      </c>
      <c r="F3106" s="2"/>
      <c r="G3106" s="223"/>
      <c r="H3106" s="2"/>
    </row>
    <row r="3107" spans="1:8" x14ac:dyDescent="0.3">
      <c r="A3107" t="s">
        <v>1080</v>
      </c>
      <c r="B3107" s="3">
        <f t="shared" si="41"/>
        <v>45748</v>
      </c>
      <c r="C3107" s="2" t="str">
        <f>VLOOKUP(MONTH(Tabela1[[#This Row],[Periodo]]),NUMMESES,2,FALSE)</f>
        <v>Abril</v>
      </c>
      <c r="D3107" s="2">
        <f>YEAR(Tabela1[[#This Row],[Periodo]])</f>
        <v>2025</v>
      </c>
      <c r="E3107" s="33">
        <f>(INDEX(TBBP[],MATCH("1.1.1.6",planoContas,0)+1,MATCH(Tabela1[[#This Row],[Periodo]],listaPeriodos,0)))/INDEX(tbFatMensal[],MATCH(Tabela1[[#This Row],[Periodo]],TBFatMensalData,0)-1,5)</f>
        <v>0.17624864736794033</v>
      </c>
      <c r="F3107" s="2"/>
      <c r="G3107" s="223"/>
      <c r="H3107" s="2"/>
    </row>
    <row r="3108" spans="1:8" x14ac:dyDescent="0.3">
      <c r="A3108" t="s">
        <v>1080</v>
      </c>
      <c r="B3108" s="3">
        <f t="shared" si="41"/>
        <v>45778</v>
      </c>
      <c r="C3108" s="2" t="str">
        <f>VLOOKUP(MONTH(Tabela1[[#This Row],[Periodo]]),NUMMESES,2,FALSE)</f>
        <v>Maio</v>
      </c>
      <c r="D3108" s="2">
        <f>YEAR(Tabela1[[#This Row],[Periodo]])</f>
        <v>2025</v>
      </c>
      <c r="E3108" s="33">
        <f>(INDEX(TBBP[],MATCH("1.1.1.6",planoContas,0)+1,MATCH(Tabela1[[#This Row],[Periodo]],listaPeriodos,0)))/INDEX(tbFatMensal[],MATCH(Tabela1[[#This Row],[Periodo]],TBFatMensalData,0)-1,5)</f>
        <v>0.15717907688542729</v>
      </c>
      <c r="F3108" s="2"/>
      <c r="G3108" s="223"/>
      <c r="H3108" s="2"/>
    </row>
    <row r="3109" spans="1:8" x14ac:dyDescent="0.3">
      <c r="A3109" t="s">
        <v>1080</v>
      </c>
      <c r="B3109" s="3">
        <f t="shared" si="41"/>
        <v>45809</v>
      </c>
      <c r="C3109" s="2" t="str">
        <f>VLOOKUP(MONTH(Tabela1[[#This Row],[Periodo]]),NUMMESES,2,FALSE)</f>
        <v>Junho</v>
      </c>
      <c r="D3109" s="2">
        <f>YEAR(Tabela1[[#This Row],[Periodo]])</f>
        <v>2025</v>
      </c>
      <c r="E3109" s="33">
        <f>(INDEX(TBBP[],MATCH("1.1.1.6",planoContas,0)+1,MATCH(Tabela1[[#This Row],[Periodo]],listaPeriodos,0)))/INDEX(tbFatMensal[],MATCH(Tabela1[[#This Row],[Periodo]],TBFatMensalData,0)-1,5)</f>
        <v>0.1756976440546196</v>
      </c>
      <c r="F3109" s="2"/>
      <c r="G3109" s="223"/>
      <c r="H3109" s="2"/>
    </row>
    <row r="3110" spans="1:8" x14ac:dyDescent="0.3">
      <c r="A3110" t="s">
        <v>1080</v>
      </c>
      <c r="B3110" s="3">
        <f t="shared" si="41"/>
        <v>45839</v>
      </c>
      <c r="C3110" s="2" t="str">
        <f>VLOOKUP(MONTH(Tabela1[[#This Row],[Periodo]]),NUMMESES,2,FALSE)</f>
        <v>Julho</v>
      </c>
      <c r="D3110" s="2">
        <f>YEAR(Tabela1[[#This Row],[Periodo]])</f>
        <v>2025</v>
      </c>
      <c r="E3110" s="33">
        <f>(INDEX(TBBP[],MATCH("1.1.1.6",planoContas,0)+1,MATCH(Tabela1[[#This Row],[Periodo]],listaPeriodos,0)))/INDEX(tbFatMensal[],MATCH(Tabela1[[#This Row],[Periodo]],TBFatMensalData,0)-1,5)</f>
        <v>0.18420355193150054</v>
      </c>
      <c r="F3110" s="2"/>
      <c r="G3110" s="223"/>
      <c r="H3110" s="2"/>
    </row>
    <row r="3111" spans="1:8" x14ac:dyDescent="0.3">
      <c r="A3111" t="s">
        <v>1080</v>
      </c>
      <c r="B3111" s="3">
        <f t="shared" si="41"/>
        <v>45870</v>
      </c>
      <c r="C3111" s="2" t="str">
        <f>VLOOKUP(MONTH(Tabela1[[#This Row],[Periodo]]),NUMMESES,2,FALSE)</f>
        <v>Agosto</v>
      </c>
      <c r="D3111" s="2">
        <f>YEAR(Tabela1[[#This Row],[Periodo]])</f>
        <v>2025</v>
      </c>
      <c r="E3111" s="33">
        <f>(INDEX(TBBP[],MATCH("1.1.1.6",planoContas,0)+1,MATCH(Tabela1[[#This Row],[Periodo]],listaPeriodos,0)))/INDEX(tbFatMensal[],MATCH(Tabela1[[#This Row],[Periodo]],TBFatMensalData,0)-1,5)</f>
        <v>0.17781796626615939</v>
      </c>
      <c r="F3111" s="2"/>
      <c r="G3111" s="223"/>
      <c r="H3111" s="2"/>
    </row>
    <row r="3112" spans="1:8" x14ac:dyDescent="0.3">
      <c r="A3112" t="s">
        <v>1080</v>
      </c>
      <c r="B3112" s="3">
        <f t="shared" si="41"/>
        <v>45901</v>
      </c>
      <c r="C3112" s="2" t="str">
        <f>VLOOKUP(MONTH(Tabela1[[#This Row],[Periodo]]),NUMMESES,2,FALSE)</f>
        <v>Setembro</v>
      </c>
      <c r="D3112" s="2">
        <f>YEAR(Tabela1[[#This Row],[Periodo]])</f>
        <v>2025</v>
      </c>
      <c r="E3112" s="33">
        <f>(INDEX(TBBP[],MATCH("1.1.1.6",planoContas,0)+1,MATCH(Tabela1[[#This Row],[Periodo]],listaPeriodos,0)))/INDEX(tbFatMensal[],MATCH(Tabela1[[#This Row],[Periodo]],TBFatMensalData,0)-1,5)</f>
        <v>0.18118789536204075</v>
      </c>
      <c r="F3112" s="2"/>
      <c r="G3112" s="223"/>
      <c r="H3112" s="2"/>
    </row>
    <row r="3113" spans="1:8" x14ac:dyDescent="0.3">
      <c r="A3113" t="s">
        <v>1080</v>
      </c>
      <c r="B3113" s="3">
        <f t="shared" si="41"/>
        <v>45931</v>
      </c>
      <c r="C3113" s="2" t="str">
        <f>VLOOKUP(MONTH(Tabela1[[#This Row],[Periodo]]),NUMMESES,2,FALSE)</f>
        <v>Outubro</v>
      </c>
      <c r="D3113" s="2">
        <f>YEAR(Tabela1[[#This Row],[Periodo]])</f>
        <v>2025</v>
      </c>
      <c r="E3113" s="33">
        <f>(INDEX(TBBP[],MATCH("1.1.1.6",planoContas,0)+1,MATCH(Tabela1[[#This Row],[Periodo]],listaPeriodos,0)))/INDEX(tbFatMensal[],MATCH(Tabela1[[#This Row],[Periodo]],TBFatMensalData,0)-1,5)</f>
        <v>0.19036938239707016</v>
      </c>
      <c r="F3113" s="2"/>
      <c r="G3113" s="223"/>
      <c r="H3113" s="2"/>
    </row>
    <row r="3114" spans="1:8" x14ac:dyDescent="0.3">
      <c r="A3114" t="s">
        <v>1080</v>
      </c>
      <c r="B3114" s="3">
        <f t="shared" si="41"/>
        <v>45962</v>
      </c>
      <c r="C3114" s="2" t="str">
        <f>VLOOKUP(MONTH(Tabela1[[#This Row],[Periodo]]),NUMMESES,2,FALSE)</f>
        <v>Novembro</v>
      </c>
      <c r="D3114" s="2">
        <f>YEAR(Tabela1[[#This Row],[Periodo]])</f>
        <v>2025</v>
      </c>
      <c r="E3114" s="33">
        <f>(INDEX(TBBP[],MATCH("1.1.1.6",planoContas,0)+1,MATCH(Tabela1[[#This Row],[Periodo]],listaPeriodos,0)))/INDEX(tbFatMensal[],MATCH(Tabela1[[#This Row],[Periodo]],TBFatMensalData,0)-1,5)</f>
        <v>0.1851481260643234</v>
      </c>
      <c r="F3114" s="2"/>
      <c r="G3114" s="223"/>
      <c r="H3114" s="2"/>
    </row>
    <row r="3115" spans="1:8" x14ac:dyDescent="0.3">
      <c r="A3115" t="s">
        <v>1080</v>
      </c>
      <c r="B3115" s="3">
        <f t="shared" si="41"/>
        <v>45992</v>
      </c>
      <c r="C3115" s="2" t="str">
        <f>VLOOKUP(MONTH(Tabela1[[#This Row],[Periodo]]),NUMMESES,2,FALSE)</f>
        <v>Dezembro</v>
      </c>
      <c r="D3115" s="2">
        <f>YEAR(Tabela1[[#This Row],[Periodo]])</f>
        <v>2025</v>
      </c>
      <c r="E3115" s="33">
        <f>(INDEX(TBBP[],MATCH("1.1.1.6",planoContas,0)+1,MATCH(Tabela1[[#This Row],[Periodo]],listaPeriodos,0)))/INDEX(tbFatMensal[],MATCH(Tabela1[[#This Row],[Periodo]],TBFatMensalData,0)-1,5)</f>
        <v>0.20350653751462269</v>
      </c>
      <c r="F3115" s="2"/>
      <c r="G3115" s="223"/>
      <c r="H3115" s="2"/>
    </row>
    <row r="3116" spans="1:8" x14ac:dyDescent="0.3">
      <c r="A3116" t="s">
        <v>1080</v>
      </c>
      <c r="B3116" s="3">
        <f t="shared" si="41"/>
        <v>46023</v>
      </c>
      <c r="C3116" s="2" t="str">
        <f>VLOOKUP(MONTH(Tabela1[[#This Row],[Periodo]]),NUMMESES,2,FALSE)</f>
        <v>Janeiro</v>
      </c>
      <c r="D3116" s="2">
        <f>YEAR(Tabela1[[#This Row],[Periodo]])</f>
        <v>2026</v>
      </c>
      <c r="E3116" s="33" t="e">
        <f>(INDEX(TBBP[],MATCH("1.1.1.6",planoContas,0)+1,MATCH(Tabela1[[#This Row],[Periodo]],listaPeriodos,0)))/INDEX(tbFatMensal[],MATCH(Tabela1[[#This Row],[Periodo]],TBFatMensalData,0)-1,5)</f>
        <v>#N/A</v>
      </c>
      <c r="F3116" s="2"/>
      <c r="G3116" s="223"/>
      <c r="H3116" s="2"/>
    </row>
    <row r="3117" spans="1:8" x14ac:dyDescent="0.3">
      <c r="B3117" s="3"/>
      <c r="C3117" s="2"/>
      <c r="D3117" s="2"/>
      <c r="E3117" s="16"/>
      <c r="F3117" s="2"/>
      <c r="G3117" s="223"/>
      <c r="H3117" s="2"/>
    </row>
    <row r="3118" spans="1:8" x14ac:dyDescent="0.3">
      <c r="A3118" t="s">
        <v>1030</v>
      </c>
      <c r="B3118" s="229">
        <v>41609</v>
      </c>
      <c r="C3118" s="2" t="str">
        <f>VLOOKUP(MONTH(Tabela1[[#This Row],[Periodo]]),NUMMESES,2,FALSE)</f>
        <v>Dezembro</v>
      </c>
      <c r="D3118" s="2">
        <f>YEAR(Tabela1[[#This Row],[Periodo]])</f>
        <v>2013</v>
      </c>
      <c r="E3118" s="16">
        <f>(INDEX(TBBP[],MATCH(9,planoContas,0)+1,MATCH(Tabela1[[#This Row],[Periodo]],listaPeriodos,0)))</f>
        <v>5350959.6900000004</v>
      </c>
      <c r="F3118" s="2"/>
      <c r="G3118" s="33">
        <f>(INDEX(TBBP[],MATCH(9,planoContas,0)+1,MATCH(Tabela1[[#This Row],[Periodo]],listaPeriodos,0)))/(INDEX(TBBP[],MATCH("3.1",planoContas,0)+1,MATCH(Tabela1[[#This Row],[Periodo]],listaPeriodos,0)))</f>
        <v>0.39009028107230537</v>
      </c>
      <c r="H3118" s="2"/>
    </row>
    <row r="3119" spans="1:8" x14ac:dyDescent="0.3">
      <c r="A3119" t="s">
        <v>1030</v>
      </c>
      <c r="B3119" s="229">
        <v>41974</v>
      </c>
      <c r="C3119" s="2" t="str">
        <f>VLOOKUP(MONTH(Tabela1[[#This Row],[Periodo]]),NUMMESES,2,FALSE)</f>
        <v>Dezembro</v>
      </c>
      <c r="D3119" s="2">
        <f>YEAR(Tabela1[[#This Row],[Periodo]])</f>
        <v>2014</v>
      </c>
      <c r="E3119" s="16">
        <f>(INDEX(TBBP[],MATCH(9,planoContas,0)+1,MATCH(Tabela1[[#This Row],[Periodo]],listaPeriodos,0)))</f>
        <v>5828201.7899999944</v>
      </c>
      <c r="F3119" s="2"/>
      <c r="G3119" s="33">
        <f>(INDEX(TBBP[],MATCH(9,planoContas,0)+1,MATCH(Tabela1[[#This Row],[Periodo]],listaPeriodos,0)))/(INDEX(TBBP[],MATCH("3.1",planoContas,0)+1,MATCH(Tabela1[[#This Row],[Periodo]],listaPeriodos,0)))</f>
        <v>0.32707179320348573</v>
      </c>
      <c r="H3119" s="2"/>
    </row>
    <row r="3120" spans="1:8" x14ac:dyDescent="0.3">
      <c r="A3120" t="s">
        <v>1030</v>
      </c>
      <c r="B3120" s="229">
        <v>42339</v>
      </c>
      <c r="C3120" s="2" t="str">
        <f>VLOOKUP(MONTH(Tabela1[[#This Row],[Periodo]]),NUMMESES,2,FALSE)</f>
        <v>Dezembro</v>
      </c>
      <c r="D3120" s="2">
        <f>YEAR(Tabela1[[#This Row],[Periodo]])</f>
        <v>2015</v>
      </c>
      <c r="E3120" s="16">
        <f>(INDEX(TBBP[],MATCH(9,planoContas,0)+1,MATCH(Tabela1[[#This Row],[Periodo]],listaPeriodos,0)))</f>
        <v>7377310.2499999963</v>
      </c>
      <c r="F3120" s="2"/>
      <c r="G3120" s="33">
        <f>(INDEX(TBBP[],MATCH(9,planoContas,0)+1,MATCH(Tabela1[[#This Row],[Periodo]],listaPeriodos,0)))/(INDEX(TBBP[],MATCH("3.1",planoContas,0)+1,MATCH(Tabela1[[#This Row],[Periodo]],listaPeriodos,0)))</f>
        <v>0.2975135483613397</v>
      </c>
      <c r="H3120" s="2"/>
    </row>
    <row r="3121" spans="1:11" x14ac:dyDescent="0.3">
      <c r="A3121" t="s">
        <v>1030</v>
      </c>
      <c r="B3121" s="229">
        <v>42705</v>
      </c>
      <c r="C3121" s="2" t="str">
        <f>VLOOKUP(MONTH(Tabela1[[#This Row],[Periodo]]),NUMMESES,2,FALSE)</f>
        <v>Dezembro</v>
      </c>
      <c r="D3121" s="2">
        <f>YEAR(Tabela1[[#This Row],[Periodo]])</f>
        <v>2016</v>
      </c>
      <c r="E3121" s="16">
        <f>(INDEX(TBBP[],MATCH(9,planoContas,0)+1,MATCH(Tabela1[[#This Row],[Periodo]],listaPeriodos,0)))</f>
        <v>4895566.6700000037</v>
      </c>
      <c r="F3121" s="2"/>
      <c r="G3121" s="33">
        <f>(INDEX(TBBP[],MATCH(9,planoContas,0)+1,MATCH(Tabela1[[#This Row],[Periodo]],listaPeriodos,0)))/(INDEX(TBBP[],MATCH("3.1",planoContas,0)+1,MATCH(Tabela1[[#This Row],[Periodo]],listaPeriodos,0)))</f>
        <v>0.22708613187782928</v>
      </c>
      <c r="H3121" s="2"/>
    </row>
    <row r="3122" spans="1:11" x14ac:dyDescent="0.3">
      <c r="A3122" t="s">
        <v>1030</v>
      </c>
      <c r="B3122" s="229">
        <v>43070</v>
      </c>
      <c r="C3122" s="2" t="str">
        <f>VLOOKUP(MONTH(Tabela1[[#This Row],[Periodo]]),NUMMESES,2,FALSE)</f>
        <v>Dezembro</v>
      </c>
      <c r="D3122" s="2">
        <f>YEAR(Tabela1[[#This Row],[Periodo]])</f>
        <v>2017</v>
      </c>
      <c r="E3122" s="16">
        <f>(INDEX(TBBP[],MATCH(9,planoContas,0)+1,MATCH(Tabela1[[#This Row],[Periodo]],listaPeriodos,0)))</f>
        <v>4112129.2599999974</v>
      </c>
      <c r="F3122" s="2"/>
      <c r="G3122" s="33">
        <f>(INDEX(TBBP[],MATCH(9,planoContas,0)+1,MATCH(Tabela1[[#This Row],[Periodo]],listaPeriodos,0)))/(INDEX(TBBP[],MATCH("3.1",planoContas,0)+1,MATCH(Tabela1[[#This Row],[Periodo]],listaPeriodos,0)))</f>
        <v>0.19180692088600215</v>
      </c>
      <c r="H3122" s="2"/>
    </row>
    <row r="3123" spans="1:11" x14ac:dyDescent="0.3">
      <c r="A3123" t="s">
        <v>1030</v>
      </c>
      <c r="B3123" s="229">
        <v>43435</v>
      </c>
      <c r="C3123" s="2" t="str">
        <f>VLOOKUP(MONTH(Tabela1[[#This Row],[Periodo]]),NUMMESES,2,FALSE)</f>
        <v>Dezembro</v>
      </c>
      <c r="D3123" s="2">
        <f>YEAR(Tabela1[[#This Row],[Periodo]])</f>
        <v>2018</v>
      </c>
      <c r="E3123" s="16">
        <f>(INDEX(TBBP[],MATCH(9,planoContas,0)+1,MATCH(Tabela1[[#This Row],[Periodo]],listaPeriodos,0)+1))</f>
        <v>6298506.8000000007</v>
      </c>
      <c r="F3123" s="2"/>
      <c r="G3123" s="33">
        <f>(INDEX(TBBP[],MATCH(9,planoContas,0)+1,MATCH(Tabela1[[#This Row],[Periodo]],listaPeriodos,0)+1))/(INDEX(TBBP[],MATCH("3.1",planoContas,0)+1,MATCH(Tabela1[[#This Row],[Periodo]],listaPeriodos,0)+1))</f>
        <v>0.23640079624191143</v>
      </c>
      <c r="H3123" s="2"/>
    </row>
    <row r="3124" spans="1:11" x14ac:dyDescent="0.3">
      <c r="A3124" t="s">
        <v>1030</v>
      </c>
      <c r="B3124" s="229">
        <v>43800</v>
      </c>
      <c r="C3124" s="2" t="str">
        <f>VLOOKUP(MONTH(Tabela1[[#This Row],[Periodo]]),NUMMESES,2,FALSE)</f>
        <v>Dezembro</v>
      </c>
      <c r="D3124" s="2">
        <f>YEAR(Tabela1[[#This Row],[Periodo]])</f>
        <v>2019</v>
      </c>
      <c r="E3124" s="16">
        <f>(INDEX(TBBP[],MATCH(9,planoContas,0)+1,MATCH(Tabela1[[#This Row],[Periodo]],listaPeriodos,0)+1))</f>
        <v>7265246.4799999995</v>
      </c>
      <c r="F3124" s="2"/>
      <c r="G3124" s="33">
        <f>(INDEX(TBBP[],MATCH(9,planoContas,0)+1,MATCH(Tabela1[[#This Row],[Periodo]],listaPeriodos,0)+1))/(INDEX(TBBP[],MATCH("3.1",planoContas,0)+1,MATCH(Tabela1[[#This Row],[Periodo]],listaPeriodos,0)+1))</f>
        <v>0.22628218581330165</v>
      </c>
      <c r="H3124" s="2"/>
    </row>
    <row r="3125" spans="1:11" x14ac:dyDescent="0.3">
      <c r="A3125" t="s">
        <v>1030</v>
      </c>
      <c r="B3125" s="229">
        <v>44166</v>
      </c>
      <c r="C3125" s="2" t="str">
        <f>VLOOKUP(MONTH(Tabela1[[#This Row],[Periodo]]),NUMMESES,2,FALSE)</f>
        <v>Dezembro</v>
      </c>
      <c r="D3125" s="2">
        <f>YEAR(Tabela1[[#This Row],[Periodo]])</f>
        <v>2020</v>
      </c>
      <c r="E3125" s="16">
        <f>(INDEX(TBBP[],MATCH(9,planoContas,0)+1,MATCH(Tabela1[[#This Row],[Periodo]],listaPeriodos,0)+1))</f>
        <v>13098541.830000004</v>
      </c>
      <c r="F3125" s="2"/>
      <c r="G3125" s="33">
        <f>(INDEX(TBBP[],MATCH(9,planoContas,0)+1,MATCH(Tabela1[[#This Row],[Periodo]],listaPeriodos,0)+1))/(INDEX(TBBP[],MATCH("3.1",planoContas,0)+1,MATCH(Tabela1[[#This Row],[Periodo]],listaPeriodos,0)+1))</f>
        <v>0.30119061956019594</v>
      </c>
      <c r="H3125" s="2"/>
    </row>
    <row r="3126" spans="1:11" x14ac:dyDescent="0.3">
      <c r="A3126" t="s">
        <v>1030</v>
      </c>
      <c r="B3126" s="229">
        <v>44531</v>
      </c>
      <c r="C3126" s="2" t="str">
        <f>VLOOKUP(MONTH(Tabela1[[#This Row],[Periodo]]),NUMMESES,2,FALSE)</f>
        <v>Dezembro</v>
      </c>
      <c r="D3126" s="2">
        <f>YEAR(Tabela1[[#This Row],[Periodo]])</f>
        <v>2021</v>
      </c>
      <c r="E3126" s="16">
        <f>(INDEX(TBBP[],MATCH(9,planoContas,0)+1,MATCH(Tabela1[[#This Row],[Periodo]],listaPeriodos,0)+1))</f>
        <v>27058280.669999983</v>
      </c>
      <c r="F3126" s="2"/>
      <c r="G3126" s="33">
        <f>(INDEX(TBBP[],MATCH(9,planoContas,0)+1,MATCH(Tabela1[[#This Row],[Periodo]],listaPeriodos,0)+1))/(INDEX(TBBP[],MATCH("3.1",planoContas,0)+1,MATCH(Tabela1[[#This Row],[Periodo]],listaPeriodos,0)+1))</f>
        <v>0.31477831872097317</v>
      </c>
      <c r="H3126" s="2"/>
    </row>
    <row r="3127" spans="1:11" x14ac:dyDescent="0.3">
      <c r="A3127" t="s">
        <v>1030</v>
      </c>
      <c r="B3127" s="229">
        <v>44896</v>
      </c>
      <c r="C3127" s="2" t="str">
        <f>VLOOKUP(MONTH(Tabela1[[#This Row],[Periodo]]),NUMMESES,2,FALSE)</f>
        <v>Dezembro</v>
      </c>
      <c r="D3127" s="2">
        <f>YEAR(Tabela1[[#This Row],[Periodo]])</f>
        <v>2022</v>
      </c>
      <c r="E3127" s="16">
        <f>(INDEX(TBBP[],MATCH(9,planoContas,0)+1,MATCH(Tabela1[[#This Row],[Periodo]],listaPeriodos,0)+1))</f>
        <v>21049602.920000009</v>
      </c>
      <c r="F3127" s="2"/>
      <c r="G3127" s="33">
        <f>(INDEX(TBBP[],MATCH(9,planoContas,0)+1,MATCH(Tabela1[[#This Row],[Periodo]],listaPeriodos,0)+1))/(INDEX(TBBP[],MATCH("3.1",planoContas,0)+1,MATCH(Tabela1[[#This Row],[Periodo]],listaPeriodos,0)+1))</f>
        <v>0.2461457237620214</v>
      </c>
      <c r="H3127" s="2"/>
    </row>
    <row r="3128" spans="1:11" x14ac:dyDescent="0.3">
      <c r="A3128" t="s">
        <v>1030</v>
      </c>
      <c r="B3128" s="229">
        <v>45261</v>
      </c>
      <c r="C3128" s="2" t="str">
        <f>VLOOKUP(MONTH(Tabela1[[#This Row],[Periodo]]),NUMMESES,2,FALSE)</f>
        <v>Dezembro</v>
      </c>
      <c r="D3128" s="2">
        <f>YEAR(Tabela1[[#This Row],[Periodo]])</f>
        <v>2023</v>
      </c>
      <c r="E3128" s="16">
        <f>(INDEX(TBBP[],MATCH(9,planoContas,0)+1,MATCH(Tabela1[[#This Row],[Periodo]],listaPeriodos,0)+1))</f>
        <v>16417300.729999991</v>
      </c>
      <c r="F3128" s="2"/>
      <c r="G3128" s="33">
        <f>(INDEX(TBBP[],MATCH(9,planoContas,0)+1,MATCH(Tabela1[[#This Row],[Periodo]],listaPeriodos,0)+1))/(INDEX(TBBP[],MATCH("3.1",planoContas,0)+1,MATCH(Tabela1[[#This Row],[Periodo]],listaPeriodos,0)+1))</f>
        <v>0.20008507273276885</v>
      </c>
      <c r="H3128" s="2"/>
      <c r="K3128" s="35"/>
    </row>
    <row r="3129" spans="1:11" x14ac:dyDescent="0.3">
      <c r="A3129" t="s">
        <v>1030</v>
      </c>
      <c r="B3129" s="229">
        <v>45627</v>
      </c>
      <c r="C3129" s="2" t="str">
        <f>VLOOKUP(MONTH(Tabela1[[#This Row],[Periodo]]),NUMMESES,2,FALSE)</f>
        <v>Dezembro</v>
      </c>
      <c r="D3129" s="2">
        <f>YEAR(Tabela1[[#This Row],[Periodo]])</f>
        <v>2024</v>
      </c>
      <c r="E3129" s="16">
        <f>(INDEX(TBBP[],MATCH(9,planoContas,0)+1,MATCH(Tabela1[[#This Row],[Periodo]],listaPeriodos,0)+1))</f>
        <v>21564784.65000001</v>
      </c>
      <c r="F3129" s="2"/>
      <c r="G3129" s="33">
        <f>(INDEX(TBBP[],MATCH(9,planoContas,0)+1,MATCH(Tabela1[[#This Row],[Periodo]],listaPeriodos,0)+1))/(INDEX(TBBP[],MATCH("3.1",planoContas,0)+1,MATCH(Tabela1[[#This Row],[Periodo]],listaPeriodos,0)+1))</f>
        <v>0.17895754390880447</v>
      </c>
      <c r="H3129" s="2"/>
      <c r="J3129" s="4"/>
      <c r="K3129" s="238"/>
    </row>
    <row r="3130" spans="1:11" x14ac:dyDescent="0.3">
      <c r="A3130" t="s">
        <v>1030</v>
      </c>
      <c r="B3130" s="229">
        <v>45992</v>
      </c>
      <c r="C3130" s="2" t="str">
        <f>VLOOKUP(MONTH(Tabela1[[#This Row],[Periodo]]),NUMMESES,2,FALSE)</f>
        <v>Dezembro</v>
      </c>
      <c r="D3130" s="2">
        <f>YEAR(Tabela1[[#This Row],[Periodo]])</f>
        <v>2025</v>
      </c>
      <c r="E3130" s="16">
        <f>(INDEX(TBBP[],MATCH(9,planoContas,0)+1,MATCH(Tabela1[[#This Row],[Periodo]],listaPeriodos,0)+1))</f>
        <v>12714823.559999995</v>
      </c>
      <c r="F3130" s="2"/>
      <c r="G3130" s="33">
        <f>(INDEX(TBBP[],MATCH(9,planoContas,0)+1,MATCH(Tabela1[[#This Row],[Periodo]],listaPeriodos,0)+1))/(INDEX(TBBP[],MATCH("3.1",planoContas,0)+1,MATCH(Tabela1[[#This Row],[Periodo]],listaPeriodos,0)+1))</f>
        <v>0.114059084360842</v>
      </c>
      <c r="H3130" s="2"/>
      <c r="J3130" s="4"/>
      <c r="K3130" s="238"/>
    </row>
    <row r="3131" spans="1:11" x14ac:dyDescent="0.3">
      <c r="A3131" t="s">
        <v>1030</v>
      </c>
      <c r="B3131" s="229">
        <v>45992</v>
      </c>
      <c r="C3131" s="2" t="str">
        <f>VLOOKUP(MONTH(Tabela1[[#This Row],[Periodo]]),NUMMESES,2,FALSE)</f>
        <v>Dezembro</v>
      </c>
      <c r="D3131" s="2">
        <f>YEAR(Tabela1[[#This Row],[Periodo]])</f>
        <v>2025</v>
      </c>
      <c r="E3131" s="16">
        <f>(INDEX(TBBP[],MATCH(9,planoContas,0)+1,MATCH(Tabela1[[#This Row],[Periodo]],listaPeriodos,0)+1))</f>
        <v>12714823.559999995</v>
      </c>
      <c r="F3131" s="2"/>
      <c r="G3131" s="33">
        <f>(INDEX(TBBP[],MATCH(9,planoContas,0)+1,MATCH(Tabela1[[#This Row],[Periodo]],listaPeriodos,0)+1))/(INDEX(TBBP[],MATCH("3.1",planoContas,0)+1,MATCH(Tabela1[[#This Row],[Periodo]],listaPeriodos,0)+1))</f>
        <v>0.114059084360842</v>
      </c>
      <c r="H3131" s="2"/>
      <c r="J3131" s="4"/>
      <c r="K3131" s="238"/>
    </row>
    <row r="3132" spans="1:11" x14ac:dyDescent="0.3">
      <c r="B3132" s="3"/>
      <c r="C3132" s="2"/>
      <c r="D3132" s="2"/>
      <c r="E3132" s="16"/>
      <c r="F3132" s="2"/>
      <c r="G3132" s="228"/>
      <c r="H3132" s="2"/>
      <c r="J3132" s="4"/>
    </row>
    <row r="3133" spans="1:11" x14ac:dyDescent="0.3">
      <c r="A3133" t="s">
        <v>1049</v>
      </c>
      <c r="B3133" s="3">
        <v>45292</v>
      </c>
      <c r="C3133" s="2" t="str">
        <f>VLOOKUP(MONTH(Tabela1[[#This Row],[Periodo]]),NUMMESES,2,FALSE)</f>
        <v>Janeiro</v>
      </c>
      <c r="D3133" s="2">
        <f>YEAR(Tabela1[[#This Row],[Periodo]])</f>
        <v>2024</v>
      </c>
      <c r="E3133" s="16" cm="1">
        <f t="array" ref="E3133">(INDEX(SELECDB,MATCH("1.1.1.5.01.00015",planoContas,0)+1,MATCH(Tabela1[[#This Row],[Periodo]],listaPeriodos,0)))+(INDEX(SELECDB,MATCH("1.1.1.5.02.00015",planoContas,0)+1,MATCH(Tabela1[[#This Row],[Periodo]],listaPeriodos,0)))</f>
        <v>337940.54000000004</v>
      </c>
      <c r="F3133" s="2"/>
      <c r="G3133" s="228"/>
      <c r="H3133" s="2"/>
      <c r="J3133" s="4"/>
    </row>
    <row r="3134" spans="1:11" x14ac:dyDescent="0.3">
      <c r="A3134" t="s">
        <v>1049</v>
      </c>
      <c r="B3134" s="3">
        <v>45323</v>
      </c>
      <c r="C3134" s="2" t="str">
        <f>VLOOKUP(MONTH(Tabela1[[#This Row],[Periodo]]),NUMMESES,2,FALSE)</f>
        <v>Fevereiro</v>
      </c>
      <c r="D3134" s="2">
        <f>YEAR(Tabela1[[#This Row],[Periodo]])</f>
        <v>2024</v>
      </c>
      <c r="E3134" s="16" cm="1">
        <f t="array" ref="E3134">(INDEX(SELECDB,MATCH("1.1.1.5.01.00015",planoContas,0)+1,MATCH(Tabela1[[#This Row],[Periodo]],listaPeriodos,0)))+(INDEX(SELECDB,MATCH("1.1.1.5.02.00015",planoContas,0)+1,MATCH(Tabela1[[#This Row],[Periodo]],listaPeriodos,0)))</f>
        <v>695435.89</v>
      </c>
      <c r="F3134" s="2"/>
      <c r="G3134" s="228"/>
      <c r="H3134" s="2"/>
      <c r="J3134" s="4"/>
    </row>
    <row r="3135" spans="1:11" x14ac:dyDescent="0.3">
      <c r="A3135" t="s">
        <v>1049</v>
      </c>
      <c r="B3135" s="3">
        <v>45352</v>
      </c>
      <c r="C3135" s="2" t="str">
        <f>VLOOKUP(MONTH(Tabela1[[#This Row],[Periodo]]),NUMMESES,2,FALSE)</f>
        <v>Março</v>
      </c>
      <c r="D3135" s="2">
        <f>YEAR(Tabela1[[#This Row],[Periodo]])</f>
        <v>2024</v>
      </c>
      <c r="E3135" s="16" cm="1">
        <f t="array" ref="E3135">(INDEX(SELECDB,MATCH("1.1.1.5.01.00015",planoContas,0)+1,MATCH(Tabela1[[#This Row],[Periodo]],listaPeriodos,0)))+(INDEX(SELECDB,MATCH("1.1.1.5.02.00015",planoContas,0)+1,MATCH(Tabela1[[#This Row],[Periodo]],listaPeriodos,0)))</f>
        <v>1036445.41</v>
      </c>
      <c r="F3135" s="2"/>
      <c r="G3135" s="228"/>
      <c r="H3135" s="2"/>
      <c r="J3135" s="4"/>
    </row>
    <row r="3136" spans="1:11" x14ac:dyDescent="0.3">
      <c r="A3136" t="s">
        <v>1049</v>
      </c>
      <c r="B3136" s="3">
        <v>45383</v>
      </c>
      <c r="C3136" s="2" t="str">
        <f>VLOOKUP(MONTH(Tabela1[[#This Row],[Periodo]]),NUMMESES,2,FALSE)</f>
        <v>Abril</v>
      </c>
      <c r="D3136" s="2">
        <f>YEAR(Tabela1[[#This Row],[Periodo]])</f>
        <v>2024</v>
      </c>
      <c r="E3136" s="16" cm="1">
        <f t="array" ref="E3136">(INDEX(SELECDB,MATCH("1.1.1.5.01.00015",planoContas,0)+1,MATCH(Tabela1[[#This Row],[Periodo]],listaPeriodos,0)))+(INDEX(SELECDB,MATCH("1.1.1.5.02.00015",planoContas,0)+1,MATCH(Tabela1[[#This Row],[Periodo]],listaPeriodos,0)))</f>
        <v>1482323.15</v>
      </c>
      <c r="F3136" s="2"/>
      <c r="G3136" s="228"/>
      <c r="H3136" s="2"/>
      <c r="J3136" s="4"/>
    </row>
    <row r="3137" spans="1:10" x14ac:dyDescent="0.3">
      <c r="A3137" t="s">
        <v>1049</v>
      </c>
      <c r="B3137" s="3">
        <v>45413</v>
      </c>
      <c r="C3137" s="2" t="str">
        <f>VLOOKUP(MONTH(Tabela1[[#This Row],[Periodo]]),NUMMESES,2,FALSE)</f>
        <v>Maio</v>
      </c>
      <c r="D3137" s="2">
        <f>YEAR(Tabela1[[#This Row],[Periodo]])</f>
        <v>2024</v>
      </c>
      <c r="E3137" s="16" cm="1">
        <f t="array" ref="E3137">(INDEX(SELECDB,MATCH("1.1.1.5.01.00015",planoContas,0)+1,MATCH(Tabela1[[#This Row],[Periodo]],listaPeriodos,0)))+(INDEX(SELECDB,MATCH("1.1.1.5.02.00015",planoContas,0)+1,MATCH(Tabela1[[#This Row],[Periodo]],listaPeriodos,0)))</f>
        <v>1975157.94</v>
      </c>
      <c r="F3137" s="2"/>
      <c r="G3137" s="228"/>
      <c r="H3137" s="2"/>
      <c r="J3137" s="4"/>
    </row>
    <row r="3138" spans="1:10" x14ac:dyDescent="0.3">
      <c r="A3138" t="s">
        <v>1049</v>
      </c>
      <c r="B3138" s="3">
        <v>45444</v>
      </c>
      <c r="C3138" s="2" t="str">
        <f>VLOOKUP(MONTH(Tabela1[[#This Row],[Periodo]]),NUMMESES,2,FALSE)</f>
        <v>Junho</v>
      </c>
      <c r="D3138" s="2">
        <f>YEAR(Tabela1[[#This Row],[Periodo]])</f>
        <v>2024</v>
      </c>
      <c r="E3138" s="16" cm="1">
        <f t="array" ref="E3138">(INDEX(SELECDB,MATCH("1.1.1.5.01.00015",planoContas,0)+1,MATCH(Tabela1[[#This Row],[Periodo]],listaPeriodos,0)))+(INDEX(SELECDB,MATCH("1.1.1.5.02.00015",planoContas,0)+1,MATCH(Tabela1[[#This Row],[Periodo]],listaPeriodos,0)))</f>
        <v>2422162.2000000002</v>
      </c>
      <c r="F3138" s="2"/>
      <c r="G3138" s="228"/>
      <c r="H3138" s="2"/>
      <c r="J3138" s="4"/>
    </row>
    <row r="3139" spans="1:10" x14ac:dyDescent="0.3">
      <c r="A3139" t="s">
        <v>1049</v>
      </c>
      <c r="B3139" s="3">
        <v>45474</v>
      </c>
      <c r="C3139" s="2" t="str">
        <f>VLOOKUP(MONTH(Tabela1[[#This Row],[Periodo]]),NUMMESES,2,FALSE)</f>
        <v>Julho</v>
      </c>
      <c r="D3139" s="2">
        <f>YEAR(Tabela1[[#This Row],[Periodo]])</f>
        <v>2024</v>
      </c>
      <c r="E3139" s="16" cm="1">
        <f t="array" ref="E3139">(INDEX(SELECDB,MATCH("1.1.1.5.01.00015",planoContas,0)+1,MATCH(Tabela1[[#This Row],[Periodo]],listaPeriodos,0)))+(INDEX(SELECDB,MATCH("1.1.1.5.02.00015",planoContas,0)+1,MATCH(Tabela1[[#This Row],[Periodo]],listaPeriodos,0)))</f>
        <v>2908793.64</v>
      </c>
      <c r="F3139" s="2"/>
      <c r="G3139" s="228"/>
      <c r="H3139" s="2"/>
    </row>
    <row r="3140" spans="1:10" x14ac:dyDescent="0.3">
      <c r="A3140" t="s">
        <v>1049</v>
      </c>
      <c r="B3140" s="3">
        <v>45505</v>
      </c>
      <c r="C3140" s="2" t="str">
        <f>VLOOKUP(MONTH(Tabela1[[#This Row],[Periodo]]),NUMMESES,2,FALSE)</f>
        <v>Agosto</v>
      </c>
      <c r="D3140" s="2">
        <f>YEAR(Tabela1[[#This Row],[Periodo]])</f>
        <v>2024</v>
      </c>
      <c r="E3140" s="16" cm="1">
        <f t="array" ref="E3140">(INDEX(SELECDB,MATCH("1.1.1.5.01.00015",planoContas,0)+1,MATCH(Tabela1[[#This Row],[Periodo]],listaPeriodos,0)))+(INDEX(SELECDB,MATCH("1.1.1.5.02.00015",planoContas,0)+1,MATCH(Tabela1[[#This Row],[Periodo]],listaPeriodos,0)))</f>
        <v>3313171.5300000003</v>
      </c>
      <c r="F3140" s="2"/>
      <c r="G3140" s="228"/>
      <c r="H3140" s="2"/>
    </row>
    <row r="3141" spans="1:10" x14ac:dyDescent="0.3">
      <c r="A3141" t="s">
        <v>1049</v>
      </c>
      <c r="B3141" s="3">
        <v>45536</v>
      </c>
      <c r="C3141" s="2" t="str">
        <f>VLOOKUP(MONTH(Tabela1[[#This Row],[Periodo]]),NUMMESES,2,FALSE)</f>
        <v>Setembro</v>
      </c>
      <c r="D3141" s="2">
        <f>YEAR(Tabela1[[#This Row],[Periodo]])</f>
        <v>2024</v>
      </c>
      <c r="E3141" s="16" cm="1">
        <f t="array" ref="E3141">(INDEX(SELECDB,MATCH("1.1.1.5.01.00015",planoContas,0)+1,MATCH(Tabela1[[#This Row],[Periodo]],listaPeriodos,0)))+(INDEX(SELECDB,MATCH("1.1.1.5.02.00015",planoContas,0)+1,MATCH(Tabela1[[#This Row],[Periodo]],listaPeriodos,0)))</f>
        <v>3723149.24</v>
      </c>
      <c r="F3141" s="2"/>
      <c r="G3141" s="228"/>
      <c r="H3141" s="2"/>
    </row>
    <row r="3142" spans="1:10" x14ac:dyDescent="0.3">
      <c r="A3142" t="s">
        <v>1049</v>
      </c>
      <c r="B3142" s="3">
        <v>45566</v>
      </c>
      <c r="C3142" s="2" t="str">
        <f>VLOOKUP(MONTH(Tabela1[[#This Row],[Periodo]]),NUMMESES,2,FALSE)</f>
        <v>Outubro</v>
      </c>
      <c r="D3142" s="2">
        <f>YEAR(Tabela1[[#This Row],[Periodo]])</f>
        <v>2024</v>
      </c>
      <c r="E3142" s="16" cm="1">
        <f t="array" ref="E3142">(INDEX(SELECDB,MATCH("1.1.1.5.01.00015",planoContas,0)+1,MATCH(Tabela1[[#This Row],[Periodo]],listaPeriodos,0)))+(INDEX(SELECDB,MATCH("1.1.1.5.02.00015",planoContas,0)+1,MATCH(Tabela1[[#This Row],[Periodo]],listaPeriodos,0)))</f>
        <v>4216078.0199999996</v>
      </c>
      <c r="F3142" s="2"/>
      <c r="G3142" s="228"/>
      <c r="H3142" s="2"/>
    </row>
    <row r="3143" spans="1:10" x14ac:dyDescent="0.3">
      <c r="A3143" t="s">
        <v>1049</v>
      </c>
      <c r="B3143" s="3">
        <v>45597</v>
      </c>
      <c r="C3143" s="2" t="str">
        <f>VLOOKUP(MONTH(Tabela1[[#This Row],[Periodo]]),NUMMESES,2,FALSE)</f>
        <v>Novembro</v>
      </c>
      <c r="D3143" s="2">
        <f>YEAR(Tabela1[[#This Row],[Periodo]])</f>
        <v>2024</v>
      </c>
      <c r="E3143" s="16" cm="1">
        <f t="array" ref="E3143">(INDEX(SELECDB,MATCH("1.1.1.5.01.00015",planoContas,0)+1,MATCH(Tabela1[[#This Row],[Periodo]],listaPeriodos,0)))+(INDEX(SELECDB,MATCH("1.1.1.5.02.00015",planoContas,0)+1,MATCH(Tabela1[[#This Row],[Periodo]],listaPeriodos,0)))</f>
        <v>4546496.33</v>
      </c>
      <c r="F3143" s="2"/>
      <c r="G3143" s="228"/>
      <c r="H3143" s="2"/>
    </row>
    <row r="3144" spans="1:10" x14ac:dyDescent="0.3">
      <c r="A3144" t="s">
        <v>1049</v>
      </c>
      <c r="B3144" s="3">
        <v>45627</v>
      </c>
      <c r="C3144" s="2" t="str">
        <f>VLOOKUP(MONTH(Tabela1[[#This Row],[Periodo]]),NUMMESES,2,FALSE)</f>
        <v>Dezembro</v>
      </c>
      <c r="D3144" s="2">
        <f>YEAR(Tabela1[[#This Row],[Periodo]])</f>
        <v>2024</v>
      </c>
      <c r="E3144" s="16" cm="1">
        <f t="array" ref="E3144">(INDEX(SELECDB,MATCH("1.1.1.5.01.00015",planoContas,0)+1,MATCH(Tabela1[[#This Row],[Periodo]],listaPeriodos,0)))+(INDEX(SELECDB,MATCH("1.1.1.5.02.00015",planoContas,0)+1,MATCH(Tabela1[[#This Row],[Periodo]],listaPeriodos,0)))</f>
        <v>4546496.33</v>
      </c>
      <c r="F3144" s="2"/>
      <c r="G3144" s="228"/>
      <c r="H3144" s="2"/>
    </row>
    <row r="3145" spans="1:10" x14ac:dyDescent="0.3">
      <c r="A3145" t="s">
        <v>1049</v>
      </c>
      <c r="B3145" s="3">
        <v>45658</v>
      </c>
      <c r="C3145" s="2" t="str">
        <f>VLOOKUP(MONTH(Tabela1[[#This Row],[Periodo]]),NUMMESES,2,FALSE)</f>
        <v>Janeiro</v>
      </c>
      <c r="D3145" s="2">
        <f>YEAR(Tabela1[[#This Row],[Periodo]])</f>
        <v>2025</v>
      </c>
      <c r="E3145" s="16" cm="1">
        <f t="array" ref="E3145">(INDEX(SELECDB,MATCH("1.1.1.5.01.00015",planoContas,0)+1,MATCH(Tabela1[[#This Row],[Periodo]],listaPeriodos,0)))+(INDEX(SELECDB,MATCH("1.1.1.5.02.00015",planoContas,0)+1,MATCH(Tabela1[[#This Row],[Periodo]],listaPeriodos,0)))</f>
        <v>350750.4</v>
      </c>
      <c r="F3145" s="2"/>
      <c r="G3145" s="228"/>
      <c r="H3145" s="2"/>
    </row>
    <row r="3146" spans="1:10" x14ac:dyDescent="0.3">
      <c r="A3146" t="s">
        <v>1049</v>
      </c>
      <c r="B3146" s="3">
        <v>45689</v>
      </c>
      <c r="C3146" s="2" t="str">
        <f>VLOOKUP(MONTH(Tabela1[[#This Row],[Periodo]]),NUMMESES,2,FALSE)</f>
        <v>Fevereiro</v>
      </c>
      <c r="D3146" s="2">
        <f>YEAR(Tabela1[[#This Row],[Periodo]])</f>
        <v>2025</v>
      </c>
      <c r="E3146" s="16" cm="1">
        <f t="array" ref="E3146">(INDEX(SELECDB,MATCH("1.1.1.5.01.00015",planoContas,0)+1,MATCH(Tabela1[[#This Row],[Periodo]],listaPeriodos,0)))+(INDEX(SELECDB,MATCH("1.1.1.5.02.00015",planoContas,0)+1,MATCH(Tabela1[[#This Row],[Periodo]],listaPeriodos,0)))</f>
        <v>758508.92</v>
      </c>
      <c r="F3146" s="2"/>
      <c r="G3146" s="228"/>
      <c r="H3146" s="2"/>
    </row>
    <row r="3147" spans="1:10" x14ac:dyDescent="0.3">
      <c r="A3147" t="s">
        <v>1049</v>
      </c>
      <c r="B3147" s="3">
        <v>45717</v>
      </c>
      <c r="C3147" s="2" t="str">
        <f>VLOOKUP(MONTH(Tabela1[[#This Row],[Periodo]]),NUMMESES,2,FALSE)</f>
        <v>Março</v>
      </c>
      <c r="D3147" s="2">
        <f>YEAR(Tabela1[[#This Row],[Periodo]])</f>
        <v>2025</v>
      </c>
      <c r="E3147" s="16" cm="1">
        <f t="array" ref="E3147">(INDEX(SELECDB,MATCH("1.1.1.5.01.00015",planoContas,0)+1,MATCH(Tabela1[[#This Row],[Periodo]],listaPeriodos,0)))+(INDEX(SELECDB,MATCH("1.1.1.5.02.00015",planoContas,0)+1,MATCH(Tabela1[[#This Row],[Periodo]],listaPeriodos,0)))</f>
        <v>1150784.6599999999</v>
      </c>
      <c r="F3147" s="2"/>
      <c r="G3147" s="228"/>
      <c r="H3147" s="2"/>
    </row>
    <row r="3148" spans="1:10" x14ac:dyDescent="0.3">
      <c r="A3148" t="s">
        <v>1049</v>
      </c>
      <c r="B3148" s="3">
        <v>45748</v>
      </c>
      <c r="C3148" s="2" t="str">
        <f>VLOOKUP(MONTH(Tabela1[[#This Row],[Periodo]]),NUMMESES,2,FALSE)</f>
        <v>Abril</v>
      </c>
      <c r="D3148" s="2">
        <f>YEAR(Tabela1[[#This Row],[Periodo]])</f>
        <v>2025</v>
      </c>
      <c r="E3148" s="16" cm="1">
        <f t="array" ref="E3148">(INDEX(SELECDB,MATCH("1.1.1.5.01.00015",planoContas,0)+1,MATCH(Tabela1[[#This Row],[Periodo]],listaPeriodos,0)))+(INDEX(SELECDB,MATCH("1.1.1.5.02.00015",planoContas,0)+1,MATCH(Tabela1[[#This Row],[Periodo]],listaPeriodos,0)))</f>
        <v>1706646.4699999997</v>
      </c>
      <c r="F3148" s="2"/>
      <c r="G3148" s="228"/>
      <c r="H3148" s="2"/>
    </row>
    <row r="3149" spans="1:10" x14ac:dyDescent="0.3">
      <c r="A3149" t="s">
        <v>1049</v>
      </c>
      <c r="B3149" s="3">
        <v>45778</v>
      </c>
      <c r="C3149" s="2" t="str">
        <f>VLOOKUP(MONTH(Tabela1[[#This Row],[Periodo]]),NUMMESES,2,FALSE)</f>
        <v>Maio</v>
      </c>
      <c r="D3149" s="2">
        <f>YEAR(Tabela1[[#This Row],[Periodo]])</f>
        <v>2025</v>
      </c>
      <c r="E3149" s="16" cm="1">
        <f t="array" ref="E3149">(INDEX(SELECDB,MATCH("1.1.1.5.01.00015",planoContas,0)+1,MATCH(Tabela1[[#This Row],[Periodo]],listaPeriodos,0)))+(INDEX(SELECDB,MATCH("1.1.1.5.02.00015",planoContas,0)+1,MATCH(Tabela1[[#This Row],[Periodo]],listaPeriodos,0)))</f>
        <v>2239853.9500000002</v>
      </c>
      <c r="F3149" s="2"/>
      <c r="G3149" s="228"/>
      <c r="H3149" s="2"/>
    </row>
    <row r="3150" spans="1:10" x14ac:dyDescent="0.3">
      <c r="A3150" t="s">
        <v>1049</v>
      </c>
      <c r="B3150" s="3">
        <v>45809</v>
      </c>
      <c r="C3150" s="2" t="str">
        <f>VLOOKUP(MONTH(Tabela1[[#This Row],[Periodo]]),NUMMESES,2,FALSE)</f>
        <v>Junho</v>
      </c>
      <c r="D3150" s="2">
        <f>YEAR(Tabela1[[#This Row],[Periodo]])</f>
        <v>2025</v>
      </c>
      <c r="E3150" s="16" cm="1">
        <f t="array" ref="E3150">(INDEX(SELECDB,MATCH("1.1.1.5.01.00015",planoContas,0)+1,MATCH(Tabela1[[#This Row],[Periodo]],listaPeriodos,0)))+(INDEX(SELECDB,MATCH("1.1.1.5.02.00015",planoContas,0)+1,MATCH(Tabela1[[#This Row],[Periodo]],listaPeriodos,0)))</f>
        <v>2577269.44</v>
      </c>
      <c r="F3150" s="2"/>
      <c r="G3150" s="228"/>
      <c r="H3150" s="2"/>
    </row>
    <row r="3151" spans="1:10" x14ac:dyDescent="0.3">
      <c r="A3151" t="s">
        <v>1049</v>
      </c>
      <c r="B3151" s="3">
        <v>45839</v>
      </c>
      <c r="C3151" s="2" t="str">
        <f>VLOOKUP(MONTH(Tabela1[[#This Row],[Periodo]]),NUMMESES,2,FALSE)</f>
        <v>Julho</v>
      </c>
      <c r="D3151" s="2">
        <f>YEAR(Tabela1[[#This Row],[Periodo]])</f>
        <v>2025</v>
      </c>
      <c r="E3151" s="16" cm="1">
        <f t="array" ref="E3151">(INDEX(SELECDB,MATCH("1.1.1.5.01.00015",planoContas,0)+1,MATCH(Tabela1[[#This Row],[Periodo]],listaPeriodos,0)))+(INDEX(SELECDB,MATCH("1.1.1.5.02.00015",planoContas,0)+1,MATCH(Tabela1[[#This Row],[Periodo]],listaPeriodos,0)))</f>
        <v>2969971.75</v>
      </c>
      <c r="F3151" s="2"/>
      <c r="G3151" s="228"/>
      <c r="H3151" s="2"/>
    </row>
    <row r="3152" spans="1:10" x14ac:dyDescent="0.3">
      <c r="A3152" t="s">
        <v>1049</v>
      </c>
      <c r="B3152" s="3">
        <v>45870</v>
      </c>
      <c r="C3152" s="2" t="str">
        <f>VLOOKUP(MONTH(Tabela1[[#This Row],[Periodo]]),NUMMESES,2,FALSE)</f>
        <v>Agosto</v>
      </c>
      <c r="D3152" s="2">
        <f>YEAR(Tabela1[[#This Row],[Periodo]])</f>
        <v>2025</v>
      </c>
      <c r="E3152" s="16" cm="1">
        <f t="array" ref="E3152">(INDEX(SELECDB,MATCH("1.1.1.5.01.00015",planoContas,0)+1,MATCH(Tabela1[[#This Row],[Periodo]],listaPeriodos,0)))+(INDEX(SELECDB,MATCH("1.1.1.5.02.00015",planoContas,0)+1,MATCH(Tabela1[[#This Row],[Periodo]],listaPeriodos,0)))</f>
        <v>3361460.3500000006</v>
      </c>
      <c r="F3152" s="2"/>
      <c r="G3152" s="228"/>
      <c r="H3152" s="2"/>
    </row>
    <row r="3153" spans="1:18" x14ac:dyDescent="0.3">
      <c r="A3153" t="s">
        <v>1049</v>
      </c>
      <c r="B3153" s="3">
        <v>45901</v>
      </c>
      <c r="C3153" s="2" t="str">
        <f>VLOOKUP(MONTH(Tabela1[[#This Row],[Periodo]]),NUMMESES,2,FALSE)</f>
        <v>Setembro</v>
      </c>
      <c r="D3153" s="2">
        <f>YEAR(Tabela1[[#This Row],[Periodo]])</f>
        <v>2025</v>
      </c>
      <c r="E3153" s="16" cm="1">
        <f t="array" ref="E3153">(INDEX(SELECDB,MATCH("1.1.1.5.01.00015",planoContas,0)+1,MATCH(Tabela1[[#This Row],[Periodo]],listaPeriodos,0)))+(INDEX(SELECDB,MATCH("1.1.1.5.02.00015",planoContas,0)+1,MATCH(Tabela1[[#This Row],[Periodo]],listaPeriodos,0)))</f>
        <v>3740372.0999999996</v>
      </c>
      <c r="F3153" s="2"/>
      <c r="G3153" s="228"/>
      <c r="H3153" s="2"/>
    </row>
    <row r="3154" spans="1:18" x14ac:dyDescent="0.3">
      <c r="A3154" t="s">
        <v>1049</v>
      </c>
      <c r="B3154" s="3">
        <v>45931</v>
      </c>
      <c r="C3154" s="2" t="str">
        <f>VLOOKUP(MONTH(Tabela1[[#This Row],[Periodo]]),NUMMESES,2,FALSE)</f>
        <v>Outubro</v>
      </c>
      <c r="D3154" s="2">
        <f>YEAR(Tabela1[[#This Row],[Periodo]])</f>
        <v>2025</v>
      </c>
      <c r="E3154" s="16" cm="1">
        <f t="array" ref="E3154">(INDEX(SELECDB,MATCH("1.1.1.5.01.00015",planoContas,0)+1,MATCH(Tabela1[[#This Row],[Periodo]],listaPeriodos,0)))+(INDEX(SELECDB,MATCH("1.1.1.5.02.00015",planoContas,0)+1,MATCH(Tabela1[[#This Row],[Periodo]],listaPeriodos,0)))</f>
        <v>3740372.0999999996</v>
      </c>
      <c r="F3154" s="2"/>
      <c r="G3154" s="228"/>
      <c r="H3154" s="2"/>
    </row>
    <row r="3155" spans="1:18" x14ac:dyDescent="0.3">
      <c r="A3155" t="s">
        <v>1049</v>
      </c>
      <c r="B3155" s="3">
        <v>45962</v>
      </c>
      <c r="C3155" s="2" t="str">
        <f>VLOOKUP(MONTH(Tabela1[[#This Row],[Periodo]]),NUMMESES,2,FALSE)</f>
        <v>Novembro</v>
      </c>
      <c r="D3155" s="2">
        <f>YEAR(Tabela1[[#This Row],[Periodo]])</f>
        <v>2025</v>
      </c>
      <c r="E3155" s="16" cm="1">
        <f t="array" ref="E3155">(INDEX(SELECDB,MATCH("1.1.1.5.01.00015",planoContas,0)+1,MATCH(Tabela1[[#This Row],[Periodo]],listaPeriodos,0)))+(INDEX(SELECDB,MATCH("1.1.1.5.02.00015",planoContas,0)+1,MATCH(Tabela1[[#This Row],[Periodo]],listaPeriodos,0)))</f>
        <v>0</v>
      </c>
      <c r="F3155" s="2"/>
      <c r="G3155" s="228"/>
      <c r="H3155" s="2"/>
    </row>
    <row r="3156" spans="1:18" x14ac:dyDescent="0.3">
      <c r="A3156" t="s">
        <v>1049</v>
      </c>
      <c r="B3156" s="3">
        <v>45992</v>
      </c>
      <c r="C3156" s="2" t="str">
        <f>VLOOKUP(MONTH(Tabela1[[#This Row],[Periodo]]),NUMMESES,2,FALSE)</f>
        <v>Dezembro</v>
      </c>
      <c r="D3156" s="2">
        <f>YEAR(Tabela1[[#This Row],[Periodo]])</f>
        <v>2025</v>
      </c>
      <c r="E3156" s="16" cm="1">
        <f t="array" ref="E3156">(INDEX(SELECDB,MATCH("1.1.1.5.01.00015",planoContas,0)+1,MATCH(Tabela1[[#This Row],[Periodo]],listaPeriodos,0)))+(INDEX(SELECDB,MATCH("1.1.1.5.02.00015",planoContas,0)+1,MATCH(Tabela1[[#This Row],[Periodo]],listaPeriodos,0)))</f>
        <v>0</v>
      </c>
      <c r="F3156" s="2"/>
      <c r="G3156" s="228"/>
      <c r="H3156" s="2"/>
    </row>
    <row r="3157" spans="1:18" x14ac:dyDescent="0.3">
      <c r="A3157" t="s">
        <v>1049</v>
      </c>
      <c r="B3157" s="3">
        <v>45992</v>
      </c>
      <c r="C3157" s="2" t="str">
        <f>VLOOKUP(MONTH(Tabela1[[#This Row],[Periodo]]),NUMMESES,2,FALSE)</f>
        <v>Dezembro</v>
      </c>
      <c r="D3157" s="2">
        <f>YEAR(Tabela1[[#This Row],[Periodo]])</f>
        <v>2025</v>
      </c>
      <c r="E3157" s="16" cm="1">
        <f t="array" ref="E3157">(INDEX(SELECDB,MATCH("1.1.1.5.01.00015",planoContas,0)+1,MATCH(Tabela1[[#This Row],[Periodo]],listaPeriodos,0)))+(INDEX(SELECDB,MATCH("1.1.1.5.02.00015",planoContas,0)+1,MATCH(Tabela1[[#This Row],[Periodo]],listaPeriodos,0)))</f>
        <v>0</v>
      </c>
      <c r="F3157" s="2"/>
      <c r="G3157" s="228"/>
      <c r="H3157" s="2"/>
    </row>
    <row r="3158" spans="1:18" x14ac:dyDescent="0.3">
      <c r="B3158" s="3"/>
      <c r="C3158" s="2"/>
      <c r="D3158" s="2"/>
      <c r="E3158" s="16"/>
      <c r="F3158" s="2"/>
      <c r="G3158" s="228"/>
      <c r="H3158" s="2"/>
      <c r="J3158" t="s">
        <v>1028</v>
      </c>
      <c r="K3158" s="10">
        <f t="shared" ref="K3158:K3163" si="42">J3204/L3191</f>
        <v>2.2444725222207498E-2</v>
      </c>
    </row>
    <row r="3159" spans="1:18" x14ac:dyDescent="0.3">
      <c r="A3159" t="s">
        <v>1048</v>
      </c>
      <c r="B3159" s="3">
        <v>45292</v>
      </c>
      <c r="C3159" s="2" t="str">
        <f>VLOOKUP(MONTH(Tabela1[[#This Row],[Periodo]]),NUMMESES,2,FALSE)</f>
        <v>Janeiro</v>
      </c>
      <c r="D3159" s="2">
        <f>YEAR(Tabela1[[#This Row],[Periodo]])</f>
        <v>2024</v>
      </c>
      <c r="E3159" s="16" cm="1">
        <f t="array" ref="E3159">(INDEX(SELECDB,MATCH("2.1.1.6",planoContas,0)+1,MATCH(Tabela1[[#This Row],[Periodo]],listaPeriodos,0)-1))</f>
        <v>350821.66580000002</v>
      </c>
      <c r="F3159" s="2"/>
      <c r="G3159" s="228"/>
      <c r="H3159" s="2"/>
      <c r="J3159" t="s">
        <v>1028</v>
      </c>
      <c r="K3159" s="10" t="e">
        <f t="shared" si="42"/>
        <v>#VALUE!</v>
      </c>
    </row>
    <row r="3160" spans="1:18" x14ac:dyDescent="0.3">
      <c r="A3160" t="s">
        <v>1048</v>
      </c>
      <c r="B3160" s="3">
        <v>45323</v>
      </c>
      <c r="C3160" s="2" t="str">
        <f>VLOOKUP(MONTH(Tabela1[[#This Row],[Periodo]]),NUMMESES,2,FALSE)</f>
        <v>Fevereiro</v>
      </c>
      <c r="D3160" s="2">
        <f>YEAR(Tabela1[[#This Row],[Periodo]])</f>
        <v>2024</v>
      </c>
      <c r="E3160" s="16" cm="1">
        <f t="array" ref="E3160">(INDEX(SELECDB,MATCH("2.1.1.6",planoContas,0)+1,MATCH(Tabela1[[#This Row],[Periodo]],listaPeriodos,0)-1))</f>
        <v>973241.51900000009</v>
      </c>
      <c r="F3160" s="2"/>
      <c r="G3160" s="228"/>
      <c r="H3160" s="2"/>
      <c r="J3160" t="s">
        <v>1028</v>
      </c>
      <c r="K3160" s="10">
        <f t="shared" si="42"/>
        <v>208006225.23364496</v>
      </c>
    </row>
    <row r="3161" spans="1:18" x14ac:dyDescent="0.3">
      <c r="A3161" t="s">
        <v>1048</v>
      </c>
      <c r="B3161" s="3">
        <v>45352</v>
      </c>
      <c r="C3161" s="2" t="str">
        <f>VLOOKUP(MONTH(Tabela1[[#This Row],[Periodo]]),NUMMESES,2,FALSE)</f>
        <v>Março</v>
      </c>
      <c r="D3161" s="2">
        <f>YEAR(Tabela1[[#This Row],[Periodo]])</f>
        <v>2024</v>
      </c>
      <c r="E3161" s="16" cm="1">
        <f t="array" ref="E3161">(INDEX(SELECDB,MATCH("2.1.1.6",planoContas,0)+1,MATCH(Tabela1[[#This Row],[Periodo]],listaPeriodos,0)-1))</f>
        <v>1293777.1776000001</v>
      </c>
      <c r="F3161" s="2"/>
      <c r="G3161" s="228"/>
      <c r="H3161" s="2"/>
      <c r="J3161" t="s">
        <v>1028</v>
      </c>
      <c r="K3161" s="10" t="e">
        <f t="shared" si="42"/>
        <v>#DIV/0!</v>
      </c>
    </row>
    <row r="3162" spans="1:18" x14ac:dyDescent="0.3">
      <c r="A3162" t="s">
        <v>1048</v>
      </c>
      <c r="B3162" s="3">
        <v>45383</v>
      </c>
      <c r="C3162" s="2" t="str">
        <f>VLOOKUP(MONTH(Tabela1[[#This Row],[Periodo]]),NUMMESES,2,FALSE)</f>
        <v>Abril</v>
      </c>
      <c r="D3162" s="2">
        <f>YEAR(Tabela1[[#This Row],[Periodo]])</f>
        <v>2024</v>
      </c>
      <c r="E3162" s="16" cm="1">
        <f t="array" ref="E3162">(INDEX(SELECDB,MATCH("2.1.1.6",planoContas,0)+1,MATCH(Tabela1[[#This Row],[Periodo]],listaPeriodos,0)-1))</f>
        <v>2310013.4649999999</v>
      </c>
      <c r="F3162" s="2"/>
      <c r="G3162" s="228"/>
      <c r="H3162" s="2"/>
      <c r="J3162" t="s">
        <v>1028</v>
      </c>
      <c r="K3162" s="10" t="e">
        <f t="shared" si="42"/>
        <v>#VALUE!</v>
      </c>
    </row>
    <row r="3163" spans="1:18" x14ac:dyDescent="0.3">
      <c r="A3163" t="s">
        <v>1048</v>
      </c>
      <c r="B3163" s="3">
        <v>45413</v>
      </c>
      <c r="C3163" s="2" t="str">
        <f>VLOOKUP(MONTH(Tabela1[[#This Row],[Periodo]]),NUMMESES,2,FALSE)</f>
        <v>Maio</v>
      </c>
      <c r="D3163" s="2">
        <f>YEAR(Tabela1[[#This Row],[Periodo]])</f>
        <v>2024</v>
      </c>
      <c r="E3163" s="16" cm="1">
        <f t="array" ref="E3163">(INDEX(SELECDB,MATCH("2.1.1.6",planoContas,0)+1,MATCH(Tabela1[[#This Row],[Periodo]],listaPeriodos,0)-1))</f>
        <v>3364668.1033999999</v>
      </c>
      <c r="F3163" s="2"/>
      <c r="G3163" s="228"/>
      <c r="H3163" s="2"/>
      <c r="J3163" t="s">
        <v>1028</v>
      </c>
      <c r="K3163" s="10" t="e">
        <f t="shared" si="42"/>
        <v>#VALUE!</v>
      </c>
    </row>
    <row r="3164" spans="1:18" x14ac:dyDescent="0.3">
      <c r="A3164" t="s">
        <v>1048</v>
      </c>
      <c r="B3164" s="3">
        <v>45444</v>
      </c>
      <c r="C3164" s="2" t="str">
        <f>VLOOKUP(MONTH(Tabela1[[#This Row],[Periodo]]),NUMMESES,2,FALSE)</f>
        <v>Junho</v>
      </c>
      <c r="D3164" s="2">
        <f>YEAR(Tabela1[[#This Row],[Periodo]])</f>
        <v>2024</v>
      </c>
      <c r="E3164" s="16" cm="1">
        <f t="array" ref="E3164">(INDEX(SELECDB,MATCH("2.1.1.6",planoContas,0)+1,MATCH(Tabela1[[#This Row],[Periodo]],listaPeriodos,0)-1))</f>
        <v>4114817.4558999995</v>
      </c>
      <c r="F3164" s="2"/>
      <c r="G3164" s="228"/>
      <c r="H3164" s="2"/>
      <c r="J3164" t="s">
        <v>1028</v>
      </c>
      <c r="K3164" s="10" t="e">
        <f>J3210/L3197</f>
        <v>#VALUE!</v>
      </c>
    </row>
    <row r="3165" spans="1:18" x14ac:dyDescent="0.3">
      <c r="A3165" t="s">
        <v>1048</v>
      </c>
      <c r="B3165" s="3">
        <v>45474</v>
      </c>
      <c r="C3165" s="2" t="str">
        <f>VLOOKUP(MONTH(Tabela1[[#This Row],[Periodo]]),NUMMESES,2,FALSE)</f>
        <v>Julho</v>
      </c>
      <c r="D3165" s="2">
        <f>YEAR(Tabela1[[#This Row],[Periodo]])</f>
        <v>2024</v>
      </c>
      <c r="E3165" s="16" cm="1">
        <f t="array" ref="E3165">(INDEX(SELECDB,MATCH("2.1.1.6",planoContas,0)+1,MATCH(Tabela1[[#This Row],[Periodo]],listaPeriodos,0)-1))</f>
        <v>4792620.7358999988</v>
      </c>
      <c r="F3165" s="2"/>
      <c r="G3165" s="228"/>
      <c r="H3165" s="2"/>
      <c r="J3165" s="267" t="s">
        <v>1010</v>
      </c>
      <c r="K3165" s="267"/>
      <c r="L3165" s="267"/>
      <c r="M3165" s="267"/>
      <c r="O3165" s="267" t="s">
        <v>1011</v>
      </c>
      <c r="P3165" s="267"/>
      <c r="Q3165" s="267"/>
      <c r="R3165" s="267"/>
    </row>
    <row r="3166" spans="1:18" x14ac:dyDescent="0.3">
      <c r="A3166" t="s">
        <v>1048</v>
      </c>
      <c r="B3166" s="3">
        <v>45505</v>
      </c>
      <c r="C3166" s="2" t="str">
        <f>VLOOKUP(MONTH(Tabela1[[#This Row],[Periodo]]),NUMMESES,2,FALSE)</f>
        <v>Agosto</v>
      </c>
      <c r="D3166" s="2">
        <f>YEAR(Tabela1[[#This Row],[Periodo]])</f>
        <v>2024</v>
      </c>
      <c r="E3166" s="16" cm="1">
        <f t="array" ref="E3166">(INDEX(SELECDB,MATCH("2.1.1.6",planoContas,0)+1,MATCH(Tabela1[[#This Row],[Periodo]],listaPeriodos,0)-1))</f>
        <v>5006230.935899999</v>
      </c>
      <c r="F3166" s="2"/>
      <c r="G3166" s="228"/>
      <c r="H3166" s="2"/>
      <c r="J3166" s="267" t="s">
        <v>1010</v>
      </c>
      <c r="K3166" s="267"/>
      <c r="L3166" s="267"/>
      <c r="M3166" s="267"/>
      <c r="O3166" s="267" t="s">
        <v>1011</v>
      </c>
      <c r="P3166" s="267"/>
      <c r="Q3166" s="267"/>
      <c r="R3166" s="267"/>
    </row>
    <row r="3167" spans="1:18" x14ac:dyDescent="0.3">
      <c r="A3167" t="s">
        <v>1048</v>
      </c>
      <c r="B3167" s="3">
        <v>45536</v>
      </c>
      <c r="C3167" s="2" t="str">
        <f>VLOOKUP(MONTH(Tabela1[[#This Row],[Periodo]]),NUMMESES,2,FALSE)</f>
        <v>Setembro</v>
      </c>
      <c r="D3167" s="2">
        <f>YEAR(Tabela1[[#This Row],[Periodo]])</f>
        <v>2024</v>
      </c>
      <c r="E3167" s="16" cm="1">
        <f t="array" ref="E3167">(INDEX(SELECDB,MATCH("2.1.1.6",planoContas,0)+1,MATCH(Tabela1[[#This Row],[Periodo]],listaPeriodos,0)-1))</f>
        <v>5589513.3158999998</v>
      </c>
      <c r="F3167" s="2"/>
      <c r="G3167" s="228"/>
      <c r="H3167" s="2"/>
      <c r="J3167" s="267" t="s">
        <v>1010</v>
      </c>
      <c r="K3167" s="267"/>
      <c r="L3167" s="267"/>
      <c r="M3167" s="267"/>
      <c r="O3167" s="267" t="s">
        <v>1011</v>
      </c>
      <c r="P3167" s="267"/>
      <c r="Q3167" s="267"/>
      <c r="R3167" s="267"/>
    </row>
    <row r="3168" spans="1:18" x14ac:dyDescent="0.3">
      <c r="A3168" t="s">
        <v>1048</v>
      </c>
      <c r="B3168" s="3">
        <v>45566</v>
      </c>
      <c r="C3168" s="2" t="str">
        <f>VLOOKUP(MONTH(Tabela1[[#This Row],[Periodo]]),NUMMESES,2,FALSE)</f>
        <v>Outubro</v>
      </c>
      <c r="D3168" s="2">
        <f>YEAR(Tabela1[[#This Row],[Periodo]])</f>
        <v>2024</v>
      </c>
      <c r="E3168" s="16" cm="1">
        <f t="array" ref="E3168">(INDEX(SELECDB,MATCH("2.1.1.6",planoContas,0)+1,MATCH(Tabela1[[#This Row],[Periodo]],listaPeriodos,0)-1))</f>
        <v>6112219.7458999995</v>
      </c>
      <c r="F3168" s="2"/>
      <c r="G3168" s="228"/>
      <c r="H3168" s="2"/>
      <c r="J3168" s="267" t="s">
        <v>1010</v>
      </c>
      <c r="K3168" s="267"/>
      <c r="L3168" s="267"/>
      <c r="M3168" s="267"/>
      <c r="O3168" s="267" t="s">
        <v>1011</v>
      </c>
      <c r="P3168" s="267"/>
      <c r="Q3168" s="267"/>
      <c r="R3168" s="267"/>
    </row>
    <row r="3169" spans="1:18" x14ac:dyDescent="0.3">
      <c r="A3169" t="s">
        <v>1048</v>
      </c>
      <c r="B3169" s="3">
        <v>45597</v>
      </c>
      <c r="C3169" s="2" t="str">
        <f>VLOOKUP(MONTH(Tabela1[[#This Row],[Periodo]]),NUMMESES,2,FALSE)</f>
        <v>Novembro</v>
      </c>
      <c r="D3169" s="2">
        <f>YEAR(Tabela1[[#This Row],[Periodo]])</f>
        <v>2024</v>
      </c>
      <c r="E3169" s="16" cm="1">
        <f t="array" ref="E3169">(INDEX(SELECDB,MATCH("2.1.1.6",planoContas,0)+1,MATCH(Tabela1[[#This Row],[Periodo]],listaPeriodos,0)-1))</f>
        <v>6170084.7558999993</v>
      </c>
      <c r="F3169" s="2"/>
      <c r="G3169" s="228"/>
      <c r="H3169" s="2"/>
      <c r="J3169" s="267" t="s">
        <v>1010</v>
      </c>
      <c r="K3169" s="267"/>
      <c r="L3169" s="267"/>
      <c r="M3169" s="267"/>
      <c r="O3169" s="267" t="s">
        <v>1011</v>
      </c>
      <c r="P3169" s="267"/>
      <c r="Q3169" s="267"/>
      <c r="R3169" s="267"/>
    </row>
    <row r="3170" spans="1:18" x14ac:dyDescent="0.3">
      <c r="A3170" t="s">
        <v>1048</v>
      </c>
      <c r="B3170" s="3">
        <v>45627</v>
      </c>
      <c r="C3170" s="2" t="str">
        <f>VLOOKUP(MONTH(Tabela1[[#This Row],[Periodo]]),NUMMESES,2,FALSE)</f>
        <v>Dezembro</v>
      </c>
      <c r="D3170" s="2">
        <f>YEAR(Tabela1[[#This Row],[Periodo]])</f>
        <v>2024</v>
      </c>
      <c r="E3170" s="16" cm="1">
        <f t="array" ref="E3170">(INDEX(SELECDB,MATCH("2.1.1.6",planoContas,0)+1,MATCH(Tabela1[[#This Row],[Periodo]],listaPeriodos,0)-1))</f>
        <v>6782269.3359000003</v>
      </c>
      <c r="F3170" s="2"/>
      <c r="G3170" s="228"/>
      <c r="H3170" s="2"/>
      <c r="J3170" s="267" t="s">
        <v>1010</v>
      </c>
      <c r="K3170" s="267"/>
      <c r="L3170" s="267"/>
      <c r="M3170" s="267"/>
      <c r="O3170" s="267" t="s">
        <v>1011</v>
      </c>
      <c r="P3170" s="267"/>
      <c r="Q3170" s="267"/>
      <c r="R3170" s="267"/>
    </row>
    <row r="3171" spans="1:18" x14ac:dyDescent="0.3">
      <c r="A3171" t="s">
        <v>1048</v>
      </c>
      <c r="B3171" s="3">
        <v>45658</v>
      </c>
      <c r="C3171" s="2" t="str">
        <f>VLOOKUP(MONTH(Tabela1[[#This Row],[Periodo]]),NUMMESES,2,FALSE)</f>
        <v>Janeiro</v>
      </c>
      <c r="D3171" s="2">
        <f>YEAR(Tabela1[[#This Row],[Periodo]])</f>
        <v>2025</v>
      </c>
      <c r="E3171" s="16" cm="1">
        <f t="array" ref="E3171">(INDEX(SELECDB,MATCH("2.1.1.6",planoContas,0)+1,MATCH(Tabela1[[#This Row],[Periodo]],listaPeriodos,0)-1))</f>
        <v>61497.648199999327</v>
      </c>
      <c r="F3171" s="2"/>
      <c r="G3171" s="228"/>
      <c r="H3171" s="2"/>
      <c r="J3171" s="267" t="s">
        <v>1010</v>
      </c>
      <c r="K3171" s="267"/>
      <c r="L3171" s="267"/>
      <c r="M3171" s="267"/>
      <c r="O3171" s="267" t="s">
        <v>1011</v>
      </c>
      <c r="P3171" s="267"/>
      <c r="Q3171" s="267"/>
      <c r="R3171" s="267"/>
    </row>
    <row r="3172" spans="1:18" x14ac:dyDescent="0.3">
      <c r="A3172" t="s">
        <v>1048</v>
      </c>
      <c r="B3172" s="3">
        <v>45689</v>
      </c>
      <c r="C3172" s="2" t="str">
        <f>VLOOKUP(MONTH(Tabela1[[#This Row],[Periodo]]),NUMMESES,2,FALSE)</f>
        <v>Fevereiro</v>
      </c>
      <c r="D3172" s="2">
        <f>YEAR(Tabela1[[#This Row],[Periodo]])</f>
        <v>2025</v>
      </c>
      <c r="E3172" s="16" cm="1">
        <f t="array" ref="E3172">(INDEX(SELECDB,MATCH("2.1.1.6",planoContas,0)+1,MATCH(Tabela1[[#This Row],[Periodo]],listaPeriodos,0)-1))</f>
        <v>527587.63319999899</v>
      </c>
      <c r="F3172" s="2"/>
      <c r="G3172" s="228"/>
      <c r="H3172" s="2"/>
      <c r="J3172" s="267" t="s">
        <v>1010</v>
      </c>
      <c r="K3172" s="267"/>
      <c r="L3172" s="267"/>
      <c r="M3172" s="267"/>
      <c r="O3172" s="267" t="s">
        <v>1011</v>
      </c>
      <c r="P3172" s="267"/>
      <c r="Q3172" s="267"/>
      <c r="R3172" s="267"/>
    </row>
    <row r="3173" spans="1:18" x14ac:dyDescent="0.3">
      <c r="A3173" t="s">
        <v>1048</v>
      </c>
      <c r="B3173" s="3">
        <v>45717</v>
      </c>
      <c r="C3173" s="2" t="str">
        <f>VLOOKUP(MONTH(Tabela1[[#This Row],[Periodo]]),NUMMESES,2,FALSE)</f>
        <v>Março</v>
      </c>
      <c r="D3173" s="2">
        <f>YEAR(Tabela1[[#This Row],[Periodo]])</f>
        <v>2025</v>
      </c>
      <c r="E3173" s="16" cm="1">
        <f t="array" ref="E3173">(INDEX(SELECDB,MATCH("2.1.1.6",planoContas,0)+1,MATCH(Tabela1[[#This Row],[Periodo]],listaPeriodos,0)-1))</f>
        <v>1015530.8019999982</v>
      </c>
      <c r="F3173" s="2"/>
      <c r="G3173" s="228"/>
      <c r="H3173" s="2"/>
      <c r="J3173" s="267" t="s">
        <v>1010</v>
      </c>
      <c r="K3173" s="267"/>
      <c r="L3173" s="267"/>
      <c r="M3173" s="267"/>
      <c r="O3173" s="267" t="s">
        <v>1011</v>
      </c>
      <c r="P3173" s="267"/>
      <c r="Q3173" s="267"/>
      <c r="R3173" s="267"/>
    </row>
    <row r="3174" spans="1:18" x14ac:dyDescent="0.3">
      <c r="A3174" t="s">
        <v>1048</v>
      </c>
      <c r="B3174" s="3">
        <v>45748</v>
      </c>
      <c r="C3174" s="2" t="str">
        <f>VLOOKUP(MONTH(Tabela1[[#This Row],[Periodo]]),NUMMESES,2,FALSE)</f>
        <v>Abril</v>
      </c>
      <c r="D3174" s="2">
        <f>YEAR(Tabela1[[#This Row],[Periodo]])</f>
        <v>2025</v>
      </c>
      <c r="E3174" s="16" cm="1">
        <f t="array" ref="E3174">(INDEX(SELECDB,MATCH("2.1.1.6",planoContas,0)+1,MATCH(Tabela1[[#This Row],[Periodo]],listaPeriodos,0)-1))</f>
        <v>1955943.8457999979</v>
      </c>
      <c r="F3174" s="2"/>
      <c r="G3174" s="228"/>
      <c r="H3174" s="2"/>
      <c r="J3174" s="267" t="s">
        <v>1010</v>
      </c>
      <c r="K3174" s="267"/>
      <c r="L3174" s="267"/>
      <c r="M3174" s="267"/>
      <c r="O3174" s="267" t="s">
        <v>1011</v>
      </c>
      <c r="P3174" s="267"/>
      <c r="Q3174" s="267"/>
      <c r="R3174" s="267"/>
    </row>
    <row r="3175" spans="1:18" x14ac:dyDescent="0.3">
      <c r="A3175" t="s">
        <v>1048</v>
      </c>
      <c r="B3175" s="3">
        <v>45778</v>
      </c>
      <c r="C3175" s="2" t="str">
        <f>VLOOKUP(MONTH(Tabela1[[#This Row],[Periodo]]),NUMMESES,2,FALSE)</f>
        <v>Maio</v>
      </c>
      <c r="D3175" s="2">
        <f>YEAR(Tabela1[[#This Row],[Periodo]])</f>
        <v>2025</v>
      </c>
      <c r="E3175" s="16" cm="1">
        <f t="array" ref="E3175">(INDEX(SELECDB,MATCH("2.1.1.6",planoContas,0)+1,MATCH(Tabela1[[#This Row],[Periodo]],listaPeriodos,0)-1))</f>
        <v>2748446.3087999974</v>
      </c>
      <c r="F3175" s="2"/>
      <c r="G3175" s="228"/>
      <c r="H3175" s="2"/>
      <c r="J3175" s="267" t="s">
        <v>1010</v>
      </c>
      <c r="K3175" s="267"/>
      <c r="L3175" s="267"/>
      <c r="M3175" s="267"/>
      <c r="O3175" s="267" t="s">
        <v>1011</v>
      </c>
      <c r="P3175" s="267"/>
      <c r="Q3175" s="267"/>
      <c r="R3175" s="267"/>
    </row>
    <row r="3176" spans="1:18" x14ac:dyDescent="0.3">
      <c r="A3176" t="s">
        <v>1048</v>
      </c>
      <c r="B3176" s="3">
        <v>45809</v>
      </c>
      <c r="C3176" s="2" t="str">
        <f>VLOOKUP(MONTH(Tabela1[[#This Row],[Periodo]]),NUMMESES,2,FALSE)</f>
        <v>Junho</v>
      </c>
      <c r="D3176" s="2">
        <f>YEAR(Tabela1[[#This Row],[Periodo]])</f>
        <v>2025</v>
      </c>
      <c r="E3176" s="16" cm="1">
        <f t="array" ref="E3176">(INDEX(SELECDB,MATCH("2.1.1.6",planoContas,0)+1,MATCH(Tabela1[[#This Row],[Periodo]],listaPeriodos,0)-1))</f>
        <v>2431255.1712999977</v>
      </c>
      <c r="F3176" s="2"/>
      <c r="G3176" s="228"/>
      <c r="H3176" s="2"/>
      <c r="J3176" s="267" t="s">
        <v>1010</v>
      </c>
      <c r="K3176" s="267"/>
      <c r="L3176" s="267"/>
      <c r="M3176" s="267"/>
      <c r="O3176" s="267" t="s">
        <v>1011</v>
      </c>
      <c r="P3176" s="267"/>
      <c r="Q3176" s="267"/>
      <c r="R3176" s="267"/>
    </row>
    <row r="3177" spans="1:18" ht="14.4" customHeight="1" x14ac:dyDescent="0.3">
      <c r="A3177" t="s">
        <v>1048</v>
      </c>
      <c r="B3177" s="3">
        <v>45839</v>
      </c>
      <c r="C3177" s="2" t="str">
        <f>VLOOKUP(MONTH(Tabela1[[#This Row],[Periodo]]),NUMMESES,2,FALSE)</f>
        <v>Julho</v>
      </c>
      <c r="D3177" s="2">
        <f>YEAR(Tabela1[[#This Row],[Periodo]])</f>
        <v>2025</v>
      </c>
      <c r="E3177" s="16" cm="1">
        <f t="array" ref="E3177">(INDEX(SELECDB,MATCH("2.1.1.6",planoContas,0)+1,MATCH(Tabela1[[#This Row],[Periodo]],listaPeriodos,0)-1))</f>
        <v>2673684.085099997</v>
      </c>
      <c r="F3177" s="2"/>
      <c r="G3177" s="228"/>
      <c r="H3177" s="2"/>
      <c r="J3177" s="267" t="s">
        <v>1010</v>
      </c>
      <c r="K3177" s="267"/>
      <c r="L3177" s="267"/>
      <c r="M3177" s="267"/>
      <c r="O3177" s="267" t="s">
        <v>1011</v>
      </c>
      <c r="P3177" s="267"/>
      <c r="Q3177" s="267"/>
      <c r="R3177" s="267"/>
    </row>
    <row r="3178" spans="1:18" ht="14.4" customHeight="1" x14ac:dyDescent="0.3">
      <c r="A3178" t="s">
        <v>1048</v>
      </c>
      <c r="B3178" s="3">
        <v>45870</v>
      </c>
      <c r="C3178" s="2" t="str">
        <f>VLOOKUP(MONTH(Tabela1[[#This Row],[Periodo]]),NUMMESES,2,FALSE)</f>
        <v>Agosto</v>
      </c>
      <c r="D3178" s="2">
        <f>YEAR(Tabela1[[#This Row],[Periodo]])</f>
        <v>2025</v>
      </c>
      <c r="E3178" s="16" cm="1">
        <f t="array" ref="E3178">(INDEX(SELECDB,MATCH("2.1.1.6",planoContas,0)+1,MATCH(Tabela1[[#This Row],[Periodo]],listaPeriodos,0)-1))</f>
        <v>3120495.7950999979</v>
      </c>
      <c r="F3178" s="2"/>
      <c r="G3178" s="228"/>
      <c r="H3178" s="2"/>
      <c r="J3178" s="267" t="s">
        <v>1010</v>
      </c>
      <c r="K3178" s="267"/>
      <c r="L3178" s="267"/>
      <c r="M3178" s="267"/>
      <c r="O3178" s="267" t="s">
        <v>1011</v>
      </c>
      <c r="P3178" s="267"/>
      <c r="Q3178" s="267"/>
      <c r="R3178" s="267"/>
    </row>
    <row r="3179" spans="1:18" ht="14.4" customHeight="1" x14ac:dyDescent="0.3">
      <c r="A3179" t="s">
        <v>1048</v>
      </c>
      <c r="B3179" s="3">
        <v>45901</v>
      </c>
      <c r="C3179" s="2" t="str">
        <f>VLOOKUP(MONTH(Tabela1[[#This Row],[Periodo]]),NUMMESES,2,FALSE)</f>
        <v>Setembro</v>
      </c>
      <c r="D3179" s="2">
        <f>YEAR(Tabela1[[#This Row],[Periodo]])</f>
        <v>2025</v>
      </c>
      <c r="E3179" s="16" cm="1">
        <f t="array" ref="E3179">(INDEX(SELECDB,MATCH("2.1.1.6",planoContas,0)+1,MATCH(Tabela1[[#This Row],[Periodo]],listaPeriodos,0)-1))</f>
        <v>3176988.0588999977</v>
      </c>
      <c r="F3179" s="2"/>
      <c r="G3179" s="228"/>
      <c r="H3179" s="2"/>
      <c r="J3179" s="267" t="s">
        <v>1010</v>
      </c>
      <c r="K3179" s="267"/>
      <c r="L3179" s="267"/>
      <c r="M3179" s="267"/>
      <c r="O3179" s="267" t="s">
        <v>1011</v>
      </c>
      <c r="P3179" s="267"/>
      <c r="Q3179" s="267"/>
      <c r="R3179" s="267"/>
    </row>
    <row r="3180" spans="1:18" ht="14.4" customHeight="1" x14ac:dyDescent="0.3">
      <c r="A3180" t="s">
        <v>1048</v>
      </c>
      <c r="B3180" s="3">
        <v>45931</v>
      </c>
      <c r="C3180" s="2" t="str">
        <f>VLOOKUP(MONTH(Tabela1[[#This Row],[Periodo]]),NUMMESES,2,FALSE)</f>
        <v>Outubro</v>
      </c>
      <c r="D3180" s="2">
        <f>YEAR(Tabela1[[#This Row],[Periodo]])</f>
        <v>2025</v>
      </c>
      <c r="E3180" s="16" cm="1">
        <f t="array" ref="E3180">(INDEX(SELECDB,MATCH("2.1.1.6",planoContas,0)+1,MATCH(Tabela1[[#This Row],[Periodo]],listaPeriodos,0)-1))</f>
        <v>3511634.4892999982</v>
      </c>
      <c r="F3180" s="2"/>
      <c r="G3180" s="228"/>
      <c r="H3180" s="2"/>
      <c r="J3180" s="267" t="s">
        <v>1010</v>
      </c>
      <c r="K3180" s="267"/>
      <c r="L3180" s="267"/>
      <c r="M3180" s="267"/>
      <c r="O3180" s="267" t="s">
        <v>1011</v>
      </c>
      <c r="P3180" s="267"/>
      <c r="Q3180" s="267"/>
      <c r="R3180" s="267"/>
    </row>
    <row r="3181" spans="1:18" ht="14.4" customHeight="1" x14ac:dyDescent="0.3">
      <c r="A3181" t="s">
        <v>1048</v>
      </c>
      <c r="B3181" s="3">
        <v>45962</v>
      </c>
      <c r="C3181" s="2" t="str">
        <f>VLOOKUP(MONTH(Tabela1[[#This Row],[Periodo]]),NUMMESES,2,FALSE)</f>
        <v>Novembro</v>
      </c>
      <c r="D3181" s="2">
        <f>YEAR(Tabela1[[#This Row],[Periodo]])</f>
        <v>2025</v>
      </c>
      <c r="E3181" s="16" cm="1">
        <f t="array" ref="E3181">(INDEX(SELECDB,MATCH("2.1.1.6",planoContas,0)+1,MATCH(Tabela1[[#This Row],[Periodo]],listaPeriodos,0)-1))</f>
        <v>3777051.3538999972</v>
      </c>
      <c r="F3181" s="2"/>
      <c r="G3181" s="228"/>
      <c r="H3181" s="2"/>
      <c r="J3181" s="267" t="s">
        <v>1010</v>
      </c>
      <c r="K3181" s="267"/>
      <c r="L3181" s="267"/>
      <c r="M3181" s="267"/>
      <c r="O3181" s="267" t="s">
        <v>1011</v>
      </c>
      <c r="P3181" s="267"/>
      <c r="Q3181" s="267"/>
      <c r="R3181" s="267"/>
    </row>
    <row r="3182" spans="1:18" ht="14.4" customHeight="1" x14ac:dyDescent="0.3">
      <c r="A3182" t="s">
        <v>1048</v>
      </c>
      <c r="B3182" s="3">
        <v>45992</v>
      </c>
      <c r="C3182" s="2" t="str">
        <f>VLOOKUP(MONTH(Tabela1[[#This Row],[Periodo]]),NUMMESES,2,FALSE)</f>
        <v>Dezembro</v>
      </c>
      <c r="D3182" s="2">
        <f>YEAR(Tabela1[[#This Row],[Periodo]])</f>
        <v>2025</v>
      </c>
      <c r="E3182" s="16" cm="1">
        <f t="array" ref="E3182">(INDEX(SELECDB,MATCH("2.1.1.6",planoContas,0)+1,MATCH(Tabela1[[#This Row],[Periodo]],listaPeriodos,0)-1))</f>
        <v>0</v>
      </c>
      <c r="F3182" s="2"/>
      <c r="G3182" s="228"/>
      <c r="H3182" s="2"/>
      <c r="J3182" s="267" t="s">
        <v>1010</v>
      </c>
      <c r="K3182" s="267"/>
      <c r="L3182" s="267"/>
      <c r="M3182" s="267"/>
      <c r="O3182" s="267" t="s">
        <v>1011</v>
      </c>
      <c r="P3182" s="267"/>
      <c r="Q3182" s="267"/>
      <c r="R3182" s="267"/>
    </row>
    <row r="3183" spans="1:18" ht="14.4" customHeight="1" x14ac:dyDescent="0.3">
      <c r="A3183" t="s">
        <v>1048</v>
      </c>
      <c r="B3183" s="3">
        <v>45992</v>
      </c>
      <c r="C3183" s="2" t="str">
        <f>VLOOKUP(MONTH(Tabela1[[#This Row],[Periodo]]),NUMMESES,2,FALSE)</f>
        <v>Dezembro</v>
      </c>
      <c r="D3183" s="2">
        <f>YEAR(Tabela1[[#This Row],[Periodo]])</f>
        <v>2025</v>
      </c>
      <c r="E3183" s="16" cm="1">
        <f t="array" ref="E3183">(INDEX(SELECDB,MATCH("2.1.1.6",planoContas,0)+1,MATCH(Tabela1[[#This Row],[Periodo]],listaPeriodos,0)-1))</f>
        <v>0</v>
      </c>
      <c r="F3183" s="2"/>
      <c r="G3183" s="228"/>
      <c r="H3183" s="2"/>
      <c r="J3183" s="267" t="s">
        <v>1010</v>
      </c>
      <c r="K3183" s="267"/>
      <c r="L3183" s="267"/>
      <c r="M3183" s="267"/>
      <c r="O3183" s="267" t="s">
        <v>1011</v>
      </c>
      <c r="P3183" s="267"/>
      <c r="Q3183" s="267"/>
      <c r="R3183" s="267"/>
    </row>
    <row r="3184" spans="1:18" x14ac:dyDescent="0.3">
      <c r="B3184" s="3"/>
      <c r="C3184" s="2"/>
      <c r="D3184" s="2"/>
      <c r="E3184" s="16"/>
      <c r="F3184" s="2"/>
      <c r="G3184" s="228"/>
      <c r="H3184" s="2"/>
      <c r="L3184" s="2" t="s">
        <v>892</v>
      </c>
      <c r="Q3184" s="2" t="s">
        <v>892</v>
      </c>
    </row>
    <row r="3185" spans="2:19" x14ac:dyDescent="0.3">
      <c r="B3185" s="3"/>
      <c r="C3185" s="2"/>
      <c r="D3185" s="2"/>
      <c r="E3185" s="16"/>
      <c r="F3185" s="2"/>
      <c r="G3185" s="228"/>
      <c r="H3185" s="2"/>
      <c r="L3185" s="2" t="s">
        <v>892</v>
      </c>
      <c r="Q3185" s="2" t="s">
        <v>892</v>
      </c>
    </row>
    <row r="3186" spans="2:19" x14ac:dyDescent="0.3">
      <c r="H3186" s="2"/>
      <c r="L3186" s="2" t="s">
        <v>892</v>
      </c>
      <c r="Q3186" s="2" t="s">
        <v>892</v>
      </c>
    </row>
    <row r="3187" spans="2:19" x14ac:dyDescent="0.3">
      <c r="H3187" s="2"/>
      <c r="L3187" s="2" t="s">
        <v>892</v>
      </c>
      <c r="Q3187" s="2" t="s">
        <v>892</v>
      </c>
    </row>
    <row r="3188" spans="2:19" x14ac:dyDescent="0.3">
      <c r="H3188" s="2"/>
      <c r="K3188" s="29">
        <v>44805</v>
      </c>
      <c r="L3188" s="2">
        <f>MATCH(K3188,listaPeriodos,0)</f>
        <v>68</v>
      </c>
      <c r="P3188" s="29">
        <v>44805</v>
      </c>
      <c r="Q3188" s="2">
        <f>MATCH(P3188,listaPeriodos,0)</f>
        <v>68</v>
      </c>
    </row>
    <row r="3189" spans="2:19" x14ac:dyDescent="0.3">
      <c r="D3189" s="4"/>
      <c r="H3189" s="2"/>
      <c r="J3189" t="s">
        <v>95</v>
      </c>
      <c r="K3189" t="s">
        <v>1009</v>
      </c>
      <c r="L3189" s="4" cm="1">
        <f t="array" ref="L3189">(INDEX(TBBP[],MATCH(J3189,planoContas,0)+1,$L$3188)-INDEX(TBBP[],MATCH(J3189,planoContas,0)+1,$L$3188-1))*-1</f>
        <v>76063.899999999907</v>
      </c>
      <c r="M3189" s="33">
        <f>((L3189+L3190)/L3191)</f>
        <v>9.2090488548209146E-3</v>
      </c>
      <c r="N3189" s="33">
        <f>M3189*12</f>
        <v>0.11050858625785098</v>
      </c>
      <c r="O3189" t="s">
        <v>478</v>
      </c>
      <c r="P3189" t="s">
        <v>1014</v>
      </c>
      <c r="Q3189" s="4" cm="1">
        <f t="array" ref="Q3189">(INDEX(TBBP[],MATCH(O3189,planoContas,0)+1,$L$3188))*-1</f>
        <v>18769.919999999998</v>
      </c>
      <c r="R3189" s="33">
        <f>(Q3189+Q3190)/(Q3191+Q3192)</f>
        <v>4.6663040668245706E-3</v>
      </c>
      <c r="S3189" s="10">
        <f>R3189*12</f>
        <v>5.5995648801894851E-2</v>
      </c>
    </row>
    <row r="3190" spans="2:19" x14ac:dyDescent="0.3">
      <c r="H3190" s="2"/>
      <c r="J3190" t="s">
        <v>774</v>
      </c>
      <c r="K3190" t="s">
        <v>1007</v>
      </c>
      <c r="L3190" s="4" cm="1">
        <f t="array" ref="L3190">INDEX(TBBP[],MATCH(J3190,planoContas,0)+1,$L$3188)</f>
        <v>500000</v>
      </c>
      <c r="O3190" t="s">
        <v>479</v>
      </c>
      <c r="P3190" t="s">
        <v>1014</v>
      </c>
      <c r="Q3190" s="4" cm="1">
        <f t="array" ref="Q3190">(INDEX(TBBP[],MATCH(O3190,planoContas,0)+1,$L$3188))*-1</f>
        <v>1240.46</v>
      </c>
    </row>
    <row r="3191" spans="2:19" x14ac:dyDescent="0.3">
      <c r="H3191" s="2"/>
      <c r="J3191" t="s">
        <v>92</v>
      </c>
      <c r="K3191" t="s">
        <v>1008</v>
      </c>
      <c r="L3191" s="4" cm="1">
        <f t="array" ref="L3191">INDEX(TBBP[],MATCH(J3191,planoContas,0)+1,$L$3188)</f>
        <v>62554114.880000003</v>
      </c>
      <c r="O3191" t="s">
        <v>86</v>
      </c>
      <c r="P3191" t="s">
        <v>1012</v>
      </c>
      <c r="Q3191" s="4" cm="1">
        <f t="array" ref="Q3191">INDEX(TBBP[],MATCH(O3191,planoContas,0)+1,$L$3188)</f>
        <v>2851854.71</v>
      </c>
    </row>
    <row r="3192" spans="2:19" x14ac:dyDescent="0.3">
      <c r="H3192" s="2"/>
      <c r="O3192" t="s">
        <v>91</v>
      </c>
      <c r="P3192" t="s">
        <v>1013</v>
      </c>
      <c r="Q3192" s="4" cm="1">
        <f t="array" ref="Q3192">INDEX(TBBP[],MATCH(O3192,planoContas,0)+1,$L$3188)</f>
        <v>1436417.06</v>
      </c>
    </row>
    <row r="3193" spans="2:19" x14ac:dyDescent="0.3">
      <c r="H3193" s="2"/>
      <c r="K3193" t="s">
        <v>1015</v>
      </c>
      <c r="L3193" s="33">
        <f>SUMIFS(E:E,A:A,"SELIC",B:B,K3188)/100</f>
        <v>1.0700000000000001E-2</v>
      </c>
      <c r="M3193" s="33">
        <f>L3193*12</f>
        <v>0.12840000000000001</v>
      </c>
    </row>
    <row r="3194" spans="2:19" x14ac:dyDescent="0.3">
      <c r="H3194" s="2"/>
    </row>
    <row r="3195" spans="2:19" x14ac:dyDescent="0.3">
      <c r="H3195" s="2"/>
      <c r="K3195" s="2" t="s">
        <v>1019</v>
      </c>
      <c r="L3195" t="s">
        <v>1017</v>
      </c>
      <c r="M3195" s="9">
        <f>L3191</f>
        <v>62554114.880000003</v>
      </c>
    </row>
    <row r="3196" spans="2:19" x14ac:dyDescent="0.3">
      <c r="H3196" s="2"/>
      <c r="J3196" s="2" t="s">
        <v>1022</v>
      </c>
      <c r="K3196" s="33">
        <f>L3202+L3203</f>
        <v>7.9793691552443608E-3</v>
      </c>
      <c r="L3196" t="s">
        <v>698</v>
      </c>
      <c r="M3196" s="4" cm="1">
        <f t="array" ref="M3196">INDEX(TBBP[],MATCH("2",planoContas,0)+1,$L$3188)-L3191</f>
        <v>15699524.899999999</v>
      </c>
    </row>
    <row r="3197" spans="2:19" x14ac:dyDescent="0.3">
      <c r="H3197" s="2"/>
      <c r="J3197" s="2" t="s">
        <v>1020</v>
      </c>
      <c r="K3197" s="33">
        <f>K3196*12</f>
        <v>9.5752429862932337E-2</v>
      </c>
      <c r="L3197" t="s">
        <v>1016</v>
      </c>
      <c r="M3197" s="9">
        <f>M3195+M3196</f>
        <v>78253639.780000001</v>
      </c>
    </row>
    <row r="3198" spans="2:19" x14ac:dyDescent="0.3">
      <c r="H3198" s="2"/>
      <c r="L3198" t="s">
        <v>1018</v>
      </c>
      <c r="M3198" s="223">
        <v>0.34</v>
      </c>
    </row>
    <row r="3199" spans="2:19" x14ac:dyDescent="0.3">
      <c r="H3199" s="2"/>
      <c r="L3199" t="s">
        <v>1018</v>
      </c>
      <c r="M3199" s="223">
        <v>0.34</v>
      </c>
    </row>
    <row r="3200" spans="2:19" x14ac:dyDescent="0.3">
      <c r="H3200" s="2"/>
      <c r="L3200" t="s">
        <v>1018</v>
      </c>
      <c r="M3200" s="223">
        <v>0.34</v>
      </c>
    </row>
    <row r="3201" spans="8:13" x14ac:dyDescent="0.3">
      <c r="H3201" s="2"/>
      <c r="L3201" t="s">
        <v>1018</v>
      </c>
      <c r="M3201" s="223">
        <v>0.34</v>
      </c>
    </row>
    <row r="3202" spans="8:13" x14ac:dyDescent="0.3">
      <c r="J3202" s="224" t="s">
        <v>1021</v>
      </c>
      <c r="K3202" s="225">
        <f>J3204/J3203</f>
        <v>0.17768181857453563</v>
      </c>
      <c r="L3202" s="227">
        <f>(M3195/M3197)*M3189</f>
        <v>7.3614965593872591E-3</v>
      </c>
    </row>
    <row r="3203" spans="8:13" x14ac:dyDescent="0.3">
      <c r="I3203" t="s">
        <v>1024</v>
      </c>
      <c r="J3203" s="4" cm="1">
        <f t="array" ref="J3203">INDEX(TBBP[],MATCH("3.1",planoContas,0)+1,$L$3188)</f>
        <v>7901820.9700000007</v>
      </c>
      <c r="L3203" s="227">
        <f>(M3196/M3197)*R3189*(1-M3198)</f>
        <v>6.1787259585710183E-4</v>
      </c>
      <c r="M3203" s="10"/>
    </row>
    <row r="3204" spans="8:13" x14ac:dyDescent="0.3">
      <c r="I3204" t="s">
        <v>1025</v>
      </c>
      <c r="J3204" s="4" cm="1">
        <f t="array" ref="J3204">INDEX(TBBP[],MATCH(8,planoContas,0)+1,$L$3188)</f>
        <v>1404009.9200000013</v>
      </c>
    </row>
    <row r="3205" spans="8:13" x14ac:dyDescent="0.3">
      <c r="J3205" s="224" t="s">
        <v>1023</v>
      </c>
      <c r="K3205" s="226">
        <f>J3206-(J3207*J3208)</f>
        <v>1601251.9304538663</v>
      </c>
    </row>
    <row r="3206" spans="8:13" x14ac:dyDescent="0.3">
      <c r="I3206" t="s">
        <v>1026</v>
      </c>
      <c r="J3206" s="4" cm="1">
        <f t="array" ref="J3206">INDEX(TBBP[],MATCH(9,planoContas,0)+1,$L$3188)</f>
        <v>2225666.6100000013</v>
      </c>
    </row>
    <row r="3207" spans="8:13" x14ac:dyDescent="0.3">
      <c r="I3207" t="s">
        <v>1006</v>
      </c>
      <c r="J3207" s="10">
        <f>K3196</f>
        <v>7.9793691552443608E-3</v>
      </c>
    </row>
    <row r="3208" spans="8:13" x14ac:dyDescent="0.3">
      <c r="I3208" t="s">
        <v>1027</v>
      </c>
      <c r="J3208" s="9">
        <f>M3197</f>
        <v>78253639.780000001</v>
      </c>
    </row>
  </sheetData>
  <sortState xmlns:xlrd2="http://schemas.microsoft.com/office/spreadsheetml/2017/richdata2" ref="P4:P37">
    <sortCondition ref="P4:P37"/>
  </sortState>
  <mergeCells count="38">
    <mergeCell ref="J3173:M3173"/>
    <mergeCell ref="O3173:R3173"/>
    <mergeCell ref="J3172:M3172"/>
    <mergeCell ref="O3172:R3172"/>
    <mergeCell ref="J3171:M3171"/>
    <mergeCell ref="O3171:R3171"/>
    <mergeCell ref="J3165:M3165"/>
    <mergeCell ref="O3165:R3165"/>
    <mergeCell ref="J3166:M3166"/>
    <mergeCell ref="O3166:R3166"/>
    <mergeCell ref="J3167:M3167"/>
    <mergeCell ref="O3167:R3167"/>
    <mergeCell ref="J3168:M3168"/>
    <mergeCell ref="O3168:R3168"/>
    <mergeCell ref="J3169:M3169"/>
    <mergeCell ref="O3169:R3169"/>
    <mergeCell ref="J3170:M3170"/>
    <mergeCell ref="O3170:R3170"/>
    <mergeCell ref="J3174:M3174"/>
    <mergeCell ref="O3174:R3174"/>
    <mergeCell ref="J3175:M3175"/>
    <mergeCell ref="O3175:R3175"/>
    <mergeCell ref="J3176:M3176"/>
    <mergeCell ref="O3176:R3176"/>
    <mergeCell ref="J3183:M3183"/>
    <mergeCell ref="O3183:R3183"/>
    <mergeCell ref="J3178:M3178"/>
    <mergeCell ref="O3178:R3178"/>
    <mergeCell ref="J3177:M3177"/>
    <mergeCell ref="O3177:R3177"/>
    <mergeCell ref="J3182:M3182"/>
    <mergeCell ref="O3182:R3182"/>
    <mergeCell ref="J3179:M3179"/>
    <mergeCell ref="O3179:R3179"/>
    <mergeCell ref="J3180:M3180"/>
    <mergeCell ref="O3180:R3180"/>
    <mergeCell ref="J3181:M3181"/>
    <mergeCell ref="O3181:R3181"/>
  </mergeCells>
  <dataValidations count="3">
    <dataValidation type="list" showInputMessage="1" showErrorMessage="1" sqref="A1 A2952:A1048576 A4:A2436" xr:uid="{755F409A-3341-46D4-A155-EFCB81CBC89F}">
      <formula1>LISTAIND</formula1>
    </dataValidation>
    <dataValidation type="list" allowBlank="1" showInputMessage="1" showErrorMessage="1" sqref="A2437:A2746" xr:uid="{AE6B4623-EAD5-495A-8100-0C35659F71AF}">
      <formula1>#REF!</formula1>
    </dataValidation>
    <dataValidation type="list" allowBlank="1" showInputMessage="1" showErrorMessage="1" sqref="A2747:A2951" xr:uid="{A00A7E0D-8BE3-4501-96FD-E977B3FF2708}">
      <formula1>LISTAIND</formula1>
    </dataValidation>
  </dataValidations>
  <hyperlinks>
    <hyperlink ref="L3" r:id="rId1" xr:uid="{611E9106-77F4-4E14-8911-5E39A452CD65}"/>
    <hyperlink ref="L5" r:id="rId2" xr:uid="{C3778156-F396-4DDE-BE67-9DFE45371086}"/>
    <hyperlink ref="L4" r:id="rId3" xr:uid="{7A6F04A8-06BE-4031-8709-F74C70FE51F2}"/>
  </hyperlink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9" r:id="rId7" name="Button 15">
              <controlPr defaultSize="0" print="0" autoFill="0" autoPict="0" macro="[0]!AtualizaInd">
                <anchor>
                  <from>
                    <xdr:col>7</xdr:col>
                    <xdr:colOff>937260</xdr:colOff>
                    <xdr:row>0</xdr:row>
                    <xdr:rowOff>99060</xdr:rowOff>
                  </from>
                  <to>
                    <xdr:col>8</xdr:col>
                    <xdr:colOff>990600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952A-A263-4581-B964-6B414C716FF7}">
  <sheetPr codeName="Planilha6">
    <pageSetUpPr autoPageBreaks="0"/>
  </sheetPr>
  <dimension ref="A1:AU42"/>
  <sheetViews>
    <sheetView workbookViewId="0">
      <selection activeCell="W21" sqref="W21"/>
    </sheetView>
  </sheetViews>
  <sheetFormatPr defaultRowHeight="14.4" x14ac:dyDescent="0.3"/>
  <cols>
    <col min="1" max="1" width="18" bestFit="1" customWidth="1"/>
    <col min="2" max="3" width="14.6640625" bestFit="1" customWidth="1"/>
    <col min="4" max="16" width="12" hidden="1" customWidth="1"/>
    <col min="17" max="17" width="18" bestFit="1" customWidth="1"/>
    <col min="18" max="18" width="15.33203125" bestFit="1" customWidth="1"/>
    <col min="19" max="19" width="13.88671875" bestFit="1" customWidth="1"/>
    <col min="20" max="24" width="12" bestFit="1" customWidth="1"/>
  </cols>
  <sheetData>
    <row r="1" spans="1:47" ht="15" thickBot="1" x14ac:dyDescent="0.35">
      <c r="A1" s="274" t="s">
        <v>620</v>
      </c>
      <c r="B1" s="274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67" t="s">
        <v>621</v>
      </c>
      <c r="R1" s="267"/>
      <c r="S1" s="267"/>
    </row>
    <row r="2" spans="1:47" ht="15" thickTop="1" x14ac:dyDescent="0.3">
      <c r="O2" s="15"/>
      <c r="P2" s="15"/>
      <c r="T2" s="15"/>
      <c r="U2" s="15"/>
      <c r="V2" s="15"/>
      <c r="W2" s="15"/>
      <c r="X2" s="15"/>
      <c r="Y2" s="15"/>
      <c r="Z2" s="15"/>
    </row>
    <row r="3" spans="1:47" x14ac:dyDescent="0.3">
      <c r="A3" s="15" t="s">
        <v>1150</v>
      </c>
      <c r="B3" t="s">
        <v>246</v>
      </c>
      <c r="C3" t="s">
        <v>723</v>
      </c>
      <c r="Q3" s="15" t="s">
        <v>1150</v>
      </c>
      <c r="R3" t="s">
        <v>725</v>
      </c>
      <c r="S3" t="s">
        <v>724</v>
      </c>
    </row>
    <row r="4" spans="1:47" x14ac:dyDescent="0.3">
      <c r="A4" s="7" t="s">
        <v>717</v>
      </c>
      <c r="B4" s="19">
        <v>27231786.752307691</v>
      </c>
      <c r="Q4" s="7" t="s">
        <v>717</v>
      </c>
      <c r="R4" s="19"/>
    </row>
    <row r="5" spans="1:47" x14ac:dyDescent="0.3">
      <c r="A5" s="59">
        <v>45658</v>
      </c>
      <c r="B5" s="19">
        <v>30759078.059999999</v>
      </c>
      <c r="Q5" s="59">
        <v>44927</v>
      </c>
      <c r="R5" s="19">
        <v>22886998.16</v>
      </c>
    </row>
    <row r="6" spans="1:47" x14ac:dyDescent="0.3">
      <c r="A6" s="59">
        <v>45689</v>
      </c>
      <c r="B6" s="19">
        <v>30039837.460000001</v>
      </c>
      <c r="Q6" s="59">
        <v>44958</v>
      </c>
      <c r="R6" s="19">
        <v>22837277.98</v>
      </c>
    </row>
    <row r="7" spans="1:47" x14ac:dyDescent="0.3">
      <c r="A7" s="59">
        <v>45717</v>
      </c>
      <c r="B7" s="19">
        <v>29892099.329999998</v>
      </c>
      <c r="Q7" s="59">
        <v>44986</v>
      </c>
      <c r="R7" s="19">
        <v>24261870.949999999</v>
      </c>
    </row>
    <row r="8" spans="1:47" x14ac:dyDescent="0.3">
      <c r="A8" s="59">
        <v>45748</v>
      </c>
      <c r="B8" s="19">
        <v>26769339.100000001</v>
      </c>
      <c r="Q8" s="59">
        <v>45017</v>
      </c>
      <c r="R8" s="19">
        <v>23475597.420000002</v>
      </c>
    </row>
    <row r="9" spans="1:47" x14ac:dyDescent="0.3">
      <c r="A9" s="59">
        <v>45778</v>
      </c>
      <c r="B9" s="19">
        <v>24196604.489999998</v>
      </c>
      <c r="Q9" s="59">
        <v>45047</v>
      </c>
      <c r="R9" s="19">
        <v>23509849.280000001</v>
      </c>
      <c r="AP9" s="267" t="s">
        <v>717</v>
      </c>
      <c r="AQ9" s="267"/>
      <c r="AR9" s="267"/>
      <c r="AS9" s="267"/>
      <c r="AT9" s="267"/>
      <c r="AU9" s="267"/>
    </row>
    <row r="10" spans="1:47" x14ac:dyDescent="0.3">
      <c r="A10" s="59">
        <v>45809</v>
      </c>
      <c r="B10" s="19">
        <v>26459292.190000001</v>
      </c>
      <c r="Q10" s="59">
        <v>45078</v>
      </c>
      <c r="R10" s="19">
        <v>22842595.829999998</v>
      </c>
    </row>
    <row r="11" spans="1:47" x14ac:dyDescent="0.3">
      <c r="A11" s="59">
        <v>45839</v>
      </c>
      <c r="B11" s="19">
        <v>27046476.670000002</v>
      </c>
      <c r="Q11" s="59">
        <v>45108</v>
      </c>
      <c r="R11" s="19">
        <v>24746789.890000001</v>
      </c>
    </row>
    <row r="12" spans="1:47" x14ac:dyDescent="0.3">
      <c r="A12" s="59">
        <v>45870</v>
      </c>
      <c r="B12" s="19">
        <v>25938993.82</v>
      </c>
      <c r="Q12" s="59">
        <v>45139</v>
      </c>
      <c r="R12" s="19">
        <v>23579720.16</v>
      </c>
    </row>
    <row r="13" spans="1:47" x14ac:dyDescent="0.3">
      <c r="A13" s="59">
        <v>45901</v>
      </c>
      <c r="B13" s="19">
        <v>25996087.539999999</v>
      </c>
      <c r="Q13" s="59">
        <v>45170</v>
      </c>
      <c r="R13" s="19">
        <v>24817492.75</v>
      </c>
    </row>
    <row r="14" spans="1:47" x14ac:dyDescent="0.3">
      <c r="A14" s="59">
        <v>45931</v>
      </c>
      <c r="B14" s="19">
        <v>26673539.030000001</v>
      </c>
      <c r="Q14" s="59">
        <v>45200</v>
      </c>
      <c r="R14" s="19">
        <v>24654821.489999998</v>
      </c>
    </row>
    <row r="15" spans="1:47" x14ac:dyDescent="0.3">
      <c r="A15" s="59">
        <v>45962</v>
      </c>
      <c r="B15" s="19">
        <v>26032272.02</v>
      </c>
      <c r="Q15" s="59">
        <v>45231</v>
      </c>
      <c r="R15" s="19">
        <v>25539862.07</v>
      </c>
    </row>
    <row r="16" spans="1:47" x14ac:dyDescent="0.3">
      <c r="A16" s="59">
        <v>45992</v>
      </c>
      <c r="B16" s="19">
        <v>27287289.27</v>
      </c>
      <c r="Q16" s="59">
        <v>45261</v>
      </c>
      <c r="R16" s="19">
        <v>25926588.920000002</v>
      </c>
    </row>
    <row r="17" spans="1:47" x14ac:dyDescent="0.3">
      <c r="A17" s="59">
        <v>46023</v>
      </c>
      <c r="B17" s="19">
        <v>26922318.800000001</v>
      </c>
      <c r="Q17" s="59">
        <v>45292</v>
      </c>
      <c r="R17" s="19">
        <v>26849770.09</v>
      </c>
    </row>
    <row r="18" spans="1:47" x14ac:dyDescent="0.3">
      <c r="A18" s="7" t="s">
        <v>247</v>
      </c>
      <c r="B18" s="19">
        <v>27231786.752307691</v>
      </c>
      <c r="Q18" s="59">
        <v>45323</v>
      </c>
      <c r="R18" s="19">
        <v>27094835.489999998</v>
      </c>
    </row>
    <row r="19" spans="1:47" x14ac:dyDescent="0.3">
      <c r="Q19" s="59">
        <v>45352</v>
      </c>
      <c r="R19" s="19">
        <v>27292852</v>
      </c>
    </row>
    <row r="20" spans="1:47" x14ac:dyDescent="0.3">
      <c r="Q20" s="59">
        <v>45383</v>
      </c>
      <c r="R20" s="19">
        <v>27463235.559999999</v>
      </c>
    </row>
    <row r="21" spans="1:47" x14ac:dyDescent="0.3">
      <c r="Q21" s="59">
        <v>45413</v>
      </c>
      <c r="R21" s="19">
        <v>27271151.850000001</v>
      </c>
    </row>
    <row r="22" spans="1:47" x14ac:dyDescent="0.3">
      <c r="Q22" s="59">
        <v>45444</v>
      </c>
      <c r="R22" s="19">
        <v>28533292.890000001</v>
      </c>
    </row>
    <row r="23" spans="1:47" x14ac:dyDescent="0.3">
      <c r="Q23" s="59">
        <v>45474</v>
      </c>
      <c r="R23" s="19">
        <v>26991904.280000001</v>
      </c>
    </row>
    <row r="24" spans="1:47" x14ac:dyDescent="0.3">
      <c r="Q24" s="59">
        <v>45505</v>
      </c>
      <c r="R24" s="19">
        <v>27685161.27</v>
      </c>
      <c r="AP24" s="267" t="s">
        <v>688</v>
      </c>
      <c r="AQ24" s="267"/>
      <c r="AR24" s="267"/>
      <c r="AS24" s="267"/>
      <c r="AT24" s="267"/>
      <c r="AU24" s="267"/>
    </row>
    <row r="25" spans="1:47" x14ac:dyDescent="0.3">
      <c r="Q25" s="59">
        <v>45536</v>
      </c>
      <c r="R25" s="19">
        <v>27895759.57</v>
      </c>
    </row>
    <row r="26" spans="1:47" x14ac:dyDescent="0.3">
      <c r="Q26" s="59">
        <v>45566</v>
      </c>
      <c r="R26" s="19">
        <v>29722285.210000001</v>
      </c>
    </row>
    <row r="27" spans="1:47" x14ac:dyDescent="0.3">
      <c r="Q27" s="59">
        <v>45597</v>
      </c>
      <c r="R27" s="19">
        <v>30488788.850000001</v>
      </c>
    </row>
    <row r="28" spans="1:47" x14ac:dyDescent="0.3">
      <c r="Q28" s="59">
        <v>45627</v>
      </c>
      <c r="R28" s="19">
        <v>28358377.210000001</v>
      </c>
    </row>
    <row r="29" spans="1:47" x14ac:dyDescent="0.3">
      <c r="Q29" s="59">
        <v>45658</v>
      </c>
      <c r="R29" s="19">
        <v>30759078.059999999</v>
      </c>
    </row>
    <row r="30" spans="1:47" x14ac:dyDescent="0.3">
      <c r="Q30" s="59">
        <v>45689</v>
      </c>
      <c r="R30" s="19">
        <v>30039837.460000001</v>
      </c>
    </row>
    <row r="31" spans="1:47" x14ac:dyDescent="0.3">
      <c r="Q31" s="59">
        <v>45717</v>
      </c>
      <c r="R31" s="19">
        <v>29892099.329999998</v>
      </c>
    </row>
    <row r="32" spans="1:47" x14ac:dyDescent="0.3">
      <c r="Q32" s="59">
        <v>45748</v>
      </c>
      <c r="R32" s="19">
        <v>26769339.100000001</v>
      </c>
    </row>
    <row r="33" spans="17:47" x14ac:dyDescent="0.3">
      <c r="Q33" s="59">
        <v>45778</v>
      </c>
      <c r="R33" s="19">
        <v>24196604.489999998</v>
      </c>
    </row>
    <row r="34" spans="17:47" x14ac:dyDescent="0.3">
      <c r="Q34" s="59">
        <v>45809</v>
      </c>
      <c r="R34" s="19">
        <v>26459292.190000001</v>
      </c>
    </row>
    <row r="35" spans="17:47" x14ac:dyDescent="0.3">
      <c r="Q35" s="59">
        <v>45839</v>
      </c>
      <c r="R35" s="19">
        <v>27046476.670000002</v>
      </c>
    </row>
    <row r="36" spans="17:47" x14ac:dyDescent="0.3">
      <c r="Q36" s="59">
        <v>45870</v>
      </c>
      <c r="R36" s="19">
        <v>25938993.82</v>
      </c>
    </row>
    <row r="37" spans="17:47" x14ac:dyDescent="0.3">
      <c r="Q37" s="59">
        <v>45901</v>
      </c>
      <c r="R37" s="19">
        <v>25996087.539999999</v>
      </c>
      <c r="AP37" s="267" t="s">
        <v>1103</v>
      </c>
      <c r="AQ37" s="267"/>
      <c r="AR37" s="267"/>
      <c r="AS37" s="267"/>
      <c r="AT37" s="267"/>
      <c r="AU37" s="267"/>
    </row>
    <row r="38" spans="17:47" x14ac:dyDescent="0.3">
      <c r="Q38" s="59">
        <v>45931</v>
      </c>
      <c r="R38" s="19">
        <v>26673539.030000001</v>
      </c>
    </row>
    <row r="39" spans="17:47" x14ac:dyDescent="0.3">
      <c r="Q39" s="59">
        <v>45962</v>
      </c>
      <c r="R39" s="19">
        <v>26032272.02</v>
      </c>
    </row>
    <row r="40" spans="17:47" x14ac:dyDescent="0.3">
      <c r="Q40" s="59">
        <v>45992</v>
      </c>
      <c r="R40" s="19">
        <v>27287289.27</v>
      </c>
    </row>
    <row r="41" spans="17:47" x14ac:dyDescent="0.3">
      <c r="Q41" s="7" t="s">
        <v>1151</v>
      </c>
      <c r="R41" s="19">
        <v>951817788.14999998</v>
      </c>
    </row>
    <row r="42" spans="17:47" x14ac:dyDescent="0.3">
      <c r="Q42" s="7" t="s">
        <v>1152</v>
      </c>
      <c r="R42" s="19">
        <v>951817788.14999998</v>
      </c>
    </row>
  </sheetData>
  <mergeCells count="5">
    <mergeCell ref="AP24:AU24"/>
    <mergeCell ref="AP9:AU9"/>
    <mergeCell ref="AP37:AU37"/>
    <mergeCell ref="A1:B1"/>
    <mergeCell ref="Q1:S1"/>
  </mergeCell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681B9-0337-4217-9C7A-524E2FF2994D}">
  <dimension ref="A1:H276"/>
  <sheetViews>
    <sheetView topLeftCell="A253" workbookViewId="0">
      <selection activeCell="O279" sqref="O279"/>
    </sheetView>
  </sheetViews>
  <sheetFormatPr defaultRowHeight="14.4" x14ac:dyDescent="0.3"/>
  <cols>
    <col min="1" max="1" width="8.88671875" style="2"/>
    <col min="2" max="2" width="32" bestFit="1" customWidth="1"/>
    <col min="3" max="5" width="14.33203125" customWidth="1"/>
    <col min="6" max="6" width="15.44140625" bestFit="1" customWidth="1"/>
    <col min="7" max="7" width="16.33203125" bestFit="1" customWidth="1"/>
    <col min="8" max="8" width="14.33203125" customWidth="1"/>
  </cols>
  <sheetData>
    <row r="1" spans="1:8" x14ac:dyDescent="0.3">
      <c r="A1" s="2" t="s">
        <v>1153</v>
      </c>
      <c r="B1" s="251" t="s">
        <v>244</v>
      </c>
      <c r="C1" s="251" t="s">
        <v>243</v>
      </c>
      <c r="D1" s="251" t="s">
        <v>629</v>
      </c>
      <c r="E1" s="251" t="s">
        <v>174</v>
      </c>
      <c r="F1" s="251" t="s">
        <v>245</v>
      </c>
      <c r="G1" s="251" t="s">
        <v>1157</v>
      </c>
      <c r="H1" s="251" t="s">
        <v>1031</v>
      </c>
    </row>
    <row r="2" spans="1:8" x14ac:dyDescent="0.3">
      <c r="A2" s="2" t="s">
        <v>322</v>
      </c>
      <c r="B2" t="s">
        <v>1154</v>
      </c>
      <c r="C2" s="29">
        <v>43831</v>
      </c>
      <c r="D2">
        <f>MONTH(Tabela8[[#This Row],[Periodo]])</f>
        <v>1</v>
      </c>
      <c r="E2">
        <f>YEAR(Tabela8[[#This Row],[Periodo]])</f>
        <v>2020</v>
      </c>
      <c r="F2" s="4">
        <f>(INDEX(TBBP[],MATCH(A2,planoContas,)+1,MATCH(Tabela8[[#This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109834.17999999976</v>
      </c>
      <c r="G2" s="4">
        <f>(INDEX(TBBP[],MATCH("3.1",planoContas,)+1,MATCH(Tabela8[[#This Row],[Periodo]],listaPeriodos,)))</f>
        <v>2941337.78</v>
      </c>
      <c r="H2" s="33">
        <f>Tabela8[[#This Row],[Valor]]/Tabela8[[#This Row],[Faturamento]]</f>
        <v>3.7341573193949783E-2</v>
      </c>
    </row>
    <row r="3" spans="1:8" x14ac:dyDescent="0.3">
      <c r="A3" s="2" t="s">
        <v>322</v>
      </c>
      <c r="B3" t="s">
        <v>1154</v>
      </c>
      <c r="C3" s="29">
        <v>43862</v>
      </c>
      <c r="D3">
        <f>MONTH(Tabela8[[#This Row],[Periodo]])</f>
        <v>2</v>
      </c>
      <c r="E3">
        <f>YEAR(Tabela8[[#This Row],[Periodo]])</f>
        <v>2020</v>
      </c>
      <c r="F3" s="4">
        <f>(INDEX(TBBP[],MATCH(A3,planoContas,)+1,MATCH(Tabela8[[#This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132122.84999999989</v>
      </c>
      <c r="G3" s="4">
        <f>(INDEX(TBBP[],MATCH("3.1",planoContas,)+1,MATCH(Tabela8[[#This Row],[Periodo]],listaPeriodos,)))</f>
        <v>2349456.3899999997</v>
      </c>
      <c r="H3" s="33">
        <f>Tabela8[[#This Row],[Valor]]/Tabela8[[#This Row],[Faturamento]]</f>
        <v>5.6235497948527537E-2</v>
      </c>
    </row>
    <row r="4" spans="1:8" x14ac:dyDescent="0.3">
      <c r="A4" s="2" t="s">
        <v>322</v>
      </c>
      <c r="B4" t="s">
        <v>1154</v>
      </c>
      <c r="C4" s="29">
        <v>43891</v>
      </c>
      <c r="D4">
        <f>MONTH(Tabela8[[#This Row],[Periodo]])</f>
        <v>3</v>
      </c>
      <c r="E4">
        <f>YEAR(Tabela8[[#This Row],[Periodo]])</f>
        <v>2020</v>
      </c>
      <c r="F4" s="4">
        <f>(INDEX(TBBP[],MATCH(A4,planoContas,)+1,MATCH(Tabela8[[#This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106887.72999999998</v>
      </c>
      <c r="G4" s="4">
        <f>(INDEX(TBBP[],MATCH("3.1",planoContas,)+1,MATCH(Tabela8[[#This Row],[Periodo]],listaPeriodos,)))</f>
        <v>1776143.5799999998</v>
      </c>
      <c r="H4" s="33">
        <f>Tabela8[[#This Row],[Valor]]/Tabela8[[#This Row],[Faturamento]]</f>
        <v>6.0179667456839267E-2</v>
      </c>
    </row>
    <row r="5" spans="1:8" x14ac:dyDescent="0.3">
      <c r="A5" s="2" t="s">
        <v>322</v>
      </c>
      <c r="B5" t="s">
        <v>1154</v>
      </c>
      <c r="C5" s="29">
        <v>43922</v>
      </c>
      <c r="D5">
        <f>MONTH(Tabela8[[#This Row],[Periodo]])</f>
        <v>4</v>
      </c>
      <c r="E5">
        <f>YEAR(Tabela8[[#This Row],[Periodo]])</f>
        <v>2020</v>
      </c>
      <c r="F5" s="4">
        <f>(INDEX(TBBP[],MATCH(A5,planoContas,)+1,MATCH(Tabela8[[#This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71605.279999999941</v>
      </c>
      <c r="G5" s="4">
        <f>(INDEX(TBBP[],MATCH("3.1",planoContas,)+1,MATCH(Tabela8[[#This Row],[Periodo]],listaPeriodos,)))</f>
        <v>1758110.85</v>
      </c>
      <c r="H5" s="33">
        <f>Tabela8[[#This Row],[Valor]]/Tabela8[[#This Row],[Faturamento]]</f>
        <v>4.0728535404920538E-2</v>
      </c>
    </row>
    <row r="6" spans="1:8" x14ac:dyDescent="0.3">
      <c r="A6" s="2" t="s">
        <v>322</v>
      </c>
      <c r="B6" t="s">
        <v>1154</v>
      </c>
      <c r="C6" s="29">
        <v>43952</v>
      </c>
      <c r="D6">
        <f>MONTH(Tabela8[[#This Row],[Periodo]])</f>
        <v>5</v>
      </c>
      <c r="E6">
        <f>YEAR(Tabela8[[#This Row],[Periodo]])</f>
        <v>2020</v>
      </c>
      <c r="F6" s="4">
        <f>(INDEX(TBBP[],MATCH(A6,planoContas,)+1,MATCH(Tabela8[[#This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69303.609999999957</v>
      </c>
      <c r="G6" s="4">
        <f>(INDEX(TBBP[],MATCH("3.1",planoContas,)+1,MATCH(Tabela8[[#This Row],[Periodo]],listaPeriodos,)))</f>
        <v>2559944.39</v>
      </c>
      <c r="H6" s="33">
        <f>Tabela8[[#This Row],[Valor]]/Tabela8[[#This Row],[Faturamento]]</f>
        <v>2.7072310738750053E-2</v>
      </c>
    </row>
    <row r="7" spans="1:8" x14ac:dyDescent="0.3">
      <c r="A7" s="2" t="s">
        <v>322</v>
      </c>
      <c r="B7" t="s">
        <v>1154</v>
      </c>
      <c r="C7" s="29">
        <v>43983</v>
      </c>
      <c r="D7">
        <f>MONTH(Tabela8[[#This Row],[Periodo]])</f>
        <v>6</v>
      </c>
      <c r="E7">
        <f>YEAR(Tabela8[[#This Row],[Periodo]])</f>
        <v>2020</v>
      </c>
      <c r="F7" s="4">
        <f>(INDEX(TBBP[],MATCH(A7,planoContas,)+1,MATCH(Tabela8[[#This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94827.04999999993</v>
      </c>
      <c r="G7" s="4">
        <f>(INDEX(TBBP[],MATCH("3.1",planoContas,)+1,MATCH(Tabela8[[#This Row],[Periodo]],listaPeriodos,)))</f>
        <v>3887509.5300000003</v>
      </c>
      <c r="H7" s="33">
        <f>Tabela8[[#This Row],[Valor]]/Tabela8[[#This Row],[Faturamento]]</f>
        <v>2.4392750491855367E-2</v>
      </c>
    </row>
    <row r="8" spans="1:8" x14ac:dyDescent="0.3">
      <c r="A8" s="2" t="s">
        <v>322</v>
      </c>
      <c r="B8" t="s">
        <v>1154</v>
      </c>
      <c r="C8" s="29">
        <v>44013</v>
      </c>
      <c r="D8">
        <f>MONTH(Tabela8[[#This Row],[Periodo]])</f>
        <v>7</v>
      </c>
      <c r="E8">
        <f>YEAR(Tabela8[[#This Row],[Periodo]])</f>
        <v>2020</v>
      </c>
      <c r="F8" s="4">
        <f>(INDEX(TBBP[],MATCH(A8,planoContas,)+1,MATCH(Tabela8[[#This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117861.12999999971</v>
      </c>
      <c r="G8" s="4">
        <f>(INDEX(TBBP[],MATCH("3.1",planoContas,)+1,MATCH(Tabela8[[#This Row],[Periodo]],listaPeriodos,)))</f>
        <v>4143176.64</v>
      </c>
      <c r="H8" s="33">
        <f>Tabela8[[#This Row],[Valor]]/Tabela8[[#This Row],[Faturamento]]</f>
        <v>2.8447044439794802E-2</v>
      </c>
    </row>
    <row r="9" spans="1:8" x14ac:dyDescent="0.3">
      <c r="A9" s="2" t="s">
        <v>322</v>
      </c>
      <c r="B9" t="s">
        <v>1154</v>
      </c>
      <c r="C9" s="29">
        <v>44044</v>
      </c>
      <c r="D9">
        <f>MONTH(Tabela8[[#This Row],[Periodo]])</f>
        <v>8</v>
      </c>
      <c r="E9">
        <f>YEAR(Tabela8[[#This Row],[Periodo]])</f>
        <v>2020</v>
      </c>
      <c r="F9" s="4">
        <f>(INDEX(TBBP[],MATCH(A9,planoContas,)+1,MATCH(Tabela8[[#This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154483.00999999995</v>
      </c>
      <c r="G9" s="4">
        <f>(INDEX(TBBP[],MATCH("3.1",planoContas,)+1,MATCH(Tabela8[[#This Row],[Periodo]],listaPeriodos,)))</f>
        <v>4467793.6800000006</v>
      </c>
      <c r="H9" s="33">
        <f>Tabela8[[#This Row],[Valor]]/Tabela8[[#This Row],[Faturamento]]</f>
        <v>3.4577024156585479E-2</v>
      </c>
    </row>
    <row r="10" spans="1:8" x14ac:dyDescent="0.3">
      <c r="A10" s="2" t="s">
        <v>322</v>
      </c>
      <c r="B10" t="s">
        <v>1154</v>
      </c>
      <c r="C10" s="29">
        <v>44075</v>
      </c>
      <c r="D10">
        <f>MONTH(Tabela8[[#This Row],[Periodo]])</f>
        <v>9</v>
      </c>
      <c r="E10">
        <f>YEAR(Tabela8[[#This Row],[Periodo]])</f>
        <v>2020</v>
      </c>
      <c r="F10" s="4">
        <f>(INDEX(TBBP[],MATCH(A10,planoContas,)+1,MATCH(Tabela8[[#This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228532.65000000014</v>
      </c>
      <c r="G10" s="4">
        <f>(INDEX(TBBP[],MATCH("3.1",planoContas,)+1,MATCH(Tabela8[[#This Row],[Periodo]],listaPeriodos,)))</f>
        <v>4802256.0000000009</v>
      </c>
      <c r="H10" s="33">
        <f>Tabela8[[#This Row],[Valor]]/Tabela8[[#This Row],[Faturamento]]</f>
        <v>4.7588602107009728E-2</v>
      </c>
    </row>
    <row r="11" spans="1:8" x14ac:dyDescent="0.3">
      <c r="A11" s="2" t="s">
        <v>322</v>
      </c>
      <c r="B11" t="s">
        <v>1154</v>
      </c>
      <c r="C11" s="29">
        <v>44105</v>
      </c>
      <c r="D11">
        <f>MONTH(Tabela8[[#This Row],[Periodo]])</f>
        <v>10</v>
      </c>
      <c r="E11">
        <f>YEAR(Tabela8[[#This Row],[Periodo]])</f>
        <v>2020</v>
      </c>
      <c r="F11" s="4">
        <f>(INDEX(TBBP[],MATCH(A11,planoContas,)+1,MATCH(Tabela8[[#This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191875.80999999988</v>
      </c>
      <c r="G11" s="4">
        <f>(INDEX(TBBP[],MATCH("3.1",planoContas,)+1,MATCH(Tabela8[[#This Row],[Periodo]],listaPeriodos,)))</f>
        <v>5685928.0300000003</v>
      </c>
      <c r="H11" s="33">
        <f>Tabela8[[#This Row],[Valor]]/Tabela8[[#This Row],[Faturamento]]</f>
        <v>3.3745733148155918E-2</v>
      </c>
    </row>
    <row r="12" spans="1:8" x14ac:dyDescent="0.3">
      <c r="A12" s="2" t="s">
        <v>322</v>
      </c>
      <c r="B12" t="s">
        <v>1154</v>
      </c>
      <c r="C12" s="29">
        <v>44136</v>
      </c>
      <c r="D12">
        <f>MONTH(Tabela8[[#This Row],[Periodo]])</f>
        <v>11</v>
      </c>
      <c r="E12">
        <f>YEAR(Tabela8[[#This Row],[Periodo]])</f>
        <v>2020</v>
      </c>
      <c r="F12" s="4">
        <f>(INDEX(TBBP[],MATCH(A12,planoContas,)+1,MATCH(Tabela8[[#This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232580.36000000004</v>
      </c>
      <c r="G12" s="4">
        <f>(INDEX(TBBP[],MATCH("3.1",planoContas,)+1,MATCH(Tabela8[[#This Row],[Periodo]],listaPeriodos,)))</f>
        <v>4644331.2300000004</v>
      </c>
      <c r="H12" s="33">
        <f>Tabela8[[#This Row],[Valor]]/Tabela8[[#This Row],[Faturamento]]</f>
        <v>5.0078331730013158E-2</v>
      </c>
    </row>
    <row r="13" spans="1:8" x14ac:dyDescent="0.3">
      <c r="A13" s="2" t="s">
        <v>322</v>
      </c>
      <c r="B13" t="s">
        <v>1154</v>
      </c>
      <c r="C13" s="29">
        <v>44166</v>
      </c>
      <c r="D13">
        <f>MONTH(Tabela8[[#This Row],[Periodo]])</f>
        <v>12</v>
      </c>
      <c r="E13">
        <f>YEAR(Tabela8[[#This Row],[Periodo]])</f>
        <v>2020</v>
      </c>
      <c r="F13" s="4">
        <f>(INDEX(TBBP[],MATCH(A13,planoContas,)+1,MATCH(Tabela8[[#This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218430.25999999989</v>
      </c>
      <c r="G13" s="4">
        <f>(INDEX(TBBP[],MATCH("3.1",planoContas,)+1,MATCH(Tabela8[[#This Row],[Periodo]],listaPeriodos,)))</f>
        <v>4473220.9900000012</v>
      </c>
      <c r="H13" s="33">
        <f>Tabela8[[#This Row],[Valor]]/Tabela8[[#This Row],[Faturamento]]</f>
        <v>4.8830643620850898E-2</v>
      </c>
    </row>
    <row r="14" spans="1:8" x14ac:dyDescent="0.3">
      <c r="A14" s="2" t="s">
        <v>322</v>
      </c>
      <c r="B14" t="s">
        <v>1154</v>
      </c>
      <c r="C14" s="29">
        <v>44197</v>
      </c>
      <c r="D14">
        <f>MONTH(Tabela8[[#This Row],[Periodo]])</f>
        <v>1</v>
      </c>
      <c r="E14">
        <f>YEAR(Tabela8[[#This Row],[Periodo]])</f>
        <v>2021</v>
      </c>
      <c r="F14" s="4">
        <f>(INDEX(TBBP[],MATCH(A14,planoContas,)+1,MATCH(Tabela8[[#This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135557.22999999998</v>
      </c>
      <c r="G14" s="4">
        <f>(INDEX(TBBP[],MATCH("3.1",planoContas,)+1,MATCH(Tabela8[[#This Row],[Periodo]],listaPeriodos,)))</f>
        <v>4944925.6000000015</v>
      </c>
      <c r="H14" s="33">
        <f>Tabela8[[#This Row],[Valor]]/Tabela8[[#This Row],[Faturamento]]</f>
        <v>2.7413401325997695E-2</v>
      </c>
    </row>
    <row r="15" spans="1:8" x14ac:dyDescent="0.3">
      <c r="A15" s="2" t="s">
        <v>322</v>
      </c>
      <c r="B15" t="s">
        <v>1154</v>
      </c>
      <c r="C15" s="29">
        <v>44228</v>
      </c>
      <c r="D15">
        <f>MONTH(Tabela8[[#This Row],[Periodo]])</f>
        <v>2</v>
      </c>
      <c r="E15">
        <f>YEAR(Tabela8[[#This Row],[Periodo]])</f>
        <v>2021</v>
      </c>
      <c r="F15" s="4">
        <f>(INDEX(TBBP[],MATCH(A15,planoContas,)+1,MATCH(Tabela8[[#This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336762.04000000021</v>
      </c>
      <c r="G15" s="4">
        <f>(INDEX(TBBP[],MATCH("3.1",planoContas,)+1,MATCH(Tabela8[[#This Row],[Periodo]],listaPeriodos,)))</f>
        <v>5234248.620000001</v>
      </c>
      <c r="H15" s="33">
        <f>Tabela8[[#This Row],[Valor]]/Tabela8[[#This Row],[Faturamento]]</f>
        <v>6.4338181933742411E-2</v>
      </c>
    </row>
    <row r="16" spans="1:8" x14ac:dyDescent="0.3">
      <c r="A16" s="2" t="s">
        <v>322</v>
      </c>
      <c r="B16" t="s">
        <v>1154</v>
      </c>
      <c r="C16" s="29">
        <v>44256</v>
      </c>
      <c r="D16">
        <f>MONTH(Tabela8[[#This Row],[Periodo]])</f>
        <v>3</v>
      </c>
      <c r="E16">
        <f>YEAR(Tabela8[[#This Row],[Periodo]])</f>
        <v>2021</v>
      </c>
      <c r="F16" s="4">
        <f>(INDEX(TBBP[],MATCH(A16,planoContas,)+1,MATCH(Tabela8[[#This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292845.00000000058</v>
      </c>
      <c r="G16" s="4">
        <f>(INDEX(TBBP[],MATCH("3.1",planoContas,)+1,MATCH(Tabela8[[#This Row],[Periodo]],listaPeriodos,)))</f>
        <v>6030259.7299999995</v>
      </c>
      <c r="H16" s="33">
        <f>Tabela8[[#This Row],[Valor]]/Tabela8[[#This Row],[Faturamento]]</f>
        <v>4.8562584882227054E-2</v>
      </c>
    </row>
    <row r="17" spans="1:8" x14ac:dyDescent="0.3">
      <c r="A17" s="2" t="s">
        <v>322</v>
      </c>
      <c r="B17" t="s">
        <v>1154</v>
      </c>
      <c r="C17" s="29">
        <v>44287</v>
      </c>
      <c r="D17">
        <f>MONTH(Tabela8[[#This Row],[Periodo]])</f>
        <v>4</v>
      </c>
      <c r="E17">
        <f>YEAR(Tabela8[[#This Row],[Periodo]])</f>
        <v>2021</v>
      </c>
      <c r="F17" s="4">
        <f>(INDEX(TBBP[],MATCH(A17,planoContas,)+1,MATCH(Tabela8[[#This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297639.00000000035</v>
      </c>
      <c r="G17" s="4">
        <f>(INDEX(TBBP[],MATCH("3.1",planoContas,)+1,MATCH(Tabela8[[#This Row],[Periodo]],listaPeriodos,)))</f>
        <v>7105290.3500000006</v>
      </c>
      <c r="H17" s="33">
        <f>Tabela8[[#This Row],[Valor]]/Tabela8[[#This Row],[Faturamento]]</f>
        <v>4.188977301962056E-2</v>
      </c>
    </row>
    <row r="18" spans="1:8" x14ac:dyDescent="0.3">
      <c r="A18" s="2" t="s">
        <v>322</v>
      </c>
      <c r="B18" t="s">
        <v>1154</v>
      </c>
      <c r="C18" s="29">
        <v>44317</v>
      </c>
      <c r="D18">
        <f>MONTH(Tabela8[[#This Row],[Periodo]])</f>
        <v>5</v>
      </c>
      <c r="E18">
        <f>YEAR(Tabela8[[#This Row],[Periodo]])</f>
        <v>2021</v>
      </c>
      <c r="F18" s="4">
        <f>(INDEX(TBBP[],MATCH(A18,planoContas,)+1,MATCH(Tabela8[[#This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338330.60999999993</v>
      </c>
      <c r="G18" s="4">
        <f>(INDEX(TBBP[],MATCH("3.1",planoContas,)+1,MATCH(Tabela8[[#This Row],[Periodo]],listaPeriodos,)))</f>
        <v>7918709.8200000003</v>
      </c>
      <c r="H18" s="33">
        <f>Tabela8[[#This Row],[Valor]]/Tabela8[[#This Row],[Faturamento]]</f>
        <v>4.2725471407664223E-2</v>
      </c>
    </row>
    <row r="19" spans="1:8" x14ac:dyDescent="0.3">
      <c r="A19" s="2" t="s">
        <v>322</v>
      </c>
      <c r="B19" t="s">
        <v>1154</v>
      </c>
      <c r="C19" s="29">
        <v>44348</v>
      </c>
      <c r="D19">
        <f>MONTH(Tabela8[[#This Row],[Periodo]])</f>
        <v>6</v>
      </c>
      <c r="E19">
        <f>YEAR(Tabela8[[#This Row],[Periodo]])</f>
        <v>2021</v>
      </c>
      <c r="F19" s="4">
        <f>(INDEX(TBBP[],MATCH(A19,planoContas,)+1,MATCH(Tabela8[[#This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354638.41000000015</v>
      </c>
      <c r="G19" s="4">
        <f>(INDEX(TBBP[],MATCH("3.1",planoContas,)+1,MATCH(Tabela8[[#This Row],[Periodo]],listaPeriodos,)))</f>
        <v>8868518.3300000001</v>
      </c>
      <c r="H19" s="33">
        <f>Tabela8[[#This Row],[Valor]]/Tabela8[[#This Row],[Faturamento]]</f>
        <v>3.9988462198961273E-2</v>
      </c>
    </row>
    <row r="20" spans="1:8" x14ac:dyDescent="0.3">
      <c r="A20" s="2" t="s">
        <v>322</v>
      </c>
      <c r="B20" t="s">
        <v>1154</v>
      </c>
      <c r="C20" s="29">
        <v>44378</v>
      </c>
      <c r="D20">
        <f>MONTH(Tabela8[[#This Row],[Periodo]])</f>
        <v>7</v>
      </c>
      <c r="E20">
        <f>YEAR(Tabela8[[#This Row],[Periodo]])</f>
        <v>2021</v>
      </c>
      <c r="F20" s="4">
        <f>(INDEX(TBBP[],MATCH(A20,planoContas,)+1,MATCH(Tabela8[[#This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354870.0500000001</v>
      </c>
      <c r="G20" s="4">
        <f>(INDEX(TBBP[],MATCH("3.1",planoContas,)+1,MATCH(Tabela8[[#This Row],[Periodo]],listaPeriodos,)))</f>
        <v>9403531.2600000016</v>
      </c>
      <c r="H20" s="33">
        <f>Tabela8[[#This Row],[Valor]]/Tabela8[[#This Row],[Faturamento]]</f>
        <v>3.7737956113308019E-2</v>
      </c>
    </row>
    <row r="21" spans="1:8" x14ac:dyDescent="0.3">
      <c r="A21" s="2" t="s">
        <v>322</v>
      </c>
      <c r="B21" t="s">
        <v>1154</v>
      </c>
      <c r="C21" s="29">
        <v>44409</v>
      </c>
      <c r="D21">
        <f>MONTH(Tabela8[[#This Row],[Periodo]])</f>
        <v>8</v>
      </c>
      <c r="E21">
        <f>YEAR(Tabela8[[#This Row],[Periodo]])</f>
        <v>2021</v>
      </c>
      <c r="F21" s="4">
        <f>(INDEX(TBBP[],MATCH(A21,planoContas,)+1,MATCH(Tabela8[[#This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377180.25999999989</v>
      </c>
      <c r="G21" s="4">
        <f>(INDEX(TBBP[],MATCH("3.1",planoContas,)+1,MATCH(Tabela8[[#This Row],[Periodo]],listaPeriodos,)))</f>
        <v>8700462.6600000001</v>
      </c>
      <c r="H21" s="33">
        <f>Tabela8[[#This Row],[Valor]]/Tabela8[[#This Row],[Faturamento]]</f>
        <v>4.3351747457531169E-2</v>
      </c>
    </row>
    <row r="22" spans="1:8" x14ac:dyDescent="0.3">
      <c r="A22" s="2" t="s">
        <v>322</v>
      </c>
      <c r="B22" t="s">
        <v>1154</v>
      </c>
      <c r="C22" s="29">
        <v>44440</v>
      </c>
      <c r="D22">
        <f>MONTH(Tabela8[[#This Row],[Periodo]])</f>
        <v>9</v>
      </c>
      <c r="E22">
        <f>YEAR(Tabela8[[#This Row],[Periodo]])</f>
        <v>2021</v>
      </c>
      <c r="F22" s="4">
        <f>(INDEX(TBBP[],MATCH(A22,planoContas,)+1,MATCH(Tabela8[[#This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312603.45999999956</v>
      </c>
      <c r="G22" s="4">
        <f>(INDEX(TBBP[],MATCH("3.1",planoContas,)+1,MATCH(Tabela8[[#This Row],[Periodo]],listaPeriodos,)))</f>
        <v>8607862.3599999994</v>
      </c>
      <c r="H22" s="33">
        <f>Tabela8[[#This Row],[Valor]]/Tabela8[[#This Row],[Faturamento]]</f>
        <v>3.6316038399108366E-2</v>
      </c>
    </row>
    <row r="23" spans="1:8" x14ac:dyDescent="0.3">
      <c r="A23" s="2" t="s">
        <v>322</v>
      </c>
      <c r="B23" t="s">
        <v>1154</v>
      </c>
      <c r="C23" s="29">
        <v>44470</v>
      </c>
      <c r="D23">
        <f>MONTH(Tabela8[[#This Row],[Periodo]])</f>
        <v>10</v>
      </c>
      <c r="E23">
        <f>YEAR(Tabela8[[#This Row],[Periodo]])</f>
        <v>2021</v>
      </c>
      <c r="F23" s="4">
        <f>(INDEX(TBBP[],MATCH(A23,planoContas,)+1,MATCH(Tabela8[[#This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416599.45999999938</v>
      </c>
      <c r="G23" s="4">
        <f>(INDEX(TBBP[],MATCH("3.1",planoContas,)+1,MATCH(Tabela8[[#This Row],[Periodo]],listaPeriodos,)))</f>
        <v>7463338.209999999</v>
      </c>
      <c r="H23" s="33">
        <f>Tabela8[[#This Row],[Valor]]/Tabela8[[#This Row],[Faturamento]]</f>
        <v>5.5819453477507545E-2</v>
      </c>
    </row>
    <row r="24" spans="1:8" x14ac:dyDescent="0.3">
      <c r="A24" s="2" t="s">
        <v>322</v>
      </c>
      <c r="B24" t="s">
        <v>1154</v>
      </c>
      <c r="C24" s="29">
        <v>44501</v>
      </c>
      <c r="D24">
        <f>MONTH(Tabela8[[#This Row],[Periodo]])</f>
        <v>11</v>
      </c>
      <c r="E24">
        <f>YEAR(Tabela8[[#This Row],[Periodo]])</f>
        <v>2021</v>
      </c>
      <c r="F24" s="4">
        <f>(INDEX(TBBP[],MATCH(A24,planoContas,)+1,MATCH(Tabela8[[#This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393321.14000000031</v>
      </c>
      <c r="G24" s="4">
        <f>(INDEX(TBBP[],MATCH("3.1",planoContas,)+1,MATCH(Tabela8[[#This Row],[Periodo]],listaPeriodos,)))</f>
        <v>6165662.4399999995</v>
      </c>
      <c r="H24" s="33">
        <f>Tabela8[[#This Row],[Valor]]/Tabela8[[#This Row],[Faturamento]]</f>
        <v>6.3792194890254214E-2</v>
      </c>
    </row>
    <row r="25" spans="1:8" x14ac:dyDescent="0.3">
      <c r="A25" s="2" t="s">
        <v>322</v>
      </c>
      <c r="B25" t="s">
        <v>1154</v>
      </c>
      <c r="C25" s="29">
        <v>44531</v>
      </c>
      <c r="D25">
        <f>MONTH(Tabela8[[#This Row],[Periodo]])</f>
        <v>12</v>
      </c>
      <c r="E25">
        <f>YEAR(Tabela8[[#This Row],[Periodo]])</f>
        <v>2021</v>
      </c>
      <c r="F25" s="4">
        <f>(INDEX(TBBP[],MATCH(A25,planoContas,)+1,MATCH(Tabela8[[#This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318443.49999999994</v>
      </c>
      <c r="G25" s="4">
        <f>(INDEX(TBBP[],MATCH("3.1",planoContas,)+1,MATCH(Tabela8[[#This Row],[Periodo]],listaPeriodos,)))</f>
        <v>5516988.5500000007</v>
      </c>
      <c r="H25" s="33">
        <f>Tabela8[[#This Row],[Valor]]/Tabela8[[#This Row],[Faturamento]]</f>
        <v>5.7720529436299066E-2</v>
      </c>
    </row>
    <row r="26" spans="1:8" x14ac:dyDescent="0.3">
      <c r="A26" s="2" t="s">
        <v>322</v>
      </c>
      <c r="B26" t="s">
        <v>1154</v>
      </c>
      <c r="C26" s="29">
        <v>44562</v>
      </c>
      <c r="D26">
        <f>MONTH(Tabela8[[#This Row],[Periodo]])</f>
        <v>1</v>
      </c>
      <c r="E26">
        <f>YEAR(Tabela8[[#This Row],[Periodo]])</f>
        <v>2022</v>
      </c>
      <c r="F26" s="4">
        <f>(INDEX(TBBP[],MATCH(A26,planoContas,)+1,MATCH(Tabela8[[#This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404174.2600000003</v>
      </c>
      <c r="G26" s="4">
        <f>(INDEX(TBBP[],MATCH("3.1",planoContas,)+1,MATCH(Tabela8[[#This Row],[Periodo]],listaPeriodos,)))</f>
        <v>5346830.53</v>
      </c>
      <c r="H26" s="33">
        <f>Tabela8[[#This Row],[Valor]]/Tabela8[[#This Row],[Faturamento]]</f>
        <v>7.5591372820264097E-2</v>
      </c>
    </row>
    <row r="27" spans="1:8" x14ac:dyDescent="0.3">
      <c r="A27" s="2" t="s">
        <v>322</v>
      </c>
      <c r="B27" t="s">
        <v>1154</v>
      </c>
      <c r="C27" s="29">
        <v>44593</v>
      </c>
      <c r="D27">
        <f>MONTH(Tabela8[[#This Row],[Periodo]])</f>
        <v>2</v>
      </c>
      <c r="E27">
        <f>YEAR(Tabela8[[#This Row],[Periodo]])</f>
        <v>2022</v>
      </c>
      <c r="F27" s="4">
        <f>(INDEX(TBBP[],MATCH(A27,planoContas,)+1,MATCH(Tabela8[[#This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736679.03000000049</v>
      </c>
      <c r="G27" s="4">
        <f>(INDEX(TBBP[],MATCH("3.1",planoContas,)+1,MATCH(Tabela8[[#This Row],[Periodo]],listaPeriodos,)))</f>
        <v>6667938.8199999994</v>
      </c>
      <c r="H27" s="33">
        <f>Tabela8[[#This Row],[Valor]]/Tabela8[[#This Row],[Faturamento]]</f>
        <v>0.1104807722276013</v>
      </c>
    </row>
    <row r="28" spans="1:8" x14ac:dyDescent="0.3">
      <c r="A28" s="2" t="s">
        <v>322</v>
      </c>
      <c r="B28" t="s">
        <v>1154</v>
      </c>
      <c r="C28" s="29">
        <v>44621</v>
      </c>
      <c r="D28">
        <f>MONTH(Tabela8[[#This Row],[Periodo]])</f>
        <v>3</v>
      </c>
      <c r="E28">
        <f>YEAR(Tabela8[[#This Row],[Periodo]])</f>
        <v>2022</v>
      </c>
      <c r="F28" s="4">
        <f>(INDEX(TBBP[],MATCH(A28,planoContas,)+1,MATCH(Tabela8[[#This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439746.18000000075</v>
      </c>
      <c r="G28" s="4">
        <f>(INDEX(TBBP[],MATCH("3.1",planoContas,)+1,MATCH(Tabela8[[#This Row],[Periodo]],listaPeriodos,)))</f>
        <v>10398348.879999999</v>
      </c>
      <c r="H28" s="33">
        <f>Tabela8[[#This Row],[Valor]]/Tabela8[[#This Row],[Faturamento]]</f>
        <v>4.2290000564012699E-2</v>
      </c>
    </row>
    <row r="29" spans="1:8" x14ac:dyDescent="0.3">
      <c r="A29" s="2" t="s">
        <v>322</v>
      </c>
      <c r="B29" t="s">
        <v>1154</v>
      </c>
      <c r="C29" s="29">
        <v>44652</v>
      </c>
      <c r="D29">
        <f>MONTH(Tabela8[[#This Row],[Periodo]])</f>
        <v>4</v>
      </c>
      <c r="E29">
        <f>YEAR(Tabela8[[#This Row],[Periodo]])</f>
        <v>2022</v>
      </c>
      <c r="F29" s="4">
        <f>(INDEX(TBBP[],MATCH(A29,planoContas,)+1,MATCH(Tabela8[[#This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444537.97</v>
      </c>
      <c r="G29" s="4">
        <f>(INDEX(TBBP[],MATCH("3.1",planoContas,)+1,MATCH(Tabela8[[#This Row],[Periodo]],listaPeriodos,)))</f>
        <v>7242034.71</v>
      </c>
      <c r="H29" s="33">
        <f>Tabela8[[#This Row],[Valor]]/Tabela8[[#This Row],[Faturamento]]</f>
        <v>6.1383021181349737E-2</v>
      </c>
    </row>
    <row r="30" spans="1:8" x14ac:dyDescent="0.3">
      <c r="A30" s="2" t="s">
        <v>322</v>
      </c>
      <c r="B30" t="s">
        <v>1154</v>
      </c>
      <c r="C30" s="29">
        <v>44682</v>
      </c>
      <c r="D30">
        <f>MONTH(Tabela8[[#This Row],[Periodo]])</f>
        <v>5</v>
      </c>
      <c r="E30">
        <f>YEAR(Tabela8[[#This Row],[Periodo]])</f>
        <v>2022</v>
      </c>
      <c r="F30" s="4">
        <f>(INDEX(TBBP[],MATCH(A30,planoContas,)+1,MATCH(Tabela8[[#This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679994.06999999925</v>
      </c>
      <c r="G30" s="4">
        <f>(INDEX(TBBP[],MATCH("3.1",planoContas,)+1,MATCH(Tabela8[[#This Row],[Periodo]],listaPeriodos,)))</f>
        <v>7832280.7899999982</v>
      </c>
      <c r="H30" s="33">
        <f>Tabela8[[#This Row],[Valor]]/Tabela8[[#This Row],[Faturamento]]</f>
        <v>8.6819419302254022E-2</v>
      </c>
    </row>
    <row r="31" spans="1:8" x14ac:dyDescent="0.3">
      <c r="A31" s="2" t="s">
        <v>322</v>
      </c>
      <c r="B31" t="s">
        <v>1154</v>
      </c>
      <c r="C31" s="29">
        <v>44713</v>
      </c>
      <c r="D31">
        <f>MONTH(Tabela8[[#This Row],[Periodo]])</f>
        <v>6</v>
      </c>
      <c r="E31">
        <f>YEAR(Tabela8[[#This Row],[Periodo]])</f>
        <v>2022</v>
      </c>
      <c r="F31" s="4">
        <f>(INDEX(TBBP[],MATCH(A31,planoContas,)+1,MATCH(Tabela8[[#This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646355.60000000079</v>
      </c>
      <c r="G31" s="4">
        <f>(INDEX(TBBP[],MATCH("3.1",planoContas,)+1,MATCH(Tabela8[[#This Row],[Periodo]],listaPeriodos,)))</f>
        <v>7871509.620000001</v>
      </c>
      <c r="H31" s="33">
        <f>Tabela8[[#This Row],[Valor]]/Tabela8[[#This Row],[Faturamento]]</f>
        <v>8.2113296076998341E-2</v>
      </c>
    </row>
    <row r="32" spans="1:8" x14ac:dyDescent="0.3">
      <c r="A32" s="2" t="s">
        <v>322</v>
      </c>
      <c r="B32" t="s">
        <v>1154</v>
      </c>
      <c r="C32" s="29">
        <v>44743</v>
      </c>
      <c r="D32">
        <f>MONTH(Tabela8[[#This Row],[Periodo]])</f>
        <v>7</v>
      </c>
      <c r="E32">
        <f>YEAR(Tabela8[[#This Row],[Periodo]])</f>
        <v>2022</v>
      </c>
      <c r="F32" s="4">
        <f>(INDEX(TBBP[],MATCH(A32,planoContas,)+1,MATCH(Tabela8[[#This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602846.25000000023</v>
      </c>
      <c r="G32" s="4">
        <f>(INDEX(TBBP[],MATCH("3.1",planoContas,)+1,MATCH(Tabela8[[#This Row],[Periodo]],listaPeriodos,)))</f>
        <v>7133374.0699999994</v>
      </c>
      <c r="H32" s="33">
        <f>Tabela8[[#This Row],[Valor]]/Tabela8[[#This Row],[Faturamento]]</f>
        <v>8.4510673922922469E-2</v>
      </c>
    </row>
    <row r="33" spans="1:8" x14ac:dyDescent="0.3">
      <c r="A33" s="2" t="s">
        <v>322</v>
      </c>
      <c r="B33" t="s">
        <v>1154</v>
      </c>
      <c r="C33" s="29">
        <v>44774</v>
      </c>
      <c r="D33">
        <f>MONTH(Tabela8[[#This Row],[Periodo]])</f>
        <v>8</v>
      </c>
      <c r="E33">
        <f>YEAR(Tabela8[[#This Row],[Periodo]])</f>
        <v>2022</v>
      </c>
      <c r="F33" s="4">
        <f>(INDEX(TBBP[],MATCH(A33,planoContas,)+1,MATCH(Tabela8[[#This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609780.60000000056</v>
      </c>
      <c r="G33" s="4">
        <f>(INDEX(TBBP[],MATCH("3.1",planoContas,)+1,MATCH(Tabela8[[#This Row],[Periodo]],listaPeriodos,)))</f>
        <v>7753457.120000002</v>
      </c>
      <c r="H33" s="33">
        <f>Tabela8[[#This Row],[Valor]]/Tabela8[[#This Row],[Faturamento]]</f>
        <v>7.8646285207030389E-2</v>
      </c>
    </row>
    <row r="34" spans="1:8" x14ac:dyDescent="0.3">
      <c r="A34" s="2" t="s">
        <v>322</v>
      </c>
      <c r="B34" t="s">
        <v>1154</v>
      </c>
      <c r="C34" s="29">
        <v>44805</v>
      </c>
      <c r="D34">
        <f>MONTH(Tabela8[[#This Row],[Periodo]])</f>
        <v>9</v>
      </c>
      <c r="E34">
        <f>YEAR(Tabela8[[#This Row],[Periodo]])</f>
        <v>2022</v>
      </c>
      <c r="F34" s="4">
        <f>(INDEX(TBBP[],MATCH(A34,planoContas,)+1,MATCH(Tabela8[[#This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530506.94999999949</v>
      </c>
      <c r="G34" s="4">
        <f>(INDEX(TBBP[],MATCH("3.1",planoContas,)+1,MATCH(Tabela8[[#This Row],[Periodo]],listaPeriodos,)))</f>
        <v>7901820.9700000007</v>
      </c>
      <c r="H34" s="33">
        <f>Tabela8[[#This Row],[Valor]]/Tabela8[[#This Row],[Faturamento]]</f>
        <v>6.7137303162665737E-2</v>
      </c>
    </row>
    <row r="35" spans="1:8" x14ac:dyDescent="0.3">
      <c r="A35" s="2" t="s">
        <v>322</v>
      </c>
      <c r="B35" t="s">
        <v>1154</v>
      </c>
      <c r="C35" s="29">
        <v>44835</v>
      </c>
      <c r="D35">
        <f>MONTH(Tabela8[[#This Row],[Periodo]])</f>
        <v>10</v>
      </c>
      <c r="E35">
        <f>YEAR(Tabela8[[#This Row],[Periodo]])</f>
        <v>2022</v>
      </c>
      <c r="F35" s="4">
        <f>(INDEX(TBBP[],MATCH(A35,planoContas,)+1,MATCH(Tabela8[[#This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637103.55999999982</v>
      </c>
      <c r="G35" s="4">
        <f>(INDEX(TBBP[],MATCH("3.1",planoContas,)+1,MATCH(Tabela8[[#This Row],[Periodo]],listaPeriodos,)))</f>
        <v>5212976.3499999996</v>
      </c>
      <c r="H35" s="33">
        <f>Tabela8[[#This Row],[Valor]]/Tabela8[[#This Row],[Faturamento]]</f>
        <v>0.12221493389280384</v>
      </c>
    </row>
    <row r="36" spans="1:8" x14ac:dyDescent="0.3">
      <c r="A36" s="2" t="s">
        <v>322</v>
      </c>
      <c r="B36" t="s">
        <v>1154</v>
      </c>
      <c r="C36" s="29">
        <v>44866</v>
      </c>
      <c r="D36">
        <f>MONTH(Tabela8[[#This Row],[Periodo]])</f>
        <v>11</v>
      </c>
      <c r="E36">
        <f>YEAR(Tabela8[[#This Row],[Periodo]])</f>
        <v>2022</v>
      </c>
      <c r="F36" s="4">
        <f>(INDEX(TBBP[],MATCH(A36,planoContas,)+1,MATCH(Tabela8[[#This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452688.42000000051</v>
      </c>
      <c r="G36" s="4">
        <f>(INDEX(TBBP[],MATCH("3.1",planoContas,)+1,MATCH(Tabela8[[#This Row],[Periodo]],listaPeriodos,)))</f>
        <v>6633932.3399999989</v>
      </c>
      <c r="H36" s="33">
        <f>Tabela8[[#This Row],[Valor]]/Tabela8[[#This Row],[Faturamento]]</f>
        <v>6.8238323335085532E-2</v>
      </c>
    </row>
    <row r="37" spans="1:8" x14ac:dyDescent="0.3">
      <c r="A37" s="2" t="s">
        <v>322</v>
      </c>
      <c r="B37" t="s">
        <v>1154</v>
      </c>
      <c r="C37" s="29">
        <v>44896</v>
      </c>
      <c r="D37">
        <f>MONTH(Tabela8[[#This Row],[Periodo]])</f>
        <v>12</v>
      </c>
      <c r="E37">
        <f>YEAR(Tabela8[[#This Row],[Periodo]])</f>
        <v>2022</v>
      </c>
      <c r="F37" s="4">
        <f>(INDEX(TBBP[],MATCH(A37,planoContas,)+1,MATCH(Tabela8[[#This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552557.03</v>
      </c>
      <c r="G37" s="4">
        <f>(INDEX(TBBP[],MATCH("3.1",planoContas,)+1,MATCH(Tabela8[[#This Row],[Periodo]],listaPeriodos,)))</f>
        <v>5522329.4800000004</v>
      </c>
      <c r="H37" s="33">
        <f>Tabela8[[#This Row],[Valor]]/Tabela8[[#This Row],[Faturamento]]</f>
        <v>0.10005868574143822</v>
      </c>
    </row>
    <row r="38" spans="1:8" x14ac:dyDescent="0.3">
      <c r="A38" s="2" t="s">
        <v>322</v>
      </c>
      <c r="B38" t="s">
        <v>1154</v>
      </c>
      <c r="C38" s="29">
        <v>44927</v>
      </c>
      <c r="D38">
        <f>MONTH(Tabela8[[#This Row],[Periodo]])</f>
        <v>1</v>
      </c>
      <c r="E38">
        <f>YEAR(Tabela8[[#This Row],[Periodo]])</f>
        <v>2023</v>
      </c>
      <c r="F38" s="4">
        <f>(INDEX(TBBP[],MATCH(A38,planoContas,)+1,MATCH(Tabela8[[#This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604713.51000000013</v>
      </c>
      <c r="G38" s="4">
        <f>(INDEX(TBBP[],MATCH("3.1",planoContas,)+1,MATCH(Tabela8[[#This Row],[Periodo]],listaPeriodos,)))</f>
        <v>4523362.28</v>
      </c>
      <c r="H38" s="33">
        <f>Tabela8[[#This Row],[Valor]]/Tabela8[[#This Row],[Faturamento]]</f>
        <v>0.13368672959796624</v>
      </c>
    </row>
    <row r="39" spans="1:8" x14ac:dyDescent="0.3">
      <c r="A39" s="2" t="s">
        <v>322</v>
      </c>
      <c r="B39" t="s">
        <v>1154</v>
      </c>
      <c r="C39" s="29">
        <v>44958</v>
      </c>
      <c r="D39">
        <f>MONTH(Tabela8[[#This Row],[Periodo]])</f>
        <v>2</v>
      </c>
      <c r="E39">
        <f>YEAR(Tabela8[[#This Row],[Periodo]])</f>
        <v>2023</v>
      </c>
      <c r="F39" s="4">
        <f>(INDEX(TBBP[],MATCH(A39,planoContas,)+1,MATCH(Tabela8[[#This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691037.49999999977</v>
      </c>
      <c r="G39" s="4">
        <f>(INDEX(TBBP[],MATCH("3.1",planoContas,)+1,MATCH(Tabela8[[#This Row],[Periodo]],listaPeriodos,)))</f>
        <v>5020605.1399999997</v>
      </c>
      <c r="H39" s="33">
        <f>Tabela8[[#This Row],[Valor]]/Tabela8[[#This Row],[Faturamento]]</f>
        <v>0.13764028054992586</v>
      </c>
    </row>
    <row r="40" spans="1:8" x14ac:dyDescent="0.3">
      <c r="A40" s="2" t="s">
        <v>322</v>
      </c>
      <c r="B40" t="s">
        <v>1154</v>
      </c>
      <c r="C40" s="29">
        <v>44986</v>
      </c>
      <c r="D40">
        <f>MONTH(Tabela8[[#This Row],[Periodo]])</f>
        <v>3</v>
      </c>
      <c r="E40">
        <f>YEAR(Tabela8[[#This Row],[Periodo]])</f>
        <v>2023</v>
      </c>
      <c r="F40" s="4">
        <f>(INDEX(TBBP[],MATCH(A40,planoContas,)+1,MATCH(Tabela8[[#This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544461.26</v>
      </c>
      <c r="G40" s="4">
        <f>(INDEX(TBBP[],MATCH("3.1",planoContas,)+1,MATCH(Tabela8[[#This Row],[Periodo]],listaPeriodos,)))</f>
        <v>6163399.0099999998</v>
      </c>
      <c r="H40" s="33">
        <f>Tabela8[[#This Row],[Valor]]/Tabela8[[#This Row],[Faturamento]]</f>
        <v>8.8337824488828612E-2</v>
      </c>
    </row>
    <row r="41" spans="1:8" x14ac:dyDescent="0.3">
      <c r="A41" s="2" t="s">
        <v>322</v>
      </c>
      <c r="B41" t="s">
        <v>1154</v>
      </c>
      <c r="C41" s="29">
        <v>45017</v>
      </c>
      <c r="D41">
        <f>MONTH(Tabela8[[#This Row],[Periodo]])</f>
        <v>4</v>
      </c>
      <c r="E41">
        <f>YEAR(Tabela8[[#This Row],[Periodo]])</f>
        <v>2023</v>
      </c>
      <c r="F41" s="4">
        <f>(INDEX(TBBP[],MATCH(A41,planoContas,)+1,MATCH(Tabela8[[#This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500045.4700000002</v>
      </c>
      <c r="G41" s="4">
        <f>(INDEX(TBBP[],MATCH("3.1",planoContas,)+1,MATCH(Tabela8[[#This Row],[Periodo]],listaPeriodos,)))</f>
        <v>5450287.8899999997</v>
      </c>
      <c r="H41" s="33">
        <f>Tabela8[[#This Row],[Valor]]/Tabela8[[#This Row],[Faturamento]]</f>
        <v>9.1746615975546245E-2</v>
      </c>
    </row>
    <row r="42" spans="1:8" x14ac:dyDescent="0.3">
      <c r="A42" s="2" t="s">
        <v>322</v>
      </c>
      <c r="B42" t="s">
        <v>1154</v>
      </c>
      <c r="C42" s="29">
        <v>45047</v>
      </c>
      <c r="D42">
        <f>MONTH(Tabela8[[#This Row],[Periodo]])</f>
        <v>5</v>
      </c>
      <c r="E42">
        <f>YEAR(Tabela8[[#This Row],[Periodo]])</f>
        <v>2023</v>
      </c>
      <c r="F42" s="4">
        <f>(INDEX(TBBP[],MATCH(A42,planoContas,)+1,MATCH(Tabela8[[#This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540377.95999999961</v>
      </c>
      <c r="G42" s="4">
        <f>(INDEX(TBBP[],MATCH("3.1",planoContas,)+1,MATCH(Tabela8[[#This Row],[Periodo]],listaPeriodos,)))</f>
        <v>9087903.75</v>
      </c>
      <c r="H42" s="33">
        <f>Tabela8[[#This Row],[Valor]]/Tabela8[[#This Row],[Faturamento]]</f>
        <v>5.9461232740278487E-2</v>
      </c>
    </row>
    <row r="43" spans="1:8" x14ac:dyDescent="0.3">
      <c r="A43" s="2" t="s">
        <v>322</v>
      </c>
      <c r="B43" t="s">
        <v>1154</v>
      </c>
      <c r="C43" s="29">
        <v>45078</v>
      </c>
      <c r="D43">
        <f>MONTH(Tabela8[[#This Row],[Periodo]])</f>
        <v>6</v>
      </c>
      <c r="E43">
        <f>YEAR(Tabela8[[#This Row],[Periodo]])</f>
        <v>2023</v>
      </c>
      <c r="F43" s="4">
        <f>(INDEX(TBBP[],MATCH(A43,planoContas,)+1,MATCH(Tabela8[[#This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456152.10999999975</v>
      </c>
      <c r="G43" s="4">
        <f>(INDEX(TBBP[],MATCH("3.1",planoContas,)+1,MATCH(Tabela8[[#This Row],[Periodo]],listaPeriodos,)))</f>
        <v>8277075.1100000013</v>
      </c>
      <c r="H43" s="33">
        <f>Tabela8[[#This Row],[Valor]]/Tabela8[[#This Row],[Faturamento]]</f>
        <v>5.5110302122170746E-2</v>
      </c>
    </row>
    <row r="44" spans="1:8" x14ac:dyDescent="0.3">
      <c r="A44" s="2" t="s">
        <v>322</v>
      </c>
      <c r="B44" t="s">
        <v>1154</v>
      </c>
      <c r="C44" s="29">
        <v>45108</v>
      </c>
      <c r="D44">
        <f>MONTH(Tabela8[[#This Row],[Periodo]])</f>
        <v>7</v>
      </c>
      <c r="E44">
        <f>YEAR(Tabela8[[#This Row],[Periodo]])</f>
        <v>2023</v>
      </c>
      <c r="F44" s="4">
        <f>(INDEX(TBBP[],MATCH(A44,planoContas,)+1,MATCH(Tabela8[[#This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700097.9</v>
      </c>
      <c r="G44" s="4">
        <f>(INDEX(TBBP[],MATCH("3.1",planoContas,)+1,MATCH(Tabela8[[#This Row],[Periodo]],listaPeriodos,)))</f>
        <v>5198444.16</v>
      </c>
      <c r="H44" s="33">
        <f>Tabela8[[#This Row],[Valor]]/Tabela8[[#This Row],[Faturamento]]</f>
        <v>0.13467450615070184</v>
      </c>
    </row>
    <row r="45" spans="1:8" x14ac:dyDescent="0.3">
      <c r="A45" s="2" t="s">
        <v>322</v>
      </c>
      <c r="B45" t="s">
        <v>1154</v>
      </c>
      <c r="C45" s="29">
        <v>45139</v>
      </c>
      <c r="D45">
        <f>MONTH(Tabela8[[#This Row],[Periodo]])</f>
        <v>8</v>
      </c>
      <c r="E45">
        <f>YEAR(Tabela8[[#This Row],[Periodo]])</f>
        <v>2023</v>
      </c>
      <c r="F45" s="4">
        <f>(INDEX(TBBP[],MATCH(A45,planoContas,)+1,MATCH(Tabela8[[#This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641877.66000000015</v>
      </c>
      <c r="G45" s="4">
        <f>(INDEX(TBBP[],MATCH("3.1",planoContas,)+1,MATCH(Tabela8[[#This Row],[Periodo]],listaPeriodos,)))</f>
        <v>7988986.9099999983</v>
      </c>
      <c r="H45" s="33">
        <f>Tabela8[[#This Row],[Valor]]/Tabela8[[#This Row],[Faturamento]]</f>
        <v>8.0345313771455443E-2</v>
      </c>
    </row>
    <row r="46" spans="1:8" x14ac:dyDescent="0.3">
      <c r="A46" s="2" t="s">
        <v>322</v>
      </c>
      <c r="B46" t="s">
        <v>1154</v>
      </c>
      <c r="C46" s="29">
        <v>45170</v>
      </c>
      <c r="D46">
        <f>MONTH(Tabela8[[#This Row],[Periodo]])</f>
        <v>9</v>
      </c>
      <c r="E46">
        <f>YEAR(Tabela8[[#This Row],[Periodo]])</f>
        <v>2023</v>
      </c>
      <c r="F46" s="4">
        <f>(INDEX(TBBP[],MATCH(A46,planoContas,)+1,MATCH(Tabela8[[#This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607460.51999999967</v>
      </c>
      <c r="G46" s="4">
        <f>(INDEX(TBBP[],MATCH("3.1",planoContas,)+1,MATCH(Tabela8[[#This Row],[Periodo]],listaPeriodos,)))</f>
        <v>7305588.3999999994</v>
      </c>
      <c r="H46" s="33">
        <f>Tabela8[[#This Row],[Valor]]/Tabela8[[#This Row],[Faturamento]]</f>
        <v>8.3150115601913696E-2</v>
      </c>
    </row>
    <row r="47" spans="1:8" x14ac:dyDescent="0.3">
      <c r="A47" s="2" t="s">
        <v>322</v>
      </c>
      <c r="B47" t="s">
        <v>1154</v>
      </c>
      <c r="C47" s="29">
        <v>45200</v>
      </c>
      <c r="D47">
        <f>MONTH(Tabela8[[#This Row],[Periodo]])</f>
        <v>10</v>
      </c>
      <c r="E47">
        <f>YEAR(Tabela8[[#This Row],[Periodo]])</f>
        <v>2023</v>
      </c>
      <c r="F47" s="4">
        <f>(INDEX(TBBP[],MATCH(A47,planoContas,)+1,MATCH(Tabela8[[#This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611256.33000000019</v>
      </c>
      <c r="G47" s="4">
        <f>(INDEX(TBBP[],MATCH("3.1",planoContas,)+1,MATCH(Tabela8[[#This Row],[Periodo]],listaPeriodos,)))</f>
        <v>8831749.629999999</v>
      </c>
      <c r="H47" s="33">
        <f>Tabela8[[#This Row],[Valor]]/Tabela8[[#This Row],[Faturamento]]</f>
        <v>6.9211238498390296E-2</v>
      </c>
    </row>
    <row r="48" spans="1:8" x14ac:dyDescent="0.3">
      <c r="A48" s="2" t="s">
        <v>322</v>
      </c>
      <c r="B48" t="s">
        <v>1154</v>
      </c>
      <c r="C48" s="29">
        <v>45231</v>
      </c>
      <c r="D48">
        <f>MONTH(Tabela8[[#This Row],[Periodo]])</f>
        <v>11</v>
      </c>
      <c r="E48">
        <f>YEAR(Tabela8[[#This Row],[Periodo]])</f>
        <v>2023</v>
      </c>
      <c r="F48" s="4">
        <f>(INDEX(TBBP[],MATCH(A48,planoContas,)+1,MATCH(Tabela8[[#This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789055.33000000054</v>
      </c>
      <c r="G48" s="4">
        <f>(INDEX(TBBP[],MATCH("3.1",planoContas,)+1,MATCH(Tabela8[[#This Row],[Periodo]],listaPeriodos,)))</f>
        <v>5971298.0200000005</v>
      </c>
      <c r="H48" s="33">
        <f>Tabela8[[#This Row],[Valor]]/Tabela8[[#This Row],[Faturamento]]</f>
        <v>0.13214134135612954</v>
      </c>
    </row>
    <row r="49" spans="1:8" x14ac:dyDescent="0.3">
      <c r="A49" s="2" t="s">
        <v>322</v>
      </c>
      <c r="B49" t="s">
        <v>1154</v>
      </c>
      <c r="C49" s="29">
        <v>45261</v>
      </c>
      <c r="D49">
        <f>MONTH(Tabela8[[#This Row],[Periodo]])</f>
        <v>12</v>
      </c>
      <c r="E49">
        <f>YEAR(Tabela8[[#This Row],[Periodo]])</f>
        <v>2023</v>
      </c>
      <c r="F49" s="4">
        <f>(INDEX(TBBP[],MATCH(A49,planoContas,)+1,MATCH(Tabela8[[#This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588125.87</v>
      </c>
      <c r="G49" s="4">
        <f>(INDEX(TBBP[],MATCH("3.1",planoContas,)+1,MATCH(Tabela8[[#This Row],[Periodo]],listaPeriodos,)))</f>
        <v>8232901.5800000001</v>
      </c>
      <c r="H49" s="33">
        <f>Tabela8[[#This Row],[Valor]]/Tabela8[[#This Row],[Faturamento]]</f>
        <v>7.1436037985528791E-2</v>
      </c>
    </row>
    <row r="50" spans="1:8" x14ac:dyDescent="0.3">
      <c r="A50" s="2" t="s">
        <v>322</v>
      </c>
      <c r="B50" t="s">
        <v>1154</v>
      </c>
      <c r="C50" s="29">
        <v>45292</v>
      </c>
      <c r="D50">
        <f>MONTH(Tabela8[[#This Row],[Periodo]])</f>
        <v>1</v>
      </c>
      <c r="E50">
        <f>YEAR(Tabela8[[#This Row],[Periodo]])</f>
        <v>2024</v>
      </c>
      <c r="F50" s="4">
        <f>(INDEX(TBBP[],MATCH(A50,planoContas,)+1,MATCH(Tabela8[[#This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1024928.9200000006</v>
      </c>
      <c r="G50" s="4">
        <f>(INDEX(TBBP[],MATCH("3.1",planoContas,)+1,MATCH(Tabela8[[#This Row],[Periodo]],listaPeriodos,)))</f>
        <v>7481410.8899999997</v>
      </c>
      <c r="H50" s="33">
        <f>Tabela8[[#This Row],[Valor]]/Tabela8[[#This Row],[Faturamento]]</f>
        <v>0.13699674233505449</v>
      </c>
    </row>
    <row r="51" spans="1:8" x14ac:dyDescent="0.3">
      <c r="A51" s="2" t="s">
        <v>322</v>
      </c>
      <c r="B51" t="s">
        <v>1154</v>
      </c>
      <c r="C51" s="29">
        <v>45323</v>
      </c>
      <c r="D51">
        <f>MONTH(Tabela8[[#This Row],[Periodo]])</f>
        <v>2</v>
      </c>
      <c r="E51">
        <f>YEAR(Tabela8[[#This Row],[Periodo]])</f>
        <v>2024</v>
      </c>
      <c r="F51" s="4">
        <f>(INDEX(TBBP[],MATCH(A51,planoContas,)+1,MATCH(Tabela8[[#This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822570.65000000037</v>
      </c>
      <c r="G51" s="4">
        <f>(INDEX(TBBP[],MATCH("3.1",planoContas,)+1,MATCH(Tabela8[[#This Row],[Periodo]],listaPeriodos,)))</f>
        <v>8407937.3199999984</v>
      </c>
      <c r="H51" s="33">
        <f>Tabela8[[#This Row],[Valor]]/Tabela8[[#This Row],[Faturamento]]</f>
        <v>9.7832633462115362E-2</v>
      </c>
    </row>
    <row r="52" spans="1:8" x14ac:dyDescent="0.3">
      <c r="A52" s="2" t="s">
        <v>322</v>
      </c>
      <c r="B52" t="s">
        <v>1154</v>
      </c>
      <c r="C52" s="29">
        <v>45352</v>
      </c>
      <c r="D52">
        <f>MONTH(Tabela8[[#This Row],[Periodo]])</f>
        <v>3</v>
      </c>
      <c r="E52">
        <f>YEAR(Tabela8[[#This Row],[Periodo]])</f>
        <v>2024</v>
      </c>
      <c r="F52" s="4">
        <f>(INDEX(TBBP[],MATCH(A52,planoContas,)+1,MATCH(Tabela8[[#This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682067.13</v>
      </c>
      <c r="G52" s="4">
        <f>(INDEX(TBBP[],MATCH("3.1",planoContas,)+1,MATCH(Tabela8[[#This Row],[Periodo]],listaPeriodos,)))</f>
        <v>7671402.7999999998</v>
      </c>
      <c r="H52" s="33">
        <f>Tabela8[[#This Row],[Valor]]/Tabela8[[#This Row],[Faturamento]]</f>
        <v>8.8910352875747833E-2</v>
      </c>
    </row>
    <row r="53" spans="1:8" x14ac:dyDescent="0.3">
      <c r="A53" s="2" t="s">
        <v>322</v>
      </c>
      <c r="B53" t="s">
        <v>1154</v>
      </c>
      <c r="C53" s="29">
        <v>45383</v>
      </c>
      <c r="D53">
        <f>MONTH(Tabela8[[#This Row],[Periodo]])</f>
        <v>4</v>
      </c>
      <c r="E53">
        <f>YEAR(Tabela8[[#This Row],[Periodo]])</f>
        <v>2024</v>
      </c>
      <c r="F53" s="4">
        <f>(INDEX(TBBP[],MATCH(A53,planoContas,)+1,MATCH(Tabela8[[#This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865085.11000000034</v>
      </c>
      <c r="G53" s="4">
        <f>(INDEX(TBBP[],MATCH("3.1",planoContas,)+1,MATCH(Tabela8[[#This Row],[Periodo]],listaPeriodos,)))</f>
        <v>10589146.889999999</v>
      </c>
      <c r="H53" s="33">
        <f>Tabela8[[#This Row],[Valor]]/Tabela8[[#This Row],[Faturamento]]</f>
        <v>8.1695449027811201E-2</v>
      </c>
    </row>
    <row r="54" spans="1:8" x14ac:dyDescent="0.3">
      <c r="A54" s="2" t="s">
        <v>322</v>
      </c>
      <c r="B54" t="s">
        <v>1154</v>
      </c>
      <c r="C54" s="29">
        <v>45413</v>
      </c>
      <c r="D54">
        <f>MONTH(Tabela8[[#This Row],[Periodo]])</f>
        <v>5</v>
      </c>
      <c r="E54">
        <f>YEAR(Tabela8[[#This Row],[Periodo]])</f>
        <v>2024</v>
      </c>
      <c r="F54" s="4">
        <f>(INDEX(TBBP[],MATCH(A54,planoContas,)+1,MATCH(Tabela8[[#This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1040467.6300000001</v>
      </c>
      <c r="G54" s="4">
        <f>(INDEX(TBBP[],MATCH("3.1",planoContas,)+1,MATCH(Tabela8[[#This Row],[Periodo]],listaPeriodos,)))</f>
        <v>11809586.859999999</v>
      </c>
      <c r="H54" s="33">
        <f>Tabela8[[#This Row],[Valor]]/Tabela8[[#This Row],[Faturamento]]</f>
        <v>8.8103643449555874E-2</v>
      </c>
    </row>
    <row r="55" spans="1:8" x14ac:dyDescent="0.3">
      <c r="A55" s="2" t="s">
        <v>322</v>
      </c>
      <c r="B55" t="s">
        <v>1154</v>
      </c>
      <c r="C55" s="29">
        <v>45444</v>
      </c>
      <c r="D55">
        <f>MONTH(Tabela8[[#This Row],[Periodo]])</f>
        <v>6</v>
      </c>
      <c r="E55">
        <f>YEAR(Tabela8[[#This Row],[Periodo]])</f>
        <v>2024</v>
      </c>
      <c r="F55" s="4">
        <f>(INDEX(TBBP[],MATCH(A55,planoContas,)+1,MATCH(Tabela8[[#This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872281.90000000037</v>
      </c>
      <c r="G55" s="4">
        <f>(INDEX(TBBP[],MATCH("3.1",planoContas,)+1,MATCH(Tabela8[[#This Row],[Periodo]],listaPeriodos,)))</f>
        <v>10610189.169999998</v>
      </c>
      <c r="H55" s="33">
        <f>Tabela8[[#This Row],[Valor]]/Tabela8[[#This Row],[Faturamento]]</f>
        <v>8.2211719887742632E-2</v>
      </c>
    </row>
    <row r="56" spans="1:8" x14ac:dyDescent="0.3">
      <c r="A56" s="2" t="s">
        <v>322</v>
      </c>
      <c r="B56" t="s">
        <v>1154</v>
      </c>
      <c r="C56" s="29">
        <v>45474</v>
      </c>
      <c r="D56">
        <f>MONTH(Tabela8[[#This Row],[Periodo]])</f>
        <v>7</v>
      </c>
      <c r="E56">
        <f>YEAR(Tabela8[[#This Row],[Periodo]])</f>
        <v>2024</v>
      </c>
      <c r="F56" s="4">
        <f>(INDEX(TBBP[],MATCH(A56,planoContas,)+1,MATCH(Tabela8[[#This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923560.95000000088</v>
      </c>
      <c r="G56" s="4">
        <f>(INDEX(TBBP[],MATCH("3.1",planoContas,)+1,MATCH(Tabela8[[#This Row],[Periodo]],listaPeriodos,)))</f>
        <v>11950053.750000002</v>
      </c>
      <c r="H56" s="33">
        <f>Tabela8[[#This Row],[Valor]]/Tabela8[[#This Row],[Faturamento]]</f>
        <v>7.7285087525233997E-2</v>
      </c>
    </row>
    <row r="57" spans="1:8" x14ac:dyDescent="0.3">
      <c r="A57" s="2" t="s">
        <v>322</v>
      </c>
      <c r="B57" t="s">
        <v>1154</v>
      </c>
      <c r="C57" s="29">
        <v>45505</v>
      </c>
      <c r="D57">
        <f>MONTH(Tabela8[[#This Row],[Periodo]])</f>
        <v>8</v>
      </c>
      <c r="E57">
        <f>YEAR(Tabela8[[#This Row],[Periodo]])</f>
        <v>2024</v>
      </c>
      <c r="F57" s="4">
        <f>(INDEX(TBBP[],MATCH(A57,planoContas,)+1,MATCH(Tabela8[[#This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1021200.0999999999</v>
      </c>
      <c r="G57" s="4">
        <f>(INDEX(TBBP[],MATCH("3.1",planoContas,)+1,MATCH(Tabela8[[#This Row],[Periodo]],listaPeriodos,)))</f>
        <v>9379852.1500000004</v>
      </c>
      <c r="H57" s="33">
        <f>Tabela8[[#This Row],[Valor]]/Tabela8[[#This Row],[Faturamento]]</f>
        <v>0.10887166275856489</v>
      </c>
    </row>
    <row r="58" spans="1:8" x14ac:dyDescent="0.3">
      <c r="A58" s="2" t="s">
        <v>322</v>
      </c>
      <c r="B58" t="s">
        <v>1154</v>
      </c>
      <c r="C58" s="29">
        <v>45536</v>
      </c>
      <c r="D58">
        <f>MONTH(Tabela8[[#This Row],[Periodo]])</f>
        <v>9</v>
      </c>
      <c r="E58">
        <f>YEAR(Tabela8[[#This Row],[Periodo]])</f>
        <v>2024</v>
      </c>
      <c r="F58" s="4">
        <f>(INDEX(TBBP[],MATCH(A58,planoContas,)+1,MATCH(Tabela8[[#This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945026.070000001</v>
      </c>
      <c r="G58" s="4">
        <f>(INDEX(TBBP[],MATCH("3.1",planoContas,)+1,MATCH(Tabela8[[#This Row],[Periodo]],listaPeriodos,)))</f>
        <v>10391320.409999998</v>
      </c>
      <c r="H58" s="33">
        <f>Tabela8[[#This Row],[Valor]]/Tabela8[[#This Row],[Faturamento]]</f>
        <v>9.0943790847846748E-2</v>
      </c>
    </row>
    <row r="59" spans="1:8" x14ac:dyDescent="0.3">
      <c r="A59" s="2" t="s">
        <v>322</v>
      </c>
      <c r="B59" t="s">
        <v>1154</v>
      </c>
      <c r="C59" s="29">
        <v>45566</v>
      </c>
      <c r="D59">
        <f>MONTH(Tabela8[[#This Row],[Periodo]])</f>
        <v>10</v>
      </c>
      <c r="E59">
        <f>YEAR(Tabela8[[#This Row],[Periodo]])</f>
        <v>2024</v>
      </c>
      <c r="F59" s="4">
        <f>(INDEX(TBBP[],MATCH(A59,planoContas,)+1,MATCH(Tabela8[[#This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994215.58000000101</v>
      </c>
      <c r="G59" s="4">
        <f>(INDEX(TBBP[],MATCH("3.1",planoContas,)+1,MATCH(Tabela8[[#This Row],[Periodo]],listaPeriodos,)))</f>
        <v>10922850.24</v>
      </c>
      <c r="H59" s="33">
        <f>Tabela8[[#This Row],[Valor]]/Tabela8[[#This Row],[Faturamento]]</f>
        <v>9.1021625139483836E-2</v>
      </c>
    </row>
    <row r="60" spans="1:8" x14ac:dyDescent="0.3">
      <c r="A60" s="2" t="s">
        <v>322</v>
      </c>
      <c r="B60" t="s">
        <v>1154</v>
      </c>
      <c r="C60" s="29">
        <v>45597</v>
      </c>
      <c r="D60">
        <f>MONTH(Tabela8[[#This Row],[Periodo]])</f>
        <v>11</v>
      </c>
      <c r="E60">
        <f>YEAR(Tabela8[[#This Row],[Periodo]])</f>
        <v>2024</v>
      </c>
      <c r="F60" s="4">
        <f>(INDEX(TBBP[],MATCH(A60,planoContas,)+1,MATCH(Tabela8[[#This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968810.61999999988</v>
      </c>
      <c r="G60" s="4">
        <f>(INDEX(TBBP[],MATCH("3.1",planoContas,)+1,MATCH(Tabela8[[#This Row],[Periodo]],listaPeriodos,)))</f>
        <v>8432311.2100000028</v>
      </c>
      <c r="H60" s="33">
        <f>Tabela8[[#This Row],[Valor]]/Tabela8[[#This Row],[Faturamento]]</f>
        <v>0.11489265467942798</v>
      </c>
    </row>
    <row r="61" spans="1:8" x14ac:dyDescent="0.3">
      <c r="A61" s="2" t="s">
        <v>322</v>
      </c>
      <c r="B61" t="s">
        <v>1154</v>
      </c>
      <c r="C61" s="29">
        <v>45627</v>
      </c>
      <c r="D61">
        <f>MONTH(Tabela8[[#This Row],[Periodo]])</f>
        <v>12</v>
      </c>
      <c r="E61">
        <f>YEAR(Tabela8[[#This Row],[Periodo]])</f>
        <v>2024</v>
      </c>
      <c r="F61" s="4">
        <f>(INDEX(TBBP[],MATCH(A61,planoContas,)+1,MATCH(Tabela8[[#This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1061695.1600000006</v>
      </c>
      <c r="G61" s="4">
        <f>(INDEX(TBBP[],MATCH("3.1",planoContas,)+1,MATCH(Tabela8[[#This Row],[Periodo]],listaPeriodos,)))</f>
        <v>12856176.879999999</v>
      </c>
      <c r="H61" s="33">
        <f>Tabela8[[#This Row],[Valor]]/Tabela8[[#This Row],[Faturamento]]</f>
        <v>8.2582494773516271E-2</v>
      </c>
    </row>
    <row r="62" spans="1:8" x14ac:dyDescent="0.3">
      <c r="A62" s="2" t="s">
        <v>322</v>
      </c>
      <c r="B62" t="s">
        <v>1154</v>
      </c>
      <c r="C62" s="29">
        <v>45658</v>
      </c>
      <c r="D62">
        <f>MONTH(Tabela8[[#This Row],[Periodo]])</f>
        <v>1</v>
      </c>
      <c r="E62">
        <f>YEAR(Tabela8[[#This Row],[Periodo]])</f>
        <v>2025</v>
      </c>
      <c r="F62" s="4">
        <f>(INDEX(TBBP[],MATCH(A62,planoContas,)+1,MATCH(Tabela8[[#This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1012020.4900000008</v>
      </c>
      <c r="G62" s="4">
        <f>(INDEX(TBBP[],MATCH("3.1",planoContas,)+1,MATCH(Tabela8[[#This Row],[Periodo]],listaPeriodos,)))</f>
        <v>8076456.3199999984</v>
      </c>
      <c r="H62" s="33">
        <f>Tabela8[[#This Row],[Valor]]/Tabela8[[#This Row],[Faturamento]]</f>
        <v>0.12530501619799525</v>
      </c>
    </row>
    <row r="63" spans="1:8" x14ac:dyDescent="0.3">
      <c r="A63" s="2" t="s">
        <v>322</v>
      </c>
      <c r="B63" t="s">
        <v>1154</v>
      </c>
      <c r="C63" s="29">
        <v>45689</v>
      </c>
      <c r="D63">
        <f>MONTH(Tabela8[[#This Row],[Periodo]])</f>
        <v>2</v>
      </c>
      <c r="E63">
        <f>YEAR(Tabela8[[#This Row],[Periodo]])</f>
        <v>2025</v>
      </c>
      <c r="F63" s="4">
        <f>(INDEX(TBBP[],MATCH(A63,planoContas,)+1,MATCH(Tabela8[[#This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1102443.5599999994</v>
      </c>
      <c r="G63" s="4">
        <f>(INDEX(TBBP[],MATCH("3.1",planoContas,)+1,MATCH(Tabela8[[#This Row],[Periodo]],listaPeriodos,)))</f>
        <v>9308880.3099999987</v>
      </c>
      <c r="H63" s="33">
        <f>Tabela8[[#This Row],[Valor]]/Tabela8[[#This Row],[Faturamento]]</f>
        <v>0.11842923351541078</v>
      </c>
    </row>
    <row r="64" spans="1:8" x14ac:dyDescent="0.3">
      <c r="A64" s="2" t="s">
        <v>322</v>
      </c>
      <c r="B64" t="s">
        <v>1154</v>
      </c>
      <c r="C64" s="29">
        <v>45717</v>
      </c>
      <c r="D64">
        <f>MONTH(Tabela8[[#This Row],[Periodo]])</f>
        <v>3</v>
      </c>
      <c r="E64">
        <f>YEAR(Tabela8[[#This Row],[Periodo]])</f>
        <v>2025</v>
      </c>
      <c r="F64" s="4">
        <f>(INDEX(TBBP[],MATCH(A64,planoContas,)+1,MATCH(Tabela8[[#This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702596.38000000082</v>
      </c>
      <c r="G64" s="4">
        <f>(INDEX(TBBP[],MATCH("3.1",planoContas,)+1,MATCH(Tabela8[[#This Row],[Periodo]],listaPeriodos,)))</f>
        <v>9248184.4199999981</v>
      </c>
      <c r="H64" s="33">
        <f>Tabela8[[#This Row],[Valor]]/Tabela8[[#This Row],[Faturamento]]</f>
        <v>7.5971276965517198E-2</v>
      </c>
    </row>
    <row r="65" spans="1:8" x14ac:dyDescent="0.3">
      <c r="A65" s="2" t="s">
        <v>322</v>
      </c>
      <c r="B65" t="s">
        <v>1154</v>
      </c>
      <c r="C65" s="29">
        <v>45748</v>
      </c>
      <c r="D65">
        <f>MONTH(Tabela8[[#This Row],[Periodo]])</f>
        <v>4</v>
      </c>
      <c r="E65">
        <f>YEAR(Tabela8[[#This Row],[Periodo]])</f>
        <v>2025</v>
      </c>
      <c r="F65" s="4">
        <f>(INDEX(TBBP[],MATCH(A65,planoContas,)+1,MATCH(Tabela8[[#This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958317.32000000158</v>
      </c>
      <c r="G65" s="4">
        <f>(INDEX(TBBP[],MATCH("3.1",planoContas,)+1,MATCH(Tabela8[[#This Row],[Periodo]],listaPeriodos,)))</f>
        <v>13159013.07</v>
      </c>
      <c r="H65" s="33">
        <f>Tabela8[[#This Row],[Valor]]/Tabela8[[#This Row],[Faturamento]]</f>
        <v>7.2825926602716071E-2</v>
      </c>
    </row>
    <row r="66" spans="1:8" x14ac:dyDescent="0.3">
      <c r="A66" s="2" t="s">
        <v>322</v>
      </c>
      <c r="B66" t="s">
        <v>1154</v>
      </c>
      <c r="C66" s="29">
        <v>45778</v>
      </c>
      <c r="D66">
        <f>MONTH(Tabela8[[#This Row],[Periodo]])</f>
        <v>5</v>
      </c>
      <c r="E66">
        <f>YEAR(Tabela8[[#This Row],[Periodo]])</f>
        <v>2025</v>
      </c>
      <c r="F66" s="4">
        <f>(INDEX(TBBP[],MATCH(A66,planoContas,)+1,MATCH(Tabela8[[#This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878646.98000000126</v>
      </c>
      <c r="G66" s="4">
        <f>(INDEX(TBBP[],MATCH("3.1",planoContas,)+1,MATCH(Tabela8[[#This Row],[Periodo]],listaPeriodos,)))</f>
        <v>13959973</v>
      </c>
      <c r="H66" s="33">
        <f>Tabela8[[#This Row],[Valor]]/Tabela8[[#This Row],[Faturamento]]</f>
        <v>6.2940449813190996E-2</v>
      </c>
    </row>
    <row r="67" spans="1:8" x14ac:dyDescent="0.3">
      <c r="A67" s="2" t="s">
        <v>322</v>
      </c>
      <c r="B67" t="s">
        <v>1154</v>
      </c>
      <c r="C67" s="29">
        <v>45809</v>
      </c>
      <c r="D67">
        <f>MONTH(Tabela8[[#This Row],[Periodo]])</f>
        <v>6</v>
      </c>
      <c r="E67">
        <f>YEAR(Tabela8[[#This Row],[Periodo]])</f>
        <v>2025</v>
      </c>
      <c r="F67" s="4">
        <f>(INDEX(TBBP[],MATCH(A67,planoContas,)+1,MATCH(Tabela8[[#This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872426.29000000027</v>
      </c>
      <c r="G67" s="4">
        <f>(INDEX(TBBP[],MATCH("3.1",planoContas,)+1,MATCH(Tabela8[[#This Row],[Periodo]],listaPeriodos,)))</f>
        <v>7586097.6900000004</v>
      </c>
      <c r="H67" s="33">
        <f>Tabela8[[#This Row],[Valor]]/Tabela8[[#This Row],[Faturamento]]</f>
        <v>0.11500330283777301</v>
      </c>
    </row>
    <row r="68" spans="1:8" x14ac:dyDescent="0.3">
      <c r="A68" s="2" t="str">
        <f>A67</f>
        <v>4.1.1.1</v>
      </c>
      <c r="B68" t="s">
        <v>1154</v>
      </c>
      <c r="C68" s="29">
        <v>45839</v>
      </c>
      <c r="D68">
        <f>MONTH(Tabela8[[#This Row],[Periodo]])</f>
        <v>7</v>
      </c>
      <c r="E68">
        <f>YEAR(Tabela8[[#This Row],[Periodo]])</f>
        <v>2025</v>
      </c>
      <c r="F68" s="4">
        <f>(INDEX(TBBP[],MATCH(A68,planoContas,)+1,MATCH(Tabela8[[#This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890138.25000000047</v>
      </c>
      <c r="G68" s="4">
        <f>(INDEX(TBBP[],MATCH("3.1",planoContas,)+1,MATCH(Tabela8[[#This Row],[Periodo]],listaPeriodos,)))</f>
        <v>8540811.4299999978</v>
      </c>
      <c r="H68" s="33">
        <f>Tabela8[[#This Row],[Valor]]/Tabela8[[#This Row],[Faturamento]]</f>
        <v>0.1042217425470077</v>
      </c>
    </row>
    <row r="69" spans="1:8" x14ac:dyDescent="0.3">
      <c r="A69" s="2" t="str">
        <f>A68</f>
        <v>4.1.1.1</v>
      </c>
      <c r="B69" t="s">
        <v>1154</v>
      </c>
      <c r="C69" s="29">
        <v>45870</v>
      </c>
      <c r="D69">
        <f>MONTH(Tabela8[[#This Row],[Periodo]])</f>
        <v>8</v>
      </c>
      <c r="E69">
        <f>YEAR(Tabela8[[#This Row],[Periodo]])</f>
        <v>2025</v>
      </c>
      <c r="F69" s="4">
        <f>(INDEX(TBBP[],MATCH(A69,planoContas,)+1,MATCH(Tabela8[[#This Row],[Periodo]],listaPeriodos,))-INDEX(TBBP[],MATCH("4.1.1.1.13",planoContas,)+1,MATCH(Tabela8[[#This Row],[Periodo]],listaPeriodos,))-INDEX(TBBP[],MATCH("4.1.1.1.20",planoContas,)+1,MATCH(Tabela8[[#This Row],[Periodo]],listaPeriodos,))-INDEX(TBBP[],MATCH("4.1.1.1.01",planoContas,)+1,MATCH(Tabela8[[#This Row],[Periodo]],listaPeriodos,)))*-1</f>
        <v>919946.14999999979</v>
      </c>
      <c r="G69" s="4">
        <f>(INDEX(TBBP[],MATCH("3.1",planoContas,)+1,MATCH(Tabela8[[#This Row],[Periodo]],listaPeriodos,)))</f>
        <v>8935630.6800000016</v>
      </c>
      <c r="H69" s="33">
        <f>Tabela8[[#This Row],[Valor]]/Tabela8[[#This Row],[Faturamento]]</f>
        <v>0.10295257077478046</v>
      </c>
    </row>
    <row r="70" spans="1:8" x14ac:dyDescent="0.3">
      <c r="C70" s="29"/>
      <c r="F70" s="4"/>
      <c r="G70" s="4"/>
      <c r="H70" s="33"/>
    </row>
    <row r="71" spans="1:8" x14ac:dyDescent="0.3">
      <c r="A71" s="2" t="s">
        <v>373</v>
      </c>
      <c r="B71" t="s">
        <v>1155</v>
      </c>
      <c r="C71" s="252">
        <v>43831</v>
      </c>
      <c r="D71">
        <f>MONTH(Tabela8[[#This Row],[Periodo]])</f>
        <v>1</v>
      </c>
      <c r="E71">
        <f>YEAR(Tabela8[[#This Row],[Periodo]])</f>
        <v>2020</v>
      </c>
      <c r="F71" s="4">
        <f>INDEX(TBBP[],MATCH(A71,planoContas,)+1,MATCH(Tabela8[[#This Row],[Periodo]],listaPeriodos,))*-1</f>
        <v>187695.47</v>
      </c>
      <c r="G71" s="4">
        <f>(INDEX(TBBP[],MATCH("3.1",planoContas,)+1,MATCH(Tabela8[[#This Row],[Periodo]],listaPeriodos,)))</f>
        <v>2941337.78</v>
      </c>
      <c r="H71" s="33">
        <f>Tabela8[[#This Row],[Valor]]/Tabela8[[#This Row],[Faturamento]]</f>
        <v>6.3812959965448113E-2</v>
      </c>
    </row>
    <row r="72" spans="1:8" x14ac:dyDescent="0.3">
      <c r="A72" s="2" t="str">
        <f>A71</f>
        <v>4.1.1.2</v>
      </c>
      <c r="B72" t="s">
        <v>1155</v>
      </c>
      <c r="C72" s="252">
        <v>43862</v>
      </c>
      <c r="D72">
        <f>MONTH(Tabela8[[#This Row],[Periodo]])</f>
        <v>2</v>
      </c>
      <c r="E72">
        <f>YEAR(Tabela8[[#This Row],[Periodo]])</f>
        <v>2020</v>
      </c>
      <c r="F72" s="4">
        <f>INDEX(TBBP[],MATCH(A72,planoContas,)+1,MATCH(Tabela8[[#This Row],[Periodo]],listaPeriodos,))*-1</f>
        <v>121455.01999999999</v>
      </c>
      <c r="G72" s="4">
        <f>(INDEX(TBBP[],MATCH("3.1",planoContas,)+1,MATCH(Tabela8[[#This Row],[Periodo]],listaPeriodos,)))</f>
        <v>2349456.3899999997</v>
      </c>
      <c r="H72" s="33">
        <f>Tabela8[[#This Row],[Valor]]/Tabela8[[#This Row],[Faturamento]]</f>
        <v>5.1694945484814896E-2</v>
      </c>
    </row>
    <row r="73" spans="1:8" x14ac:dyDescent="0.3">
      <c r="A73" s="2" t="str">
        <f t="shared" ref="A73:A136" si="0">A72</f>
        <v>4.1.1.2</v>
      </c>
      <c r="B73" t="s">
        <v>1155</v>
      </c>
      <c r="C73" s="252">
        <v>43891</v>
      </c>
      <c r="D73">
        <f>MONTH(Tabela8[[#This Row],[Periodo]])</f>
        <v>3</v>
      </c>
      <c r="E73">
        <f>YEAR(Tabela8[[#This Row],[Periodo]])</f>
        <v>2020</v>
      </c>
      <c r="F73" s="4">
        <f>INDEX(TBBP[],MATCH(A73,planoContas,)+1,MATCH(Tabela8[[#This Row],[Periodo]],listaPeriodos,))*-1</f>
        <v>159706.19999999998</v>
      </c>
      <c r="G73" s="4">
        <f>(INDEX(TBBP[],MATCH("3.1",planoContas,)+1,MATCH(Tabela8[[#This Row],[Periodo]],listaPeriodos,)))</f>
        <v>1776143.5799999998</v>
      </c>
      <c r="H73" s="33">
        <f>Tabela8[[#This Row],[Valor]]/Tabela8[[#This Row],[Faturamento]]</f>
        <v>8.9917392826992057E-2</v>
      </c>
    </row>
    <row r="74" spans="1:8" x14ac:dyDescent="0.3">
      <c r="A74" s="2" t="str">
        <f t="shared" si="0"/>
        <v>4.1.1.2</v>
      </c>
      <c r="B74" t="s">
        <v>1155</v>
      </c>
      <c r="C74" s="252">
        <v>43922</v>
      </c>
      <c r="D74">
        <f>MONTH(Tabela8[[#This Row],[Periodo]])</f>
        <v>4</v>
      </c>
      <c r="E74">
        <f>YEAR(Tabela8[[#This Row],[Periodo]])</f>
        <v>2020</v>
      </c>
      <c r="F74" s="4">
        <f>INDEX(TBBP[],MATCH(A74,planoContas,)+1,MATCH(Tabela8[[#This Row],[Periodo]],listaPeriodos,))*-1</f>
        <v>129144.65</v>
      </c>
      <c r="G74" s="4">
        <f>(INDEX(TBBP[],MATCH("3.1",planoContas,)+1,MATCH(Tabela8[[#This Row],[Periodo]],listaPeriodos,)))</f>
        <v>1758110.85</v>
      </c>
      <c r="H74" s="33">
        <f>Tabela8[[#This Row],[Valor]]/Tabela8[[#This Row],[Faturamento]]</f>
        <v>7.3456488821509736E-2</v>
      </c>
    </row>
    <row r="75" spans="1:8" x14ac:dyDescent="0.3">
      <c r="A75" s="2" t="str">
        <f t="shared" si="0"/>
        <v>4.1.1.2</v>
      </c>
      <c r="B75" t="s">
        <v>1155</v>
      </c>
      <c r="C75" s="252">
        <v>43952</v>
      </c>
      <c r="D75">
        <f>MONTH(Tabela8[[#This Row],[Periodo]])</f>
        <v>5</v>
      </c>
      <c r="E75">
        <f>YEAR(Tabela8[[#This Row],[Periodo]])</f>
        <v>2020</v>
      </c>
      <c r="F75" s="4">
        <f>INDEX(TBBP[],MATCH(A75,planoContas,)+1,MATCH(Tabela8[[#This Row],[Periodo]],listaPeriodos,))*-1</f>
        <v>117746.13</v>
      </c>
      <c r="G75" s="4">
        <f>(INDEX(TBBP[],MATCH("3.1",planoContas,)+1,MATCH(Tabela8[[#This Row],[Periodo]],listaPeriodos,)))</f>
        <v>2559944.39</v>
      </c>
      <c r="H75" s="33">
        <f>Tabela8[[#This Row],[Valor]]/Tabela8[[#This Row],[Faturamento]]</f>
        <v>4.5995581177448938E-2</v>
      </c>
    </row>
    <row r="76" spans="1:8" x14ac:dyDescent="0.3">
      <c r="A76" s="2" t="str">
        <f t="shared" si="0"/>
        <v>4.1.1.2</v>
      </c>
      <c r="B76" t="s">
        <v>1155</v>
      </c>
      <c r="C76" s="252">
        <v>43983</v>
      </c>
      <c r="D76">
        <f>MONTH(Tabela8[[#This Row],[Periodo]])</f>
        <v>6</v>
      </c>
      <c r="E76">
        <f>YEAR(Tabela8[[#This Row],[Periodo]])</f>
        <v>2020</v>
      </c>
      <c r="F76" s="4">
        <f>INDEX(TBBP[],MATCH(A76,planoContas,)+1,MATCH(Tabela8[[#This Row],[Periodo]],listaPeriodos,))*-1</f>
        <v>125184.40000000001</v>
      </c>
      <c r="G76" s="4">
        <f>(INDEX(TBBP[],MATCH("3.1",planoContas,)+1,MATCH(Tabela8[[#This Row],[Periodo]],listaPeriodos,)))</f>
        <v>3887509.5300000003</v>
      </c>
      <c r="H76" s="33">
        <f>Tabela8[[#This Row],[Valor]]/Tabela8[[#This Row],[Faturamento]]</f>
        <v>3.2201695978864908E-2</v>
      </c>
    </row>
    <row r="77" spans="1:8" x14ac:dyDescent="0.3">
      <c r="A77" s="2" t="str">
        <f t="shared" si="0"/>
        <v>4.1.1.2</v>
      </c>
      <c r="B77" t="s">
        <v>1155</v>
      </c>
      <c r="C77" s="252">
        <v>44013</v>
      </c>
      <c r="D77">
        <f>MONTH(Tabela8[[#This Row],[Periodo]])</f>
        <v>7</v>
      </c>
      <c r="E77">
        <f>YEAR(Tabela8[[#This Row],[Periodo]])</f>
        <v>2020</v>
      </c>
      <c r="F77" s="4">
        <f>INDEX(TBBP[],MATCH(A77,planoContas,)+1,MATCH(Tabela8[[#This Row],[Periodo]],listaPeriodos,))*-1</f>
        <v>131867.93</v>
      </c>
      <c r="G77" s="4">
        <f>(INDEX(TBBP[],MATCH("3.1",planoContas,)+1,MATCH(Tabela8[[#This Row],[Periodo]],listaPeriodos,)))</f>
        <v>4143176.64</v>
      </c>
      <c r="H77" s="33">
        <f>Tabela8[[#This Row],[Valor]]/Tabela8[[#This Row],[Faturamento]]</f>
        <v>3.1827735445042478E-2</v>
      </c>
    </row>
    <row r="78" spans="1:8" x14ac:dyDescent="0.3">
      <c r="A78" s="2" t="str">
        <f t="shared" si="0"/>
        <v>4.1.1.2</v>
      </c>
      <c r="B78" t="s">
        <v>1155</v>
      </c>
      <c r="C78" s="252">
        <v>44044</v>
      </c>
      <c r="D78">
        <f>MONTH(Tabela8[[#This Row],[Periodo]])</f>
        <v>8</v>
      </c>
      <c r="E78">
        <f>YEAR(Tabela8[[#This Row],[Periodo]])</f>
        <v>2020</v>
      </c>
      <c r="F78" s="4">
        <f>INDEX(TBBP[],MATCH(A78,planoContas,)+1,MATCH(Tabela8[[#This Row],[Periodo]],listaPeriodos,))*-1</f>
        <v>105756.23000000001</v>
      </c>
      <c r="G78" s="4">
        <f>(INDEX(TBBP[],MATCH("3.1",planoContas,)+1,MATCH(Tabela8[[#This Row],[Periodo]],listaPeriodos,)))</f>
        <v>4467793.6800000006</v>
      </c>
      <c r="H78" s="33">
        <f>Tabela8[[#This Row],[Valor]]/Tabela8[[#This Row],[Faturamento]]</f>
        <v>2.3670795380148348E-2</v>
      </c>
    </row>
    <row r="79" spans="1:8" x14ac:dyDescent="0.3">
      <c r="A79" s="2" t="str">
        <f t="shared" si="0"/>
        <v>4.1.1.2</v>
      </c>
      <c r="B79" t="s">
        <v>1155</v>
      </c>
      <c r="C79" s="252">
        <v>44075</v>
      </c>
      <c r="D79">
        <f>MONTH(Tabela8[[#This Row],[Periodo]])</f>
        <v>9</v>
      </c>
      <c r="E79">
        <f>YEAR(Tabela8[[#This Row],[Periodo]])</f>
        <v>2020</v>
      </c>
      <c r="F79" s="4">
        <f>INDEX(TBBP[],MATCH(A79,planoContas,)+1,MATCH(Tabela8[[#This Row],[Periodo]],listaPeriodos,))*-1</f>
        <v>219274.88</v>
      </c>
      <c r="G79" s="4">
        <f>(INDEX(TBBP[],MATCH("3.1",planoContas,)+1,MATCH(Tabela8[[#This Row],[Periodo]],listaPeriodos,)))</f>
        <v>4802256.0000000009</v>
      </c>
      <c r="H79" s="33">
        <f>Tabela8[[#This Row],[Valor]]/Tabela8[[#This Row],[Faturamento]]</f>
        <v>4.5660806087805393E-2</v>
      </c>
    </row>
    <row r="80" spans="1:8" x14ac:dyDescent="0.3">
      <c r="A80" s="2" t="str">
        <f t="shared" si="0"/>
        <v>4.1.1.2</v>
      </c>
      <c r="B80" t="s">
        <v>1155</v>
      </c>
      <c r="C80" s="252">
        <v>44105</v>
      </c>
      <c r="D80">
        <f>MONTH(Tabela8[[#This Row],[Periodo]])</f>
        <v>10</v>
      </c>
      <c r="E80">
        <f>YEAR(Tabela8[[#This Row],[Periodo]])</f>
        <v>2020</v>
      </c>
      <c r="F80" s="4">
        <f>INDEX(TBBP[],MATCH(A80,planoContas,)+1,MATCH(Tabela8[[#This Row],[Periodo]],listaPeriodos,))*-1</f>
        <v>164656.59</v>
      </c>
      <c r="G80" s="4">
        <f>(INDEX(TBBP[],MATCH("3.1",planoContas,)+1,MATCH(Tabela8[[#This Row],[Periodo]],listaPeriodos,)))</f>
        <v>5685928.0300000003</v>
      </c>
      <c r="H80" s="33">
        <f>Tabela8[[#This Row],[Valor]]/Tabela8[[#This Row],[Faturamento]]</f>
        <v>2.8958613111393881E-2</v>
      </c>
    </row>
    <row r="81" spans="1:8" x14ac:dyDescent="0.3">
      <c r="A81" s="2" t="str">
        <f t="shared" si="0"/>
        <v>4.1.1.2</v>
      </c>
      <c r="B81" t="s">
        <v>1155</v>
      </c>
      <c r="C81" s="252">
        <v>44136</v>
      </c>
      <c r="D81">
        <f>MONTH(Tabela8[[#This Row],[Periodo]])</f>
        <v>11</v>
      </c>
      <c r="E81">
        <f>YEAR(Tabela8[[#This Row],[Periodo]])</f>
        <v>2020</v>
      </c>
      <c r="F81" s="4">
        <f>INDEX(TBBP[],MATCH(A81,planoContas,)+1,MATCH(Tabela8[[#This Row],[Periodo]],listaPeriodos,))*-1</f>
        <v>178923.95</v>
      </c>
      <c r="G81" s="4">
        <f>(INDEX(TBBP[],MATCH("3.1",planoContas,)+1,MATCH(Tabela8[[#This Row],[Periodo]],listaPeriodos,)))</f>
        <v>4644331.2300000004</v>
      </c>
      <c r="H81" s="33">
        <f>Tabela8[[#This Row],[Valor]]/Tabela8[[#This Row],[Faturamento]]</f>
        <v>3.85252345578289E-2</v>
      </c>
    </row>
    <row r="82" spans="1:8" x14ac:dyDescent="0.3">
      <c r="A82" s="2" t="str">
        <f t="shared" si="0"/>
        <v>4.1.1.2</v>
      </c>
      <c r="B82" t="s">
        <v>1155</v>
      </c>
      <c r="C82" s="252">
        <v>44166</v>
      </c>
      <c r="D82">
        <f>MONTH(Tabela8[[#This Row],[Periodo]])</f>
        <v>12</v>
      </c>
      <c r="E82">
        <f>YEAR(Tabela8[[#This Row],[Periodo]])</f>
        <v>2020</v>
      </c>
      <c r="F82" s="4">
        <f>INDEX(TBBP[],MATCH(A82,planoContas,)+1,MATCH(Tabela8[[#This Row],[Periodo]],listaPeriodos,))*-1</f>
        <v>163773.85999999999</v>
      </c>
      <c r="G82" s="4">
        <f>(INDEX(TBBP[],MATCH("3.1",planoContas,)+1,MATCH(Tabela8[[#This Row],[Periodo]],listaPeriodos,)))</f>
        <v>4473220.9900000012</v>
      </c>
      <c r="H82" s="33">
        <f>Tabela8[[#This Row],[Valor]]/Tabela8[[#This Row],[Faturamento]]</f>
        <v>3.6612065526411643E-2</v>
      </c>
    </row>
    <row r="83" spans="1:8" x14ac:dyDescent="0.3">
      <c r="A83" s="2" t="str">
        <f t="shared" si="0"/>
        <v>4.1.1.2</v>
      </c>
      <c r="B83" t="s">
        <v>1155</v>
      </c>
      <c r="C83" s="252">
        <v>44197</v>
      </c>
      <c r="D83">
        <f>MONTH(Tabela8[[#This Row],[Periodo]])</f>
        <v>1</v>
      </c>
      <c r="E83">
        <f>YEAR(Tabela8[[#This Row],[Periodo]])</f>
        <v>2021</v>
      </c>
      <c r="F83" s="4">
        <f>INDEX(TBBP[],MATCH(A83,planoContas,)+1,MATCH(Tabela8[[#This Row],[Periodo]],listaPeriodos,))*-1</f>
        <v>204729.50999999998</v>
      </c>
      <c r="G83" s="4">
        <f>(INDEX(TBBP[],MATCH("3.1",planoContas,)+1,MATCH(Tabela8[[#This Row],[Periodo]],listaPeriodos,)))</f>
        <v>4944925.6000000015</v>
      </c>
      <c r="H83" s="33">
        <f>Tabela8[[#This Row],[Valor]]/Tabela8[[#This Row],[Faturamento]]</f>
        <v>4.1401939394194308E-2</v>
      </c>
    </row>
    <row r="84" spans="1:8" x14ac:dyDescent="0.3">
      <c r="A84" s="2" t="str">
        <f t="shared" si="0"/>
        <v>4.1.1.2</v>
      </c>
      <c r="B84" t="s">
        <v>1155</v>
      </c>
      <c r="C84" s="252">
        <v>44228</v>
      </c>
      <c r="D84">
        <f>MONTH(Tabela8[[#This Row],[Periodo]])</f>
        <v>2</v>
      </c>
      <c r="E84">
        <f>YEAR(Tabela8[[#This Row],[Periodo]])</f>
        <v>2021</v>
      </c>
      <c r="F84" s="4">
        <f>INDEX(TBBP[],MATCH(A84,planoContas,)+1,MATCH(Tabela8[[#This Row],[Periodo]],listaPeriodos,))*-1</f>
        <v>173648.63999999998</v>
      </c>
      <c r="G84" s="4">
        <f>(INDEX(TBBP[],MATCH("3.1",planoContas,)+1,MATCH(Tabela8[[#This Row],[Periodo]],listaPeriodos,)))</f>
        <v>5234248.620000001</v>
      </c>
      <c r="H84" s="33">
        <f>Tabela8[[#This Row],[Valor]]/Tabela8[[#This Row],[Faturamento]]</f>
        <v>3.3175466548625646E-2</v>
      </c>
    </row>
    <row r="85" spans="1:8" x14ac:dyDescent="0.3">
      <c r="A85" s="2" t="str">
        <f t="shared" si="0"/>
        <v>4.1.1.2</v>
      </c>
      <c r="B85" t="s">
        <v>1155</v>
      </c>
      <c r="C85" s="252">
        <v>44256</v>
      </c>
      <c r="D85">
        <f>MONTH(Tabela8[[#This Row],[Periodo]])</f>
        <v>3</v>
      </c>
      <c r="E85">
        <f>YEAR(Tabela8[[#This Row],[Periodo]])</f>
        <v>2021</v>
      </c>
      <c r="F85" s="4">
        <f>INDEX(TBBP[],MATCH(A85,planoContas,)+1,MATCH(Tabela8[[#This Row],[Periodo]],listaPeriodos,))*-1</f>
        <v>243687.8</v>
      </c>
      <c r="G85" s="4">
        <f>(INDEX(TBBP[],MATCH("3.1",planoContas,)+1,MATCH(Tabela8[[#This Row],[Periodo]],listaPeriodos,)))</f>
        <v>6030259.7299999995</v>
      </c>
      <c r="H85" s="33">
        <f>Tabela8[[#This Row],[Valor]]/Tabela8[[#This Row],[Faturamento]]</f>
        <v>4.0410829866527158E-2</v>
      </c>
    </row>
    <row r="86" spans="1:8" x14ac:dyDescent="0.3">
      <c r="A86" s="2" t="str">
        <f t="shared" si="0"/>
        <v>4.1.1.2</v>
      </c>
      <c r="B86" t="s">
        <v>1155</v>
      </c>
      <c r="C86" s="252">
        <v>44287</v>
      </c>
      <c r="D86">
        <f>MONTH(Tabela8[[#This Row],[Periodo]])</f>
        <v>4</v>
      </c>
      <c r="E86">
        <f>YEAR(Tabela8[[#This Row],[Periodo]])</f>
        <v>2021</v>
      </c>
      <c r="F86" s="4">
        <f>INDEX(TBBP[],MATCH(A86,planoContas,)+1,MATCH(Tabela8[[#This Row],[Periodo]],listaPeriodos,))*-1</f>
        <v>156274.08000000002</v>
      </c>
      <c r="G86" s="4">
        <f>(INDEX(TBBP[],MATCH("3.1",planoContas,)+1,MATCH(Tabela8[[#This Row],[Periodo]],listaPeriodos,)))</f>
        <v>7105290.3500000006</v>
      </c>
      <c r="H86" s="33">
        <f>Tabela8[[#This Row],[Valor]]/Tabela8[[#This Row],[Faturamento]]</f>
        <v>2.1994045605750651E-2</v>
      </c>
    </row>
    <row r="87" spans="1:8" x14ac:dyDescent="0.3">
      <c r="A87" s="2" t="str">
        <f t="shared" si="0"/>
        <v>4.1.1.2</v>
      </c>
      <c r="B87" t="s">
        <v>1155</v>
      </c>
      <c r="C87" s="252">
        <v>44317</v>
      </c>
      <c r="D87">
        <f>MONTH(Tabela8[[#This Row],[Periodo]])</f>
        <v>5</v>
      </c>
      <c r="E87">
        <f>YEAR(Tabela8[[#This Row],[Periodo]])</f>
        <v>2021</v>
      </c>
      <c r="F87" s="4">
        <f>INDEX(TBBP[],MATCH(A87,planoContas,)+1,MATCH(Tabela8[[#This Row],[Periodo]],listaPeriodos,))*-1</f>
        <v>126123.91</v>
      </c>
      <c r="G87" s="4">
        <f>(INDEX(TBBP[],MATCH("3.1",planoContas,)+1,MATCH(Tabela8[[#This Row],[Periodo]],listaPeriodos,)))</f>
        <v>7918709.8200000003</v>
      </c>
      <c r="H87" s="33">
        <f>Tabela8[[#This Row],[Valor]]/Tabela8[[#This Row],[Faturamento]]</f>
        <v>1.592733069741404E-2</v>
      </c>
    </row>
    <row r="88" spans="1:8" x14ac:dyDescent="0.3">
      <c r="A88" s="2" t="str">
        <f t="shared" si="0"/>
        <v>4.1.1.2</v>
      </c>
      <c r="B88" t="s">
        <v>1155</v>
      </c>
      <c r="C88" s="252">
        <v>44348</v>
      </c>
      <c r="D88">
        <f>MONTH(Tabela8[[#This Row],[Periodo]])</f>
        <v>6</v>
      </c>
      <c r="E88">
        <f>YEAR(Tabela8[[#This Row],[Periodo]])</f>
        <v>2021</v>
      </c>
      <c r="F88" s="4">
        <f>INDEX(TBBP[],MATCH(A88,planoContas,)+1,MATCH(Tabela8[[#This Row],[Periodo]],listaPeriodos,))*-1</f>
        <v>249998.9</v>
      </c>
      <c r="G88" s="4">
        <f>(INDEX(TBBP[],MATCH("3.1",planoContas,)+1,MATCH(Tabela8[[#This Row],[Periodo]],listaPeriodos,)))</f>
        <v>8868518.3300000001</v>
      </c>
      <c r="H88" s="33">
        <f>Tabela8[[#This Row],[Valor]]/Tabela8[[#This Row],[Faturamento]]</f>
        <v>2.8189477734326337E-2</v>
      </c>
    </row>
    <row r="89" spans="1:8" x14ac:dyDescent="0.3">
      <c r="A89" s="2" t="str">
        <f t="shared" si="0"/>
        <v>4.1.1.2</v>
      </c>
      <c r="B89" t="s">
        <v>1155</v>
      </c>
      <c r="C89" s="252">
        <v>44378</v>
      </c>
      <c r="D89">
        <f>MONTH(Tabela8[[#This Row],[Periodo]])</f>
        <v>7</v>
      </c>
      <c r="E89">
        <f>YEAR(Tabela8[[#This Row],[Periodo]])</f>
        <v>2021</v>
      </c>
      <c r="F89" s="4">
        <f>INDEX(TBBP[],MATCH(A89,planoContas,)+1,MATCH(Tabela8[[#This Row],[Periodo]],listaPeriodos,))*-1</f>
        <v>273420.78999999998</v>
      </c>
      <c r="G89" s="4">
        <f>(INDEX(TBBP[],MATCH("3.1",planoContas,)+1,MATCH(Tabela8[[#This Row],[Periodo]],listaPeriodos,)))</f>
        <v>9403531.2600000016</v>
      </c>
      <c r="H89" s="33">
        <f>Tabela8[[#This Row],[Valor]]/Tabela8[[#This Row],[Faturamento]]</f>
        <v>2.9076395073312059E-2</v>
      </c>
    </row>
    <row r="90" spans="1:8" x14ac:dyDescent="0.3">
      <c r="A90" s="2" t="str">
        <f t="shared" si="0"/>
        <v>4.1.1.2</v>
      </c>
      <c r="B90" t="s">
        <v>1155</v>
      </c>
      <c r="C90" s="252">
        <v>44409</v>
      </c>
      <c r="D90">
        <f>MONTH(Tabela8[[#This Row],[Periodo]])</f>
        <v>8</v>
      </c>
      <c r="E90">
        <f>YEAR(Tabela8[[#This Row],[Periodo]])</f>
        <v>2021</v>
      </c>
      <c r="F90" s="4">
        <f>INDEX(TBBP[],MATCH(A90,planoContas,)+1,MATCH(Tabela8[[#This Row],[Periodo]],listaPeriodos,))*-1</f>
        <v>205177.15000000002</v>
      </c>
      <c r="G90" s="4">
        <f>(INDEX(TBBP[],MATCH("3.1",planoContas,)+1,MATCH(Tabela8[[#This Row],[Periodo]],listaPeriodos,)))</f>
        <v>8700462.6600000001</v>
      </c>
      <c r="H90" s="33">
        <f>Tabela8[[#This Row],[Valor]]/Tabela8[[#This Row],[Faturamento]]</f>
        <v>2.3582326367917544E-2</v>
      </c>
    </row>
    <row r="91" spans="1:8" x14ac:dyDescent="0.3">
      <c r="A91" s="2" t="str">
        <f t="shared" si="0"/>
        <v>4.1.1.2</v>
      </c>
      <c r="B91" t="s">
        <v>1155</v>
      </c>
      <c r="C91" s="252">
        <v>44440</v>
      </c>
      <c r="D91">
        <f>MONTH(Tabela8[[#This Row],[Periodo]])</f>
        <v>9</v>
      </c>
      <c r="E91">
        <f>YEAR(Tabela8[[#This Row],[Periodo]])</f>
        <v>2021</v>
      </c>
      <c r="F91" s="4">
        <f>INDEX(TBBP[],MATCH(A91,planoContas,)+1,MATCH(Tabela8[[#This Row],[Periodo]],listaPeriodos,))*-1</f>
        <v>247031.59</v>
      </c>
      <c r="G91" s="4">
        <f>(INDEX(TBBP[],MATCH("3.1",planoContas,)+1,MATCH(Tabela8[[#This Row],[Periodo]],listaPeriodos,)))</f>
        <v>8607862.3599999994</v>
      </c>
      <c r="H91" s="33">
        <f>Tabela8[[#This Row],[Valor]]/Tabela8[[#This Row],[Faturamento]]</f>
        <v>2.8698366640704513E-2</v>
      </c>
    </row>
    <row r="92" spans="1:8" x14ac:dyDescent="0.3">
      <c r="A92" s="2" t="str">
        <f t="shared" si="0"/>
        <v>4.1.1.2</v>
      </c>
      <c r="B92" t="s">
        <v>1155</v>
      </c>
      <c r="C92" s="252">
        <v>44470</v>
      </c>
      <c r="D92">
        <f>MONTH(Tabela8[[#This Row],[Periodo]])</f>
        <v>10</v>
      </c>
      <c r="E92">
        <f>YEAR(Tabela8[[#This Row],[Periodo]])</f>
        <v>2021</v>
      </c>
      <c r="F92" s="4">
        <f>INDEX(TBBP[],MATCH(A92,planoContas,)+1,MATCH(Tabela8[[#This Row],[Periodo]],listaPeriodos,))*-1</f>
        <v>288630.62999999995</v>
      </c>
      <c r="G92" s="4">
        <f>(INDEX(TBBP[],MATCH("3.1",planoContas,)+1,MATCH(Tabela8[[#This Row],[Periodo]],listaPeriodos,)))</f>
        <v>7463338.209999999</v>
      </c>
      <c r="H92" s="33">
        <f>Tabela8[[#This Row],[Valor]]/Tabela8[[#This Row],[Faturamento]]</f>
        <v>3.8673127477094463E-2</v>
      </c>
    </row>
    <row r="93" spans="1:8" x14ac:dyDescent="0.3">
      <c r="A93" s="2" t="str">
        <f t="shared" si="0"/>
        <v>4.1.1.2</v>
      </c>
      <c r="B93" t="s">
        <v>1155</v>
      </c>
      <c r="C93" s="252">
        <v>44501</v>
      </c>
      <c r="D93">
        <f>MONTH(Tabela8[[#This Row],[Periodo]])</f>
        <v>11</v>
      </c>
      <c r="E93">
        <f>YEAR(Tabela8[[#This Row],[Periodo]])</f>
        <v>2021</v>
      </c>
      <c r="F93" s="4">
        <f>INDEX(TBBP[],MATCH(A93,planoContas,)+1,MATCH(Tabela8[[#This Row],[Periodo]],listaPeriodos,))*-1</f>
        <v>306857.49</v>
      </c>
      <c r="G93" s="4">
        <f>(INDEX(TBBP[],MATCH("3.1",planoContas,)+1,MATCH(Tabela8[[#This Row],[Periodo]],listaPeriodos,)))</f>
        <v>6165662.4399999995</v>
      </c>
      <c r="H93" s="33">
        <f>Tabela8[[#This Row],[Valor]]/Tabela8[[#This Row],[Faturamento]]</f>
        <v>4.9768778778618961E-2</v>
      </c>
    </row>
    <row r="94" spans="1:8" x14ac:dyDescent="0.3">
      <c r="A94" s="2" t="str">
        <f t="shared" si="0"/>
        <v>4.1.1.2</v>
      </c>
      <c r="B94" t="s">
        <v>1155</v>
      </c>
      <c r="C94" s="252">
        <v>44531</v>
      </c>
      <c r="D94">
        <f>MONTH(Tabela8[[#This Row],[Periodo]])</f>
        <v>12</v>
      </c>
      <c r="E94">
        <f>YEAR(Tabela8[[#This Row],[Periodo]])</f>
        <v>2021</v>
      </c>
      <c r="F94" s="4">
        <f>INDEX(TBBP[],MATCH(A94,planoContas,)+1,MATCH(Tabela8[[#This Row],[Periodo]],listaPeriodos,))*-1</f>
        <v>135229.36000000002</v>
      </c>
      <c r="G94" s="4">
        <f>(INDEX(TBBP[],MATCH("3.1",planoContas,)+1,MATCH(Tabela8[[#This Row],[Periodo]],listaPeriodos,)))</f>
        <v>5516988.5500000007</v>
      </c>
      <c r="H94" s="33">
        <f>Tabela8[[#This Row],[Valor]]/Tabela8[[#This Row],[Faturamento]]</f>
        <v>2.4511444744615248E-2</v>
      </c>
    </row>
    <row r="95" spans="1:8" x14ac:dyDescent="0.3">
      <c r="A95" s="2" t="str">
        <f t="shared" si="0"/>
        <v>4.1.1.2</v>
      </c>
      <c r="B95" t="s">
        <v>1155</v>
      </c>
      <c r="C95" s="252">
        <v>44562</v>
      </c>
      <c r="D95">
        <f>MONTH(Tabela8[[#This Row],[Periodo]])</f>
        <v>1</v>
      </c>
      <c r="E95">
        <f>YEAR(Tabela8[[#This Row],[Periodo]])</f>
        <v>2022</v>
      </c>
      <c r="F95" s="4">
        <f>INDEX(TBBP[],MATCH(A95,planoContas,)+1,MATCH(Tabela8[[#This Row],[Periodo]],listaPeriodos,))*-1</f>
        <v>156792.60999999999</v>
      </c>
      <c r="G95" s="4">
        <f>(INDEX(TBBP[],MATCH("3.1",planoContas,)+1,MATCH(Tabela8[[#This Row],[Periodo]],listaPeriodos,)))</f>
        <v>5346830.53</v>
      </c>
      <c r="H95" s="33">
        <f>Tabela8[[#This Row],[Valor]]/Tabela8[[#This Row],[Faturamento]]</f>
        <v>2.9324402395076467E-2</v>
      </c>
    </row>
    <row r="96" spans="1:8" x14ac:dyDescent="0.3">
      <c r="A96" s="2" t="str">
        <f t="shared" si="0"/>
        <v>4.1.1.2</v>
      </c>
      <c r="B96" t="s">
        <v>1155</v>
      </c>
      <c r="C96" s="252">
        <v>44593</v>
      </c>
      <c r="D96">
        <f>MONTH(Tabela8[[#This Row],[Periodo]])</f>
        <v>2</v>
      </c>
      <c r="E96">
        <f>YEAR(Tabela8[[#This Row],[Periodo]])</f>
        <v>2022</v>
      </c>
      <c r="F96" s="4">
        <f>INDEX(TBBP[],MATCH(A96,planoContas,)+1,MATCH(Tabela8[[#This Row],[Periodo]],listaPeriodos,))*-1</f>
        <v>120834.78</v>
      </c>
      <c r="G96" s="4">
        <f>(INDEX(TBBP[],MATCH("3.1",planoContas,)+1,MATCH(Tabela8[[#This Row],[Periodo]],listaPeriodos,)))</f>
        <v>6667938.8199999994</v>
      </c>
      <c r="H96" s="33">
        <f>Tabela8[[#This Row],[Valor]]/Tabela8[[#This Row],[Faturamento]]</f>
        <v>1.8121758951591582E-2</v>
      </c>
    </row>
    <row r="97" spans="1:8" x14ac:dyDescent="0.3">
      <c r="A97" s="2" t="str">
        <f t="shared" si="0"/>
        <v>4.1.1.2</v>
      </c>
      <c r="B97" t="s">
        <v>1155</v>
      </c>
      <c r="C97" s="252">
        <v>44621</v>
      </c>
      <c r="D97">
        <f>MONTH(Tabela8[[#This Row],[Periodo]])</f>
        <v>3</v>
      </c>
      <c r="E97">
        <f>YEAR(Tabela8[[#This Row],[Periodo]])</f>
        <v>2022</v>
      </c>
      <c r="F97" s="4">
        <f>INDEX(TBBP[],MATCH(A97,planoContas,)+1,MATCH(Tabela8[[#This Row],[Periodo]],listaPeriodos,))*-1</f>
        <v>5968.46</v>
      </c>
      <c r="G97" s="4">
        <f>(INDEX(TBBP[],MATCH("3.1",planoContas,)+1,MATCH(Tabela8[[#This Row],[Periodo]],listaPeriodos,)))</f>
        <v>10398348.879999999</v>
      </c>
      <c r="H97" s="33">
        <f>Tabela8[[#This Row],[Valor]]/Tabela8[[#This Row],[Faturamento]]</f>
        <v>5.739815108030883E-4</v>
      </c>
    </row>
    <row r="98" spans="1:8" x14ac:dyDescent="0.3">
      <c r="A98" s="2" t="str">
        <f t="shared" si="0"/>
        <v>4.1.1.2</v>
      </c>
      <c r="B98" t="s">
        <v>1155</v>
      </c>
      <c r="C98" s="252">
        <v>44652</v>
      </c>
      <c r="D98">
        <f>MONTH(Tabela8[[#This Row],[Periodo]])</f>
        <v>4</v>
      </c>
      <c r="E98">
        <f>YEAR(Tabela8[[#This Row],[Periodo]])</f>
        <v>2022</v>
      </c>
      <c r="F98" s="4">
        <f>INDEX(TBBP[],MATCH(A98,planoContas,)+1,MATCH(Tabela8[[#This Row],[Periodo]],listaPeriodos,))*-1</f>
        <v>293.98</v>
      </c>
      <c r="G98" s="4">
        <f>(INDEX(TBBP[],MATCH("3.1",planoContas,)+1,MATCH(Tabela8[[#This Row],[Periodo]],listaPeriodos,)))</f>
        <v>7242034.71</v>
      </c>
      <c r="H98" s="33">
        <f>Tabela8[[#This Row],[Valor]]/Tabela8[[#This Row],[Faturamento]]</f>
        <v>4.0593564070338462E-5</v>
      </c>
    </row>
    <row r="99" spans="1:8" x14ac:dyDescent="0.3">
      <c r="A99" s="2" t="str">
        <f t="shared" si="0"/>
        <v>4.1.1.2</v>
      </c>
      <c r="B99" t="s">
        <v>1155</v>
      </c>
      <c r="C99" s="252">
        <v>44682</v>
      </c>
      <c r="D99">
        <f>MONTH(Tabela8[[#This Row],[Periodo]])</f>
        <v>5</v>
      </c>
      <c r="E99">
        <f>YEAR(Tabela8[[#This Row],[Periodo]])</f>
        <v>2022</v>
      </c>
      <c r="F99" s="4">
        <f>INDEX(TBBP[],MATCH(A99,planoContas,)+1,MATCH(Tabela8[[#This Row],[Periodo]],listaPeriodos,))*-1</f>
        <v>402.69</v>
      </c>
      <c r="G99" s="4">
        <f>(INDEX(TBBP[],MATCH("3.1",planoContas,)+1,MATCH(Tabela8[[#This Row],[Periodo]],listaPeriodos,)))</f>
        <v>7832280.7899999982</v>
      </c>
      <c r="H99" s="33">
        <f>Tabela8[[#This Row],[Valor]]/Tabela8[[#This Row],[Faturamento]]</f>
        <v>5.1414142418660665E-5</v>
      </c>
    </row>
    <row r="100" spans="1:8" x14ac:dyDescent="0.3">
      <c r="A100" s="2" t="str">
        <f t="shared" si="0"/>
        <v>4.1.1.2</v>
      </c>
      <c r="B100" t="s">
        <v>1155</v>
      </c>
      <c r="C100" s="252">
        <v>44713</v>
      </c>
      <c r="D100">
        <f>MONTH(Tabela8[[#This Row],[Periodo]])</f>
        <v>6</v>
      </c>
      <c r="E100">
        <f>YEAR(Tabela8[[#This Row],[Periodo]])</f>
        <v>2022</v>
      </c>
      <c r="F100" s="4">
        <f>INDEX(TBBP[],MATCH(A100,planoContas,)+1,MATCH(Tabela8[[#This Row],[Periodo]],listaPeriodos,))*-1</f>
        <v>13896.07</v>
      </c>
      <c r="G100" s="4">
        <f>(INDEX(TBBP[],MATCH("3.1",planoContas,)+1,MATCH(Tabela8[[#This Row],[Periodo]],listaPeriodos,)))</f>
        <v>7871509.620000001</v>
      </c>
      <c r="H100" s="33">
        <f>Tabela8[[#This Row],[Valor]]/Tabela8[[#This Row],[Faturamento]]</f>
        <v>1.7653627665896187E-3</v>
      </c>
    </row>
    <row r="101" spans="1:8" x14ac:dyDescent="0.3">
      <c r="A101" s="2" t="str">
        <f t="shared" si="0"/>
        <v>4.1.1.2</v>
      </c>
      <c r="B101" t="s">
        <v>1155</v>
      </c>
      <c r="C101" s="252">
        <v>44743</v>
      </c>
      <c r="D101">
        <f>MONTH(Tabela8[[#This Row],[Periodo]])</f>
        <v>7</v>
      </c>
      <c r="E101">
        <f>YEAR(Tabela8[[#This Row],[Periodo]])</f>
        <v>2022</v>
      </c>
      <c r="F101" s="4">
        <f>INDEX(TBBP[],MATCH(A101,planoContas,)+1,MATCH(Tabela8[[#This Row],[Periodo]],listaPeriodos,))*-1</f>
        <v>4798.1400000000003</v>
      </c>
      <c r="G101" s="4">
        <f>(INDEX(TBBP[],MATCH("3.1",planoContas,)+1,MATCH(Tabela8[[#This Row],[Periodo]],listaPeriodos,)))</f>
        <v>7133374.0699999994</v>
      </c>
      <c r="H101" s="33">
        <f>Tabela8[[#This Row],[Valor]]/Tabela8[[#This Row],[Faturamento]]</f>
        <v>6.7263260736304001E-4</v>
      </c>
    </row>
    <row r="102" spans="1:8" x14ac:dyDescent="0.3">
      <c r="A102" s="2" t="str">
        <f t="shared" si="0"/>
        <v>4.1.1.2</v>
      </c>
      <c r="B102" t="s">
        <v>1155</v>
      </c>
      <c r="C102" s="252">
        <v>44774</v>
      </c>
      <c r="D102">
        <f>MONTH(Tabela8[[#This Row],[Periodo]])</f>
        <v>8</v>
      </c>
      <c r="E102">
        <f>YEAR(Tabela8[[#This Row],[Periodo]])</f>
        <v>2022</v>
      </c>
      <c r="F102" s="4">
        <f>INDEX(TBBP[],MATCH(A102,planoContas,)+1,MATCH(Tabela8[[#This Row],[Periodo]],listaPeriodos,))*-1</f>
        <v>103.56</v>
      </c>
      <c r="G102" s="4">
        <f>(INDEX(TBBP[],MATCH("3.1",planoContas,)+1,MATCH(Tabela8[[#This Row],[Periodo]],listaPeriodos,)))</f>
        <v>7753457.120000002</v>
      </c>
      <c r="H102" s="33">
        <f>Tabela8[[#This Row],[Valor]]/Tabela8[[#This Row],[Faturamento]]</f>
        <v>1.3356622522986233E-5</v>
      </c>
    </row>
    <row r="103" spans="1:8" x14ac:dyDescent="0.3">
      <c r="A103" s="2" t="str">
        <f t="shared" si="0"/>
        <v>4.1.1.2</v>
      </c>
      <c r="B103" t="s">
        <v>1155</v>
      </c>
      <c r="C103" s="252">
        <v>44805</v>
      </c>
      <c r="D103">
        <f>MONTH(Tabela8[[#This Row],[Periodo]])</f>
        <v>9</v>
      </c>
      <c r="E103">
        <f>YEAR(Tabela8[[#This Row],[Periodo]])</f>
        <v>2022</v>
      </c>
      <c r="F103" s="4">
        <f>INDEX(TBBP[],MATCH(A103,planoContas,)+1,MATCH(Tabela8[[#This Row],[Periodo]],listaPeriodos,))*-1</f>
        <v>146.65</v>
      </c>
      <c r="G103" s="4">
        <f>(INDEX(TBBP[],MATCH("3.1",planoContas,)+1,MATCH(Tabela8[[#This Row],[Periodo]],listaPeriodos,)))</f>
        <v>7901820.9700000007</v>
      </c>
      <c r="H103" s="33">
        <f>Tabela8[[#This Row],[Valor]]/Tabela8[[#This Row],[Faturamento]]</f>
        <v>1.8559013239703909E-5</v>
      </c>
    </row>
    <row r="104" spans="1:8" x14ac:dyDescent="0.3">
      <c r="A104" s="2" t="str">
        <f t="shared" si="0"/>
        <v>4.1.1.2</v>
      </c>
      <c r="B104" t="s">
        <v>1155</v>
      </c>
      <c r="C104" s="252">
        <v>44835</v>
      </c>
      <c r="D104">
        <f>MONTH(Tabela8[[#This Row],[Periodo]])</f>
        <v>10</v>
      </c>
      <c r="E104">
        <f>YEAR(Tabela8[[#This Row],[Periodo]])</f>
        <v>2022</v>
      </c>
      <c r="F104" s="4">
        <f>INDEX(TBBP[],MATCH(A104,planoContas,)+1,MATCH(Tabela8[[#This Row],[Periodo]],listaPeriodos,))*-1</f>
        <v>1591.56</v>
      </c>
      <c r="G104" s="4">
        <f>(INDEX(TBBP[],MATCH("3.1",planoContas,)+1,MATCH(Tabela8[[#This Row],[Periodo]],listaPeriodos,)))</f>
        <v>5212976.3499999996</v>
      </c>
      <c r="H104" s="33">
        <f>Tabela8[[#This Row],[Valor]]/Tabela8[[#This Row],[Faturamento]]</f>
        <v>3.0530735095316518E-4</v>
      </c>
    </row>
    <row r="105" spans="1:8" x14ac:dyDescent="0.3">
      <c r="A105" s="2" t="str">
        <f t="shared" si="0"/>
        <v>4.1.1.2</v>
      </c>
      <c r="B105" t="s">
        <v>1155</v>
      </c>
      <c r="C105" s="252">
        <v>44866</v>
      </c>
      <c r="D105">
        <f>MONTH(Tabela8[[#This Row],[Periodo]])</f>
        <v>11</v>
      </c>
      <c r="E105">
        <f>YEAR(Tabela8[[#This Row],[Periodo]])</f>
        <v>2022</v>
      </c>
      <c r="F105" s="4">
        <f>INDEX(TBBP[],MATCH(A105,planoContas,)+1,MATCH(Tabela8[[#This Row],[Periodo]],listaPeriodos,))*-1</f>
        <v>728.42</v>
      </c>
      <c r="G105" s="4">
        <f>(INDEX(TBBP[],MATCH("3.1",planoContas,)+1,MATCH(Tabela8[[#This Row],[Periodo]],listaPeriodos,)))</f>
        <v>6633932.3399999989</v>
      </c>
      <c r="H105" s="33">
        <f>Tabela8[[#This Row],[Valor]]/Tabela8[[#This Row],[Faturamento]]</f>
        <v>1.0980214489193903E-4</v>
      </c>
    </row>
    <row r="106" spans="1:8" x14ac:dyDescent="0.3">
      <c r="A106" s="2" t="str">
        <f t="shared" si="0"/>
        <v>4.1.1.2</v>
      </c>
      <c r="B106" t="s">
        <v>1155</v>
      </c>
      <c r="C106" s="252">
        <v>44896</v>
      </c>
      <c r="D106">
        <f>MONTH(Tabela8[[#This Row],[Periodo]])</f>
        <v>12</v>
      </c>
      <c r="E106">
        <f>YEAR(Tabela8[[#This Row],[Periodo]])</f>
        <v>2022</v>
      </c>
      <c r="F106" s="4">
        <f>INDEX(TBBP[],MATCH(A106,planoContas,)+1,MATCH(Tabela8[[#This Row],[Periodo]],listaPeriodos,))*-1</f>
        <v>28.42</v>
      </c>
      <c r="G106" s="4">
        <f>(INDEX(TBBP[],MATCH("3.1",planoContas,)+1,MATCH(Tabela8[[#This Row],[Periodo]],listaPeriodos,)))</f>
        <v>5522329.4800000004</v>
      </c>
      <c r="H106" s="33">
        <f>Tabela8[[#This Row],[Valor]]/Tabela8[[#This Row],[Faturamento]]</f>
        <v>5.146378915442763E-6</v>
      </c>
    </row>
    <row r="107" spans="1:8" x14ac:dyDescent="0.3">
      <c r="A107" s="2" t="str">
        <f t="shared" si="0"/>
        <v>4.1.1.2</v>
      </c>
      <c r="B107" t="s">
        <v>1155</v>
      </c>
      <c r="C107" s="252">
        <v>44927</v>
      </c>
      <c r="D107">
        <f>MONTH(Tabela8[[#This Row],[Periodo]])</f>
        <v>1</v>
      </c>
      <c r="E107">
        <f>YEAR(Tabela8[[#This Row],[Periodo]])</f>
        <v>2023</v>
      </c>
      <c r="F107" s="4">
        <f>INDEX(TBBP[],MATCH(A107,planoContas,)+1,MATCH(Tabela8[[#This Row],[Periodo]],listaPeriodos,))*-1</f>
        <v>2370.0300000000002</v>
      </c>
      <c r="G107" s="4">
        <f>(INDEX(TBBP[],MATCH("3.1",planoContas,)+1,MATCH(Tabela8[[#This Row],[Periodo]],listaPeriodos,)))</f>
        <v>4523362.28</v>
      </c>
      <c r="H107" s="33">
        <f>Tabela8[[#This Row],[Valor]]/Tabela8[[#This Row],[Faturamento]]</f>
        <v>5.2395316874773959E-4</v>
      </c>
    </row>
    <row r="108" spans="1:8" x14ac:dyDescent="0.3">
      <c r="A108" s="2" t="str">
        <f t="shared" si="0"/>
        <v>4.1.1.2</v>
      </c>
      <c r="B108" t="s">
        <v>1155</v>
      </c>
      <c r="C108" s="252">
        <v>44958</v>
      </c>
      <c r="D108">
        <f>MONTH(Tabela8[[#This Row],[Periodo]])</f>
        <v>2</v>
      </c>
      <c r="E108">
        <f>YEAR(Tabela8[[#This Row],[Periodo]])</f>
        <v>2023</v>
      </c>
      <c r="F108" s="4">
        <f>INDEX(TBBP[],MATCH(A108,planoContas,)+1,MATCH(Tabela8[[#This Row],[Periodo]],listaPeriodos,))*-1</f>
        <v>0</v>
      </c>
      <c r="G108" s="4">
        <f>(INDEX(TBBP[],MATCH("3.1",planoContas,)+1,MATCH(Tabela8[[#This Row],[Periodo]],listaPeriodos,)))</f>
        <v>5020605.1399999997</v>
      </c>
      <c r="H108" s="33">
        <f>Tabela8[[#This Row],[Valor]]/Tabela8[[#This Row],[Faturamento]]</f>
        <v>0</v>
      </c>
    </row>
    <row r="109" spans="1:8" x14ac:dyDescent="0.3">
      <c r="A109" s="2" t="str">
        <f t="shared" si="0"/>
        <v>4.1.1.2</v>
      </c>
      <c r="B109" t="s">
        <v>1155</v>
      </c>
      <c r="C109" s="252">
        <v>44986</v>
      </c>
      <c r="D109">
        <f>MONTH(Tabela8[[#This Row],[Periodo]])</f>
        <v>3</v>
      </c>
      <c r="E109">
        <f>YEAR(Tabela8[[#This Row],[Periodo]])</f>
        <v>2023</v>
      </c>
      <c r="F109" s="4">
        <f>INDEX(TBBP[],MATCH(A109,planoContas,)+1,MATCH(Tabela8[[#This Row],[Periodo]],listaPeriodos,))*-1</f>
        <v>293.47000000000003</v>
      </c>
      <c r="G109" s="4">
        <f>(INDEX(TBBP[],MATCH("3.1",planoContas,)+1,MATCH(Tabela8[[#This Row],[Periodo]],listaPeriodos,)))</f>
        <v>6163399.0099999998</v>
      </c>
      <c r="H109" s="33">
        <f>Tabela8[[#This Row],[Valor]]/Tabela8[[#This Row],[Faturamento]]</f>
        <v>4.761496043398301E-5</v>
      </c>
    </row>
    <row r="110" spans="1:8" x14ac:dyDescent="0.3">
      <c r="A110" s="2" t="str">
        <f t="shared" si="0"/>
        <v>4.1.1.2</v>
      </c>
      <c r="B110" t="s">
        <v>1155</v>
      </c>
      <c r="C110" s="252">
        <v>45017</v>
      </c>
      <c r="D110">
        <f>MONTH(Tabela8[[#This Row],[Periodo]])</f>
        <v>4</v>
      </c>
      <c r="E110">
        <f>YEAR(Tabela8[[#This Row],[Periodo]])</f>
        <v>2023</v>
      </c>
      <c r="F110" s="4">
        <f>INDEX(TBBP[],MATCH(A110,planoContas,)+1,MATCH(Tabela8[[#This Row],[Periodo]],listaPeriodos,))*-1</f>
        <v>0</v>
      </c>
      <c r="G110" s="4">
        <f>(INDEX(TBBP[],MATCH("3.1",planoContas,)+1,MATCH(Tabela8[[#This Row],[Periodo]],listaPeriodos,)))</f>
        <v>5450287.8899999997</v>
      </c>
      <c r="H110" s="33">
        <f>Tabela8[[#This Row],[Valor]]/Tabela8[[#This Row],[Faturamento]]</f>
        <v>0</v>
      </c>
    </row>
    <row r="111" spans="1:8" x14ac:dyDescent="0.3">
      <c r="A111" s="2" t="str">
        <f t="shared" si="0"/>
        <v>4.1.1.2</v>
      </c>
      <c r="B111" t="s">
        <v>1155</v>
      </c>
      <c r="C111" s="252">
        <v>45047</v>
      </c>
      <c r="D111">
        <f>MONTH(Tabela8[[#This Row],[Periodo]])</f>
        <v>5</v>
      </c>
      <c r="E111">
        <f>YEAR(Tabela8[[#This Row],[Periodo]])</f>
        <v>2023</v>
      </c>
      <c r="F111" s="4">
        <f>INDEX(TBBP[],MATCH(A111,planoContas,)+1,MATCH(Tabela8[[#This Row],[Periodo]],listaPeriodos,))*-1</f>
        <v>483.64</v>
      </c>
      <c r="G111" s="4">
        <f>(INDEX(TBBP[],MATCH("3.1",planoContas,)+1,MATCH(Tabela8[[#This Row],[Periodo]],listaPeriodos,)))</f>
        <v>9087903.75</v>
      </c>
      <c r="H111" s="33">
        <f>Tabela8[[#This Row],[Valor]]/Tabela8[[#This Row],[Faturamento]]</f>
        <v>5.3217993203328103E-5</v>
      </c>
    </row>
    <row r="112" spans="1:8" x14ac:dyDescent="0.3">
      <c r="A112" s="2" t="str">
        <f t="shared" si="0"/>
        <v>4.1.1.2</v>
      </c>
      <c r="B112" t="s">
        <v>1155</v>
      </c>
      <c r="C112" s="252">
        <v>45078</v>
      </c>
      <c r="D112">
        <f>MONTH(Tabela8[[#This Row],[Periodo]])</f>
        <v>6</v>
      </c>
      <c r="E112">
        <f>YEAR(Tabela8[[#This Row],[Periodo]])</f>
        <v>2023</v>
      </c>
      <c r="F112" s="4">
        <f>INDEX(TBBP[],MATCH(A112,planoContas,)+1,MATCH(Tabela8[[#This Row],[Periodo]],listaPeriodos,))*-1</f>
        <v>0</v>
      </c>
      <c r="G112" s="4">
        <f>(INDEX(TBBP[],MATCH("3.1",planoContas,)+1,MATCH(Tabela8[[#This Row],[Periodo]],listaPeriodos,)))</f>
        <v>8277075.1100000013</v>
      </c>
      <c r="H112" s="33">
        <f>Tabela8[[#This Row],[Valor]]/Tabela8[[#This Row],[Faturamento]]</f>
        <v>0</v>
      </c>
    </row>
    <row r="113" spans="1:8" x14ac:dyDescent="0.3">
      <c r="A113" s="2" t="str">
        <f t="shared" si="0"/>
        <v>4.1.1.2</v>
      </c>
      <c r="B113" t="s">
        <v>1155</v>
      </c>
      <c r="C113" s="252">
        <v>45108</v>
      </c>
      <c r="D113">
        <f>MONTH(Tabela8[[#This Row],[Periodo]])</f>
        <v>7</v>
      </c>
      <c r="E113">
        <f>YEAR(Tabela8[[#This Row],[Periodo]])</f>
        <v>2023</v>
      </c>
      <c r="F113" s="4">
        <f>INDEX(TBBP[],MATCH(A113,planoContas,)+1,MATCH(Tabela8[[#This Row],[Periodo]],listaPeriodos,))*-1</f>
        <v>0</v>
      </c>
      <c r="G113" s="4">
        <f>(INDEX(TBBP[],MATCH("3.1",planoContas,)+1,MATCH(Tabela8[[#This Row],[Periodo]],listaPeriodos,)))</f>
        <v>5198444.16</v>
      </c>
      <c r="H113" s="33">
        <f>Tabela8[[#This Row],[Valor]]/Tabela8[[#This Row],[Faturamento]]</f>
        <v>0</v>
      </c>
    </row>
    <row r="114" spans="1:8" x14ac:dyDescent="0.3">
      <c r="A114" s="2" t="str">
        <f t="shared" si="0"/>
        <v>4.1.1.2</v>
      </c>
      <c r="B114" t="s">
        <v>1155</v>
      </c>
      <c r="C114" s="252">
        <v>45139</v>
      </c>
      <c r="D114">
        <f>MONTH(Tabela8[[#This Row],[Periodo]])</f>
        <v>8</v>
      </c>
      <c r="E114">
        <f>YEAR(Tabela8[[#This Row],[Periodo]])</f>
        <v>2023</v>
      </c>
      <c r="F114" s="4">
        <f>INDEX(TBBP[],MATCH(A114,planoContas,)+1,MATCH(Tabela8[[#This Row],[Periodo]],listaPeriodos,))*-1</f>
        <v>0</v>
      </c>
      <c r="G114" s="4">
        <f>(INDEX(TBBP[],MATCH("3.1",planoContas,)+1,MATCH(Tabela8[[#This Row],[Periodo]],listaPeriodos,)))</f>
        <v>7988986.9099999983</v>
      </c>
      <c r="H114" s="33">
        <f>Tabela8[[#This Row],[Valor]]/Tabela8[[#This Row],[Faturamento]]</f>
        <v>0</v>
      </c>
    </row>
    <row r="115" spans="1:8" x14ac:dyDescent="0.3">
      <c r="A115" s="2" t="str">
        <f t="shared" si="0"/>
        <v>4.1.1.2</v>
      </c>
      <c r="B115" t="s">
        <v>1155</v>
      </c>
      <c r="C115" s="252">
        <v>45170</v>
      </c>
      <c r="D115">
        <f>MONTH(Tabela8[[#This Row],[Periodo]])</f>
        <v>9</v>
      </c>
      <c r="E115">
        <f>YEAR(Tabela8[[#This Row],[Periodo]])</f>
        <v>2023</v>
      </c>
      <c r="F115" s="4">
        <f>INDEX(TBBP[],MATCH(A115,planoContas,)+1,MATCH(Tabela8[[#This Row],[Periodo]],listaPeriodos,))*-1</f>
        <v>0</v>
      </c>
      <c r="G115" s="4">
        <f>(INDEX(TBBP[],MATCH("3.1",planoContas,)+1,MATCH(Tabela8[[#This Row],[Periodo]],listaPeriodos,)))</f>
        <v>7305588.3999999994</v>
      </c>
      <c r="H115" s="33">
        <f>Tabela8[[#This Row],[Valor]]/Tabela8[[#This Row],[Faturamento]]</f>
        <v>0</v>
      </c>
    </row>
    <row r="116" spans="1:8" x14ac:dyDescent="0.3">
      <c r="A116" s="2" t="str">
        <f t="shared" si="0"/>
        <v>4.1.1.2</v>
      </c>
      <c r="B116" t="s">
        <v>1155</v>
      </c>
      <c r="C116" s="252">
        <v>45200</v>
      </c>
      <c r="D116">
        <f>MONTH(Tabela8[[#This Row],[Periodo]])</f>
        <v>10</v>
      </c>
      <c r="E116">
        <f>YEAR(Tabela8[[#This Row],[Periodo]])</f>
        <v>2023</v>
      </c>
      <c r="F116" s="4">
        <f>INDEX(TBBP[],MATCH(A116,planoContas,)+1,MATCH(Tabela8[[#This Row],[Periodo]],listaPeriodos,))*-1</f>
        <v>0</v>
      </c>
      <c r="G116" s="4">
        <f>(INDEX(TBBP[],MATCH("3.1",planoContas,)+1,MATCH(Tabela8[[#This Row],[Periodo]],listaPeriodos,)))</f>
        <v>8831749.629999999</v>
      </c>
      <c r="H116" s="33">
        <f>Tabela8[[#This Row],[Valor]]/Tabela8[[#This Row],[Faturamento]]</f>
        <v>0</v>
      </c>
    </row>
    <row r="117" spans="1:8" x14ac:dyDescent="0.3">
      <c r="A117" s="2" t="str">
        <f t="shared" si="0"/>
        <v>4.1.1.2</v>
      </c>
      <c r="B117" t="s">
        <v>1155</v>
      </c>
      <c r="C117" s="252">
        <v>45231</v>
      </c>
      <c r="D117">
        <f>MONTH(Tabela8[[#This Row],[Periodo]])</f>
        <v>11</v>
      </c>
      <c r="E117">
        <f>YEAR(Tabela8[[#This Row],[Periodo]])</f>
        <v>2023</v>
      </c>
      <c r="F117" s="4">
        <f>INDEX(TBBP[],MATCH(A117,planoContas,)+1,MATCH(Tabela8[[#This Row],[Periodo]],listaPeriodos,))*-1</f>
        <v>28.12</v>
      </c>
      <c r="G117" s="4">
        <f>(INDEX(TBBP[],MATCH("3.1",planoContas,)+1,MATCH(Tabela8[[#This Row],[Periodo]],listaPeriodos,)))</f>
        <v>5971298.0200000005</v>
      </c>
      <c r="H117" s="33">
        <f>Tabela8[[#This Row],[Valor]]/Tabela8[[#This Row],[Faturamento]]</f>
        <v>4.7091938646867264E-6</v>
      </c>
    </row>
    <row r="118" spans="1:8" x14ac:dyDescent="0.3">
      <c r="A118" s="2" t="str">
        <f t="shared" si="0"/>
        <v>4.1.1.2</v>
      </c>
      <c r="B118" t="s">
        <v>1155</v>
      </c>
      <c r="C118" s="252">
        <v>45261</v>
      </c>
      <c r="D118">
        <f>MONTH(Tabela8[[#This Row],[Periodo]])</f>
        <v>12</v>
      </c>
      <c r="E118">
        <f>YEAR(Tabela8[[#This Row],[Periodo]])</f>
        <v>2023</v>
      </c>
      <c r="F118" s="4">
        <f>INDEX(TBBP[],MATCH(A118,planoContas,)+1,MATCH(Tabela8[[#This Row],[Periodo]],listaPeriodos,))*-1</f>
        <v>0</v>
      </c>
      <c r="G118" s="4">
        <f>(INDEX(TBBP[],MATCH("3.1",planoContas,)+1,MATCH(Tabela8[[#This Row],[Periodo]],listaPeriodos,)))</f>
        <v>8232901.5800000001</v>
      </c>
      <c r="H118" s="33">
        <f>Tabela8[[#This Row],[Valor]]/Tabela8[[#This Row],[Faturamento]]</f>
        <v>0</v>
      </c>
    </row>
    <row r="119" spans="1:8" x14ac:dyDescent="0.3">
      <c r="A119" s="2" t="str">
        <f t="shared" si="0"/>
        <v>4.1.1.2</v>
      </c>
      <c r="B119" t="s">
        <v>1155</v>
      </c>
      <c r="C119" s="252">
        <v>45292</v>
      </c>
      <c r="D119">
        <f>MONTH(Tabela8[[#This Row],[Periodo]])</f>
        <v>1</v>
      </c>
      <c r="E119">
        <f>YEAR(Tabela8[[#This Row],[Periodo]])</f>
        <v>2024</v>
      </c>
      <c r="F119" s="4">
        <f>INDEX(TBBP[],MATCH(A119,planoContas,)+1,MATCH(Tabela8[[#This Row],[Periodo]],listaPeriodos,))*-1</f>
        <v>8691.9</v>
      </c>
      <c r="G119" s="4">
        <f>(INDEX(TBBP[],MATCH("3.1",planoContas,)+1,MATCH(Tabela8[[#This Row],[Periodo]],listaPeriodos,)))</f>
        <v>7481410.8899999997</v>
      </c>
      <c r="H119" s="33">
        <f>Tabela8[[#This Row],[Valor]]/Tabela8[[#This Row],[Faturamento]]</f>
        <v>1.1617995760155341E-3</v>
      </c>
    </row>
    <row r="120" spans="1:8" x14ac:dyDescent="0.3">
      <c r="A120" s="2" t="str">
        <f t="shared" si="0"/>
        <v>4.1.1.2</v>
      </c>
      <c r="B120" t="s">
        <v>1155</v>
      </c>
      <c r="C120" s="252">
        <v>45323</v>
      </c>
      <c r="D120">
        <f>MONTH(Tabela8[[#This Row],[Periodo]])</f>
        <v>2</v>
      </c>
      <c r="E120">
        <f>YEAR(Tabela8[[#This Row],[Periodo]])</f>
        <v>2024</v>
      </c>
      <c r="F120" s="4">
        <f>INDEX(TBBP[],MATCH(A120,planoContas,)+1,MATCH(Tabela8[[#This Row],[Periodo]],listaPeriodos,))*-1</f>
        <v>2454.5700000000002</v>
      </c>
      <c r="G120" s="4">
        <f>(INDEX(TBBP[],MATCH("3.1",planoContas,)+1,MATCH(Tabela8[[#This Row],[Periodo]],listaPeriodos,)))</f>
        <v>8407937.3199999984</v>
      </c>
      <c r="H120" s="33">
        <f>Tabela8[[#This Row],[Valor]]/Tabela8[[#This Row],[Faturamento]]</f>
        <v>2.9193485947633118E-4</v>
      </c>
    </row>
    <row r="121" spans="1:8" x14ac:dyDescent="0.3">
      <c r="A121" s="2" t="str">
        <f t="shared" si="0"/>
        <v>4.1.1.2</v>
      </c>
      <c r="B121" t="s">
        <v>1155</v>
      </c>
      <c r="C121" s="252">
        <v>45352</v>
      </c>
      <c r="D121">
        <f>MONTH(Tabela8[[#This Row],[Periodo]])</f>
        <v>3</v>
      </c>
      <c r="E121">
        <f>YEAR(Tabela8[[#This Row],[Periodo]])</f>
        <v>2024</v>
      </c>
      <c r="F121" s="4">
        <f>INDEX(TBBP[],MATCH(A121,planoContas,)+1,MATCH(Tabela8[[#This Row],[Periodo]],listaPeriodos,))*-1</f>
        <v>2293.7800000000002</v>
      </c>
      <c r="G121" s="4">
        <f>(INDEX(TBBP[],MATCH("3.1",planoContas,)+1,MATCH(Tabela8[[#This Row],[Periodo]],listaPeriodos,)))</f>
        <v>7671402.7999999998</v>
      </c>
      <c r="H121" s="33">
        <f>Tabela8[[#This Row],[Valor]]/Tabela8[[#This Row],[Faturamento]]</f>
        <v>2.9900398399103752E-4</v>
      </c>
    </row>
    <row r="122" spans="1:8" x14ac:dyDescent="0.3">
      <c r="A122" s="2" t="str">
        <f t="shared" si="0"/>
        <v>4.1.1.2</v>
      </c>
      <c r="B122" t="s">
        <v>1155</v>
      </c>
      <c r="C122" s="252">
        <v>45383</v>
      </c>
      <c r="D122">
        <f>MONTH(Tabela8[[#This Row],[Periodo]])</f>
        <v>4</v>
      </c>
      <c r="E122">
        <f>YEAR(Tabela8[[#This Row],[Periodo]])</f>
        <v>2024</v>
      </c>
      <c r="F122" s="4">
        <f>INDEX(TBBP[],MATCH(A122,planoContas,)+1,MATCH(Tabela8[[#This Row],[Periodo]],listaPeriodos,))*-1</f>
        <v>3819.12</v>
      </c>
      <c r="G122" s="4">
        <f>(INDEX(TBBP[],MATCH("3.1",planoContas,)+1,MATCH(Tabela8[[#This Row],[Periodo]],listaPeriodos,)))</f>
        <v>10589146.889999999</v>
      </c>
      <c r="H122" s="33">
        <f>Tabela8[[#This Row],[Valor]]/Tabela8[[#This Row],[Faturamento]]</f>
        <v>3.606636152725992E-4</v>
      </c>
    </row>
    <row r="123" spans="1:8" x14ac:dyDescent="0.3">
      <c r="A123" s="2" t="str">
        <f t="shared" si="0"/>
        <v>4.1.1.2</v>
      </c>
      <c r="B123" t="s">
        <v>1155</v>
      </c>
      <c r="C123" s="252">
        <v>45413</v>
      </c>
      <c r="D123">
        <f>MONTH(Tabela8[[#This Row],[Periodo]])</f>
        <v>5</v>
      </c>
      <c r="E123">
        <f>YEAR(Tabela8[[#This Row],[Periodo]])</f>
        <v>2024</v>
      </c>
      <c r="F123" s="4">
        <f>INDEX(TBBP[],MATCH(A123,planoContas,)+1,MATCH(Tabela8[[#This Row],[Periodo]],listaPeriodos,))*-1</f>
        <v>26099.43</v>
      </c>
      <c r="G123" s="4">
        <f>(INDEX(TBBP[],MATCH("3.1",planoContas,)+1,MATCH(Tabela8[[#This Row],[Periodo]],listaPeriodos,)))</f>
        <v>11809586.859999999</v>
      </c>
      <c r="H123" s="33">
        <f>Tabela8[[#This Row],[Valor]]/Tabela8[[#This Row],[Faturamento]]</f>
        <v>2.210020579839319E-3</v>
      </c>
    </row>
    <row r="124" spans="1:8" x14ac:dyDescent="0.3">
      <c r="A124" s="2" t="str">
        <f t="shared" si="0"/>
        <v>4.1.1.2</v>
      </c>
      <c r="B124" t="s">
        <v>1155</v>
      </c>
      <c r="C124" s="252">
        <v>45444</v>
      </c>
      <c r="D124">
        <f>MONTH(Tabela8[[#This Row],[Periodo]])</f>
        <v>6</v>
      </c>
      <c r="E124">
        <f>YEAR(Tabela8[[#This Row],[Periodo]])</f>
        <v>2024</v>
      </c>
      <c r="F124" s="4">
        <f>INDEX(TBBP[],MATCH(A124,planoContas,)+1,MATCH(Tabela8[[#This Row],[Periodo]],listaPeriodos,))*-1</f>
        <v>193.92</v>
      </c>
      <c r="G124" s="4">
        <f>(INDEX(TBBP[],MATCH("3.1",planoContas,)+1,MATCH(Tabela8[[#This Row],[Periodo]],listaPeriodos,)))</f>
        <v>10610189.169999998</v>
      </c>
      <c r="H124" s="33">
        <f>Tabela8[[#This Row],[Valor]]/Tabela8[[#This Row],[Faturamento]]</f>
        <v>1.8276771214249711E-5</v>
      </c>
    </row>
    <row r="125" spans="1:8" x14ac:dyDescent="0.3">
      <c r="A125" s="2" t="str">
        <f t="shared" si="0"/>
        <v>4.1.1.2</v>
      </c>
      <c r="B125" t="s">
        <v>1155</v>
      </c>
      <c r="C125" s="252">
        <v>45474</v>
      </c>
      <c r="D125">
        <f>MONTH(Tabela8[[#This Row],[Periodo]])</f>
        <v>7</v>
      </c>
      <c r="E125">
        <f>YEAR(Tabela8[[#This Row],[Periodo]])</f>
        <v>2024</v>
      </c>
      <c r="F125" s="4">
        <f>INDEX(TBBP[],MATCH(A125,planoContas,)+1,MATCH(Tabela8[[#This Row],[Periodo]],listaPeriodos,))*-1</f>
        <v>0</v>
      </c>
      <c r="G125" s="4">
        <f>(INDEX(TBBP[],MATCH("3.1",planoContas,)+1,MATCH(Tabela8[[#This Row],[Periodo]],listaPeriodos,)))</f>
        <v>11950053.750000002</v>
      </c>
      <c r="H125" s="33">
        <f>Tabela8[[#This Row],[Valor]]/Tabela8[[#This Row],[Faturamento]]</f>
        <v>0</v>
      </c>
    </row>
    <row r="126" spans="1:8" x14ac:dyDescent="0.3">
      <c r="A126" s="2" t="str">
        <f t="shared" si="0"/>
        <v>4.1.1.2</v>
      </c>
      <c r="B126" t="s">
        <v>1155</v>
      </c>
      <c r="C126" s="252">
        <v>45505</v>
      </c>
      <c r="D126">
        <f>MONTH(Tabela8[[#This Row],[Periodo]])</f>
        <v>8</v>
      </c>
      <c r="E126">
        <f>YEAR(Tabela8[[#This Row],[Periodo]])</f>
        <v>2024</v>
      </c>
      <c r="F126" s="4">
        <f>INDEX(TBBP[],MATCH(A126,planoContas,)+1,MATCH(Tabela8[[#This Row],[Periodo]],listaPeriodos,))*-1</f>
        <v>9816.0400000000009</v>
      </c>
      <c r="G126" s="4">
        <f>(INDEX(TBBP[],MATCH("3.1",planoContas,)+1,MATCH(Tabela8[[#This Row],[Periodo]],listaPeriodos,)))</f>
        <v>9379852.1500000004</v>
      </c>
      <c r="H126" s="33">
        <f>Tabela8[[#This Row],[Valor]]/Tabela8[[#This Row],[Faturamento]]</f>
        <v>1.0465026359717195E-3</v>
      </c>
    </row>
    <row r="127" spans="1:8" x14ac:dyDescent="0.3">
      <c r="A127" s="2" t="str">
        <f t="shared" si="0"/>
        <v>4.1.1.2</v>
      </c>
      <c r="B127" t="s">
        <v>1155</v>
      </c>
      <c r="C127" s="252">
        <v>45536</v>
      </c>
      <c r="D127">
        <f>MONTH(Tabela8[[#This Row],[Periodo]])</f>
        <v>9</v>
      </c>
      <c r="E127">
        <f>YEAR(Tabela8[[#This Row],[Periodo]])</f>
        <v>2024</v>
      </c>
      <c r="F127" s="4">
        <f>INDEX(TBBP[],MATCH(A127,planoContas,)+1,MATCH(Tabela8[[#This Row],[Periodo]],listaPeriodos,))*-1</f>
        <v>11581.4</v>
      </c>
      <c r="G127" s="4">
        <f>(INDEX(TBBP[],MATCH("3.1",planoContas,)+1,MATCH(Tabela8[[#This Row],[Periodo]],listaPeriodos,)))</f>
        <v>10391320.409999998</v>
      </c>
      <c r="H127" s="33">
        <f>Tabela8[[#This Row],[Valor]]/Tabela8[[#This Row],[Faturamento]]</f>
        <v>1.1145263107135777E-3</v>
      </c>
    </row>
    <row r="128" spans="1:8" x14ac:dyDescent="0.3">
      <c r="A128" s="2" t="str">
        <f t="shared" si="0"/>
        <v>4.1.1.2</v>
      </c>
      <c r="B128" t="s">
        <v>1155</v>
      </c>
      <c r="C128" s="252">
        <v>45566</v>
      </c>
      <c r="D128">
        <f>MONTH(Tabela8[[#This Row],[Periodo]])</f>
        <v>10</v>
      </c>
      <c r="E128">
        <f>YEAR(Tabela8[[#This Row],[Periodo]])</f>
        <v>2024</v>
      </c>
      <c r="F128" s="4">
        <f>INDEX(TBBP[],MATCH(A128,planoContas,)+1,MATCH(Tabela8[[#This Row],[Periodo]],listaPeriodos,))*-1</f>
        <v>11582.52</v>
      </c>
      <c r="G128" s="4">
        <f>(INDEX(TBBP[],MATCH("3.1",planoContas,)+1,MATCH(Tabela8[[#This Row],[Periodo]],listaPeriodos,)))</f>
        <v>10922850.24</v>
      </c>
      <c r="H128" s="33">
        <f>Tabela8[[#This Row],[Valor]]/Tabela8[[#This Row],[Faturamento]]</f>
        <v>1.06039355529972E-3</v>
      </c>
    </row>
    <row r="129" spans="1:8" x14ac:dyDescent="0.3">
      <c r="A129" s="2" t="str">
        <f t="shared" si="0"/>
        <v>4.1.1.2</v>
      </c>
      <c r="B129" t="s">
        <v>1155</v>
      </c>
      <c r="C129" s="252">
        <v>45597</v>
      </c>
      <c r="D129">
        <f>MONTH(Tabela8[[#This Row],[Periodo]])</f>
        <v>11</v>
      </c>
      <c r="E129">
        <f>YEAR(Tabela8[[#This Row],[Periodo]])</f>
        <v>2024</v>
      </c>
      <c r="F129" s="4">
        <f>INDEX(TBBP[],MATCH(A129,planoContas,)+1,MATCH(Tabela8[[#This Row],[Periodo]],listaPeriodos,))*-1</f>
        <v>19510.650000000001</v>
      </c>
      <c r="G129" s="4">
        <f>(INDEX(TBBP[],MATCH("3.1",planoContas,)+1,MATCH(Tabela8[[#This Row],[Periodo]],listaPeriodos,)))</f>
        <v>8432311.2100000028</v>
      </c>
      <c r="H129" s="33">
        <f>Tabela8[[#This Row],[Valor]]/Tabela8[[#This Row],[Faturamento]]</f>
        <v>2.3137962432959107E-3</v>
      </c>
    </row>
    <row r="130" spans="1:8" x14ac:dyDescent="0.3">
      <c r="A130" s="2" t="str">
        <f t="shared" si="0"/>
        <v>4.1.1.2</v>
      </c>
      <c r="B130" t="s">
        <v>1155</v>
      </c>
      <c r="C130" s="252">
        <v>45627</v>
      </c>
      <c r="D130">
        <f>MONTH(Tabela8[[#This Row],[Periodo]])</f>
        <v>12</v>
      </c>
      <c r="E130">
        <f>YEAR(Tabela8[[#This Row],[Periodo]])</f>
        <v>2024</v>
      </c>
      <c r="F130" s="4">
        <f>INDEX(TBBP[],MATCH(A130,planoContas,)+1,MATCH(Tabela8[[#This Row],[Periodo]],listaPeriodos,))*-1</f>
        <v>362.27</v>
      </c>
      <c r="G130" s="4">
        <f>(INDEX(TBBP[],MATCH("3.1",planoContas,)+1,MATCH(Tabela8[[#This Row],[Periodo]],listaPeriodos,)))</f>
        <v>12856176.879999999</v>
      </c>
      <c r="H130" s="33">
        <f>Tabela8[[#This Row],[Valor]]/Tabela8[[#This Row],[Faturamento]]</f>
        <v>2.8178672663066222E-5</v>
      </c>
    </row>
    <row r="131" spans="1:8" x14ac:dyDescent="0.3">
      <c r="A131" s="2" t="str">
        <f t="shared" si="0"/>
        <v>4.1.1.2</v>
      </c>
      <c r="B131" t="s">
        <v>1155</v>
      </c>
      <c r="C131" s="252">
        <v>45658</v>
      </c>
      <c r="D131">
        <f>MONTH(Tabela8[[#This Row],[Periodo]])</f>
        <v>1</v>
      </c>
      <c r="E131">
        <f>YEAR(Tabela8[[#This Row],[Periodo]])</f>
        <v>2025</v>
      </c>
      <c r="F131" s="4">
        <f>INDEX(TBBP[],MATCH(A131,planoContas,)+1,MATCH(Tabela8[[#This Row],[Periodo]],listaPeriodos,))*-1</f>
        <v>2787.68</v>
      </c>
      <c r="G131" s="4">
        <f>(INDEX(TBBP[],MATCH("3.1",planoContas,)+1,MATCH(Tabela8[[#This Row],[Periodo]],listaPeriodos,)))</f>
        <v>8076456.3199999984</v>
      </c>
      <c r="H131" s="33">
        <f>Tabela8[[#This Row],[Valor]]/Tabela8[[#This Row],[Faturamento]]</f>
        <v>3.4516127984209792E-4</v>
      </c>
    </row>
    <row r="132" spans="1:8" x14ac:dyDescent="0.3">
      <c r="A132" s="2" t="str">
        <f t="shared" si="0"/>
        <v>4.1.1.2</v>
      </c>
      <c r="B132" t="s">
        <v>1155</v>
      </c>
      <c r="C132" s="252">
        <v>45689</v>
      </c>
      <c r="D132">
        <f>MONTH(Tabela8[[#This Row],[Periodo]])</f>
        <v>2</v>
      </c>
      <c r="E132">
        <f>YEAR(Tabela8[[#This Row],[Periodo]])</f>
        <v>2025</v>
      </c>
      <c r="F132" s="4">
        <f>INDEX(TBBP[],MATCH(A132,planoContas,)+1,MATCH(Tabela8[[#This Row],[Periodo]],listaPeriodos,))*-1</f>
        <v>894</v>
      </c>
      <c r="G132" s="4">
        <f>(INDEX(TBBP[],MATCH("3.1",planoContas,)+1,MATCH(Tabela8[[#This Row],[Periodo]],listaPeriodos,)))</f>
        <v>9308880.3099999987</v>
      </c>
      <c r="H132" s="33">
        <f>Tabela8[[#This Row],[Valor]]/Tabela8[[#This Row],[Faturamento]]</f>
        <v>9.6037328897614766E-5</v>
      </c>
    </row>
    <row r="133" spans="1:8" x14ac:dyDescent="0.3">
      <c r="A133" s="2" t="str">
        <f t="shared" si="0"/>
        <v>4.1.1.2</v>
      </c>
      <c r="B133" t="s">
        <v>1155</v>
      </c>
      <c r="C133" s="252">
        <v>45717</v>
      </c>
      <c r="D133">
        <f>MONTH(Tabela8[[#This Row],[Periodo]])</f>
        <v>3</v>
      </c>
      <c r="E133">
        <f>YEAR(Tabela8[[#This Row],[Periodo]])</f>
        <v>2025</v>
      </c>
      <c r="F133" s="4">
        <f>INDEX(TBBP[],MATCH(A133,planoContas,)+1,MATCH(Tabela8[[#This Row],[Periodo]],listaPeriodos,))*-1</f>
        <v>0</v>
      </c>
      <c r="G133" s="4">
        <f>(INDEX(TBBP[],MATCH("3.1",planoContas,)+1,MATCH(Tabela8[[#This Row],[Periodo]],listaPeriodos,)))</f>
        <v>9248184.4199999981</v>
      </c>
      <c r="H133" s="33">
        <f>Tabela8[[#This Row],[Valor]]/Tabela8[[#This Row],[Faturamento]]</f>
        <v>0</v>
      </c>
    </row>
    <row r="134" spans="1:8" x14ac:dyDescent="0.3">
      <c r="A134" s="2" t="str">
        <f t="shared" si="0"/>
        <v>4.1.1.2</v>
      </c>
      <c r="B134" t="s">
        <v>1155</v>
      </c>
      <c r="C134" s="252">
        <v>45748</v>
      </c>
      <c r="D134">
        <f>MONTH(Tabela8[[#This Row],[Periodo]])</f>
        <v>4</v>
      </c>
      <c r="E134">
        <f>YEAR(Tabela8[[#This Row],[Periodo]])</f>
        <v>2025</v>
      </c>
      <c r="F134" s="4">
        <f>INDEX(TBBP[],MATCH(A134,planoContas,)+1,MATCH(Tabela8[[#This Row],[Periodo]],listaPeriodos,))*-1</f>
        <v>0</v>
      </c>
      <c r="G134" s="4">
        <f>(INDEX(TBBP[],MATCH("3.1",planoContas,)+1,MATCH(Tabela8[[#This Row],[Periodo]],listaPeriodos,)))</f>
        <v>13159013.07</v>
      </c>
      <c r="H134" s="33">
        <f>Tabela8[[#This Row],[Valor]]/Tabela8[[#This Row],[Faturamento]]</f>
        <v>0</v>
      </c>
    </row>
    <row r="135" spans="1:8" x14ac:dyDescent="0.3">
      <c r="A135" s="2" t="str">
        <f t="shared" si="0"/>
        <v>4.1.1.2</v>
      </c>
      <c r="B135" t="s">
        <v>1155</v>
      </c>
      <c r="C135" s="252">
        <v>45778</v>
      </c>
      <c r="D135">
        <f>MONTH(Tabela8[[#This Row],[Periodo]])</f>
        <v>5</v>
      </c>
      <c r="E135">
        <f>YEAR(Tabela8[[#This Row],[Periodo]])</f>
        <v>2025</v>
      </c>
      <c r="F135" s="4">
        <f>INDEX(TBBP[],MATCH(A135,planoContas,)+1,MATCH(Tabela8[[#This Row],[Periodo]],listaPeriodos,))*-1</f>
        <v>3706.73</v>
      </c>
      <c r="G135" s="4">
        <f>(INDEX(TBBP[],MATCH("3.1",planoContas,)+1,MATCH(Tabela8[[#This Row],[Periodo]],listaPeriodos,)))</f>
        <v>13959973</v>
      </c>
      <c r="H135" s="33">
        <f>Tabela8[[#This Row],[Valor]]/Tabela8[[#This Row],[Faturamento]]</f>
        <v>2.655255851855874E-4</v>
      </c>
    </row>
    <row r="136" spans="1:8" x14ac:dyDescent="0.3">
      <c r="A136" s="2" t="str">
        <f t="shared" si="0"/>
        <v>4.1.1.2</v>
      </c>
      <c r="B136" t="s">
        <v>1155</v>
      </c>
      <c r="C136" s="252">
        <v>45809</v>
      </c>
      <c r="D136">
        <f>MONTH(Tabela8[[#This Row],[Periodo]])</f>
        <v>6</v>
      </c>
      <c r="E136">
        <f>YEAR(Tabela8[[#This Row],[Periodo]])</f>
        <v>2025</v>
      </c>
      <c r="F136" s="4">
        <f>INDEX(TBBP[],MATCH(A136,planoContas,)+1,MATCH(Tabela8[[#This Row],[Periodo]],listaPeriodos,))*-1</f>
        <v>-298.02999999999997</v>
      </c>
      <c r="G136" s="4">
        <f>(INDEX(TBBP[],MATCH("3.1",planoContas,)+1,MATCH(Tabela8[[#This Row],[Periodo]],listaPeriodos,)))</f>
        <v>7586097.6900000004</v>
      </c>
      <c r="H136" s="33">
        <f>Tabela8[[#This Row],[Valor]]/Tabela8[[#This Row],[Faturamento]]</f>
        <v>-3.9286338270183806E-5</v>
      </c>
    </row>
    <row r="137" spans="1:8" x14ac:dyDescent="0.3">
      <c r="A137" s="2" t="str">
        <f>A136</f>
        <v>4.1.1.2</v>
      </c>
      <c r="B137" t="s">
        <v>1155</v>
      </c>
      <c r="C137" s="252">
        <v>45839</v>
      </c>
      <c r="D137">
        <f>MONTH(Tabela8[[#This Row],[Periodo]])</f>
        <v>7</v>
      </c>
      <c r="E137">
        <f>YEAR(Tabela8[[#This Row],[Periodo]])</f>
        <v>2025</v>
      </c>
      <c r="F137" s="4">
        <f>INDEX(TBBP[],MATCH(A137,planoContas,)+1,MATCH(Tabela8[[#This Row],[Periodo]],listaPeriodos,))*-1</f>
        <v>2543.35</v>
      </c>
      <c r="G137" s="32">
        <f>(INDEX(TBBP[],MATCH("3.1",planoContas,)+1,MATCH(Tabela8[[#This Row],[Periodo]],listaPeriodos,)))</f>
        <v>8540811.4299999978</v>
      </c>
      <c r="H137" s="254">
        <f>Tabela8[[#This Row],[Valor]]/Tabela8[[#This Row],[Faturamento]]</f>
        <v>2.977878648703523E-4</v>
      </c>
    </row>
    <row r="138" spans="1:8" x14ac:dyDescent="0.3">
      <c r="A138" s="2" t="str">
        <f>A137</f>
        <v>4.1.1.2</v>
      </c>
      <c r="B138" t="s">
        <v>1155</v>
      </c>
      <c r="C138" s="252">
        <v>45870</v>
      </c>
      <c r="D138">
        <f>MONTH(Tabela8[[#This Row],[Periodo]])</f>
        <v>8</v>
      </c>
      <c r="E138">
        <f>YEAR(Tabela8[[#This Row],[Periodo]])</f>
        <v>2025</v>
      </c>
      <c r="F138" s="4">
        <f>INDEX(TBBP[],MATCH(A138,planoContas,)+1,MATCH(Tabela8[[#This Row],[Periodo]],listaPeriodos,))*-1</f>
        <v>0</v>
      </c>
      <c r="G138" s="32">
        <f>(INDEX(TBBP[],MATCH("3.1",planoContas,)+1,MATCH(Tabela8[[#This Row],[Periodo]],listaPeriodos,)))</f>
        <v>8935630.6800000016</v>
      </c>
      <c r="H138" s="254">
        <f>Tabela8[[#This Row],[Valor]]/Tabela8[[#This Row],[Faturamento]]</f>
        <v>0</v>
      </c>
    </row>
    <row r="139" spans="1:8" x14ac:dyDescent="0.3">
      <c r="C139" s="29"/>
      <c r="F139" s="4"/>
      <c r="G139" s="4"/>
      <c r="H139" s="33"/>
    </row>
    <row r="140" spans="1:8" x14ac:dyDescent="0.3">
      <c r="A140" s="2" t="s">
        <v>132</v>
      </c>
      <c r="B140" t="s">
        <v>546</v>
      </c>
      <c r="C140" s="252">
        <v>43831</v>
      </c>
      <c r="D140">
        <f>MONTH(Tabela8[[#This Row],[Periodo]])</f>
        <v>1</v>
      </c>
      <c r="E140">
        <f>YEAR(Tabela8[[#This Row],[Periodo]])</f>
        <v>2020</v>
      </c>
      <c r="F140" s="4">
        <f>INDEX(TBBP[],MATCH(A140,planoContas,)+1,MATCH(Tabela8[[#This Row],[Periodo]],listaPeriodos,))*-1</f>
        <v>176432.23</v>
      </c>
      <c r="G140" s="4">
        <f>(INDEX(TBBP[],MATCH("3.1",planoContas,)+1,MATCH(Tabela8[[#This Row],[Periodo]],listaPeriodos,)))</f>
        <v>2941337.78</v>
      </c>
      <c r="H140" s="33">
        <f>Tabela8[[#This Row],[Valor]]/Tabela8[[#This Row],[Faturamento]]</f>
        <v>5.9983668383710768E-2</v>
      </c>
    </row>
    <row r="141" spans="1:8" x14ac:dyDescent="0.3">
      <c r="A141" s="2" t="str">
        <f>A140</f>
        <v>4.2.1.1</v>
      </c>
      <c r="B141" t="s">
        <v>546</v>
      </c>
      <c r="C141" s="252">
        <v>43862</v>
      </c>
      <c r="D141">
        <f>MONTH(Tabela8[[#This Row],[Periodo]])</f>
        <v>2</v>
      </c>
      <c r="E141">
        <f>YEAR(Tabela8[[#This Row],[Periodo]])</f>
        <v>2020</v>
      </c>
      <c r="F141" s="4">
        <f>INDEX(TBBP[],MATCH(A141,planoContas,)+1,MATCH(Tabela8[[#This Row],[Periodo]],listaPeriodos,))*-1</f>
        <v>321227.96999999997</v>
      </c>
      <c r="G141" s="4">
        <f>(INDEX(TBBP[],MATCH("3.1",planoContas,)+1,MATCH(Tabela8[[#This Row],[Periodo]],listaPeriodos,)))</f>
        <v>2349456.3899999997</v>
      </c>
      <c r="H141" s="33">
        <f>Tabela8[[#This Row],[Valor]]/Tabela8[[#This Row],[Faturamento]]</f>
        <v>0.13672438074068702</v>
      </c>
    </row>
    <row r="142" spans="1:8" x14ac:dyDescent="0.3">
      <c r="A142" s="2" t="str">
        <f t="shared" ref="A142:A205" si="1">A141</f>
        <v>4.2.1.1</v>
      </c>
      <c r="B142" t="s">
        <v>546</v>
      </c>
      <c r="C142" s="252">
        <v>43891</v>
      </c>
      <c r="D142">
        <f>MONTH(Tabela8[[#This Row],[Periodo]])</f>
        <v>3</v>
      </c>
      <c r="E142">
        <f>YEAR(Tabela8[[#This Row],[Periodo]])</f>
        <v>2020</v>
      </c>
      <c r="F142" s="4">
        <f>INDEX(TBBP[],MATCH(A142,planoContas,)+1,MATCH(Tabela8[[#This Row],[Periodo]],listaPeriodos,))*-1</f>
        <v>148634.1</v>
      </c>
      <c r="G142" s="4">
        <f>(INDEX(TBBP[],MATCH("3.1",planoContas,)+1,MATCH(Tabela8[[#This Row],[Periodo]],listaPeriodos,)))</f>
        <v>1776143.5799999998</v>
      </c>
      <c r="H142" s="33">
        <f>Tabela8[[#This Row],[Valor]]/Tabela8[[#This Row],[Faturamento]]</f>
        <v>8.3683606254399787E-2</v>
      </c>
    </row>
    <row r="143" spans="1:8" x14ac:dyDescent="0.3">
      <c r="A143" s="2" t="str">
        <f t="shared" si="1"/>
        <v>4.2.1.1</v>
      </c>
      <c r="B143" t="s">
        <v>546</v>
      </c>
      <c r="C143" s="252">
        <v>43922</v>
      </c>
      <c r="D143">
        <f>MONTH(Tabela8[[#This Row],[Periodo]])</f>
        <v>4</v>
      </c>
      <c r="E143">
        <f>YEAR(Tabela8[[#This Row],[Periodo]])</f>
        <v>2020</v>
      </c>
      <c r="F143" s="4">
        <f>INDEX(TBBP[],MATCH(A143,planoContas,)+1,MATCH(Tabela8[[#This Row],[Periodo]],listaPeriodos,))*-1</f>
        <v>116107.58</v>
      </c>
      <c r="G143" s="4">
        <f>(INDEX(TBBP[],MATCH("3.1",planoContas,)+1,MATCH(Tabela8[[#This Row],[Periodo]],listaPeriodos,)))</f>
        <v>1758110.85</v>
      </c>
      <c r="H143" s="33">
        <f>Tabela8[[#This Row],[Valor]]/Tabela8[[#This Row],[Faturamento]]</f>
        <v>6.6041103153421751E-2</v>
      </c>
    </row>
    <row r="144" spans="1:8" x14ac:dyDescent="0.3">
      <c r="A144" s="2" t="str">
        <f t="shared" si="1"/>
        <v>4.2.1.1</v>
      </c>
      <c r="B144" t="s">
        <v>546</v>
      </c>
      <c r="C144" s="252">
        <v>43952</v>
      </c>
      <c r="D144">
        <f>MONTH(Tabela8[[#This Row],[Periodo]])</f>
        <v>5</v>
      </c>
      <c r="E144">
        <f>YEAR(Tabela8[[#This Row],[Periodo]])</f>
        <v>2020</v>
      </c>
      <c r="F144" s="4">
        <f>INDEX(TBBP[],MATCH(A144,planoContas,)+1,MATCH(Tabela8[[#This Row],[Periodo]],listaPeriodos,))*-1</f>
        <v>148782.76999999999</v>
      </c>
      <c r="G144" s="4">
        <f>(INDEX(TBBP[],MATCH("3.1",planoContas,)+1,MATCH(Tabela8[[#This Row],[Periodo]],listaPeriodos,)))</f>
        <v>2559944.39</v>
      </c>
      <c r="H144" s="33">
        <f>Tabela8[[#This Row],[Valor]]/Tabela8[[#This Row],[Faturamento]]</f>
        <v>5.811953204186595E-2</v>
      </c>
    </row>
    <row r="145" spans="1:8" x14ac:dyDescent="0.3">
      <c r="A145" s="2" t="str">
        <f t="shared" si="1"/>
        <v>4.2.1.1</v>
      </c>
      <c r="B145" t="s">
        <v>546</v>
      </c>
      <c r="C145" s="252">
        <v>43983</v>
      </c>
      <c r="D145">
        <f>MONTH(Tabela8[[#This Row],[Periodo]])</f>
        <v>6</v>
      </c>
      <c r="E145">
        <f>YEAR(Tabela8[[#This Row],[Periodo]])</f>
        <v>2020</v>
      </c>
      <c r="F145" s="4">
        <f>INDEX(TBBP[],MATCH(A145,planoContas,)+1,MATCH(Tabela8[[#This Row],[Periodo]],listaPeriodos,))*-1</f>
        <v>138210.34</v>
      </c>
      <c r="G145" s="4">
        <f>(INDEX(TBBP[],MATCH("3.1",planoContas,)+1,MATCH(Tabela8[[#This Row],[Periodo]],listaPeriodos,)))</f>
        <v>3887509.5300000003</v>
      </c>
      <c r="H145" s="33">
        <f>Tabela8[[#This Row],[Valor]]/Tabela8[[#This Row],[Faturamento]]</f>
        <v>3.5552411880518268E-2</v>
      </c>
    </row>
    <row r="146" spans="1:8" x14ac:dyDescent="0.3">
      <c r="A146" s="2" t="str">
        <f t="shared" si="1"/>
        <v>4.2.1.1</v>
      </c>
      <c r="B146" t="s">
        <v>546</v>
      </c>
      <c r="C146" s="252">
        <v>44013</v>
      </c>
      <c r="D146">
        <f>MONTH(Tabela8[[#This Row],[Periodo]])</f>
        <v>7</v>
      </c>
      <c r="E146">
        <f>YEAR(Tabela8[[#This Row],[Periodo]])</f>
        <v>2020</v>
      </c>
      <c r="F146" s="4">
        <f>INDEX(TBBP[],MATCH(A146,planoContas,)+1,MATCH(Tabela8[[#This Row],[Periodo]],listaPeriodos,))*-1</f>
        <v>165742.85</v>
      </c>
      <c r="G146" s="4">
        <f>(INDEX(TBBP[],MATCH("3.1",planoContas,)+1,MATCH(Tabela8[[#This Row],[Periodo]],listaPeriodos,)))</f>
        <v>4143176.64</v>
      </c>
      <c r="H146" s="33">
        <f>Tabela8[[#This Row],[Valor]]/Tabela8[[#This Row],[Faturamento]]</f>
        <v>4.0003809733779538E-2</v>
      </c>
    </row>
    <row r="147" spans="1:8" x14ac:dyDescent="0.3">
      <c r="A147" s="2" t="str">
        <f t="shared" si="1"/>
        <v>4.2.1.1</v>
      </c>
      <c r="B147" t="s">
        <v>546</v>
      </c>
      <c r="C147" s="252">
        <v>44044</v>
      </c>
      <c r="D147">
        <f>MONTH(Tabela8[[#This Row],[Periodo]])</f>
        <v>8</v>
      </c>
      <c r="E147">
        <f>YEAR(Tabela8[[#This Row],[Periodo]])</f>
        <v>2020</v>
      </c>
      <c r="F147" s="4">
        <f>INDEX(TBBP[],MATCH(A147,planoContas,)+1,MATCH(Tabela8[[#This Row],[Periodo]],listaPeriodos,))*-1</f>
        <v>157175.23000000001</v>
      </c>
      <c r="G147" s="4">
        <f>(INDEX(TBBP[],MATCH("3.1",planoContas,)+1,MATCH(Tabela8[[#This Row],[Periodo]],listaPeriodos,)))</f>
        <v>4467793.6800000006</v>
      </c>
      <c r="H147" s="33">
        <f>Tabela8[[#This Row],[Valor]]/Tabela8[[#This Row],[Faturamento]]</f>
        <v>3.5179607935700373E-2</v>
      </c>
    </row>
    <row r="148" spans="1:8" x14ac:dyDescent="0.3">
      <c r="A148" s="2" t="str">
        <f t="shared" si="1"/>
        <v>4.2.1.1</v>
      </c>
      <c r="B148" t="s">
        <v>546</v>
      </c>
      <c r="C148" s="252">
        <v>44075</v>
      </c>
      <c r="D148">
        <f>MONTH(Tabela8[[#This Row],[Periodo]])</f>
        <v>9</v>
      </c>
      <c r="E148">
        <f>YEAR(Tabela8[[#This Row],[Periodo]])</f>
        <v>2020</v>
      </c>
      <c r="F148" s="4">
        <f>INDEX(TBBP[],MATCH(A148,planoContas,)+1,MATCH(Tabela8[[#This Row],[Periodo]],listaPeriodos,))*-1</f>
        <v>177107.85</v>
      </c>
      <c r="G148" s="4">
        <f>(INDEX(TBBP[],MATCH("3.1",planoContas,)+1,MATCH(Tabela8[[#This Row],[Periodo]],listaPeriodos,)))</f>
        <v>4802256.0000000009</v>
      </c>
      <c r="H148" s="33">
        <f>Tabela8[[#This Row],[Valor]]/Tabela8[[#This Row],[Faturamento]]</f>
        <v>3.6880135086509336E-2</v>
      </c>
    </row>
    <row r="149" spans="1:8" x14ac:dyDescent="0.3">
      <c r="A149" s="2" t="str">
        <f t="shared" si="1"/>
        <v>4.2.1.1</v>
      </c>
      <c r="B149" t="s">
        <v>546</v>
      </c>
      <c r="C149" s="252">
        <v>44105</v>
      </c>
      <c r="D149">
        <f>MONTH(Tabela8[[#This Row],[Periodo]])</f>
        <v>10</v>
      </c>
      <c r="E149">
        <f>YEAR(Tabela8[[#This Row],[Periodo]])</f>
        <v>2020</v>
      </c>
      <c r="F149" s="4">
        <f>INDEX(TBBP[],MATCH(A149,planoContas,)+1,MATCH(Tabela8[[#This Row],[Periodo]],listaPeriodos,))*-1</f>
        <v>197458.79</v>
      </c>
      <c r="G149" s="4">
        <f>(INDEX(TBBP[],MATCH("3.1",planoContas,)+1,MATCH(Tabela8[[#This Row],[Periodo]],listaPeriodos,)))</f>
        <v>5685928.0300000003</v>
      </c>
      <c r="H149" s="33">
        <f>Tabela8[[#This Row],[Valor]]/Tabela8[[#This Row],[Faturamento]]</f>
        <v>3.4727627391372383E-2</v>
      </c>
    </row>
    <row r="150" spans="1:8" x14ac:dyDescent="0.3">
      <c r="A150" s="2" t="str">
        <f t="shared" si="1"/>
        <v>4.2.1.1</v>
      </c>
      <c r="B150" t="s">
        <v>546</v>
      </c>
      <c r="C150" s="252">
        <v>44136</v>
      </c>
      <c r="D150">
        <f>MONTH(Tabela8[[#This Row],[Periodo]])</f>
        <v>11</v>
      </c>
      <c r="E150">
        <f>YEAR(Tabela8[[#This Row],[Periodo]])</f>
        <v>2020</v>
      </c>
      <c r="F150" s="4">
        <f>INDEX(TBBP[],MATCH(A150,planoContas,)+1,MATCH(Tabela8[[#This Row],[Periodo]],listaPeriodos,))*-1</f>
        <v>191403.84</v>
      </c>
      <c r="G150" s="4">
        <f>(INDEX(TBBP[],MATCH("3.1",planoContas,)+1,MATCH(Tabela8[[#This Row],[Periodo]],listaPeriodos,)))</f>
        <v>4644331.2300000004</v>
      </c>
      <c r="H150" s="33">
        <f>Tabela8[[#This Row],[Valor]]/Tabela8[[#This Row],[Faturamento]]</f>
        <v>4.1212357715493947E-2</v>
      </c>
    </row>
    <row r="151" spans="1:8" x14ac:dyDescent="0.3">
      <c r="A151" s="2" t="str">
        <f t="shared" si="1"/>
        <v>4.2.1.1</v>
      </c>
      <c r="B151" t="s">
        <v>546</v>
      </c>
      <c r="C151" s="252">
        <v>44166</v>
      </c>
      <c r="D151">
        <f>MONTH(Tabela8[[#This Row],[Periodo]])</f>
        <v>12</v>
      </c>
      <c r="E151">
        <f>YEAR(Tabela8[[#This Row],[Periodo]])</f>
        <v>2020</v>
      </c>
      <c r="F151" s="4">
        <f>INDEX(TBBP[],MATCH(A151,planoContas,)+1,MATCH(Tabela8[[#This Row],[Periodo]],listaPeriodos,))*-1</f>
        <v>170273.54</v>
      </c>
      <c r="G151" s="4">
        <f>(INDEX(TBBP[],MATCH("3.1",planoContas,)+1,MATCH(Tabela8[[#This Row],[Periodo]],listaPeriodos,)))</f>
        <v>4473220.9900000012</v>
      </c>
      <c r="H151" s="33">
        <f>Tabela8[[#This Row],[Valor]]/Tabela8[[#This Row],[Faturamento]]</f>
        <v>3.8065085624128747E-2</v>
      </c>
    </row>
    <row r="152" spans="1:8" x14ac:dyDescent="0.3">
      <c r="A152" s="2" t="str">
        <f t="shared" si="1"/>
        <v>4.2.1.1</v>
      </c>
      <c r="B152" t="s">
        <v>546</v>
      </c>
      <c r="C152" s="252">
        <v>44197</v>
      </c>
      <c r="D152">
        <f>MONTH(Tabela8[[#This Row],[Periodo]])</f>
        <v>1</v>
      </c>
      <c r="E152">
        <f>YEAR(Tabela8[[#This Row],[Periodo]])</f>
        <v>2021</v>
      </c>
      <c r="F152" s="4">
        <f>INDEX(TBBP[],MATCH(A152,planoContas,)+1,MATCH(Tabela8[[#This Row],[Periodo]],listaPeriodos,))*-1</f>
        <v>158203.44</v>
      </c>
      <c r="G152" s="4">
        <f>(INDEX(TBBP[],MATCH("3.1",planoContas,)+1,MATCH(Tabela8[[#This Row],[Periodo]],listaPeriodos,)))</f>
        <v>4944925.6000000015</v>
      </c>
      <c r="H152" s="33">
        <f>Tabela8[[#This Row],[Valor]]/Tabela8[[#This Row],[Faturamento]]</f>
        <v>3.1993088025429536E-2</v>
      </c>
    </row>
    <row r="153" spans="1:8" x14ac:dyDescent="0.3">
      <c r="A153" s="2" t="str">
        <f t="shared" si="1"/>
        <v>4.2.1.1</v>
      </c>
      <c r="B153" t="s">
        <v>546</v>
      </c>
      <c r="C153" s="252">
        <v>44228</v>
      </c>
      <c r="D153">
        <f>MONTH(Tabela8[[#This Row],[Periodo]])</f>
        <v>2</v>
      </c>
      <c r="E153">
        <f>YEAR(Tabela8[[#This Row],[Periodo]])</f>
        <v>2021</v>
      </c>
      <c r="F153" s="4">
        <f>INDEX(TBBP[],MATCH(A153,planoContas,)+1,MATCH(Tabela8[[#This Row],[Periodo]],listaPeriodos,))*-1</f>
        <v>396872.58999999997</v>
      </c>
      <c r="G153" s="4">
        <f>(INDEX(TBBP[],MATCH("3.1",planoContas,)+1,MATCH(Tabela8[[#This Row],[Periodo]],listaPeriodos,)))</f>
        <v>5234248.620000001</v>
      </c>
      <c r="H153" s="33">
        <f>Tabela8[[#This Row],[Valor]]/Tabela8[[#This Row],[Faturamento]]</f>
        <v>7.5822265775369282E-2</v>
      </c>
    </row>
    <row r="154" spans="1:8" x14ac:dyDescent="0.3">
      <c r="A154" s="2" t="str">
        <f t="shared" si="1"/>
        <v>4.2.1.1</v>
      </c>
      <c r="B154" t="s">
        <v>546</v>
      </c>
      <c r="C154" s="252">
        <v>44256</v>
      </c>
      <c r="D154">
        <f>MONTH(Tabela8[[#This Row],[Periodo]])</f>
        <v>3</v>
      </c>
      <c r="E154">
        <f>YEAR(Tabela8[[#This Row],[Periodo]])</f>
        <v>2021</v>
      </c>
      <c r="F154" s="4">
        <f>INDEX(TBBP[],MATCH(A154,planoContas,)+1,MATCH(Tabela8[[#This Row],[Periodo]],listaPeriodos,))*-1</f>
        <v>166343.57</v>
      </c>
      <c r="G154" s="4">
        <f>(INDEX(TBBP[],MATCH("3.1",planoContas,)+1,MATCH(Tabela8[[#This Row],[Periodo]],listaPeriodos,)))</f>
        <v>6030259.7299999995</v>
      </c>
      <c r="H154" s="33">
        <f>Tabela8[[#This Row],[Valor]]/Tabela8[[#This Row],[Faturamento]]</f>
        <v>2.7584810181965416E-2</v>
      </c>
    </row>
    <row r="155" spans="1:8" x14ac:dyDescent="0.3">
      <c r="A155" s="2" t="str">
        <f t="shared" si="1"/>
        <v>4.2.1.1</v>
      </c>
      <c r="B155" t="s">
        <v>546</v>
      </c>
      <c r="C155" s="252">
        <v>44287</v>
      </c>
      <c r="D155">
        <f>MONTH(Tabela8[[#This Row],[Periodo]])</f>
        <v>4</v>
      </c>
      <c r="E155">
        <f>YEAR(Tabela8[[#This Row],[Periodo]])</f>
        <v>2021</v>
      </c>
      <c r="F155" s="4">
        <f>INDEX(TBBP[],MATCH(A155,planoContas,)+1,MATCH(Tabela8[[#This Row],[Periodo]],listaPeriodos,))*-1</f>
        <v>173706.23</v>
      </c>
      <c r="G155" s="4">
        <f>(INDEX(TBBP[],MATCH("3.1",planoContas,)+1,MATCH(Tabela8[[#This Row],[Periodo]],listaPeriodos,)))</f>
        <v>7105290.3500000006</v>
      </c>
      <c r="H155" s="33">
        <f>Tabela8[[#This Row],[Valor]]/Tabela8[[#This Row],[Faturamento]]</f>
        <v>2.4447449920185174E-2</v>
      </c>
    </row>
    <row r="156" spans="1:8" x14ac:dyDescent="0.3">
      <c r="A156" s="2" t="str">
        <f t="shared" si="1"/>
        <v>4.2.1.1</v>
      </c>
      <c r="B156" t="s">
        <v>546</v>
      </c>
      <c r="C156" s="252">
        <v>44317</v>
      </c>
      <c r="D156">
        <f>MONTH(Tabela8[[#This Row],[Periodo]])</f>
        <v>5</v>
      </c>
      <c r="E156">
        <f>YEAR(Tabela8[[#This Row],[Periodo]])</f>
        <v>2021</v>
      </c>
      <c r="F156" s="4">
        <f>INDEX(TBBP[],MATCH(A156,planoContas,)+1,MATCH(Tabela8[[#This Row],[Periodo]],listaPeriodos,))*-1</f>
        <v>208430.27000000002</v>
      </c>
      <c r="G156" s="4">
        <f>(INDEX(TBBP[],MATCH("3.1",planoContas,)+1,MATCH(Tabela8[[#This Row],[Periodo]],listaPeriodos,)))</f>
        <v>7918709.8200000003</v>
      </c>
      <c r="H156" s="33">
        <f>Tabela8[[#This Row],[Valor]]/Tabela8[[#This Row],[Faturamento]]</f>
        <v>2.6321241052876466E-2</v>
      </c>
    </row>
    <row r="157" spans="1:8" x14ac:dyDescent="0.3">
      <c r="A157" s="2" t="str">
        <f t="shared" si="1"/>
        <v>4.2.1.1</v>
      </c>
      <c r="B157" t="s">
        <v>546</v>
      </c>
      <c r="C157" s="252">
        <v>44348</v>
      </c>
      <c r="D157">
        <f>MONTH(Tabela8[[#This Row],[Periodo]])</f>
        <v>6</v>
      </c>
      <c r="E157">
        <f>YEAR(Tabela8[[#This Row],[Periodo]])</f>
        <v>2021</v>
      </c>
      <c r="F157" s="4">
        <f>INDEX(TBBP[],MATCH(A157,planoContas,)+1,MATCH(Tabela8[[#This Row],[Periodo]],listaPeriodos,))*-1</f>
        <v>207290.84</v>
      </c>
      <c r="G157" s="4">
        <f>(INDEX(TBBP[],MATCH("3.1",planoContas,)+1,MATCH(Tabela8[[#This Row],[Periodo]],listaPeriodos,)))</f>
        <v>8868518.3300000001</v>
      </c>
      <c r="H157" s="33">
        <f>Tabela8[[#This Row],[Valor]]/Tabela8[[#This Row],[Faturamento]]</f>
        <v>2.3373784919492858E-2</v>
      </c>
    </row>
    <row r="158" spans="1:8" x14ac:dyDescent="0.3">
      <c r="A158" s="2" t="str">
        <f t="shared" si="1"/>
        <v>4.2.1.1</v>
      </c>
      <c r="B158" t="s">
        <v>546</v>
      </c>
      <c r="C158" s="252">
        <v>44378</v>
      </c>
      <c r="D158">
        <f>MONTH(Tabela8[[#This Row],[Periodo]])</f>
        <v>7</v>
      </c>
      <c r="E158">
        <f>YEAR(Tabela8[[#This Row],[Periodo]])</f>
        <v>2021</v>
      </c>
      <c r="F158" s="4">
        <f>INDEX(TBBP[],MATCH(A158,planoContas,)+1,MATCH(Tabela8[[#This Row],[Periodo]],listaPeriodos,))*-1</f>
        <v>261359.77000000002</v>
      </c>
      <c r="G158" s="4">
        <f>(INDEX(TBBP[],MATCH("3.1",planoContas,)+1,MATCH(Tabela8[[#This Row],[Periodo]],listaPeriodos,)))</f>
        <v>9403531.2600000016</v>
      </c>
      <c r="H158" s="33">
        <f>Tabela8[[#This Row],[Valor]]/Tabela8[[#This Row],[Faturamento]]</f>
        <v>2.77937896704562E-2</v>
      </c>
    </row>
    <row r="159" spans="1:8" x14ac:dyDescent="0.3">
      <c r="A159" s="2" t="str">
        <f t="shared" si="1"/>
        <v>4.2.1.1</v>
      </c>
      <c r="B159" t="s">
        <v>546</v>
      </c>
      <c r="C159" s="252">
        <v>44409</v>
      </c>
      <c r="D159">
        <f>MONTH(Tabela8[[#This Row],[Periodo]])</f>
        <v>8</v>
      </c>
      <c r="E159">
        <f>YEAR(Tabela8[[#This Row],[Periodo]])</f>
        <v>2021</v>
      </c>
      <c r="F159" s="4">
        <f>INDEX(TBBP[],MATCH(A159,planoContas,)+1,MATCH(Tabela8[[#This Row],[Periodo]],listaPeriodos,))*-1</f>
        <v>259688.84</v>
      </c>
      <c r="G159" s="4">
        <f>(INDEX(TBBP[],MATCH("3.1",planoContas,)+1,MATCH(Tabela8[[#This Row],[Periodo]],listaPeriodos,)))</f>
        <v>8700462.6600000001</v>
      </c>
      <c r="H159" s="33">
        <f>Tabela8[[#This Row],[Valor]]/Tabela8[[#This Row],[Faturamento]]</f>
        <v>2.9847704673673064E-2</v>
      </c>
    </row>
    <row r="160" spans="1:8" x14ac:dyDescent="0.3">
      <c r="A160" s="2" t="str">
        <f t="shared" si="1"/>
        <v>4.2.1.1</v>
      </c>
      <c r="B160" t="s">
        <v>546</v>
      </c>
      <c r="C160" s="252">
        <v>44440</v>
      </c>
      <c r="D160">
        <f>MONTH(Tabela8[[#This Row],[Periodo]])</f>
        <v>9</v>
      </c>
      <c r="E160">
        <f>YEAR(Tabela8[[#This Row],[Periodo]])</f>
        <v>2021</v>
      </c>
      <c r="F160" s="4">
        <f>INDEX(TBBP[],MATCH(A160,planoContas,)+1,MATCH(Tabela8[[#This Row],[Periodo]],listaPeriodos,))*-1</f>
        <v>307595.21999999997</v>
      </c>
      <c r="G160" s="4">
        <f>(INDEX(TBBP[],MATCH("3.1",planoContas,)+1,MATCH(Tabela8[[#This Row],[Periodo]],listaPeriodos,)))</f>
        <v>8607862.3599999994</v>
      </c>
      <c r="H160" s="33">
        <f>Tabela8[[#This Row],[Valor]]/Tabela8[[#This Row],[Faturamento]]</f>
        <v>3.5734216828253278E-2</v>
      </c>
    </row>
    <row r="161" spans="1:8" x14ac:dyDescent="0.3">
      <c r="A161" s="2" t="str">
        <f t="shared" si="1"/>
        <v>4.2.1.1</v>
      </c>
      <c r="B161" t="s">
        <v>546</v>
      </c>
      <c r="C161" s="252">
        <v>44470</v>
      </c>
      <c r="D161">
        <f>MONTH(Tabela8[[#This Row],[Periodo]])</f>
        <v>10</v>
      </c>
      <c r="E161">
        <f>YEAR(Tabela8[[#This Row],[Periodo]])</f>
        <v>2021</v>
      </c>
      <c r="F161" s="4">
        <f>INDEX(TBBP[],MATCH(A161,planoContas,)+1,MATCH(Tabela8[[#This Row],[Periodo]],listaPeriodos,))*-1</f>
        <v>531020.89</v>
      </c>
      <c r="G161" s="4">
        <f>(INDEX(TBBP[],MATCH("3.1",planoContas,)+1,MATCH(Tabela8[[#This Row],[Periodo]],listaPeriodos,)))</f>
        <v>7463338.209999999</v>
      </c>
      <c r="H161" s="33">
        <f>Tabela8[[#This Row],[Valor]]/Tabela8[[#This Row],[Faturamento]]</f>
        <v>7.1150586380836156E-2</v>
      </c>
    </row>
    <row r="162" spans="1:8" x14ac:dyDescent="0.3">
      <c r="A162" s="2" t="str">
        <f t="shared" si="1"/>
        <v>4.2.1.1</v>
      </c>
      <c r="B162" t="s">
        <v>546</v>
      </c>
      <c r="C162" s="252">
        <v>44501</v>
      </c>
      <c r="D162">
        <f>MONTH(Tabela8[[#This Row],[Periodo]])</f>
        <v>11</v>
      </c>
      <c r="E162">
        <f>YEAR(Tabela8[[#This Row],[Periodo]])</f>
        <v>2021</v>
      </c>
      <c r="F162" s="4">
        <f>INDEX(TBBP[],MATCH(A162,planoContas,)+1,MATCH(Tabela8[[#This Row],[Periodo]],listaPeriodos,))*-1</f>
        <v>418443.93</v>
      </c>
      <c r="G162" s="4">
        <f>(INDEX(TBBP[],MATCH("3.1",planoContas,)+1,MATCH(Tabela8[[#This Row],[Periodo]],listaPeriodos,)))</f>
        <v>6165662.4399999995</v>
      </c>
      <c r="H162" s="33">
        <f>Tabela8[[#This Row],[Valor]]/Tabela8[[#This Row],[Faturamento]]</f>
        <v>6.7866824379701207E-2</v>
      </c>
    </row>
    <row r="163" spans="1:8" x14ac:dyDescent="0.3">
      <c r="A163" s="2" t="str">
        <f t="shared" si="1"/>
        <v>4.2.1.1</v>
      </c>
      <c r="B163" t="s">
        <v>546</v>
      </c>
      <c r="C163" s="252">
        <v>44531</v>
      </c>
      <c r="D163">
        <f>MONTH(Tabela8[[#This Row],[Periodo]])</f>
        <v>12</v>
      </c>
      <c r="E163">
        <f>YEAR(Tabela8[[#This Row],[Periodo]])</f>
        <v>2021</v>
      </c>
      <c r="F163" s="4">
        <f>INDEX(TBBP[],MATCH(A163,planoContas,)+1,MATCH(Tabela8[[#This Row],[Periodo]],listaPeriodos,))*-1</f>
        <v>350119.93</v>
      </c>
      <c r="G163" s="4">
        <f>(INDEX(TBBP[],MATCH("3.1",planoContas,)+1,MATCH(Tabela8[[#This Row],[Periodo]],listaPeriodos,)))</f>
        <v>5516988.5500000007</v>
      </c>
      <c r="H163" s="33">
        <f>Tabela8[[#This Row],[Valor]]/Tabela8[[#This Row],[Faturamento]]</f>
        <v>6.3462145485148766E-2</v>
      </c>
    </row>
    <row r="164" spans="1:8" x14ac:dyDescent="0.3">
      <c r="A164" s="2" t="str">
        <f t="shared" si="1"/>
        <v>4.2.1.1</v>
      </c>
      <c r="B164" t="s">
        <v>546</v>
      </c>
      <c r="C164" s="252">
        <v>44562</v>
      </c>
      <c r="D164">
        <f>MONTH(Tabela8[[#This Row],[Periodo]])</f>
        <v>1</v>
      </c>
      <c r="E164">
        <f>YEAR(Tabela8[[#This Row],[Periodo]])</f>
        <v>2022</v>
      </c>
      <c r="F164" s="4">
        <f>INDEX(TBBP[],MATCH(A164,planoContas,)+1,MATCH(Tabela8[[#This Row],[Periodo]],listaPeriodos,))*-1</f>
        <v>357200.12</v>
      </c>
      <c r="G164" s="4">
        <f>(INDEX(TBBP[],MATCH("3.1",planoContas,)+1,MATCH(Tabela8[[#This Row],[Periodo]],listaPeriodos,)))</f>
        <v>5346830.53</v>
      </c>
      <c r="H164" s="33">
        <f>Tabela8[[#This Row],[Valor]]/Tabela8[[#This Row],[Faturamento]]</f>
        <v>6.6805955041182127E-2</v>
      </c>
    </row>
    <row r="165" spans="1:8" x14ac:dyDescent="0.3">
      <c r="A165" s="2" t="str">
        <f t="shared" si="1"/>
        <v>4.2.1.1</v>
      </c>
      <c r="B165" t="s">
        <v>546</v>
      </c>
      <c r="C165" s="252">
        <v>44593</v>
      </c>
      <c r="D165">
        <f>MONTH(Tabela8[[#This Row],[Periodo]])</f>
        <v>2</v>
      </c>
      <c r="E165">
        <f>YEAR(Tabela8[[#This Row],[Periodo]])</f>
        <v>2022</v>
      </c>
      <c r="F165" s="4">
        <f>INDEX(TBBP[],MATCH(A165,planoContas,)+1,MATCH(Tabela8[[#This Row],[Periodo]],listaPeriodos,))*-1</f>
        <v>610154.16999999993</v>
      </c>
      <c r="G165" s="4">
        <f>(INDEX(TBBP[],MATCH("3.1",planoContas,)+1,MATCH(Tabela8[[#This Row],[Periodo]],listaPeriodos,)))</f>
        <v>6667938.8199999994</v>
      </c>
      <c r="H165" s="33">
        <f>Tabela8[[#This Row],[Valor]]/Tabela8[[#This Row],[Faturamento]]</f>
        <v>9.1505664114656646E-2</v>
      </c>
    </row>
    <row r="166" spans="1:8" x14ac:dyDescent="0.3">
      <c r="A166" s="2" t="str">
        <f t="shared" si="1"/>
        <v>4.2.1.1</v>
      </c>
      <c r="B166" t="s">
        <v>546</v>
      </c>
      <c r="C166" s="252">
        <v>44621</v>
      </c>
      <c r="D166">
        <f>MONTH(Tabela8[[#This Row],[Periodo]])</f>
        <v>3</v>
      </c>
      <c r="E166">
        <f>YEAR(Tabela8[[#This Row],[Periodo]])</f>
        <v>2022</v>
      </c>
      <c r="F166" s="4">
        <f>INDEX(TBBP[],MATCH(A166,planoContas,)+1,MATCH(Tabela8[[#This Row],[Periodo]],listaPeriodos,))*-1</f>
        <v>475119.15</v>
      </c>
      <c r="G166" s="4">
        <f>(INDEX(TBBP[],MATCH("3.1",planoContas,)+1,MATCH(Tabela8[[#This Row],[Periodo]],listaPeriodos,)))</f>
        <v>10398348.879999999</v>
      </c>
      <c r="H166" s="33">
        <f>Tabela8[[#This Row],[Valor]]/Tabela8[[#This Row],[Faturamento]]</f>
        <v>4.5691787752364786E-2</v>
      </c>
    </row>
    <row r="167" spans="1:8" x14ac:dyDescent="0.3">
      <c r="A167" s="2" t="str">
        <f t="shared" si="1"/>
        <v>4.2.1.1</v>
      </c>
      <c r="B167" t="s">
        <v>546</v>
      </c>
      <c r="C167" s="252">
        <v>44652</v>
      </c>
      <c r="D167">
        <f>MONTH(Tabela8[[#This Row],[Periodo]])</f>
        <v>4</v>
      </c>
      <c r="E167">
        <f>YEAR(Tabela8[[#This Row],[Periodo]])</f>
        <v>2022</v>
      </c>
      <c r="F167" s="4">
        <f>INDEX(TBBP[],MATCH(A167,planoContas,)+1,MATCH(Tabela8[[#This Row],[Periodo]],listaPeriodos,))*-1</f>
        <v>422949.57</v>
      </c>
      <c r="G167" s="4">
        <f>(INDEX(TBBP[],MATCH("3.1",planoContas,)+1,MATCH(Tabela8[[#This Row],[Periodo]],listaPeriodos,)))</f>
        <v>7242034.71</v>
      </c>
      <c r="H167" s="33">
        <f>Tabela8[[#This Row],[Valor]]/Tabela8[[#This Row],[Faturamento]]</f>
        <v>5.8402035745006804E-2</v>
      </c>
    </row>
    <row r="168" spans="1:8" x14ac:dyDescent="0.3">
      <c r="A168" s="2" t="str">
        <f t="shared" si="1"/>
        <v>4.2.1.1</v>
      </c>
      <c r="B168" t="s">
        <v>546</v>
      </c>
      <c r="C168" s="252">
        <v>44682</v>
      </c>
      <c r="D168">
        <f>MONTH(Tabela8[[#This Row],[Periodo]])</f>
        <v>5</v>
      </c>
      <c r="E168">
        <f>YEAR(Tabela8[[#This Row],[Periodo]])</f>
        <v>2022</v>
      </c>
      <c r="F168" s="4">
        <f>INDEX(TBBP[],MATCH(A168,planoContas,)+1,MATCH(Tabela8[[#This Row],[Periodo]],listaPeriodos,))*-1</f>
        <v>570897.87</v>
      </c>
      <c r="G168" s="4">
        <f>(INDEX(TBBP[],MATCH("3.1",planoContas,)+1,MATCH(Tabela8[[#This Row],[Periodo]],listaPeriodos,)))</f>
        <v>7832280.7899999982</v>
      </c>
      <c r="H168" s="33">
        <f>Tabela8[[#This Row],[Valor]]/Tabela8[[#This Row],[Faturamento]]</f>
        <v>7.2890373226774996E-2</v>
      </c>
    </row>
    <row r="169" spans="1:8" x14ac:dyDescent="0.3">
      <c r="A169" s="2" t="str">
        <f t="shared" si="1"/>
        <v>4.2.1.1</v>
      </c>
      <c r="B169" t="s">
        <v>546</v>
      </c>
      <c r="C169" s="252">
        <v>44713</v>
      </c>
      <c r="D169">
        <f>MONTH(Tabela8[[#This Row],[Periodo]])</f>
        <v>6</v>
      </c>
      <c r="E169">
        <f>YEAR(Tabela8[[#This Row],[Periodo]])</f>
        <v>2022</v>
      </c>
      <c r="F169" s="4">
        <f>INDEX(TBBP[],MATCH(A169,planoContas,)+1,MATCH(Tabela8[[#This Row],[Periodo]],listaPeriodos,))*-1</f>
        <v>454645.55</v>
      </c>
      <c r="G169" s="4">
        <f>(INDEX(TBBP[],MATCH("3.1",planoContas,)+1,MATCH(Tabela8[[#This Row],[Periodo]],listaPeriodos,)))</f>
        <v>7871509.620000001</v>
      </c>
      <c r="H169" s="33">
        <f>Tabela8[[#This Row],[Valor]]/Tabela8[[#This Row],[Faturamento]]</f>
        <v>5.7758368082893856E-2</v>
      </c>
    </row>
    <row r="170" spans="1:8" x14ac:dyDescent="0.3">
      <c r="A170" s="2" t="str">
        <f t="shared" si="1"/>
        <v>4.2.1.1</v>
      </c>
      <c r="B170" t="s">
        <v>546</v>
      </c>
      <c r="C170" s="252">
        <v>44743</v>
      </c>
      <c r="D170">
        <f>MONTH(Tabela8[[#This Row],[Periodo]])</f>
        <v>7</v>
      </c>
      <c r="E170">
        <f>YEAR(Tabela8[[#This Row],[Periodo]])</f>
        <v>2022</v>
      </c>
      <c r="F170" s="4">
        <f>INDEX(TBBP[],MATCH(A170,planoContas,)+1,MATCH(Tabela8[[#This Row],[Periodo]],listaPeriodos,))*-1</f>
        <v>377098.23</v>
      </c>
      <c r="G170" s="4">
        <f>(INDEX(TBBP[],MATCH("3.1",planoContas,)+1,MATCH(Tabela8[[#This Row],[Periodo]],listaPeriodos,)))</f>
        <v>7133374.0699999994</v>
      </c>
      <c r="H170" s="33">
        <f>Tabela8[[#This Row],[Valor]]/Tabela8[[#This Row],[Faturamento]]</f>
        <v>5.2863935957868535E-2</v>
      </c>
    </row>
    <row r="171" spans="1:8" x14ac:dyDescent="0.3">
      <c r="A171" s="2" t="str">
        <f t="shared" si="1"/>
        <v>4.2.1.1</v>
      </c>
      <c r="B171" t="s">
        <v>546</v>
      </c>
      <c r="C171" s="252">
        <v>44774</v>
      </c>
      <c r="D171">
        <f>MONTH(Tabela8[[#This Row],[Periodo]])</f>
        <v>8</v>
      </c>
      <c r="E171">
        <f>YEAR(Tabela8[[#This Row],[Periodo]])</f>
        <v>2022</v>
      </c>
      <c r="F171" s="4">
        <f>INDEX(TBBP[],MATCH(A171,planoContas,)+1,MATCH(Tabela8[[#This Row],[Periodo]],listaPeriodos,))*-1</f>
        <v>404368.99</v>
      </c>
      <c r="G171" s="4">
        <f>(INDEX(TBBP[],MATCH("3.1",planoContas,)+1,MATCH(Tabela8[[#This Row],[Periodo]],listaPeriodos,)))</f>
        <v>7753457.120000002</v>
      </c>
      <c r="H171" s="33">
        <f>Tabela8[[#This Row],[Valor]]/Tabela8[[#This Row],[Faturamento]]</f>
        <v>5.215337929153336E-2</v>
      </c>
    </row>
    <row r="172" spans="1:8" x14ac:dyDescent="0.3">
      <c r="A172" s="2" t="str">
        <f t="shared" si="1"/>
        <v>4.2.1.1</v>
      </c>
      <c r="B172" t="s">
        <v>546</v>
      </c>
      <c r="C172" s="252">
        <v>44805</v>
      </c>
      <c r="D172">
        <f>MONTH(Tabela8[[#This Row],[Periodo]])</f>
        <v>9</v>
      </c>
      <c r="E172">
        <f>YEAR(Tabela8[[#This Row],[Periodo]])</f>
        <v>2022</v>
      </c>
      <c r="F172" s="4">
        <f>INDEX(TBBP[],MATCH(A172,planoContas,)+1,MATCH(Tabela8[[#This Row],[Periodo]],listaPeriodos,))*-1</f>
        <v>687589.79</v>
      </c>
      <c r="G172" s="4">
        <f>(INDEX(TBBP[],MATCH("3.1",planoContas,)+1,MATCH(Tabela8[[#This Row],[Periodo]],listaPeriodos,)))</f>
        <v>7901820.9700000007</v>
      </c>
      <c r="H172" s="33">
        <f>Tabela8[[#This Row],[Valor]]/Tabela8[[#This Row],[Faturamento]]</f>
        <v>8.7016624726186376E-2</v>
      </c>
    </row>
    <row r="173" spans="1:8" x14ac:dyDescent="0.3">
      <c r="A173" s="2" t="str">
        <f t="shared" si="1"/>
        <v>4.2.1.1</v>
      </c>
      <c r="B173" t="s">
        <v>546</v>
      </c>
      <c r="C173" s="252">
        <v>44835</v>
      </c>
      <c r="D173">
        <f>MONTH(Tabela8[[#This Row],[Periodo]])</f>
        <v>10</v>
      </c>
      <c r="E173">
        <f>YEAR(Tabela8[[#This Row],[Periodo]])</f>
        <v>2022</v>
      </c>
      <c r="F173" s="4">
        <f>INDEX(TBBP[],MATCH(A173,planoContas,)+1,MATCH(Tabela8[[#This Row],[Periodo]],listaPeriodos,))*-1</f>
        <v>489327.61</v>
      </c>
      <c r="G173" s="4">
        <f>(INDEX(TBBP[],MATCH("3.1",planoContas,)+1,MATCH(Tabela8[[#This Row],[Periodo]],listaPeriodos,)))</f>
        <v>5212976.3499999996</v>
      </c>
      <c r="H173" s="33">
        <f>Tabela8[[#This Row],[Valor]]/Tabela8[[#This Row],[Faturamento]]</f>
        <v>9.3867222321083424E-2</v>
      </c>
    </row>
    <row r="174" spans="1:8" x14ac:dyDescent="0.3">
      <c r="A174" s="2" t="str">
        <f t="shared" si="1"/>
        <v>4.2.1.1</v>
      </c>
      <c r="B174" t="s">
        <v>546</v>
      </c>
      <c r="C174" s="252">
        <v>44866</v>
      </c>
      <c r="D174">
        <f>MONTH(Tabela8[[#This Row],[Periodo]])</f>
        <v>11</v>
      </c>
      <c r="E174">
        <f>YEAR(Tabela8[[#This Row],[Periodo]])</f>
        <v>2022</v>
      </c>
      <c r="F174" s="4">
        <f>INDEX(TBBP[],MATCH(A174,planoContas,)+1,MATCH(Tabela8[[#This Row],[Periodo]],listaPeriodos,))*-1</f>
        <v>421300.4</v>
      </c>
      <c r="G174" s="4">
        <f>(INDEX(TBBP[],MATCH("3.1",planoContas,)+1,MATCH(Tabela8[[#This Row],[Periodo]],listaPeriodos,)))</f>
        <v>6633932.3399999989</v>
      </c>
      <c r="H174" s="33">
        <f>Tabela8[[#This Row],[Valor]]/Tabela8[[#This Row],[Faturamento]]</f>
        <v>6.3506888284000806E-2</v>
      </c>
    </row>
    <row r="175" spans="1:8" x14ac:dyDescent="0.3">
      <c r="A175" s="2" t="str">
        <f t="shared" si="1"/>
        <v>4.2.1.1</v>
      </c>
      <c r="B175" t="s">
        <v>546</v>
      </c>
      <c r="C175" s="252">
        <v>44896</v>
      </c>
      <c r="D175">
        <f>MONTH(Tabela8[[#This Row],[Periodo]])</f>
        <v>12</v>
      </c>
      <c r="E175">
        <f>YEAR(Tabela8[[#This Row],[Periodo]])</f>
        <v>2022</v>
      </c>
      <c r="F175" s="4">
        <f>INDEX(TBBP[],MATCH(A175,planoContas,)+1,MATCH(Tabela8[[#This Row],[Periodo]],listaPeriodos,))*-1</f>
        <v>497142.17</v>
      </c>
      <c r="G175" s="4">
        <f>(INDEX(TBBP[],MATCH("3.1",planoContas,)+1,MATCH(Tabela8[[#This Row],[Periodo]],listaPeriodos,)))</f>
        <v>5522329.4800000004</v>
      </c>
      <c r="H175" s="33">
        <f>Tabela8[[#This Row],[Valor]]/Tabela8[[#This Row],[Faturamento]]</f>
        <v>9.0023996539952911E-2</v>
      </c>
    </row>
    <row r="176" spans="1:8" x14ac:dyDescent="0.3">
      <c r="A176" s="2" t="str">
        <f t="shared" si="1"/>
        <v>4.2.1.1</v>
      </c>
      <c r="B176" t="s">
        <v>546</v>
      </c>
      <c r="C176" s="252">
        <v>44927</v>
      </c>
      <c r="D176">
        <f>MONTH(Tabela8[[#This Row],[Periodo]])</f>
        <v>1</v>
      </c>
      <c r="E176">
        <f>YEAR(Tabela8[[#This Row],[Periodo]])</f>
        <v>2023</v>
      </c>
      <c r="F176" s="4">
        <f>INDEX(TBBP[],MATCH(A176,planoContas,)+1,MATCH(Tabela8[[#This Row],[Periodo]],listaPeriodos,))*-1</f>
        <v>494277.4</v>
      </c>
      <c r="G176" s="4">
        <f>(INDEX(TBBP[],MATCH("3.1",planoContas,)+1,MATCH(Tabela8[[#This Row],[Periodo]],listaPeriodos,)))</f>
        <v>4523362.28</v>
      </c>
      <c r="H176" s="33">
        <f>Tabela8[[#This Row],[Valor]]/Tabela8[[#This Row],[Faturamento]]</f>
        <v>0.10927212312518997</v>
      </c>
    </row>
    <row r="177" spans="1:8" x14ac:dyDescent="0.3">
      <c r="A177" s="2" t="str">
        <f t="shared" si="1"/>
        <v>4.2.1.1</v>
      </c>
      <c r="B177" t="s">
        <v>546</v>
      </c>
      <c r="C177" s="252">
        <v>44958</v>
      </c>
      <c r="D177">
        <f>MONTH(Tabela8[[#This Row],[Periodo]])</f>
        <v>2</v>
      </c>
      <c r="E177">
        <f>YEAR(Tabela8[[#This Row],[Periodo]])</f>
        <v>2023</v>
      </c>
      <c r="F177" s="4">
        <f>INDEX(TBBP[],MATCH(A177,planoContas,)+1,MATCH(Tabela8[[#This Row],[Periodo]],listaPeriodos,))*-1</f>
        <v>567654.85</v>
      </c>
      <c r="G177" s="4">
        <f>(INDEX(TBBP[],MATCH("3.1",planoContas,)+1,MATCH(Tabela8[[#This Row],[Periodo]],listaPeriodos,)))</f>
        <v>5020605.1399999997</v>
      </c>
      <c r="H177" s="33">
        <f>Tabela8[[#This Row],[Valor]]/Tabela8[[#This Row],[Faturamento]]</f>
        <v>0.11306502586259951</v>
      </c>
    </row>
    <row r="178" spans="1:8" x14ac:dyDescent="0.3">
      <c r="A178" s="2" t="str">
        <f t="shared" si="1"/>
        <v>4.2.1.1</v>
      </c>
      <c r="B178" t="s">
        <v>546</v>
      </c>
      <c r="C178" s="252">
        <v>44986</v>
      </c>
      <c r="D178">
        <f>MONTH(Tabela8[[#This Row],[Periodo]])</f>
        <v>3</v>
      </c>
      <c r="E178">
        <f>YEAR(Tabela8[[#This Row],[Periodo]])</f>
        <v>2023</v>
      </c>
      <c r="F178" s="4">
        <f>INDEX(TBBP[],MATCH(A178,planoContas,)+1,MATCH(Tabela8[[#This Row],[Periodo]],listaPeriodos,))*-1</f>
        <v>617931.63</v>
      </c>
      <c r="G178" s="4">
        <f>(INDEX(TBBP[],MATCH("3.1",planoContas,)+1,MATCH(Tabela8[[#This Row],[Periodo]],listaPeriodos,)))</f>
        <v>6163399.0099999998</v>
      </c>
      <c r="H178" s="33">
        <f>Tabela8[[#This Row],[Valor]]/Tabela8[[#This Row],[Faturamento]]</f>
        <v>0.10025825506306138</v>
      </c>
    </row>
    <row r="179" spans="1:8" x14ac:dyDescent="0.3">
      <c r="A179" s="2" t="str">
        <f t="shared" si="1"/>
        <v>4.2.1.1</v>
      </c>
      <c r="B179" t="s">
        <v>546</v>
      </c>
      <c r="C179" s="252">
        <v>45017</v>
      </c>
      <c r="D179">
        <f>MONTH(Tabela8[[#This Row],[Periodo]])</f>
        <v>4</v>
      </c>
      <c r="E179">
        <f>YEAR(Tabela8[[#This Row],[Periodo]])</f>
        <v>2023</v>
      </c>
      <c r="F179" s="4">
        <f>INDEX(TBBP[],MATCH(A179,planoContas,)+1,MATCH(Tabela8[[#This Row],[Periodo]],listaPeriodos,))*-1</f>
        <v>320640.49</v>
      </c>
      <c r="G179" s="4">
        <f>(INDEX(TBBP[],MATCH("3.1",planoContas,)+1,MATCH(Tabela8[[#This Row],[Periodo]],listaPeriodos,)))</f>
        <v>5450287.8899999997</v>
      </c>
      <c r="H179" s="33">
        <f>Tabela8[[#This Row],[Valor]]/Tabela8[[#This Row],[Faturamento]]</f>
        <v>5.8830009803390405E-2</v>
      </c>
    </row>
    <row r="180" spans="1:8" x14ac:dyDescent="0.3">
      <c r="A180" s="2" t="str">
        <f t="shared" si="1"/>
        <v>4.2.1.1</v>
      </c>
      <c r="B180" t="s">
        <v>546</v>
      </c>
      <c r="C180" s="252">
        <v>45047</v>
      </c>
      <c r="D180">
        <f>MONTH(Tabela8[[#This Row],[Periodo]])</f>
        <v>5</v>
      </c>
      <c r="E180">
        <f>YEAR(Tabela8[[#This Row],[Periodo]])</f>
        <v>2023</v>
      </c>
      <c r="F180" s="4">
        <f>INDEX(TBBP[],MATCH(A180,planoContas,)+1,MATCH(Tabela8[[#This Row],[Periodo]],listaPeriodos,))*-1</f>
        <v>340375.01</v>
      </c>
      <c r="G180" s="4">
        <f>(INDEX(TBBP[],MATCH("3.1",planoContas,)+1,MATCH(Tabela8[[#This Row],[Periodo]],listaPeriodos,)))</f>
        <v>9087903.75</v>
      </c>
      <c r="H180" s="33">
        <f>Tabela8[[#This Row],[Valor]]/Tabela8[[#This Row],[Faturamento]]</f>
        <v>3.7453632802834209E-2</v>
      </c>
    </row>
    <row r="181" spans="1:8" x14ac:dyDescent="0.3">
      <c r="A181" s="2" t="str">
        <f t="shared" si="1"/>
        <v>4.2.1.1</v>
      </c>
      <c r="B181" t="s">
        <v>546</v>
      </c>
      <c r="C181" s="252">
        <v>45078</v>
      </c>
      <c r="D181">
        <f>MONTH(Tabela8[[#This Row],[Periodo]])</f>
        <v>6</v>
      </c>
      <c r="E181">
        <f>YEAR(Tabela8[[#This Row],[Periodo]])</f>
        <v>2023</v>
      </c>
      <c r="F181" s="4">
        <f>INDEX(TBBP[],MATCH(A181,planoContas,)+1,MATCH(Tabela8[[#This Row],[Periodo]],listaPeriodos,))*-1</f>
        <v>489961.87</v>
      </c>
      <c r="G181" s="4">
        <f>(INDEX(TBBP[],MATCH("3.1",planoContas,)+1,MATCH(Tabela8[[#This Row],[Periodo]],listaPeriodos,)))</f>
        <v>8277075.1100000013</v>
      </c>
      <c r="H181" s="33">
        <f>Tabela8[[#This Row],[Valor]]/Tabela8[[#This Row],[Faturamento]]</f>
        <v>5.9195049397105196E-2</v>
      </c>
    </row>
    <row r="182" spans="1:8" x14ac:dyDescent="0.3">
      <c r="A182" s="2" t="str">
        <f t="shared" si="1"/>
        <v>4.2.1.1</v>
      </c>
      <c r="B182" t="s">
        <v>546</v>
      </c>
      <c r="C182" s="252">
        <v>45108</v>
      </c>
      <c r="D182">
        <f>MONTH(Tabela8[[#This Row],[Periodo]])</f>
        <v>7</v>
      </c>
      <c r="E182">
        <f>YEAR(Tabela8[[#This Row],[Periodo]])</f>
        <v>2023</v>
      </c>
      <c r="F182" s="4">
        <f>INDEX(TBBP[],MATCH(A182,planoContas,)+1,MATCH(Tabela8[[#This Row],[Periodo]],listaPeriodos,))*-1</f>
        <v>603462.56999999995</v>
      </c>
      <c r="G182" s="4">
        <f>(INDEX(TBBP[],MATCH("3.1",planoContas,)+1,MATCH(Tabela8[[#This Row],[Periodo]],listaPeriodos,)))</f>
        <v>5198444.16</v>
      </c>
      <c r="H182" s="33">
        <f>Tabela8[[#This Row],[Valor]]/Tabela8[[#This Row],[Faturamento]]</f>
        <v>0.11608522693066688</v>
      </c>
    </row>
    <row r="183" spans="1:8" x14ac:dyDescent="0.3">
      <c r="A183" s="2" t="str">
        <f t="shared" si="1"/>
        <v>4.2.1.1</v>
      </c>
      <c r="B183" t="s">
        <v>546</v>
      </c>
      <c r="C183" s="252">
        <v>45139</v>
      </c>
      <c r="D183">
        <f>MONTH(Tabela8[[#This Row],[Periodo]])</f>
        <v>8</v>
      </c>
      <c r="E183">
        <f>YEAR(Tabela8[[#This Row],[Periodo]])</f>
        <v>2023</v>
      </c>
      <c r="F183" s="4">
        <f>INDEX(TBBP[],MATCH(A183,planoContas,)+1,MATCH(Tabela8[[#This Row],[Periodo]],listaPeriodos,))*-1</f>
        <v>589187.07999999996</v>
      </c>
      <c r="G183" s="4">
        <f>(INDEX(TBBP[],MATCH("3.1",planoContas,)+1,MATCH(Tabela8[[#This Row],[Periodo]],listaPeriodos,)))</f>
        <v>7988986.9099999983</v>
      </c>
      <c r="H183" s="33">
        <f>Tabela8[[#This Row],[Valor]]/Tabela8[[#This Row],[Faturamento]]</f>
        <v>7.3749911802020979E-2</v>
      </c>
    </row>
    <row r="184" spans="1:8" x14ac:dyDescent="0.3">
      <c r="A184" s="2" t="str">
        <f t="shared" si="1"/>
        <v>4.2.1.1</v>
      </c>
      <c r="B184" t="s">
        <v>546</v>
      </c>
      <c r="C184" s="252">
        <v>45170</v>
      </c>
      <c r="D184">
        <f>MONTH(Tabela8[[#This Row],[Periodo]])</f>
        <v>9</v>
      </c>
      <c r="E184">
        <f>YEAR(Tabela8[[#This Row],[Periodo]])</f>
        <v>2023</v>
      </c>
      <c r="F184" s="4">
        <f>INDEX(TBBP[],MATCH(A184,planoContas,)+1,MATCH(Tabela8[[#This Row],[Periodo]],listaPeriodos,))*-1</f>
        <v>708526.28</v>
      </c>
      <c r="G184" s="4">
        <f>(INDEX(TBBP[],MATCH("3.1",planoContas,)+1,MATCH(Tabela8[[#This Row],[Periodo]],listaPeriodos,)))</f>
        <v>7305588.3999999994</v>
      </c>
      <c r="H184" s="33">
        <f>Tabela8[[#This Row],[Valor]]/Tabela8[[#This Row],[Faturamento]]</f>
        <v>9.6984149832476205E-2</v>
      </c>
    </row>
    <row r="185" spans="1:8" x14ac:dyDescent="0.3">
      <c r="A185" s="2" t="str">
        <f t="shared" si="1"/>
        <v>4.2.1.1</v>
      </c>
      <c r="B185" t="s">
        <v>546</v>
      </c>
      <c r="C185" s="252">
        <v>45200</v>
      </c>
      <c r="D185">
        <f>MONTH(Tabela8[[#This Row],[Periodo]])</f>
        <v>10</v>
      </c>
      <c r="E185">
        <f>YEAR(Tabela8[[#This Row],[Periodo]])</f>
        <v>2023</v>
      </c>
      <c r="F185" s="4">
        <f>INDEX(TBBP[],MATCH(A185,planoContas,)+1,MATCH(Tabela8[[#This Row],[Periodo]],listaPeriodos,))*-1</f>
        <v>666806.54</v>
      </c>
      <c r="G185" s="4">
        <f>(INDEX(TBBP[],MATCH("3.1",planoContas,)+1,MATCH(Tabela8[[#This Row],[Periodo]],listaPeriodos,)))</f>
        <v>8831749.629999999</v>
      </c>
      <c r="H185" s="33">
        <f>Tabela8[[#This Row],[Valor]]/Tabela8[[#This Row],[Faturamento]]</f>
        <v>7.5501069203203861E-2</v>
      </c>
    </row>
    <row r="186" spans="1:8" x14ac:dyDescent="0.3">
      <c r="A186" s="2" t="str">
        <f t="shared" si="1"/>
        <v>4.2.1.1</v>
      </c>
      <c r="B186" t="s">
        <v>546</v>
      </c>
      <c r="C186" s="252">
        <v>45231</v>
      </c>
      <c r="D186">
        <f>MONTH(Tabela8[[#This Row],[Periodo]])</f>
        <v>11</v>
      </c>
      <c r="E186">
        <f>YEAR(Tabela8[[#This Row],[Periodo]])</f>
        <v>2023</v>
      </c>
      <c r="F186" s="4">
        <f>INDEX(TBBP[],MATCH(A186,planoContas,)+1,MATCH(Tabela8[[#This Row],[Periodo]],listaPeriodos,))*-1</f>
        <v>479974.99</v>
      </c>
      <c r="G186" s="4">
        <f>(INDEX(TBBP[],MATCH("3.1",planoContas,)+1,MATCH(Tabela8[[#This Row],[Periodo]],listaPeriodos,)))</f>
        <v>5971298.0200000005</v>
      </c>
      <c r="H186" s="33">
        <f>Tabela8[[#This Row],[Valor]]/Tabela8[[#This Row],[Faturamento]]</f>
        <v>8.0380344171802023E-2</v>
      </c>
    </row>
    <row r="187" spans="1:8" x14ac:dyDescent="0.3">
      <c r="A187" s="2" t="str">
        <f t="shared" si="1"/>
        <v>4.2.1.1</v>
      </c>
      <c r="B187" t="s">
        <v>546</v>
      </c>
      <c r="C187" s="252">
        <v>45261</v>
      </c>
      <c r="D187">
        <f>MONTH(Tabela8[[#This Row],[Periodo]])</f>
        <v>12</v>
      </c>
      <c r="E187">
        <f>YEAR(Tabela8[[#This Row],[Periodo]])</f>
        <v>2023</v>
      </c>
      <c r="F187" s="4">
        <f>INDEX(TBBP[],MATCH(A187,planoContas,)+1,MATCH(Tabela8[[#This Row],[Periodo]],listaPeriodos,))*-1</f>
        <v>414684.73000000004</v>
      </c>
      <c r="G187" s="4">
        <f>(INDEX(TBBP[],MATCH("3.1",planoContas,)+1,MATCH(Tabela8[[#This Row],[Periodo]],listaPeriodos,)))</f>
        <v>8232901.5800000001</v>
      </c>
      <c r="H187" s="33">
        <f>Tabela8[[#This Row],[Valor]]/Tabela8[[#This Row],[Faturamento]]</f>
        <v>5.03692077417012E-2</v>
      </c>
    </row>
    <row r="188" spans="1:8" x14ac:dyDescent="0.3">
      <c r="A188" s="2" t="str">
        <f t="shared" si="1"/>
        <v>4.2.1.1</v>
      </c>
      <c r="B188" t="s">
        <v>546</v>
      </c>
      <c r="C188" s="252">
        <v>45292</v>
      </c>
      <c r="D188">
        <f>MONTH(Tabela8[[#This Row],[Periodo]])</f>
        <v>1</v>
      </c>
      <c r="E188">
        <f>YEAR(Tabela8[[#This Row],[Periodo]])</f>
        <v>2024</v>
      </c>
      <c r="F188" s="4">
        <f>INDEX(TBBP[],MATCH(A188,planoContas,)+1,MATCH(Tabela8[[#This Row],[Periodo]],listaPeriodos,))*-1</f>
        <v>627478.37</v>
      </c>
      <c r="G188" s="4">
        <f>(INDEX(TBBP[],MATCH("3.1",planoContas,)+1,MATCH(Tabela8[[#This Row],[Periodo]],listaPeriodos,)))</f>
        <v>7481410.8899999997</v>
      </c>
      <c r="H188" s="33">
        <f>Tabela8[[#This Row],[Valor]]/Tabela8[[#This Row],[Faturamento]]</f>
        <v>8.3871662608281106E-2</v>
      </c>
    </row>
    <row r="189" spans="1:8" x14ac:dyDescent="0.3">
      <c r="A189" s="2" t="str">
        <f t="shared" si="1"/>
        <v>4.2.1.1</v>
      </c>
      <c r="B189" t="s">
        <v>546</v>
      </c>
      <c r="C189" s="252">
        <v>45323</v>
      </c>
      <c r="D189">
        <f>MONTH(Tabela8[[#This Row],[Periodo]])</f>
        <v>2</v>
      </c>
      <c r="E189">
        <f>YEAR(Tabela8[[#This Row],[Periodo]])</f>
        <v>2024</v>
      </c>
      <c r="F189" s="4">
        <f>INDEX(TBBP[],MATCH(A189,planoContas,)+1,MATCH(Tabela8[[#This Row],[Periodo]],listaPeriodos,))*-1</f>
        <v>859391.47</v>
      </c>
      <c r="G189" s="4">
        <f>(INDEX(TBBP[],MATCH("3.1",planoContas,)+1,MATCH(Tabela8[[#This Row],[Periodo]],listaPeriodos,)))</f>
        <v>8407937.3199999984</v>
      </c>
      <c r="H189" s="33">
        <f>Tabela8[[#This Row],[Valor]]/Tabela8[[#This Row],[Faturamento]]</f>
        <v>0.10221192633724345</v>
      </c>
    </row>
    <row r="190" spans="1:8" x14ac:dyDescent="0.3">
      <c r="A190" s="2" t="str">
        <f t="shared" si="1"/>
        <v>4.2.1.1</v>
      </c>
      <c r="B190" t="s">
        <v>546</v>
      </c>
      <c r="C190" s="252">
        <v>45352</v>
      </c>
      <c r="D190">
        <f>MONTH(Tabela8[[#This Row],[Periodo]])</f>
        <v>3</v>
      </c>
      <c r="E190">
        <f>YEAR(Tabela8[[#This Row],[Periodo]])</f>
        <v>2024</v>
      </c>
      <c r="F190" s="4">
        <f>INDEX(TBBP[],MATCH(A190,planoContas,)+1,MATCH(Tabela8[[#This Row],[Periodo]],listaPeriodos,))*-1</f>
        <v>520725.27</v>
      </c>
      <c r="G190" s="4">
        <f>(INDEX(TBBP[],MATCH("3.1",planoContas,)+1,MATCH(Tabela8[[#This Row],[Periodo]],listaPeriodos,)))</f>
        <v>7671402.7999999998</v>
      </c>
      <c r="H190" s="33">
        <f>Tabela8[[#This Row],[Valor]]/Tabela8[[#This Row],[Faturamento]]</f>
        <v>6.7878754847809586E-2</v>
      </c>
    </row>
    <row r="191" spans="1:8" x14ac:dyDescent="0.3">
      <c r="A191" s="2" t="str">
        <f t="shared" si="1"/>
        <v>4.2.1.1</v>
      </c>
      <c r="B191" t="s">
        <v>546</v>
      </c>
      <c r="C191" s="252">
        <v>45383</v>
      </c>
      <c r="D191">
        <f>MONTH(Tabela8[[#This Row],[Periodo]])</f>
        <v>4</v>
      </c>
      <c r="E191">
        <f>YEAR(Tabela8[[#This Row],[Periodo]])</f>
        <v>2024</v>
      </c>
      <c r="F191" s="4">
        <f>INDEX(TBBP[],MATCH(A191,planoContas,)+1,MATCH(Tabela8[[#This Row],[Periodo]],listaPeriodos,))*-1</f>
        <v>685851.9</v>
      </c>
      <c r="G191" s="4">
        <f>(INDEX(TBBP[],MATCH("3.1",planoContas,)+1,MATCH(Tabela8[[#This Row],[Periodo]],listaPeriodos,)))</f>
        <v>10589146.889999999</v>
      </c>
      <c r="H191" s="33">
        <f>Tabela8[[#This Row],[Valor]]/Tabela8[[#This Row],[Faturamento]]</f>
        <v>6.4769325340806566E-2</v>
      </c>
    </row>
    <row r="192" spans="1:8" x14ac:dyDescent="0.3">
      <c r="A192" s="2" t="str">
        <f t="shared" si="1"/>
        <v>4.2.1.1</v>
      </c>
      <c r="B192" t="s">
        <v>546</v>
      </c>
      <c r="C192" s="252">
        <v>45413</v>
      </c>
      <c r="D192">
        <f>MONTH(Tabela8[[#This Row],[Periodo]])</f>
        <v>5</v>
      </c>
      <c r="E192">
        <f>YEAR(Tabela8[[#This Row],[Periodo]])</f>
        <v>2024</v>
      </c>
      <c r="F192" s="4">
        <f>INDEX(TBBP[],MATCH(A192,planoContas,)+1,MATCH(Tabela8[[#This Row],[Periodo]],listaPeriodos,))*-1</f>
        <v>1060078.29</v>
      </c>
      <c r="G192" s="4">
        <f>(INDEX(TBBP[],MATCH("3.1",planoContas,)+1,MATCH(Tabela8[[#This Row],[Periodo]],listaPeriodos,)))</f>
        <v>11809586.859999999</v>
      </c>
      <c r="H192" s="33">
        <f>Tabela8[[#This Row],[Valor]]/Tabela8[[#This Row],[Faturamento]]</f>
        <v>8.9764214664491665E-2</v>
      </c>
    </row>
    <row r="193" spans="1:8" x14ac:dyDescent="0.3">
      <c r="A193" s="2" t="str">
        <f t="shared" si="1"/>
        <v>4.2.1.1</v>
      </c>
      <c r="B193" t="s">
        <v>546</v>
      </c>
      <c r="C193" s="252">
        <v>45444</v>
      </c>
      <c r="D193">
        <f>MONTH(Tabela8[[#This Row],[Periodo]])</f>
        <v>6</v>
      </c>
      <c r="E193">
        <f>YEAR(Tabela8[[#This Row],[Periodo]])</f>
        <v>2024</v>
      </c>
      <c r="F193" s="4">
        <f>INDEX(TBBP[],MATCH(A193,planoContas,)+1,MATCH(Tabela8[[#This Row],[Periodo]],listaPeriodos,))*-1</f>
        <v>640447.78</v>
      </c>
      <c r="G193" s="4">
        <f>(INDEX(TBBP[],MATCH("3.1",planoContas,)+1,MATCH(Tabela8[[#This Row],[Periodo]],listaPeriodos,)))</f>
        <v>10610189.169999998</v>
      </c>
      <c r="H193" s="33">
        <f>Tabela8[[#This Row],[Valor]]/Tabela8[[#This Row],[Faturamento]]</f>
        <v>6.0361579773794E-2</v>
      </c>
    </row>
    <row r="194" spans="1:8" x14ac:dyDescent="0.3">
      <c r="A194" s="2" t="str">
        <f t="shared" si="1"/>
        <v>4.2.1.1</v>
      </c>
      <c r="B194" t="s">
        <v>546</v>
      </c>
      <c r="C194" s="252">
        <v>45474</v>
      </c>
      <c r="D194">
        <f>MONTH(Tabela8[[#This Row],[Periodo]])</f>
        <v>7</v>
      </c>
      <c r="E194">
        <f>YEAR(Tabela8[[#This Row],[Periodo]])</f>
        <v>2024</v>
      </c>
      <c r="F194" s="4">
        <f>INDEX(TBBP[],MATCH(A194,planoContas,)+1,MATCH(Tabela8[[#This Row],[Periodo]],listaPeriodos,))*-1</f>
        <v>859830.96</v>
      </c>
      <c r="G194" s="4">
        <f>(INDEX(TBBP[],MATCH("3.1",planoContas,)+1,MATCH(Tabela8[[#This Row],[Periodo]],listaPeriodos,)))</f>
        <v>11950053.750000002</v>
      </c>
      <c r="H194" s="33">
        <f>Tabela8[[#This Row],[Valor]]/Tabela8[[#This Row],[Faturamento]]</f>
        <v>7.1952057956224655E-2</v>
      </c>
    </row>
    <row r="195" spans="1:8" x14ac:dyDescent="0.3">
      <c r="A195" s="2" t="str">
        <f t="shared" si="1"/>
        <v>4.2.1.1</v>
      </c>
      <c r="B195" t="s">
        <v>546</v>
      </c>
      <c r="C195" s="252">
        <v>45505</v>
      </c>
      <c r="D195">
        <f>MONTH(Tabela8[[#This Row],[Periodo]])</f>
        <v>8</v>
      </c>
      <c r="E195">
        <f>YEAR(Tabela8[[#This Row],[Periodo]])</f>
        <v>2024</v>
      </c>
      <c r="F195" s="4">
        <f>INDEX(TBBP[],MATCH(A195,planoContas,)+1,MATCH(Tabela8[[#This Row],[Periodo]],listaPeriodos,))*-1</f>
        <v>1071337.53</v>
      </c>
      <c r="G195" s="4">
        <f>(INDEX(TBBP[],MATCH("3.1",planoContas,)+1,MATCH(Tabela8[[#This Row],[Periodo]],listaPeriodos,)))</f>
        <v>9379852.1500000004</v>
      </c>
      <c r="H195" s="33">
        <f>Tabela8[[#This Row],[Valor]]/Tabela8[[#This Row],[Faturamento]]</f>
        <v>0.11421688880245304</v>
      </c>
    </row>
    <row r="196" spans="1:8" x14ac:dyDescent="0.3">
      <c r="A196" s="2" t="str">
        <f t="shared" si="1"/>
        <v>4.2.1.1</v>
      </c>
      <c r="B196" t="s">
        <v>546</v>
      </c>
      <c r="C196" s="252">
        <v>45536</v>
      </c>
      <c r="D196">
        <f>MONTH(Tabela8[[#This Row],[Periodo]])</f>
        <v>9</v>
      </c>
      <c r="E196">
        <f>YEAR(Tabela8[[#This Row],[Periodo]])</f>
        <v>2024</v>
      </c>
      <c r="F196" s="4">
        <f>INDEX(TBBP[],MATCH(A196,planoContas,)+1,MATCH(Tabela8[[#This Row],[Periodo]],listaPeriodos,))*-1</f>
        <v>867341.60000000009</v>
      </c>
      <c r="G196" s="4">
        <f>(INDEX(TBBP[],MATCH("3.1",planoContas,)+1,MATCH(Tabela8[[#This Row],[Periodo]],listaPeriodos,)))</f>
        <v>10391320.409999998</v>
      </c>
      <c r="H196" s="33">
        <f>Tabela8[[#This Row],[Valor]]/Tabela8[[#This Row],[Faturamento]]</f>
        <v>8.3467891064673685E-2</v>
      </c>
    </row>
    <row r="197" spans="1:8" x14ac:dyDescent="0.3">
      <c r="A197" s="2" t="str">
        <f t="shared" si="1"/>
        <v>4.2.1.1</v>
      </c>
      <c r="B197" t="s">
        <v>546</v>
      </c>
      <c r="C197" s="252">
        <v>45566</v>
      </c>
      <c r="D197">
        <f>MONTH(Tabela8[[#This Row],[Periodo]])</f>
        <v>10</v>
      </c>
      <c r="E197">
        <f>YEAR(Tabela8[[#This Row],[Periodo]])</f>
        <v>2024</v>
      </c>
      <c r="F197" s="4">
        <f>INDEX(TBBP[],MATCH(A197,planoContas,)+1,MATCH(Tabela8[[#This Row],[Periodo]],listaPeriodos,))*-1</f>
        <v>890390.29</v>
      </c>
      <c r="G197" s="4">
        <f>(INDEX(TBBP[],MATCH("3.1",planoContas,)+1,MATCH(Tabela8[[#This Row],[Periodo]],listaPeriodos,)))</f>
        <v>10922850.24</v>
      </c>
      <c r="H197" s="33">
        <f>Tabela8[[#This Row],[Valor]]/Tabela8[[#This Row],[Faturamento]]</f>
        <v>8.1516295695362381E-2</v>
      </c>
    </row>
    <row r="198" spans="1:8" x14ac:dyDescent="0.3">
      <c r="A198" s="2" t="str">
        <f t="shared" si="1"/>
        <v>4.2.1.1</v>
      </c>
      <c r="B198" t="s">
        <v>546</v>
      </c>
      <c r="C198" s="252">
        <v>45597</v>
      </c>
      <c r="D198">
        <f>MONTH(Tabela8[[#This Row],[Periodo]])</f>
        <v>11</v>
      </c>
      <c r="E198">
        <f>YEAR(Tabela8[[#This Row],[Periodo]])</f>
        <v>2024</v>
      </c>
      <c r="F198" s="4">
        <f>INDEX(TBBP[],MATCH(A198,planoContas,)+1,MATCH(Tabela8[[#This Row],[Periodo]],listaPeriodos,))*-1</f>
        <v>932718.02</v>
      </c>
      <c r="G198" s="4">
        <f>(INDEX(TBBP[],MATCH("3.1",planoContas,)+1,MATCH(Tabela8[[#This Row],[Periodo]],listaPeriodos,)))</f>
        <v>8432311.2100000028</v>
      </c>
      <c r="H198" s="33">
        <f>Tabela8[[#This Row],[Valor]]/Tabela8[[#This Row],[Faturamento]]</f>
        <v>0.11061238096785089</v>
      </c>
    </row>
    <row r="199" spans="1:8" x14ac:dyDescent="0.3">
      <c r="A199" s="2" t="str">
        <f t="shared" si="1"/>
        <v>4.2.1.1</v>
      </c>
      <c r="B199" t="s">
        <v>546</v>
      </c>
      <c r="C199" s="252">
        <v>45627</v>
      </c>
      <c r="D199">
        <f>MONTH(Tabela8[[#This Row],[Periodo]])</f>
        <v>12</v>
      </c>
      <c r="E199">
        <f>YEAR(Tabela8[[#This Row],[Periodo]])</f>
        <v>2024</v>
      </c>
      <c r="F199" s="4">
        <f>INDEX(TBBP[],MATCH(A199,planoContas,)+1,MATCH(Tabela8[[#This Row],[Periodo]],listaPeriodos,))*-1</f>
        <v>688740.6</v>
      </c>
      <c r="G199" s="4">
        <f>(INDEX(TBBP[],MATCH("3.1",planoContas,)+1,MATCH(Tabela8[[#This Row],[Periodo]],listaPeriodos,)))</f>
        <v>12856176.879999999</v>
      </c>
      <c r="H199" s="33">
        <f>Tabela8[[#This Row],[Valor]]/Tabela8[[#This Row],[Faturamento]]</f>
        <v>5.3572738336499927E-2</v>
      </c>
    </row>
    <row r="200" spans="1:8" x14ac:dyDescent="0.3">
      <c r="A200" s="2" t="str">
        <f t="shared" si="1"/>
        <v>4.2.1.1</v>
      </c>
      <c r="B200" t="s">
        <v>546</v>
      </c>
      <c r="C200" s="252">
        <v>45658</v>
      </c>
      <c r="D200">
        <f>MONTH(Tabela8[[#This Row],[Periodo]])</f>
        <v>1</v>
      </c>
      <c r="E200">
        <f>YEAR(Tabela8[[#This Row],[Periodo]])</f>
        <v>2025</v>
      </c>
      <c r="F200" s="4">
        <f>INDEX(TBBP[],MATCH(A200,planoContas,)+1,MATCH(Tabela8[[#This Row],[Periodo]],listaPeriodos,))*-1</f>
        <v>689982.46</v>
      </c>
      <c r="G200" s="4">
        <f>(INDEX(TBBP[],MATCH("3.1",planoContas,)+1,MATCH(Tabela8[[#This Row],[Periodo]],listaPeriodos,)))</f>
        <v>8076456.3199999984</v>
      </c>
      <c r="H200" s="33">
        <f>Tabela8[[#This Row],[Valor]]/Tabela8[[#This Row],[Faturamento]]</f>
        <v>8.5431336796977828E-2</v>
      </c>
    </row>
    <row r="201" spans="1:8" x14ac:dyDescent="0.3">
      <c r="A201" s="2" t="str">
        <f t="shared" si="1"/>
        <v>4.2.1.1</v>
      </c>
      <c r="B201" t="s">
        <v>546</v>
      </c>
      <c r="C201" s="252">
        <v>45689</v>
      </c>
      <c r="D201">
        <f>MONTH(Tabela8[[#This Row],[Periodo]])</f>
        <v>2</v>
      </c>
      <c r="E201">
        <f>YEAR(Tabela8[[#This Row],[Periodo]])</f>
        <v>2025</v>
      </c>
      <c r="F201" s="4">
        <f>INDEX(TBBP[],MATCH(A201,planoContas,)+1,MATCH(Tabela8[[#This Row],[Periodo]],listaPeriodos,))*-1</f>
        <v>853253.07000000007</v>
      </c>
      <c r="G201" s="4">
        <f>(INDEX(TBBP[],MATCH("3.1",planoContas,)+1,MATCH(Tabela8[[#This Row],[Periodo]],listaPeriodos,)))</f>
        <v>9308880.3099999987</v>
      </c>
      <c r="H201" s="33">
        <f>Tabela8[[#This Row],[Valor]]/Tabela8[[#This Row],[Faturamento]]</f>
        <v>9.1660118251106856E-2</v>
      </c>
    </row>
    <row r="202" spans="1:8" x14ac:dyDescent="0.3">
      <c r="A202" s="2" t="str">
        <f t="shared" si="1"/>
        <v>4.2.1.1</v>
      </c>
      <c r="B202" t="s">
        <v>546</v>
      </c>
      <c r="C202" s="252">
        <v>45717</v>
      </c>
      <c r="D202">
        <f>MONTH(Tabela8[[#This Row],[Periodo]])</f>
        <v>3</v>
      </c>
      <c r="E202">
        <f>YEAR(Tabela8[[#This Row],[Periodo]])</f>
        <v>2025</v>
      </c>
      <c r="F202" s="4">
        <f>INDEX(TBBP[],MATCH(A202,planoContas,)+1,MATCH(Tabela8[[#This Row],[Periodo]],listaPeriodos,))*-1</f>
        <v>834594.84</v>
      </c>
      <c r="G202" s="4">
        <f>(INDEX(TBBP[],MATCH("3.1",planoContas,)+1,MATCH(Tabela8[[#This Row],[Periodo]],listaPeriodos,)))</f>
        <v>9248184.4199999981</v>
      </c>
      <c r="H202" s="33">
        <f>Tabela8[[#This Row],[Valor]]/Tabela8[[#This Row],[Faturamento]]</f>
        <v>9.0244182219714017E-2</v>
      </c>
    </row>
    <row r="203" spans="1:8" x14ac:dyDescent="0.3">
      <c r="A203" s="2" t="str">
        <f t="shared" si="1"/>
        <v>4.2.1.1</v>
      </c>
      <c r="B203" t="s">
        <v>546</v>
      </c>
      <c r="C203" s="252">
        <v>45748</v>
      </c>
      <c r="D203">
        <f>MONTH(Tabela8[[#This Row],[Periodo]])</f>
        <v>4</v>
      </c>
      <c r="E203">
        <f>YEAR(Tabela8[[#This Row],[Periodo]])</f>
        <v>2025</v>
      </c>
      <c r="F203" s="4">
        <f>INDEX(TBBP[],MATCH(A203,planoContas,)+1,MATCH(Tabela8[[#This Row],[Periodo]],listaPeriodos,))*-1</f>
        <v>691158.21000000008</v>
      </c>
      <c r="G203" s="4">
        <f>(INDEX(TBBP[],MATCH("3.1",planoContas,)+1,MATCH(Tabela8[[#This Row],[Periodo]],listaPeriodos,)))</f>
        <v>13159013.07</v>
      </c>
      <c r="H203" s="33">
        <f>Tabela8[[#This Row],[Valor]]/Tabela8[[#This Row],[Faturamento]]</f>
        <v>5.2523559808273682E-2</v>
      </c>
    </row>
    <row r="204" spans="1:8" x14ac:dyDescent="0.3">
      <c r="A204" s="2" t="str">
        <f t="shared" si="1"/>
        <v>4.2.1.1</v>
      </c>
      <c r="B204" t="s">
        <v>546</v>
      </c>
      <c r="C204" s="252">
        <v>45778</v>
      </c>
      <c r="D204">
        <f>MONTH(Tabela8[[#This Row],[Periodo]])</f>
        <v>5</v>
      </c>
      <c r="E204">
        <f>YEAR(Tabela8[[#This Row],[Periodo]])</f>
        <v>2025</v>
      </c>
      <c r="F204" s="4">
        <f>INDEX(TBBP[],MATCH(A204,planoContas,)+1,MATCH(Tabela8[[#This Row],[Periodo]],listaPeriodos,))*-1</f>
        <v>850821.51</v>
      </c>
      <c r="G204" s="4">
        <f>(INDEX(TBBP[],MATCH("3.1",planoContas,)+1,MATCH(Tabela8[[#This Row],[Periodo]],listaPeriodos,)))</f>
        <v>13959973</v>
      </c>
      <c r="H204" s="33">
        <f>Tabela8[[#This Row],[Valor]]/Tabela8[[#This Row],[Faturamento]]</f>
        <v>6.0947217448056666E-2</v>
      </c>
    </row>
    <row r="205" spans="1:8" x14ac:dyDescent="0.3">
      <c r="A205" s="2" t="str">
        <f t="shared" si="1"/>
        <v>4.2.1.1</v>
      </c>
      <c r="B205" t="s">
        <v>546</v>
      </c>
      <c r="C205" s="252">
        <v>45809</v>
      </c>
      <c r="D205">
        <f>MONTH(Tabela8[[#This Row],[Periodo]])</f>
        <v>6</v>
      </c>
      <c r="E205">
        <f>YEAR(Tabela8[[#This Row],[Periodo]])</f>
        <v>2025</v>
      </c>
      <c r="F205" s="4">
        <f>INDEX(TBBP[],MATCH(A205,planoContas,)+1,MATCH(Tabela8[[#This Row],[Periodo]],listaPeriodos,))*-1</f>
        <v>1115937.8199999998</v>
      </c>
      <c r="G205" s="4">
        <f>(INDEX(TBBP[],MATCH("3.1",planoContas,)+1,MATCH(Tabela8[[#This Row],[Periodo]],listaPeriodos,)))</f>
        <v>7586097.6900000004</v>
      </c>
      <c r="H205" s="33">
        <f>Tabela8[[#This Row],[Valor]]/Tabela8[[#This Row],[Faturamento]]</f>
        <v>0.14710301206258258</v>
      </c>
    </row>
    <row r="206" spans="1:8" x14ac:dyDescent="0.3">
      <c r="A206" s="2" t="str">
        <f>A205</f>
        <v>4.2.1.1</v>
      </c>
      <c r="B206" t="s">
        <v>546</v>
      </c>
      <c r="C206" s="252">
        <v>45839</v>
      </c>
      <c r="D206">
        <f>MONTH(Tabela8[[#This Row],[Periodo]])</f>
        <v>7</v>
      </c>
      <c r="E206">
        <f>YEAR(Tabela8[[#This Row],[Periodo]])</f>
        <v>2025</v>
      </c>
      <c r="F206" s="4">
        <f>INDEX(TBBP[],MATCH(A206,planoContas,)+1,MATCH(Tabela8[[#This Row],[Periodo]],listaPeriodos,))*-1</f>
        <v>784913.29</v>
      </c>
      <c r="G206" s="4">
        <f>(INDEX(TBBP[],MATCH("3.1",planoContas,)+1,MATCH(Tabela8[[#This Row],[Periodo]],listaPeriodos,)))</f>
        <v>8540811.4299999978</v>
      </c>
      <c r="H206" s="33">
        <f>Tabela8[[#This Row],[Valor]]/Tabela8[[#This Row],[Faturamento]]</f>
        <v>9.1901489271025885E-2</v>
      </c>
    </row>
    <row r="207" spans="1:8" x14ac:dyDescent="0.3">
      <c r="A207" s="2" t="str">
        <f>A206</f>
        <v>4.2.1.1</v>
      </c>
      <c r="B207" t="s">
        <v>546</v>
      </c>
      <c r="C207" s="252">
        <v>45870</v>
      </c>
      <c r="D207">
        <f>MONTH(Tabela8[[#This Row],[Periodo]])</f>
        <v>8</v>
      </c>
      <c r="E207">
        <f>YEAR(Tabela8[[#This Row],[Periodo]])</f>
        <v>2025</v>
      </c>
      <c r="F207" s="4">
        <f>INDEX(TBBP[],MATCH(A207,planoContas,)+1,MATCH(Tabela8[[#This Row],[Periodo]],listaPeriodos,))*-1</f>
        <v>1020734.61</v>
      </c>
      <c r="G207" s="4">
        <f>(INDEX(TBBP[],MATCH("3.1",planoContas,)+1,MATCH(Tabela8[[#This Row],[Periodo]],listaPeriodos,)))</f>
        <v>8935630.6800000016</v>
      </c>
      <c r="H207" s="33">
        <f>Tabela8[[#This Row],[Valor]]/Tabela8[[#This Row],[Faturamento]]</f>
        <v>0.11423196040147889</v>
      </c>
    </row>
    <row r="208" spans="1:8" x14ac:dyDescent="0.3">
      <c r="C208" s="29"/>
      <c r="F208" s="4"/>
      <c r="G208" s="4"/>
      <c r="H208" s="33"/>
    </row>
    <row r="209" spans="1:8" x14ac:dyDescent="0.3">
      <c r="A209" s="2" t="s">
        <v>425</v>
      </c>
      <c r="B209" t="s">
        <v>1156</v>
      </c>
      <c r="C209" s="252">
        <v>43831</v>
      </c>
      <c r="D209">
        <f>MONTH(Tabela8[[#This Row],[Periodo]])</f>
        <v>1</v>
      </c>
      <c r="E209">
        <f>YEAR(Tabela8[[#This Row],[Periodo]])</f>
        <v>2020</v>
      </c>
      <c r="F209" s="4">
        <f>(INDEX(TBBP[],MATCH(A209,planoContas,)+1,MATCH(Tabela8[[#This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124482.36000000002</v>
      </c>
      <c r="G209" s="4">
        <f>(INDEX(TBBP[],MATCH("3.1",planoContas,)+1,MATCH(Tabela8[[#This Row],[Periodo]],listaPeriodos,)))</f>
        <v>2941337.78</v>
      </c>
      <c r="H209" s="33">
        <f>Tabela8[[#This Row],[Valor]]/Tabela8[[#This Row],[Faturamento]]</f>
        <v>4.2321681258927026E-2</v>
      </c>
    </row>
    <row r="210" spans="1:8" x14ac:dyDescent="0.3">
      <c r="A210" s="2" t="s">
        <v>425</v>
      </c>
      <c r="B210" t="s">
        <v>1156</v>
      </c>
      <c r="C210" s="252">
        <v>43862</v>
      </c>
      <c r="D210">
        <f>MONTH(Tabela8[[#This Row],[Periodo]])</f>
        <v>2</v>
      </c>
      <c r="E210">
        <f>YEAR(Tabela8[[#This Row],[Periodo]])</f>
        <v>2020</v>
      </c>
      <c r="F210" s="4">
        <f>(INDEX(TBBP[],MATCH(A210,planoContas,)+1,MATCH(Tabela8[[#This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99806.550000000017</v>
      </c>
      <c r="G210" s="4">
        <f>(INDEX(TBBP[],MATCH("3.1",planoContas,)+1,MATCH(Tabela8[[#This Row],[Periodo]],listaPeriodos,)))</f>
        <v>2349456.3899999997</v>
      </c>
      <c r="H210" s="33">
        <f>Tabela8[[#This Row],[Valor]]/Tabela8[[#This Row],[Faturamento]]</f>
        <v>4.2480699120361211E-2</v>
      </c>
    </row>
    <row r="211" spans="1:8" x14ac:dyDescent="0.3">
      <c r="A211" s="2" t="s">
        <v>425</v>
      </c>
      <c r="B211" t="s">
        <v>1156</v>
      </c>
      <c r="C211" s="252">
        <v>43891</v>
      </c>
      <c r="D211">
        <f>MONTH(Tabela8[[#This Row],[Periodo]])</f>
        <v>3</v>
      </c>
      <c r="E211">
        <f>YEAR(Tabela8[[#This Row],[Periodo]])</f>
        <v>2020</v>
      </c>
      <c r="F211" s="4">
        <f>(INDEX(TBBP[],MATCH(A211,planoContas,)+1,MATCH(Tabela8[[#This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130483.2</v>
      </c>
      <c r="G211" s="4">
        <f>(INDEX(TBBP[],MATCH("3.1",planoContas,)+1,MATCH(Tabela8[[#This Row],[Periodo]],listaPeriodos,)))</f>
        <v>1776143.5799999998</v>
      </c>
      <c r="H211" s="33">
        <f>Tabela8[[#This Row],[Valor]]/Tabela8[[#This Row],[Faturamento]]</f>
        <v>7.3464331076207257E-2</v>
      </c>
    </row>
    <row r="212" spans="1:8" x14ac:dyDescent="0.3">
      <c r="A212" s="2" t="s">
        <v>425</v>
      </c>
      <c r="B212" t="s">
        <v>1156</v>
      </c>
      <c r="C212" s="252">
        <v>43922</v>
      </c>
      <c r="D212">
        <f>MONTH(Tabela8[[#This Row],[Periodo]])</f>
        <v>4</v>
      </c>
      <c r="E212">
        <f>YEAR(Tabela8[[#This Row],[Periodo]])</f>
        <v>2020</v>
      </c>
      <c r="F212" s="4">
        <f>(INDEX(TBBP[],MATCH(A212,planoContas,)+1,MATCH(Tabela8[[#This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74779.27</v>
      </c>
      <c r="G212" s="4">
        <f>(INDEX(TBBP[],MATCH("3.1",planoContas,)+1,MATCH(Tabela8[[#This Row],[Periodo]],listaPeriodos,)))</f>
        <v>1758110.85</v>
      </c>
      <c r="H212" s="33">
        <f>Tabela8[[#This Row],[Valor]]/Tabela8[[#This Row],[Faturamento]]</f>
        <v>4.2533876632409158E-2</v>
      </c>
    </row>
    <row r="213" spans="1:8" x14ac:dyDescent="0.3">
      <c r="A213" s="2" t="s">
        <v>425</v>
      </c>
      <c r="B213" t="s">
        <v>1156</v>
      </c>
      <c r="C213" s="252">
        <v>43952</v>
      </c>
      <c r="D213">
        <f>MONTH(Tabela8[[#This Row],[Periodo]])</f>
        <v>5</v>
      </c>
      <c r="E213">
        <f>YEAR(Tabela8[[#This Row],[Periodo]])</f>
        <v>2020</v>
      </c>
      <c r="F213" s="4">
        <f>(INDEX(TBBP[],MATCH(A213,planoContas,)+1,MATCH(Tabela8[[#This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85997.29</v>
      </c>
      <c r="G213" s="4">
        <f>(INDEX(TBBP[],MATCH("3.1",planoContas,)+1,MATCH(Tabela8[[#This Row],[Periodo]],listaPeriodos,)))</f>
        <v>2559944.39</v>
      </c>
      <c r="H213" s="33">
        <f>Tabela8[[#This Row],[Valor]]/Tabela8[[#This Row],[Faturamento]]</f>
        <v>3.3593421144589783E-2</v>
      </c>
    </row>
    <row r="214" spans="1:8" x14ac:dyDescent="0.3">
      <c r="A214" s="2" t="s">
        <v>425</v>
      </c>
      <c r="B214" t="s">
        <v>1156</v>
      </c>
      <c r="C214" s="252">
        <v>43983</v>
      </c>
      <c r="D214">
        <f>MONTH(Tabela8[[#This Row],[Periodo]])</f>
        <v>6</v>
      </c>
      <c r="E214">
        <f>YEAR(Tabela8[[#This Row],[Periodo]])</f>
        <v>2020</v>
      </c>
      <c r="F214" s="4">
        <f>(INDEX(TBBP[],MATCH(A214,planoContas,)+1,MATCH(Tabela8[[#This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106731.60000000002</v>
      </c>
      <c r="G214" s="4">
        <f>(INDEX(TBBP[],MATCH("3.1",planoContas,)+1,MATCH(Tabela8[[#This Row],[Periodo]],listaPeriodos,)))</f>
        <v>3887509.5300000003</v>
      </c>
      <c r="H214" s="33">
        <f>Tabela8[[#This Row],[Valor]]/Tabela8[[#This Row],[Faturamento]]</f>
        <v>2.7455006650491737E-2</v>
      </c>
    </row>
    <row r="215" spans="1:8" x14ac:dyDescent="0.3">
      <c r="A215" s="2" t="s">
        <v>425</v>
      </c>
      <c r="B215" t="s">
        <v>1156</v>
      </c>
      <c r="C215" s="252">
        <v>44013</v>
      </c>
      <c r="D215">
        <f>MONTH(Tabela8[[#This Row],[Periodo]])</f>
        <v>7</v>
      </c>
      <c r="E215">
        <f>YEAR(Tabela8[[#This Row],[Periodo]])</f>
        <v>2020</v>
      </c>
      <c r="F215" s="4">
        <f>(INDEX(TBBP[],MATCH(A215,planoContas,)+1,MATCH(Tabela8[[#This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118655.93000000002</v>
      </c>
      <c r="G215" s="4">
        <f>(INDEX(TBBP[],MATCH("3.1",planoContas,)+1,MATCH(Tabela8[[#This Row],[Periodo]],listaPeriodos,)))</f>
        <v>4143176.64</v>
      </c>
      <c r="H215" s="33">
        <f>Tabela8[[#This Row],[Valor]]/Tabela8[[#This Row],[Faturamento]]</f>
        <v>2.863887792145884E-2</v>
      </c>
    </row>
    <row r="216" spans="1:8" x14ac:dyDescent="0.3">
      <c r="A216" s="2" t="s">
        <v>425</v>
      </c>
      <c r="B216" t="s">
        <v>1156</v>
      </c>
      <c r="C216" s="252">
        <v>44044</v>
      </c>
      <c r="D216">
        <f>MONTH(Tabela8[[#This Row],[Periodo]])</f>
        <v>8</v>
      </c>
      <c r="E216">
        <f>YEAR(Tabela8[[#This Row],[Periodo]])</f>
        <v>2020</v>
      </c>
      <c r="F216" s="4">
        <f>(INDEX(TBBP[],MATCH(A216,planoContas,)+1,MATCH(Tabela8[[#This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133578.03999999998</v>
      </c>
      <c r="G216" s="4">
        <f>(INDEX(TBBP[],MATCH("3.1",planoContas,)+1,MATCH(Tabela8[[#This Row],[Periodo]],listaPeriodos,)))</f>
        <v>4467793.6800000006</v>
      </c>
      <c r="H216" s="33">
        <f>Tabela8[[#This Row],[Valor]]/Tabela8[[#This Row],[Faturamento]]</f>
        <v>2.9897987590152095E-2</v>
      </c>
    </row>
    <row r="217" spans="1:8" x14ac:dyDescent="0.3">
      <c r="A217" s="2" t="s">
        <v>425</v>
      </c>
      <c r="B217" t="s">
        <v>1156</v>
      </c>
      <c r="C217" s="252">
        <v>44075</v>
      </c>
      <c r="D217">
        <f>MONTH(Tabela8[[#This Row],[Periodo]])</f>
        <v>9</v>
      </c>
      <c r="E217">
        <f>YEAR(Tabela8[[#This Row],[Periodo]])</f>
        <v>2020</v>
      </c>
      <c r="F217" s="4">
        <f>(INDEX(TBBP[],MATCH(A217,planoContas,)+1,MATCH(Tabela8[[#This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135791.30000000002</v>
      </c>
      <c r="G217" s="4">
        <f>(INDEX(TBBP[],MATCH("3.1",planoContas,)+1,MATCH(Tabela8[[#This Row],[Periodo]],listaPeriodos,)))</f>
        <v>4802256.0000000009</v>
      </c>
      <c r="H217" s="33">
        <f>Tabela8[[#This Row],[Valor]]/Tabela8[[#This Row],[Faturamento]]</f>
        <v>2.827656418150136E-2</v>
      </c>
    </row>
    <row r="218" spans="1:8" x14ac:dyDescent="0.3">
      <c r="A218" s="2" t="s">
        <v>425</v>
      </c>
      <c r="B218" t="s">
        <v>1156</v>
      </c>
      <c r="C218" s="252">
        <v>44105</v>
      </c>
      <c r="D218">
        <f>MONTH(Tabela8[[#This Row],[Periodo]])</f>
        <v>10</v>
      </c>
      <c r="E218">
        <f>YEAR(Tabela8[[#This Row],[Periodo]])</f>
        <v>2020</v>
      </c>
      <c r="F218" s="4">
        <f>(INDEX(TBBP[],MATCH(A218,planoContas,)+1,MATCH(Tabela8[[#This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124481.59000000001</v>
      </c>
      <c r="G218" s="4">
        <f>(INDEX(TBBP[],MATCH("3.1",planoContas,)+1,MATCH(Tabela8[[#This Row],[Periodo]],listaPeriodos,)))</f>
        <v>5685928.0300000003</v>
      </c>
      <c r="H218" s="33">
        <f>Tabela8[[#This Row],[Valor]]/Tabela8[[#This Row],[Faturamento]]</f>
        <v>2.1892923959503582E-2</v>
      </c>
    </row>
    <row r="219" spans="1:8" x14ac:dyDescent="0.3">
      <c r="A219" s="2" t="s">
        <v>425</v>
      </c>
      <c r="B219" t="s">
        <v>1156</v>
      </c>
      <c r="C219" s="252">
        <v>44136</v>
      </c>
      <c r="D219">
        <f>MONTH(Tabela8[[#This Row],[Periodo]])</f>
        <v>11</v>
      </c>
      <c r="E219">
        <f>YEAR(Tabela8[[#This Row],[Periodo]])</f>
        <v>2020</v>
      </c>
      <c r="F219" s="4">
        <f>(INDEX(TBBP[],MATCH(A219,planoContas,)+1,MATCH(Tabela8[[#This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151028.09999999998</v>
      </c>
      <c r="G219" s="4">
        <f>(INDEX(TBBP[],MATCH("3.1",planoContas,)+1,MATCH(Tabela8[[#This Row],[Periodo]],listaPeriodos,)))</f>
        <v>4644331.2300000004</v>
      </c>
      <c r="H219" s="33">
        <f>Tabela8[[#This Row],[Valor]]/Tabela8[[#This Row],[Faturamento]]</f>
        <v>3.2518804650373732E-2</v>
      </c>
    </row>
    <row r="220" spans="1:8" x14ac:dyDescent="0.3">
      <c r="A220" s="2" t="s">
        <v>425</v>
      </c>
      <c r="B220" t="s">
        <v>1156</v>
      </c>
      <c r="C220" s="252">
        <v>44166</v>
      </c>
      <c r="D220">
        <f>MONTH(Tabela8[[#This Row],[Periodo]])</f>
        <v>12</v>
      </c>
      <c r="E220">
        <f>YEAR(Tabela8[[#This Row],[Periodo]])</f>
        <v>2020</v>
      </c>
      <c r="F220" s="4">
        <f>(INDEX(TBBP[],MATCH(A220,planoContas,)+1,MATCH(Tabela8[[#This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165760.07999999999</v>
      </c>
      <c r="G220" s="4">
        <f>(INDEX(TBBP[],MATCH("3.1",planoContas,)+1,MATCH(Tabela8[[#This Row],[Periodo]],listaPeriodos,)))</f>
        <v>4473220.9900000012</v>
      </c>
      <c r="H220" s="33">
        <f>Tabela8[[#This Row],[Valor]]/Tabela8[[#This Row],[Faturamento]]</f>
        <v>3.7056090090465205E-2</v>
      </c>
    </row>
    <row r="221" spans="1:8" x14ac:dyDescent="0.3">
      <c r="A221" s="2" t="s">
        <v>425</v>
      </c>
      <c r="B221" t="s">
        <v>1156</v>
      </c>
      <c r="C221" s="252">
        <v>44197</v>
      </c>
      <c r="D221">
        <f>MONTH(Tabela8[[#This Row],[Periodo]])</f>
        <v>1</v>
      </c>
      <c r="E221">
        <f>YEAR(Tabela8[[#This Row],[Periodo]])</f>
        <v>2021</v>
      </c>
      <c r="F221" s="4">
        <f>(INDEX(TBBP[],MATCH(A221,planoContas,)+1,MATCH(Tabela8[[#This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141887.56999999998</v>
      </c>
      <c r="G221" s="4">
        <f>(INDEX(TBBP[],MATCH("3.1",planoContas,)+1,MATCH(Tabela8[[#This Row],[Periodo]],listaPeriodos,)))</f>
        <v>4944925.6000000015</v>
      </c>
      <c r="H221" s="33">
        <f>Tabela8[[#This Row],[Valor]]/Tabela8[[#This Row],[Faturamento]]</f>
        <v>2.8693570232886809E-2</v>
      </c>
    </row>
    <row r="222" spans="1:8" x14ac:dyDescent="0.3">
      <c r="A222" s="2" t="s">
        <v>425</v>
      </c>
      <c r="B222" t="s">
        <v>1156</v>
      </c>
      <c r="C222" s="252">
        <v>44228</v>
      </c>
      <c r="D222">
        <f>MONTH(Tabela8[[#This Row],[Periodo]])</f>
        <v>2</v>
      </c>
      <c r="E222">
        <f>YEAR(Tabela8[[#This Row],[Periodo]])</f>
        <v>2021</v>
      </c>
      <c r="F222" s="4">
        <f>(INDEX(TBBP[],MATCH(A222,planoContas,)+1,MATCH(Tabela8[[#This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204513.44999999998</v>
      </c>
      <c r="G222" s="4">
        <f>(INDEX(TBBP[],MATCH("3.1",planoContas,)+1,MATCH(Tabela8[[#This Row],[Periodo]],listaPeriodos,)))</f>
        <v>5234248.620000001</v>
      </c>
      <c r="H222" s="33">
        <f>Tabela8[[#This Row],[Valor]]/Tabela8[[#This Row],[Faturamento]]</f>
        <v>3.9072169636451076E-2</v>
      </c>
    </row>
    <row r="223" spans="1:8" x14ac:dyDescent="0.3">
      <c r="A223" s="2" t="s">
        <v>425</v>
      </c>
      <c r="B223" t="s">
        <v>1156</v>
      </c>
      <c r="C223" s="252">
        <v>44256</v>
      </c>
      <c r="D223">
        <f>MONTH(Tabela8[[#This Row],[Periodo]])</f>
        <v>3</v>
      </c>
      <c r="E223">
        <f>YEAR(Tabela8[[#This Row],[Periodo]])</f>
        <v>2021</v>
      </c>
      <c r="F223" s="4">
        <f>(INDEX(TBBP[],MATCH(A223,planoContas,)+1,MATCH(Tabela8[[#This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126017.39000000001</v>
      </c>
      <c r="G223" s="4">
        <f>(INDEX(TBBP[],MATCH("3.1",planoContas,)+1,MATCH(Tabela8[[#This Row],[Periodo]],listaPeriodos,)))</f>
        <v>6030259.7299999995</v>
      </c>
      <c r="H223" s="33">
        <f>Tabela8[[#This Row],[Valor]]/Tabela8[[#This Row],[Faturamento]]</f>
        <v>2.0897506184198805E-2</v>
      </c>
    </row>
    <row r="224" spans="1:8" x14ac:dyDescent="0.3">
      <c r="A224" s="2" t="s">
        <v>425</v>
      </c>
      <c r="B224" t="s">
        <v>1156</v>
      </c>
      <c r="C224" s="252">
        <v>44287</v>
      </c>
      <c r="D224">
        <f>MONTH(Tabela8[[#This Row],[Periodo]])</f>
        <v>4</v>
      </c>
      <c r="E224">
        <f>YEAR(Tabela8[[#This Row],[Periodo]])</f>
        <v>2021</v>
      </c>
      <c r="F224" s="4">
        <f>(INDEX(TBBP[],MATCH(A224,planoContas,)+1,MATCH(Tabela8[[#This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155055.21000000002</v>
      </c>
      <c r="G224" s="4">
        <f>(INDEX(TBBP[],MATCH("3.1",planoContas,)+1,MATCH(Tabela8[[#This Row],[Periodo]],listaPeriodos,)))</f>
        <v>7105290.3500000006</v>
      </c>
      <c r="H224" s="33">
        <f>Tabela8[[#This Row],[Valor]]/Tabela8[[#This Row],[Faturamento]]</f>
        <v>2.1822501595589266E-2</v>
      </c>
    </row>
    <row r="225" spans="1:8" x14ac:dyDescent="0.3">
      <c r="A225" s="2" t="s">
        <v>425</v>
      </c>
      <c r="B225" t="s">
        <v>1156</v>
      </c>
      <c r="C225" s="252">
        <v>44317</v>
      </c>
      <c r="D225">
        <f>MONTH(Tabela8[[#This Row],[Periodo]])</f>
        <v>5</v>
      </c>
      <c r="E225">
        <f>YEAR(Tabela8[[#This Row],[Periodo]])</f>
        <v>2021</v>
      </c>
      <c r="F225" s="4">
        <f>(INDEX(TBBP[],MATCH(A225,planoContas,)+1,MATCH(Tabela8[[#This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192711.92</v>
      </c>
      <c r="G225" s="4">
        <f>(INDEX(TBBP[],MATCH("3.1",planoContas,)+1,MATCH(Tabela8[[#This Row],[Periodo]],listaPeriodos,)))</f>
        <v>7918709.8200000003</v>
      </c>
      <c r="H225" s="33">
        <f>Tabela8[[#This Row],[Valor]]/Tabela8[[#This Row],[Faturamento]]</f>
        <v>2.4336277547798817E-2</v>
      </c>
    </row>
    <row r="226" spans="1:8" x14ac:dyDescent="0.3">
      <c r="A226" s="2" t="s">
        <v>425</v>
      </c>
      <c r="B226" t="s">
        <v>1156</v>
      </c>
      <c r="C226" s="252">
        <v>44348</v>
      </c>
      <c r="D226">
        <f>MONTH(Tabela8[[#This Row],[Periodo]])</f>
        <v>6</v>
      </c>
      <c r="E226">
        <f>YEAR(Tabela8[[#This Row],[Periodo]])</f>
        <v>2021</v>
      </c>
      <c r="F226" s="4">
        <f>(INDEX(TBBP[],MATCH(A226,planoContas,)+1,MATCH(Tabela8[[#This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243574.24999999994</v>
      </c>
      <c r="G226" s="4">
        <f>(INDEX(TBBP[],MATCH("3.1",planoContas,)+1,MATCH(Tabela8[[#This Row],[Periodo]],listaPeriodos,)))</f>
        <v>8868518.3300000001</v>
      </c>
      <c r="H226" s="33">
        <f>Tabela8[[#This Row],[Valor]]/Tabela8[[#This Row],[Faturamento]]</f>
        <v>2.7465044434316452E-2</v>
      </c>
    </row>
    <row r="227" spans="1:8" x14ac:dyDescent="0.3">
      <c r="A227" s="2" t="s">
        <v>425</v>
      </c>
      <c r="B227" t="s">
        <v>1156</v>
      </c>
      <c r="C227" s="252">
        <v>44378</v>
      </c>
      <c r="D227">
        <f>MONTH(Tabela8[[#This Row],[Periodo]])</f>
        <v>7</v>
      </c>
      <c r="E227">
        <f>YEAR(Tabela8[[#This Row],[Periodo]])</f>
        <v>2021</v>
      </c>
      <c r="F227" s="4">
        <f>(INDEX(TBBP[],MATCH(A227,planoContas,)+1,MATCH(Tabela8[[#This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214863.18999999994</v>
      </c>
      <c r="G227" s="4">
        <f>(INDEX(TBBP[],MATCH("3.1",planoContas,)+1,MATCH(Tabela8[[#This Row],[Periodo]],listaPeriodos,)))</f>
        <v>9403531.2600000016</v>
      </c>
      <c r="H227" s="33">
        <f>Tabela8[[#This Row],[Valor]]/Tabela8[[#This Row],[Faturamento]]</f>
        <v>2.284920250267769E-2</v>
      </c>
    </row>
    <row r="228" spans="1:8" x14ac:dyDescent="0.3">
      <c r="A228" s="2" t="s">
        <v>425</v>
      </c>
      <c r="B228" t="s">
        <v>1156</v>
      </c>
      <c r="C228" s="252">
        <v>44409</v>
      </c>
      <c r="D228">
        <f>MONTH(Tabela8[[#This Row],[Periodo]])</f>
        <v>8</v>
      </c>
      <c r="E228">
        <f>YEAR(Tabela8[[#This Row],[Periodo]])</f>
        <v>2021</v>
      </c>
      <c r="F228" s="4">
        <f>(INDEX(TBBP[],MATCH(A228,planoContas,)+1,MATCH(Tabela8[[#This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230962.65000000002</v>
      </c>
      <c r="G228" s="4">
        <f>(INDEX(TBBP[],MATCH("3.1",planoContas,)+1,MATCH(Tabela8[[#This Row],[Periodo]],listaPeriodos,)))</f>
        <v>8700462.6600000001</v>
      </c>
      <c r="H228" s="33">
        <f>Tabela8[[#This Row],[Valor]]/Tabela8[[#This Row],[Faturamento]]</f>
        <v>2.6546019335482101E-2</v>
      </c>
    </row>
    <row r="229" spans="1:8" x14ac:dyDescent="0.3">
      <c r="A229" s="2" t="s">
        <v>425</v>
      </c>
      <c r="B229" t="s">
        <v>1156</v>
      </c>
      <c r="C229" s="252">
        <v>44440</v>
      </c>
      <c r="D229">
        <f>MONTH(Tabela8[[#This Row],[Periodo]])</f>
        <v>9</v>
      </c>
      <c r="E229">
        <f>YEAR(Tabela8[[#This Row],[Periodo]])</f>
        <v>2021</v>
      </c>
      <c r="F229" s="4">
        <f>(INDEX(TBBP[],MATCH(A229,planoContas,)+1,MATCH(Tabela8[[#This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199214.72000000003</v>
      </c>
      <c r="G229" s="4">
        <f>(INDEX(TBBP[],MATCH("3.1",planoContas,)+1,MATCH(Tabela8[[#This Row],[Periodo]],listaPeriodos,)))</f>
        <v>8607862.3599999994</v>
      </c>
      <c r="H229" s="33">
        <f>Tabela8[[#This Row],[Valor]]/Tabela8[[#This Row],[Faturamento]]</f>
        <v>2.3143344034604201E-2</v>
      </c>
    </row>
    <row r="230" spans="1:8" x14ac:dyDescent="0.3">
      <c r="A230" s="2" t="s">
        <v>425</v>
      </c>
      <c r="B230" t="s">
        <v>1156</v>
      </c>
      <c r="C230" s="252">
        <v>44470</v>
      </c>
      <c r="D230">
        <f>MONTH(Tabela8[[#This Row],[Periodo]])</f>
        <v>10</v>
      </c>
      <c r="E230">
        <f>YEAR(Tabela8[[#This Row],[Periodo]])</f>
        <v>2021</v>
      </c>
      <c r="F230" s="4">
        <f>(INDEX(TBBP[],MATCH(A230,planoContas,)+1,MATCH(Tabela8[[#This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298891.83999999997</v>
      </c>
      <c r="G230" s="4">
        <f>(INDEX(TBBP[],MATCH("3.1",planoContas,)+1,MATCH(Tabela8[[#This Row],[Periodo]],listaPeriodos,)))</f>
        <v>7463338.209999999</v>
      </c>
      <c r="H230" s="33">
        <f>Tabela8[[#This Row],[Valor]]/Tabela8[[#This Row],[Faturamento]]</f>
        <v>4.0048009562198311E-2</v>
      </c>
    </row>
    <row r="231" spans="1:8" x14ac:dyDescent="0.3">
      <c r="A231" s="2" t="s">
        <v>425</v>
      </c>
      <c r="B231" t="s">
        <v>1156</v>
      </c>
      <c r="C231" s="252">
        <v>44501</v>
      </c>
      <c r="D231">
        <f>MONTH(Tabela8[[#This Row],[Periodo]])</f>
        <v>11</v>
      </c>
      <c r="E231">
        <f>YEAR(Tabela8[[#This Row],[Periodo]])</f>
        <v>2021</v>
      </c>
      <c r="F231" s="4">
        <f>(INDEX(TBBP[],MATCH(A231,planoContas,)+1,MATCH(Tabela8[[#This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275529.73000000004</v>
      </c>
      <c r="G231" s="4">
        <f>(INDEX(TBBP[],MATCH("3.1",planoContas,)+1,MATCH(Tabela8[[#This Row],[Periodo]],listaPeriodos,)))</f>
        <v>6165662.4399999995</v>
      </c>
      <c r="H231" s="33">
        <f>Tabela8[[#This Row],[Valor]]/Tabela8[[#This Row],[Faturamento]]</f>
        <v>4.4687774052061154E-2</v>
      </c>
    </row>
    <row r="232" spans="1:8" x14ac:dyDescent="0.3">
      <c r="A232" s="2" t="s">
        <v>425</v>
      </c>
      <c r="B232" t="s">
        <v>1156</v>
      </c>
      <c r="C232" s="252">
        <v>44531</v>
      </c>
      <c r="D232">
        <f>MONTH(Tabela8[[#This Row],[Periodo]])</f>
        <v>12</v>
      </c>
      <c r="E232">
        <f>YEAR(Tabela8[[#This Row],[Periodo]])</f>
        <v>2021</v>
      </c>
      <c r="F232" s="4">
        <f>(INDEX(TBBP[],MATCH(A232,planoContas,)+1,MATCH(Tabela8[[#This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258474.29000000004</v>
      </c>
      <c r="G232" s="4">
        <f>(INDEX(TBBP[],MATCH("3.1",planoContas,)+1,MATCH(Tabela8[[#This Row],[Periodo]],listaPeriodos,)))</f>
        <v>5516988.5500000007</v>
      </c>
      <c r="H232" s="33">
        <f>Tabela8[[#This Row],[Valor]]/Tabela8[[#This Row],[Faturamento]]</f>
        <v>4.6850612006436011E-2</v>
      </c>
    </row>
    <row r="233" spans="1:8" x14ac:dyDescent="0.3">
      <c r="A233" s="2" t="s">
        <v>425</v>
      </c>
      <c r="B233" t="s">
        <v>1156</v>
      </c>
      <c r="C233" s="252">
        <v>44562</v>
      </c>
      <c r="D233">
        <f>MONTH(Tabela8[[#This Row],[Periodo]])</f>
        <v>1</v>
      </c>
      <c r="E233">
        <f>YEAR(Tabela8[[#This Row],[Periodo]])</f>
        <v>2022</v>
      </c>
      <c r="F233" s="4">
        <f>(INDEX(TBBP[],MATCH(A233,planoContas,)+1,MATCH(Tabela8[[#This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207194.2</v>
      </c>
      <c r="G233" s="4">
        <f>(INDEX(TBBP[],MATCH("3.1",planoContas,)+1,MATCH(Tabela8[[#This Row],[Periodo]],listaPeriodos,)))</f>
        <v>5346830.53</v>
      </c>
      <c r="H233" s="33">
        <f>Tabela8[[#This Row],[Valor]]/Tabela8[[#This Row],[Faturamento]]</f>
        <v>3.87508447925317E-2</v>
      </c>
    </row>
    <row r="234" spans="1:8" x14ac:dyDescent="0.3">
      <c r="A234" s="2" t="s">
        <v>425</v>
      </c>
      <c r="B234" t="s">
        <v>1156</v>
      </c>
      <c r="C234" s="252">
        <v>44593</v>
      </c>
      <c r="D234">
        <f>MONTH(Tabela8[[#This Row],[Periodo]])</f>
        <v>2</v>
      </c>
      <c r="E234">
        <f>YEAR(Tabela8[[#This Row],[Periodo]])</f>
        <v>2022</v>
      </c>
      <c r="F234" s="4">
        <f>(INDEX(TBBP[],MATCH(A234,planoContas,)+1,MATCH(Tabela8[[#This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309071.42000000004</v>
      </c>
      <c r="G234" s="4">
        <f>(INDEX(TBBP[],MATCH("3.1",planoContas,)+1,MATCH(Tabela8[[#This Row],[Periodo]],listaPeriodos,)))</f>
        <v>6667938.8199999994</v>
      </c>
      <c r="H234" s="33">
        <f>Tabela8[[#This Row],[Valor]]/Tabela8[[#This Row],[Faturamento]]</f>
        <v>4.6351867997493128E-2</v>
      </c>
    </row>
    <row r="235" spans="1:8" x14ac:dyDescent="0.3">
      <c r="A235" s="2" t="s">
        <v>425</v>
      </c>
      <c r="B235" t="s">
        <v>1156</v>
      </c>
      <c r="C235" s="252">
        <v>44621</v>
      </c>
      <c r="D235">
        <f>MONTH(Tabela8[[#This Row],[Periodo]])</f>
        <v>3</v>
      </c>
      <c r="E235">
        <f>YEAR(Tabela8[[#This Row],[Periodo]])</f>
        <v>2022</v>
      </c>
      <c r="F235" s="4">
        <f>(INDEX(TBBP[],MATCH(A235,planoContas,)+1,MATCH(Tabela8[[#This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273960.57999999996</v>
      </c>
      <c r="G235" s="4">
        <f>(INDEX(TBBP[],MATCH("3.1",planoContas,)+1,MATCH(Tabela8[[#This Row],[Periodo]],listaPeriodos,)))</f>
        <v>10398348.879999999</v>
      </c>
      <c r="H235" s="33">
        <f>Tabela8[[#This Row],[Valor]]/Tabela8[[#This Row],[Faturamento]]</f>
        <v>2.6346546279758982E-2</v>
      </c>
    </row>
    <row r="236" spans="1:8" x14ac:dyDescent="0.3">
      <c r="A236" s="2" t="s">
        <v>425</v>
      </c>
      <c r="B236" t="s">
        <v>1156</v>
      </c>
      <c r="C236" s="252">
        <v>44652</v>
      </c>
      <c r="D236">
        <f>MONTH(Tabela8[[#This Row],[Periodo]])</f>
        <v>4</v>
      </c>
      <c r="E236">
        <f>YEAR(Tabela8[[#This Row],[Periodo]])</f>
        <v>2022</v>
      </c>
      <c r="F236" s="4">
        <f>(INDEX(TBBP[],MATCH(A236,planoContas,)+1,MATCH(Tabela8[[#This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268865.89999999997</v>
      </c>
      <c r="G236" s="4">
        <f>(INDEX(TBBP[],MATCH("3.1",planoContas,)+1,MATCH(Tabela8[[#This Row],[Periodo]],listaPeriodos,)))</f>
        <v>7242034.71</v>
      </c>
      <c r="H236" s="33">
        <f>Tabela8[[#This Row],[Valor]]/Tabela8[[#This Row],[Faturamento]]</f>
        <v>3.7125740315597018E-2</v>
      </c>
    </row>
    <row r="237" spans="1:8" x14ac:dyDescent="0.3">
      <c r="A237" s="2" t="s">
        <v>425</v>
      </c>
      <c r="B237" t="s">
        <v>1156</v>
      </c>
      <c r="C237" s="252">
        <v>44682</v>
      </c>
      <c r="D237">
        <f>MONTH(Tabela8[[#This Row],[Periodo]])</f>
        <v>5</v>
      </c>
      <c r="E237">
        <f>YEAR(Tabela8[[#This Row],[Periodo]])</f>
        <v>2022</v>
      </c>
      <c r="F237" s="4">
        <f>(INDEX(TBBP[],MATCH(A237,planoContas,)+1,MATCH(Tabela8[[#This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286542.7</v>
      </c>
      <c r="G237" s="4">
        <f>(INDEX(TBBP[],MATCH("3.1",planoContas,)+1,MATCH(Tabela8[[#This Row],[Periodo]],listaPeriodos,)))</f>
        <v>7832280.7899999982</v>
      </c>
      <c r="H237" s="33">
        <f>Tabela8[[#This Row],[Valor]]/Tabela8[[#This Row],[Faturamento]]</f>
        <v>3.6584834952016587E-2</v>
      </c>
    </row>
    <row r="238" spans="1:8" x14ac:dyDescent="0.3">
      <c r="A238" s="2" t="s">
        <v>425</v>
      </c>
      <c r="B238" t="s">
        <v>1156</v>
      </c>
      <c r="C238" s="252">
        <v>44713</v>
      </c>
      <c r="D238">
        <f>MONTH(Tabela8[[#This Row],[Periodo]])</f>
        <v>6</v>
      </c>
      <c r="E238">
        <f>YEAR(Tabela8[[#This Row],[Periodo]])</f>
        <v>2022</v>
      </c>
      <c r="F238" s="4">
        <f>(INDEX(TBBP[],MATCH(A238,planoContas,)+1,MATCH(Tabela8[[#This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307952.53000000003</v>
      </c>
      <c r="G238" s="4">
        <f>(INDEX(TBBP[],MATCH("3.1",planoContas,)+1,MATCH(Tabela8[[#This Row],[Periodo]],listaPeriodos,)))</f>
        <v>7871509.620000001</v>
      </c>
      <c r="H238" s="33">
        <f>Tabela8[[#This Row],[Valor]]/Tabela8[[#This Row],[Faturamento]]</f>
        <v>3.9122423126759766E-2</v>
      </c>
    </row>
    <row r="239" spans="1:8" x14ac:dyDescent="0.3">
      <c r="A239" s="2" t="s">
        <v>425</v>
      </c>
      <c r="B239" t="s">
        <v>1156</v>
      </c>
      <c r="C239" s="252">
        <v>44743</v>
      </c>
      <c r="D239">
        <f>MONTH(Tabela8[[#This Row],[Periodo]])</f>
        <v>7</v>
      </c>
      <c r="E239">
        <f>YEAR(Tabela8[[#This Row],[Periodo]])</f>
        <v>2022</v>
      </c>
      <c r="F239" s="4">
        <f>(INDEX(TBBP[],MATCH(A239,planoContas,)+1,MATCH(Tabela8[[#This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264628.96999999997</v>
      </c>
      <c r="G239" s="4">
        <f>(INDEX(TBBP[],MATCH("3.1",planoContas,)+1,MATCH(Tabela8[[#This Row],[Periodo]],listaPeriodos,)))</f>
        <v>7133374.0699999994</v>
      </c>
      <c r="H239" s="33">
        <f>Tabela8[[#This Row],[Valor]]/Tabela8[[#This Row],[Faturamento]]</f>
        <v>3.7097307305517482E-2</v>
      </c>
    </row>
    <row r="240" spans="1:8" x14ac:dyDescent="0.3">
      <c r="A240" s="2" t="s">
        <v>425</v>
      </c>
      <c r="B240" t="s">
        <v>1156</v>
      </c>
      <c r="C240" s="252">
        <v>44774</v>
      </c>
      <c r="D240">
        <f>MONTH(Tabela8[[#This Row],[Periodo]])</f>
        <v>8</v>
      </c>
      <c r="E240">
        <f>YEAR(Tabela8[[#This Row],[Periodo]])</f>
        <v>2022</v>
      </c>
      <c r="F240" s="4">
        <f>(INDEX(TBBP[],MATCH(A240,planoContas,)+1,MATCH(Tabela8[[#This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314583.3</v>
      </c>
      <c r="G240" s="4">
        <f>(INDEX(TBBP[],MATCH("3.1",planoContas,)+1,MATCH(Tabela8[[#This Row],[Periodo]],listaPeriodos,)))</f>
        <v>7753457.120000002</v>
      </c>
      <c r="H240" s="33">
        <f>Tabela8[[#This Row],[Valor]]/Tabela8[[#This Row],[Faturamento]]</f>
        <v>4.057329461312606E-2</v>
      </c>
    </row>
    <row r="241" spans="1:8" x14ac:dyDescent="0.3">
      <c r="A241" s="2" t="s">
        <v>425</v>
      </c>
      <c r="B241" t="s">
        <v>1156</v>
      </c>
      <c r="C241" s="252">
        <v>44805</v>
      </c>
      <c r="D241">
        <f>MONTH(Tabela8[[#This Row],[Periodo]])</f>
        <v>9</v>
      </c>
      <c r="E241">
        <f>YEAR(Tabela8[[#This Row],[Periodo]])</f>
        <v>2022</v>
      </c>
      <c r="F241" s="4">
        <f>(INDEX(TBBP[],MATCH(A241,planoContas,)+1,MATCH(Tabela8[[#This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358386.48</v>
      </c>
      <c r="G241" s="4">
        <f>(INDEX(TBBP[],MATCH("3.1",planoContas,)+1,MATCH(Tabela8[[#This Row],[Periodo]],listaPeriodos,)))</f>
        <v>7901820.9700000007</v>
      </c>
      <c r="H241" s="33">
        <f>Tabela8[[#This Row],[Valor]]/Tabela8[[#This Row],[Faturamento]]</f>
        <v>4.5354922790664033E-2</v>
      </c>
    </row>
    <row r="242" spans="1:8" x14ac:dyDescent="0.3">
      <c r="A242" s="2" t="s">
        <v>425</v>
      </c>
      <c r="B242" t="s">
        <v>1156</v>
      </c>
      <c r="C242" s="252">
        <v>44835</v>
      </c>
      <c r="D242">
        <f>MONTH(Tabela8[[#This Row],[Periodo]])</f>
        <v>10</v>
      </c>
      <c r="E242">
        <f>YEAR(Tabela8[[#This Row],[Periodo]])</f>
        <v>2022</v>
      </c>
      <c r="F242" s="4">
        <f>(INDEX(TBBP[],MATCH(A242,planoContas,)+1,MATCH(Tabela8[[#This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311238.07</v>
      </c>
      <c r="G242" s="4">
        <f>(INDEX(TBBP[],MATCH("3.1",planoContas,)+1,MATCH(Tabela8[[#This Row],[Periodo]],listaPeriodos,)))</f>
        <v>5212976.3499999996</v>
      </c>
      <c r="H242" s="33">
        <f>Tabela8[[#This Row],[Valor]]/Tabela8[[#This Row],[Faturamento]]</f>
        <v>5.9704485327273744E-2</v>
      </c>
    </row>
    <row r="243" spans="1:8" x14ac:dyDescent="0.3">
      <c r="A243" s="2" t="s">
        <v>425</v>
      </c>
      <c r="B243" t="s">
        <v>1156</v>
      </c>
      <c r="C243" s="252">
        <v>44866</v>
      </c>
      <c r="D243">
        <f>MONTH(Tabela8[[#This Row],[Periodo]])</f>
        <v>11</v>
      </c>
      <c r="E243">
        <f>YEAR(Tabela8[[#This Row],[Periodo]])</f>
        <v>2022</v>
      </c>
      <c r="F243" s="4">
        <f>(INDEX(TBBP[],MATCH(A243,planoContas,)+1,MATCH(Tabela8[[#This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257067.44</v>
      </c>
      <c r="G243" s="4">
        <f>(INDEX(TBBP[],MATCH("3.1",planoContas,)+1,MATCH(Tabela8[[#This Row],[Periodo]],listaPeriodos,)))</f>
        <v>6633932.3399999989</v>
      </c>
      <c r="H243" s="33">
        <f>Tabela8[[#This Row],[Valor]]/Tabela8[[#This Row],[Faturamento]]</f>
        <v>3.8750386169901764E-2</v>
      </c>
    </row>
    <row r="244" spans="1:8" x14ac:dyDescent="0.3">
      <c r="A244" s="2" t="s">
        <v>425</v>
      </c>
      <c r="B244" t="s">
        <v>1156</v>
      </c>
      <c r="C244" s="252">
        <v>44896</v>
      </c>
      <c r="D244">
        <f>MONTH(Tabela8[[#This Row],[Periodo]])</f>
        <v>12</v>
      </c>
      <c r="E244">
        <f>YEAR(Tabela8[[#This Row],[Periodo]])</f>
        <v>2022</v>
      </c>
      <c r="F244" s="4">
        <f>(INDEX(TBBP[],MATCH(A244,planoContas,)+1,MATCH(Tabela8[[#This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268504.04000000004</v>
      </c>
      <c r="G244" s="4">
        <f>(INDEX(TBBP[],MATCH("3.1",planoContas,)+1,MATCH(Tabela8[[#This Row],[Periodo]],listaPeriodos,)))</f>
        <v>5522329.4800000004</v>
      </c>
      <c r="H244" s="33">
        <f>Tabela8[[#This Row],[Valor]]/Tabela8[[#This Row],[Faturamento]]</f>
        <v>4.862151759912739E-2</v>
      </c>
    </row>
    <row r="245" spans="1:8" x14ac:dyDescent="0.3">
      <c r="A245" s="2" t="s">
        <v>425</v>
      </c>
      <c r="B245" t="s">
        <v>1156</v>
      </c>
      <c r="C245" s="252">
        <v>44927</v>
      </c>
      <c r="D245">
        <f>MONTH(Tabela8[[#This Row],[Periodo]])</f>
        <v>1</v>
      </c>
      <c r="E245">
        <f>YEAR(Tabela8[[#This Row],[Periodo]])</f>
        <v>2023</v>
      </c>
      <c r="F245" s="4">
        <f>(INDEX(TBBP[],MATCH(A245,planoContas,)+1,MATCH(Tabela8[[#This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336709.46</v>
      </c>
      <c r="G245" s="4">
        <f>(INDEX(TBBP[],MATCH("3.1",planoContas,)+1,MATCH(Tabela8[[#This Row],[Periodo]],listaPeriodos,)))</f>
        <v>4523362.28</v>
      </c>
      <c r="H245" s="33">
        <f>Tabela8[[#This Row],[Valor]]/Tabela8[[#This Row],[Faturamento]]</f>
        <v>7.4437871467593356E-2</v>
      </c>
    </row>
    <row r="246" spans="1:8" x14ac:dyDescent="0.3">
      <c r="A246" s="2" t="s">
        <v>425</v>
      </c>
      <c r="B246" t="s">
        <v>1156</v>
      </c>
      <c r="C246" s="252">
        <v>44958</v>
      </c>
      <c r="D246">
        <f>MONTH(Tabela8[[#This Row],[Periodo]])</f>
        <v>2</v>
      </c>
      <c r="E246">
        <f>YEAR(Tabela8[[#This Row],[Periodo]])</f>
        <v>2023</v>
      </c>
      <c r="F246" s="4">
        <f>(INDEX(TBBP[],MATCH(A246,planoContas,)+1,MATCH(Tabela8[[#This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311841.17000000004</v>
      </c>
      <c r="G246" s="4">
        <f>(INDEX(TBBP[],MATCH("3.1",planoContas,)+1,MATCH(Tabela8[[#This Row],[Periodo]],listaPeriodos,)))</f>
        <v>5020605.1399999997</v>
      </c>
      <c r="H246" s="33">
        <f>Tabela8[[#This Row],[Valor]]/Tabela8[[#This Row],[Faturamento]]</f>
        <v>6.2112267606051978E-2</v>
      </c>
    </row>
    <row r="247" spans="1:8" x14ac:dyDescent="0.3">
      <c r="A247" s="2" t="s">
        <v>425</v>
      </c>
      <c r="B247" t="s">
        <v>1156</v>
      </c>
      <c r="C247" s="252">
        <v>44986</v>
      </c>
      <c r="D247">
        <f>MONTH(Tabela8[[#This Row],[Periodo]])</f>
        <v>3</v>
      </c>
      <c r="E247">
        <f>YEAR(Tabela8[[#This Row],[Periodo]])</f>
        <v>2023</v>
      </c>
      <c r="F247" s="4">
        <f>(INDEX(TBBP[],MATCH(A247,planoContas,)+1,MATCH(Tabela8[[#This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281414.77999999997</v>
      </c>
      <c r="G247" s="4">
        <f>(INDEX(TBBP[],MATCH("3.1",planoContas,)+1,MATCH(Tabela8[[#This Row],[Periodo]],listaPeriodos,)))</f>
        <v>6163399.0099999998</v>
      </c>
      <c r="H247" s="33">
        <f>Tabela8[[#This Row],[Valor]]/Tabela8[[#This Row],[Faturamento]]</f>
        <v>4.5659023461471458E-2</v>
      </c>
    </row>
    <row r="248" spans="1:8" x14ac:dyDescent="0.3">
      <c r="A248" s="2" t="s">
        <v>425</v>
      </c>
      <c r="B248" t="s">
        <v>1156</v>
      </c>
      <c r="C248" s="252">
        <v>45017</v>
      </c>
      <c r="D248">
        <f>MONTH(Tabela8[[#This Row],[Periodo]])</f>
        <v>4</v>
      </c>
      <c r="E248">
        <f>YEAR(Tabela8[[#This Row],[Periodo]])</f>
        <v>2023</v>
      </c>
      <c r="F248" s="4">
        <f>(INDEX(TBBP[],MATCH(A248,planoContas,)+1,MATCH(Tabela8[[#This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266394.73</v>
      </c>
      <c r="G248" s="4">
        <f>(INDEX(TBBP[],MATCH("3.1",planoContas,)+1,MATCH(Tabela8[[#This Row],[Periodo]],listaPeriodos,)))</f>
        <v>5450287.8899999997</v>
      </c>
      <c r="H248" s="33">
        <f>Tabela8[[#This Row],[Valor]]/Tabela8[[#This Row],[Faturamento]]</f>
        <v>4.887718509122644E-2</v>
      </c>
    </row>
    <row r="249" spans="1:8" x14ac:dyDescent="0.3">
      <c r="A249" s="2" t="s">
        <v>425</v>
      </c>
      <c r="B249" t="s">
        <v>1156</v>
      </c>
      <c r="C249" s="252">
        <v>45047</v>
      </c>
      <c r="D249">
        <f>MONTH(Tabela8[[#This Row],[Periodo]])</f>
        <v>5</v>
      </c>
      <c r="E249">
        <f>YEAR(Tabela8[[#This Row],[Periodo]])</f>
        <v>2023</v>
      </c>
      <c r="F249" s="4">
        <f>(INDEX(TBBP[],MATCH(A249,planoContas,)+1,MATCH(Tabela8[[#This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382474.43000000005</v>
      </c>
      <c r="G249" s="4">
        <f>(INDEX(TBBP[],MATCH("3.1",planoContas,)+1,MATCH(Tabela8[[#This Row],[Periodo]],listaPeriodos,)))</f>
        <v>9087903.75</v>
      </c>
      <c r="H249" s="33">
        <f>Tabela8[[#This Row],[Valor]]/Tabela8[[#This Row],[Faturamento]]</f>
        <v>4.2086100438728791E-2</v>
      </c>
    </row>
    <row r="250" spans="1:8" x14ac:dyDescent="0.3">
      <c r="A250" s="2" t="s">
        <v>425</v>
      </c>
      <c r="B250" t="s">
        <v>1156</v>
      </c>
      <c r="C250" s="252">
        <v>45078</v>
      </c>
      <c r="D250">
        <f>MONTH(Tabela8[[#This Row],[Periodo]])</f>
        <v>6</v>
      </c>
      <c r="E250">
        <f>YEAR(Tabela8[[#This Row],[Periodo]])</f>
        <v>2023</v>
      </c>
      <c r="F250" s="4">
        <f>(INDEX(TBBP[],MATCH(A250,planoContas,)+1,MATCH(Tabela8[[#This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271818.82999999996</v>
      </c>
      <c r="G250" s="4">
        <f>(INDEX(TBBP[],MATCH("3.1",planoContas,)+1,MATCH(Tabela8[[#This Row],[Periodo]],listaPeriodos,)))</f>
        <v>8277075.1100000013</v>
      </c>
      <c r="H250" s="33">
        <f>Tabela8[[#This Row],[Valor]]/Tabela8[[#This Row],[Faturamento]]</f>
        <v>3.2839961748275102E-2</v>
      </c>
    </row>
    <row r="251" spans="1:8" x14ac:dyDescent="0.3">
      <c r="A251" s="2" t="s">
        <v>425</v>
      </c>
      <c r="B251" t="s">
        <v>1156</v>
      </c>
      <c r="C251" s="252">
        <v>45108</v>
      </c>
      <c r="D251">
        <f>MONTH(Tabela8[[#This Row],[Periodo]])</f>
        <v>7</v>
      </c>
      <c r="E251">
        <f>YEAR(Tabela8[[#This Row],[Periodo]])</f>
        <v>2023</v>
      </c>
      <c r="F251" s="4">
        <f>(INDEX(TBBP[],MATCH(A251,planoContas,)+1,MATCH(Tabela8[[#This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266808.32000000001</v>
      </c>
      <c r="G251" s="4">
        <f>(INDEX(TBBP[],MATCH("3.1",planoContas,)+1,MATCH(Tabela8[[#This Row],[Periodo]],listaPeriodos,)))</f>
        <v>5198444.16</v>
      </c>
      <c r="H251" s="33">
        <f>Tabela8[[#This Row],[Valor]]/Tabela8[[#This Row],[Faturamento]]</f>
        <v>5.132464864256616E-2</v>
      </c>
    </row>
    <row r="252" spans="1:8" x14ac:dyDescent="0.3">
      <c r="A252" s="2" t="s">
        <v>425</v>
      </c>
      <c r="B252" t="s">
        <v>1156</v>
      </c>
      <c r="C252" s="252">
        <v>45139</v>
      </c>
      <c r="D252">
        <f>MONTH(Tabela8[[#This Row],[Periodo]])</f>
        <v>8</v>
      </c>
      <c r="E252">
        <f>YEAR(Tabela8[[#This Row],[Periodo]])</f>
        <v>2023</v>
      </c>
      <c r="F252" s="4">
        <f>(INDEX(TBBP[],MATCH(A252,planoContas,)+1,MATCH(Tabela8[[#This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380776.43</v>
      </c>
      <c r="G252" s="4">
        <f>(INDEX(TBBP[],MATCH("3.1",planoContas,)+1,MATCH(Tabela8[[#This Row],[Periodo]],listaPeriodos,)))</f>
        <v>7988986.9099999983</v>
      </c>
      <c r="H252" s="33">
        <f>Tabela8[[#This Row],[Valor]]/Tabela8[[#This Row],[Faturamento]]</f>
        <v>4.7662667906411688E-2</v>
      </c>
    </row>
    <row r="253" spans="1:8" x14ac:dyDescent="0.3">
      <c r="A253" s="2" t="s">
        <v>425</v>
      </c>
      <c r="B253" t="s">
        <v>1156</v>
      </c>
      <c r="C253" s="252">
        <v>45170</v>
      </c>
      <c r="D253">
        <f>MONTH(Tabela8[[#This Row],[Periodo]])</f>
        <v>9</v>
      </c>
      <c r="E253">
        <f>YEAR(Tabela8[[#This Row],[Periodo]])</f>
        <v>2023</v>
      </c>
      <c r="F253" s="4">
        <f>(INDEX(TBBP[],MATCH(A253,planoContas,)+1,MATCH(Tabela8[[#This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346546.32999999996</v>
      </c>
      <c r="G253" s="4">
        <f>(INDEX(TBBP[],MATCH("3.1",planoContas,)+1,MATCH(Tabela8[[#This Row],[Periodo]],listaPeriodos,)))</f>
        <v>7305588.3999999994</v>
      </c>
      <c r="H253" s="33">
        <f>Tabela8[[#This Row],[Valor]]/Tabela8[[#This Row],[Faturamento]]</f>
        <v>4.7435786281088597E-2</v>
      </c>
    </row>
    <row r="254" spans="1:8" x14ac:dyDescent="0.3">
      <c r="A254" s="2" t="s">
        <v>425</v>
      </c>
      <c r="B254" t="s">
        <v>1156</v>
      </c>
      <c r="C254" s="252">
        <v>45200</v>
      </c>
      <c r="D254">
        <f>MONTH(Tabela8[[#This Row],[Periodo]])</f>
        <v>10</v>
      </c>
      <c r="E254">
        <f>YEAR(Tabela8[[#This Row],[Periodo]])</f>
        <v>2023</v>
      </c>
      <c r="F254" s="4">
        <f>(INDEX(TBBP[],MATCH(A254,planoContas,)+1,MATCH(Tabela8[[#This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338734.14</v>
      </c>
      <c r="G254" s="4">
        <f>(INDEX(TBBP[],MATCH("3.1",planoContas,)+1,MATCH(Tabela8[[#This Row],[Periodo]],listaPeriodos,)))</f>
        <v>8831749.629999999</v>
      </c>
      <c r="H254" s="33">
        <f>Tabela8[[#This Row],[Valor]]/Tabela8[[#This Row],[Faturamento]]</f>
        <v>3.8354137536845016E-2</v>
      </c>
    </row>
    <row r="255" spans="1:8" x14ac:dyDescent="0.3">
      <c r="A255" s="2" t="s">
        <v>425</v>
      </c>
      <c r="B255" t="s">
        <v>1156</v>
      </c>
      <c r="C255" s="252">
        <v>45231</v>
      </c>
      <c r="D255">
        <f>MONTH(Tabela8[[#This Row],[Periodo]])</f>
        <v>11</v>
      </c>
      <c r="E255">
        <f>YEAR(Tabela8[[#This Row],[Periodo]])</f>
        <v>2023</v>
      </c>
      <c r="F255" s="4">
        <f>(INDEX(TBBP[],MATCH(A255,planoContas,)+1,MATCH(Tabela8[[#This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321208.66000000003</v>
      </c>
      <c r="G255" s="4">
        <f>(INDEX(TBBP[],MATCH("3.1",planoContas,)+1,MATCH(Tabela8[[#This Row],[Periodo]],listaPeriodos,)))</f>
        <v>5971298.0200000005</v>
      </c>
      <c r="H255" s="33">
        <f>Tabela8[[#This Row],[Valor]]/Tabela8[[#This Row],[Faturamento]]</f>
        <v>5.379209996288211E-2</v>
      </c>
    </row>
    <row r="256" spans="1:8" x14ac:dyDescent="0.3">
      <c r="A256" s="2" t="s">
        <v>425</v>
      </c>
      <c r="B256" t="s">
        <v>1156</v>
      </c>
      <c r="C256" s="252">
        <v>45261</v>
      </c>
      <c r="D256">
        <f>MONTH(Tabela8[[#This Row],[Periodo]])</f>
        <v>12</v>
      </c>
      <c r="E256">
        <f>YEAR(Tabela8[[#This Row],[Periodo]])</f>
        <v>2023</v>
      </c>
      <c r="F256" s="4">
        <f>(INDEX(TBBP[],MATCH(A256,planoContas,)+1,MATCH(Tabela8[[#This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456942.59</v>
      </c>
      <c r="G256" s="4">
        <f>(INDEX(TBBP[],MATCH("3.1",planoContas,)+1,MATCH(Tabela8[[#This Row],[Periodo]],listaPeriodos,)))</f>
        <v>8232901.5800000001</v>
      </c>
      <c r="H256" s="33">
        <f>Tabela8[[#This Row],[Valor]]/Tabela8[[#This Row],[Faturamento]]</f>
        <v>5.5502010507454652E-2</v>
      </c>
    </row>
    <row r="257" spans="1:8" x14ac:dyDescent="0.3">
      <c r="A257" s="2" t="s">
        <v>425</v>
      </c>
      <c r="B257" t="s">
        <v>1156</v>
      </c>
      <c r="C257" s="252">
        <v>45292</v>
      </c>
      <c r="D257">
        <f>MONTH(Tabela8[[#This Row],[Periodo]])</f>
        <v>1</v>
      </c>
      <c r="E257">
        <f>YEAR(Tabela8[[#This Row],[Periodo]])</f>
        <v>2024</v>
      </c>
      <c r="F257" s="4">
        <f>(INDEX(TBBP[],MATCH(A257,planoContas,)+1,MATCH(Tabela8[[#This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361186.87000000005</v>
      </c>
      <c r="G257" s="4">
        <f>(INDEX(TBBP[],MATCH("3.1",planoContas,)+1,MATCH(Tabela8[[#This Row],[Periodo]],listaPeriodos,)))</f>
        <v>7481410.8899999997</v>
      </c>
      <c r="H257" s="33">
        <f>Tabela8[[#This Row],[Valor]]/Tabela8[[#This Row],[Faturamento]]</f>
        <v>4.8277908446758236E-2</v>
      </c>
    </row>
    <row r="258" spans="1:8" x14ac:dyDescent="0.3">
      <c r="A258" s="2" t="s">
        <v>425</v>
      </c>
      <c r="B258" t="s">
        <v>1156</v>
      </c>
      <c r="C258" s="252">
        <v>45323</v>
      </c>
      <c r="D258">
        <f>MONTH(Tabela8[[#This Row],[Periodo]])</f>
        <v>2</v>
      </c>
      <c r="E258">
        <f>YEAR(Tabela8[[#This Row],[Periodo]])</f>
        <v>2024</v>
      </c>
      <c r="F258" s="4">
        <f>(INDEX(TBBP[],MATCH(A258,planoContas,)+1,MATCH(Tabela8[[#This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346950.12</v>
      </c>
      <c r="G258" s="4">
        <f>(INDEX(TBBP[],MATCH("3.1",planoContas,)+1,MATCH(Tabela8[[#This Row],[Periodo]],listaPeriodos,)))</f>
        <v>8407937.3199999984</v>
      </c>
      <c r="H258" s="33">
        <f>Tabela8[[#This Row],[Valor]]/Tabela8[[#This Row],[Faturamento]]</f>
        <v>4.1264594013410184E-2</v>
      </c>
    </row>
    <row r="259" spans="1:8" x14ac:dyDescent="0.3">
      <c r="A259" s="2" t="s">
        <v>425</v>
      </c>
      <c r="B259" t="s">
        <v>1156</v>
      </c>
      <c r="C259" s="252">
        <v>45352</v>
      </c>
      <c r="D259">
        <f>MONTH(Tabela8[[#This Row],[Periodo]])</f>
        <v>3</v>
      </c>
      <c r="E259">
        <f>YEAR(Tabela8[[#This Row],[Periodo]])</f>
        <v>2024</v>
      </c>
      <c r="F259" s="4">
        <f>(INDEX(TBBP[],MATCH(A259,planoContas,)+1,MATCH(Tabela8[[#This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451097.64000000007</v>
      </c>
      <c r="G259" s="4">
        <f>(INDEX(TBBP[],MATCH("3.1",planoContas,)+1,MATCH(Tabela8[[#This Row],[Periodo]],listaPeriodos,)))</f>
        <v>7671402.7999999998</v>
      </c>
      <c r="H259" s="33">
        <f>Tabela8[[#This Row],[Valor]]/Tabela8[[#This Row],[Faturamento]]</f>
        <v>5.8802496982690064E-2</v>
      </c>
    </row>
    <row r="260" spans="1:8" x14ac:dyDescent="0.3">
      <c r="A260" s="2" t="s">
        <v>425</v>
      </c>
      <c r="B260" t="s">
        <v>1156</v>
      </c>
      <c r="C260" s="252">
        <v>45383</v>
      </c>
      <c r="D260">
        <f>MONTH(Tabela8[[#This Row],[Periodo]])</f>
        <v>4</v>
      </c>
      <c r="E260">
        <f>YEAR(Tabela8[[#This Row],[Periodo]])</f>
        <v>2024</v>
      </c>
      <c r="F260" s="4">
        <f>(INDEX(TBBP[],MATCH(A260,planoContas,)+1,MATCH(Tabela8[[#This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284995.03000000003</v>
      </c>
      <c r="G260" s="4">
        <f>(INDEX(TBBP[],MATCH("3.1",planoContas,)+1,MATCH(Tabela8[[#This Row],[Periodo]],listaPeriodos,)))</f>
        <v>10589146.889999999</v>
      </c>
      <c r="H260" s="33">
        <f>Tabela8[[#This Row],[Valor]]/Tabela8[[#This Row],[Faturamento]]</f>
        <v>2.6913880122782965E-2</v>
      </c>
    </row>
    <row r="261" spans="1:8" x14ac:dyDescent="0.3">
      <c r="A261" s="2" t="s">
        <v>425</v>
      </c>
      <c r="B261" t="s">
        <v>1156</v>
      </c>
      <c r="C261" s="252">
        <v>45413</v>
      </c>
      <c r="D261">
        <f>MONTH(Tabela8[[#This Row],[Periodo]])</f>
        <v>5</v>
      </c>
      <c r="E261">
        <f>YEAR(Tabela8[[#This Row],[Periodo]])</f>
        <v>2024</v>
      </c>
      <c r="F261" s="4">
        <f>(INDEX(TBBP[],MATCH(A261,planoContas,)+1,MATCH(Tabela8[[#This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387336.47</v>
      </c>
      <c r="G261" s="4">
        <f>(INDEX(TBBP[],MATCH("3.1",planoContas,)+1,MATCH(Tabela8[[#This Row],[Periodo]],listaPeriodos,)))</f>
        <v>11809586.859999999</v>
      </c>
      <c r="H261" s="33">
        <f>Tabela8[[#This Row],[Valor]]/Tabela8[[#This Row],[Faturamento]]</f>
        <v>3.2798477592128061E-2</v>
      </c>
    </row>
    <row r="262" spans="1:8" x14ac:dyDescent="0.3">
      <c r="A262" s="2" t="s">
        <v>425</v>
      </c>
      <c r="B262" t="s">
        <v>1156</v>
      </c>
      <c r="C262" s="252">
        <v>45444</v>
      </c>
      <c r="D262">
        <f>MONTH(Tabela8[[#This Row],[Periodo]])</f>
        <v>6</v>
      </c>
      <c r="E262">
        <f>YEAR(Tabela8[[#This Row],[Periodo]])</f>
        <v>2024</v>
      </c>
      <c r="F262" s="4">
        <f>(INDEX(TBBP[],MATCH(A262,planoContas,)+1,MATCH(Tabela8[[#This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400381.85</v>
      </c>
      <c r="G262" s="4">
        <f>(INDEX(TBBP[],MATCH("3.1",planoContas,)+1,MATCH(Tabela8[[#This Row],[Periodo]],listaPeriodos,)))</f>
        <v>10610189.169999998</v>
      </c>
      <c r="H262" s="33">
        <f>Tabela8[[#This Row],[Valor]]/Tabela8[[#This Row],[Faturamento]]</f>
        <v>3.7735599581208978E-2</v>
      </c>
    </row>
    <row r="263" spans="1:8" x14ac:dyDescent="0.3">
      <c r="A263" s="2" t="s">
        <v>425</v>
      </c>
      <c r="B263" t="s">
        <v>1156</v>
      </c>
      <c r="C263" s="252">
        <v>45474</v>
      </c>
      <c r="D263">
        <f>MONTH(Tabela8[[#This Row],[Periodo]])</f>
        <v>7</v>
      </c>
      <c r="E263">
        <f>YEAR(Tabela8[[#This Row],[Periodo]])</f>
        <v>2024</v>
      </c>
      <c r="F263" s="4">
        <f>(INDEX(TBBP[],MATCH(A263,planoContas,)+1,MATCH(Tabela8[[#This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455595.46</v>
      </c>
      <c r="G263" s="4">
        <f>(INDEX(TBBP[],MATCH("3.1",planoContas,)+1,MATCH(Tabela8[[#This Row],[Periodo]],listaPeriodos,)))</f>
        <v>11950053.750000002</v>
      </c>
      <c r="H263" s="33">
        <f>Tabela8[[#This Row],[Valor]]/Tabela8[[#This Row],[Faturamento]]</f>
        <v>3.8124971613621397E-2</v>
      </c>
    </row>
    <row r="264" spans="1:8" x14ac:dyDescent="0.3">
      <c r="A264" s="2" t="s">
        <v>425</v>
      </c>
      <c r="B264" t="s">
        <v>1156</v>
      </c>
      <c r="C264" s="252">
        <v>45505</v>
      </c>
      <c r="D264">
        <f>MONTH(Tabela8[[#This Row],[Periodo]])</f>
        <v>8</v>
      </c>
      <c r="E264">
        <f>YEAR(Tabela8[[#This Row],[Periodo]])</f>
        <v>2024</v>
      </c>
      <c r="F264" s="4">
        <f>(INDEX(TBBP[],MATCH(A264,planoContas,)+1,MATCH(Tabela8[[#This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469789.16999999993</v>
      </c>
      <c r="G264" s="4">
        <f>(INDEX(TBBP[],MATCH("3.1",planoContas,)+1,MATCH(Tabela8[[#This Row],[Periodo]],listaPeriodos,)))</f>
        <v>9379852.1500000004</v>
      </c>
      <c r="H264" s="33">
        <f>Tabela8[[#This Row],[Valor]]/Tabela8[[#This Row],[Faturamento]]</f>
        <v>5.0084922713840421E-2</v>
      </c>
    </row>
    <row r="265" spans="1:8" x14ac:dyDescent="0.3">
      <c r="A265" s="2" t="s">
        <v>425</v>
      </c>
      <c r="B265" t="s">
        <v>1156</v>
      </c>
      <c r="C265" s="252">
        <v>45536</v>
      </c>
      <c r="D265">
        <f>MONTH(Tabela8[[#This Row],[Periodo]])</f>
        <v>9</v>
      </c>
      <c r="E265">
        <f>YEAR(Tabela8[[#This Row],[Periodo]])</f>
        <v>2024</v>
      </c>
      <c r="F265" s="4">
        <f>(INDEX(TBBP[],MATCH(A265,planoContas,)+1,MATCH(Tabela8[[#This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411917.68000000011</v>
      </c>
      <c r="G265" s="4">
        <f>(INDEX(TBBP[],MATCH("3.1",planoContas,)+1,MATCH(Tabela8[[#This Row],[Periodo]],listaPeriodos,)))</f>
        <v>10391320.409999998</v>
      </c>
      <c r="H265" s="33">
        <f>Tabela8[[#This Row],[Valor]]/Tabela8[[#This Row],[Faturamento]]</f>
        <v>3.9640552282806586E-2</v>
      </c>
    </row>
    <row r="266" spans="1:8" x14ac:dyDescent="0.3">
      <c r="A266" s="2" t="s">
        <v>425</v>
      </c>
      <c r="B266" t="s">
        <v>1156</v>
      </c>
      <c r="C266" s="252">
        <v>45566</v>
      </c>
      <c r="D266">
        <f>MONTH(Tabela8[[#This Row],[Periodo]])</f>
        <v>10</v>
      </c>
      <c r="E266">
        <f>YEAR(Tabela8[[#This Row],[Periodo]])</f>
        <v>2024</v>
      </c>
      <c r="F266" s="4">
        <f>(INDEX(TBBP[],MATCH(A266,planoContas,)+1,MATCH(Tabela8[[#This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423081.56999999995</v>
      </c>
      <c r="G266" s="4">
        <f>(INDEX(TBBP[],MATCH("3.1",planoContas,)+1,MATCH(Tabela8[[#This Row],[Periodo]],listaPeriodos,)))</f>
        <v>10922850.24</v>
      </c>
      <c r="H266" s="33">
        <f>Tabela8[[#This Row],[Valor]]/Tabela8[[#This Row],[Faturamento]]</f>
        <v>3.8733623615075763E-2</v>
      </c>
    </row>
    <row r="267" spans="1:8" x14ac:dyDescent="0.3">
      <c r="A267" s="2" t="s">
        <v>425</v>
      </c>
      <c r="B267" t="s">
        <v>1156</v>
      </c>
      <c r="C267" s="252">
        <v>45597</v>
      </c>
      <c r="D267">
        <f>MONTH(Tabela8[[#This Row],[Periodo]])</f>
        <v>11</v>
      </c>
      <c r="E267">
        <f>YEAR(Tabela8[[#This Row],[Periodo]])</f>
        <v>2024</v>
      </c>
      <c r="F267" s="4">
        <f>(INDEX(TBBP[],MATCH(A267,planoContas,)+1,MATCH(Tabela8[[#This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396385.22000000009</v>
      </c>
      <c r="G267" s="4">
        <f>(INDEX(TBBP[],MATCH("3.1",planoContas,)+1,MATCH(Tabela8[[#This Row],[Periodo]],listaPeriodos,)))</f>
        <v>8432311.2100000028</v>
      </c>
      <c r="H267" s="33">
        <f>Tabela8[[#This Row],[Valor]]/Tabela8[[#This Row],[Faturamento]]</f>
        <v>4.7007897375742132E-2</v>
      </c>
    </row>
    <row r="268" spans="1:8" x14ac:dyDescent="0.3">
      <c r="A268" s="2" t="s">
        <v>425</v>
      </c>
      <c r="B268" t="s">
        <v>1156</v>
      </c>
      <c r="C268" s="252">
        <v>45627</v>
      </c>
      <c r="D268">
        <f>MONTH(Tabela8[[#This Row],[Periodo]])</f>
        <v>12</v>
      </c>
      <c r="E268">
        <f>YEAR(Tabela8[[#This Row],[Periodo]])</f>
        <v>2024</v>
      </c>
      <c r="F268" s="4">
        <f>(INDEX(TBBP[],MATCH(A268,planoContas,)+1,MATCH(Tabela8[[#This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578579.88</v>
      </c>
      <c r="G268" s="4">
        <f>(INDEX(TBBP[],MATCH("3.1",planoContas,)+1,MATCH(Tabela8[[#This Row],[Periodo]],listaPeriodos,)))</f>
        <v>12856176.879999999</v>
      </c>
      <c r="H268" s="33">
        <f>Tabela8[[#This Row],[Valor]]/Tabela8[[#This Row],[Faturamento]]</f>
        <v>4.5004038556756387E-2</v>
      </c>
    </row>
    <row r="269" spans="1:8" x14ac:dyDescent="0.3">
      <c r="A269" s="2" t="s">
        <v>425</v>
      </c>
      <c r="B269" t="s">
        <v>1156</v>
      </c>
      <c r="C269" s="252">
        <v>45658</v>
      </c>
      <c r="D269">
        <f>MONTH(Tabela8[[#This Row],[Periodo]])</f>
        <v>1</v>
      </c>
      <c r="E269">
        <f>YEAR(Tabela8[[#This Row],[Periodo]])</f>
        <v>2025</v>
      </c>
      <c r="F269" s="4">
        <f>(INDEX(TBBP[],MATCH(A269,planoContas,)+1,MATCH(Tabela8[[#This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559326.02</v>
      </c>
      <c r="G269" s="4">
        <f>(INDEX(TBBP[],MATCH("3.1",planoContas,)+1,MATCH(Tabela8[[#This Row],[Periodo]],listaPeriodos,)))</f>
        <v>8076456.3199999984</v>
      </c>
      <c r="H269" s="33">
        <f>Tabela8[[#This Row],[Valor]]/Tabela8[[#This Row],[Faturamento]]</f>
        <v>6.9253890300244966E-2</v>
      </c>
    </row>
    <row r="270" spans="1:8" x14ac:dyDescent="0.3">
      <c r="A270" s="2" t="s">
        <v>425</v>
      </c>
      <c r="B270" t="s">
        <v>1156</v>
      </c>
      <c r="C270" s="252">
        <v>45689</v>
      </c>
      <c r="D270">
        <f>MONTH(Tabela8[[#This Row],[Periodo]])</f>
        <v>2</v>
      </c>
      <c r="E270">
        <f>YEAR(Tabela8[[#This Row],[Periodo]])</f>
        <v>2025</v>
      </c>
      <c r="F270" s="4">
        <f>(INDEX(TBBP[],MATCH(A270,planoContas,)+1,MATCH(Tabela8[[#This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634181.66999999993</v>
      </c>
      <c r="G270" s="4">
        <f>(INDEX(TBBP[],MATCH("3.1",planoContas,)+1,MATCH(Tabela8[[#This Row],[Periodo]],listaPeriodos,)))</f>
        <v>9308880.3099999987</v>
      </c>
      <c r="H270" s="33">
        <f>Tabela8[[#This Row],[Valor]]/Tabela8[[#This Row],[Faturamento]]</f>
        <v>6.8126525304953681E-2</v>
      </c>
    </row>
    <row r="271" spans="1:8" x14ac:dyDescent="0.3">
      <c r="A271" s="2" t="s">
        <v>425</v>
      </c>
      <c r="B271" t="s">
        <v>1156</v>
      </c>
      <c r="C271" s="252">
        <v>45717</v>
      </c>
      <c r="D271">
        <f>MONTH(Tabela8[[#This Row],[Periodo]])</f>
        <v>3</v>
      </c>
      <c r="E271">
        <f>YEAR(Tabela8[[#This Row],[Periodo]])</f>
        <v>2025</v>
      </c>
      <c r="F271" s="4">
        <f>(INDEX(TBBP[],MATCH(A271,planoContas,)+1,MATCH(Tabela8[[#This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473343.4</v>
      </c>
      <c r="G271" s="4">
        <f>(INDEX(TBBP[],MATCH("3.1",planoContas,)+1,MATCH(Tabela8[[#This Row],[Periodo]],listaPeriodos,)))</f>
        <v>9248184.4199999981</v>
      </c>
      <c r="H271" s="33">
        <f>Tabela8[[#This Row],[Valor]]/Tabela8[[#This Row],[Faturamento]]</f>
        <v>5.1182305467044324E-2</v>
      </c>
    </row>
    <row r="272" spans="1:8" x14ac:dyDescent="0.3">
      <c r="A272" s="2" t="s">
        <v>425</v>
      </c>
      <c r="B272" t="s">
        <v>1156</v>
      </c>
      <c r="C272" s="252">
        <v>45748</v>
      </c>
      <c r="D272">
        <f>MONTH(Tabela8[[#This Row],[Periodo]])</f>
        <v>4</v>
      </c>
      <c r="E272">
        <f>YEAR(Tabela8[[#This Row],[Periodo]])</f>
        <v>2025</v>
      </c>
      <c r="F272" s="4">
        <f>(INDEX(TBBP[],MATCH(A272,planoContas,)+1,MATCH(Tabela8[[#This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526119.10000000009</v>
      </c>
      <c r="G272" s="4">
        <f>(INDEX(TBBP[],MATCH("3.1",planoContas,)+1,MATCH(Tabela8[[#This Row],[Periodo]],listaPeriodos,)))</f>
        <v>13159013.07</v>
      </c>
      <c r="H272" s="33">
        <f>Tabela8[[#This Row],[Valor]]/Tabela8[[#This Row],[Faturamento]]</f>
        <v>3.9981653426536194E-2</v>
      </c>
    </row>
    <row r="273" spans="1:8" x14ac:dyDescent="0.3">
      <c r="A273" s="2" t="s">
        <v>425</v>
      </c>
      <c r="B273" t="s">
        <v>1156</v>
      </c>
      <c r="C273" s="252">
        <v>45778</v>
      </c>
      <c r="D273">
        <f>MONTH(Tabela8[[#This Row],[Periodo]])</f>
        <v>5</v>
      </c>
      <c r="E273">
        <f>YEAR(Tabela8[[#This Row],[Periodo]])</f>
        <v>2025</v>
      </c>
      <c r="F273" s="4">
        <f>(INDEX(TBBP[],MATCH(A273,planoContas,)+1,MATCH(Tabela8[[#This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465241.57000000007</v>
      </c>
      <c r="G273" s="4">
        <f>(INDEX(TBBP[],MATCH("3.1",planoContas,)+1,MATCH(Tabela8[[#This Row],[Periodo]],listaPeriodos,)))</f>
        <v>13959973</v>
      </c>
      <c r="H273" s="33">
        <f>Tabela8[[#This Row],[Valor]]/Tabela8[[#This Row],[Faturamento]]</f>
        <v>3.3326824485978596E-2</v>
      </c>
    </row>
    <row r="274" spans="1:8" x14ac:dyDescent="0.3">
      <c r="A274" s="2" t="s">
        <v>425</v>
      </c>
      <c r="B274" t="s">
        <v>1156</v>
      </c>
      <c r="C274" s="252">
        <v>45809</v>
      </c>
      <c r="D274">
        <f>MONTH(Tabela8[[#This Row],[Periodo]])</f>
        <v>6</v>
      </c>
      <c r="E274">
        <f>YEAR(Tabela8[[#This Row],[Periodo]])</f>
        <v>2025</v>
      </c>
      <c r="F274" s="4">
        <f>(INDEX(TBBP[],MATCH(A274,planoContas,)+1,MATCH(Tabela8[[#This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552749.29</v>
      </c>
      <c r="G274" s="4">
        <f>(INDEX(TBBP[],MATCH("3.1",planoContas,)+1,MATCH(Tabela8[[#This Row],[Periodo]],listaPeriodos,)))</f>
        <v>7586097.6900000004</v>
      </c>
      <c r="H274" s="33">
        <f>Tabela8[[#This Row],[Valor]]/Tabela8[[#This Row],[Faturamento]]</f>
        <v>7.2863455308337849E-2</v>
      </c>
    </row>
    <row r="275" spans="1:8" x14ac:dyDescent="0.3">
      <c r="A275" s="2" t="s">
        <v>425</v>
      </c>
      <c r="B275" t="s">
        <v>1156</v>
      </c>
      <c r="C275" s="252">
        <v>45839</v>
      </c>
      <c r="D275">
        <f>MONTH(Tabela8[[#This Row],[Periodo]])</f>
        <v>7</v>
      </c>
      <c r="E275">
        <f>YEAR(Tabela8[[#This Row],[Periodo]])</f>
        <v>2025</v>
      </c>
      <c r="F275" s="4">
        <f>(INDEX(TBBP[],MATCH(A275,planoContas,)+1,MATCH(Tabela8[[#This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538874.53</v>
      </c>
      <c r="G275" s="32">
        <f>(INDEX(TBBP[],MATCH("3.1",planoContas,)+1,MATCH(Tabela8[[#This Row],[Periodo]],listaPeriodos,)))</f>
        <v>8540811.4299999978</v>
      </c>
      <c r="H275" s="254">
        <f>Tabela8[[#This Row],[Valor]]/Tabela8[[#This Row],[Faturamento]]</f>
        <v>6.3094067164061032E-2</v>
      </c>
    </row>
    <row r="276" spans="1:8" x14ac:dyDescent="0.3">
      <c r="A276" s="2" t="s">
        <v>425</v>
      </c>
      <c r="B276" t="s">
        <v>1156</v>
      </c>
      <c r="C276" s="252">
        <v>45870</v>
      </c>
      <c r="D276">
        <f>MONTH(Tabela8[[#This Row],[Periodo]])</f>
        <v>8</v>
      </c>
      <c r="E276">
        <f>YEAR(Tabela8[[#This Row],[Periodo]])</f>
        <v>2025</v>
      </c>
      <c r="F276" s="4">
        <f>(INDEX(TBBP[],MATCH(A276,planoContas,)+1,MATCH(Tabela8[[#This Row],[Periodo]],listaPeriodos,))-INDEX(TBBP[],MATCH("4.2.1.2.20",planoContas,)+1,MATCH(Tabela8[[#This Row],[Periodo]],listaPeriodos,))-INDEX(TBBP[],MATCH("4.2.1.2.25",planoContas,)+1,MATCH(Tabela8[[#This Row],[Periodo]],listaPeriodos,)))*-1</f>
        <v>534953.61999999988</v>
      </c>
      <c r="G276" s="32">
        <f>(INDEX(TBBP[],MATCH("3.1",planoContas,)+1,MATCH(Tabela8[[#This Row],[Periodo]],listaPeriodos,)))</f>
        <v>8935630.6800000016</v>
      </c>
      <c r="H276" s="254">
        <f>Tabela8[[#This Row],[Valor]]/Tabela8[[#This Row],[Faturamento]]</f>
        <v>5.9867472051788044E-2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2DAC2-84BE-4E18-980D-2AFEB9D21E95}">
  <dimension ref="A1:C280"/>
  <sheetViews>
    <sheetView workbookViewId="0">
      <selection activeCell="I19" sqref="I19"/>
    </sheetView>
  </sheetViews>
  <sheetFormatPr defaultRowHeight="14.4" x14ac:dyDescent="0.3"/>
  <cols>
    <col min="1" max="1" width="24.5546875" bestFit="1" customWidth="1"/>
    <col min="2" max="2" width="16.44140625" style="4" bestFit="1" customWidth="1"/>
    <col min="3" max="3" width="17.5546875" style="4" bestFit="1" customWidth="1"/>
    <col min="4" max="4" width="12" bestFit="1" customWidth="1"/>
  </cols>
  <sheetData>
    <row r="1" spans="1:3" x14ac:dyDescent="0.3">
      <c r="A1" s="15" t="s">
        <v>1150</v>
      </c>
      <c r="B1" t="s">
        <v>1158</v>
      </c>
      <c r="C1" t="s">
        <v>1159</v>
      </c>
    </row>
    <row r="2" spans="1:3" x14ac:dyDescent="0.3">
      <c r="A2" s="7" t="s">
        <v>546</v>
      </c>
      <c r="B2" s="9">
        <v>16545700.16</v>
      </c>
      <c r="C2" s="9">
        <v>199399518.69</v>
      </c>
    </row>
    <row r="3" spans="1:3" x14ac:dyDescent="0.3">
      <c r="A3" s="253">
        <v>45292</v>
      </c>
      <c r="B3">
        <v>627478.37</v>
      </c>
      <c r="C3">
        <v>7481410.8899999997</v>
      </c>
    </row>
    <row r="4" spans="1:3" x14ac:dyDescent="0.3">
      <c r="A4" s="253">
        <v>45323</v>
      </c>
      <c r="B4">
        <v>859391.47</v>
      </c>
      <c r="C4">
        <v>8407937.3199999984</v>
      </c>
    </row>
    <row r="5" spans="1:3" x14ac:dyDescent="0.3">
      <c r="A5" s="253">
        <v>45352</v>
      </c>
      <c r="B5">
        <v>520725.27</v>
      </c>
      <c r="C5">
        <v>7671402.7999999998</v>
      </c>
    </row>
    <row r="6" spans="1:3" x14ac:dyDescent="0.3">
      <c r="A6" s="253">
        <v>45383</v>
      </c>
      <c r="B6">
        <v>685851.9</v>
      </c>
      <c r="C6">
        <v>10589146.889999999</v>
      </c>
    </row>
    <row r="7" spans="1:3" x14ac:dyDescent="0.3">
      <c r="A7" s="253">
        <v>45413</v>
      </c>
      <c r="B7">
        <v>1060078.29</v>
      </c>
      <c r="C7">
        <v>11809586.859999999</v>
      </c>
    </row>
    <row r="8" spans="1:3" x14ac:dyDescent="0.3">
      <c r="A8" s="253">
        <v>45444</v>
      </c>
      <c r="B8">
        <v>640447.78</v>
      </c>
      <c r="C8">
        <v>10610189.169999998</v>
      </c>
    </row>
    <row r="9" spans="1:3" x14ac:dyDescent="0.3">
      <c r="A9" s="253">
        <v>45474</v>
      </c>
      <c r="B9">
        <v>859830.96</v>
      </c>
      <c r="C9">
        <v>11950053.750000002</v>
      </c>
    </row>
    <row r="10" spans="1:3" x14ac:dyDescent="0.3">
      <c r="A10" s="253">
        <v>45505</v>
      </c>
      <c r="B10">
        <v>1071337.53</v>
      </c>
      <c r="C10">
        <v>9379852.1500000004</v>
      </c>
    </row>
    <row r="11" spans="1:3" x14ac:dyDescent="0.3">
      <c r="A11" s="253">
        <v>45536</v>
      </c>
      <c r="B11">
        <v>867341.60000000009</v>
      </c>
      <c r="C11">
        <v>10391320.409999998</v>
      </c>
    </row>
    <row r="12" spans="1:3" x14ac:dyDescent="0.3">
      <c r="A12" s="253">
        <v>45566</v>
      </c>
      <c r="B12">
        <v>890390.29</v>
      </c>
      <c r="C12">
        <v>10922850.24</v>
      </c>
    </row>
    <row r="13" spans="1:3" x14ac:dyDescent="0.3">
      <c r="A13" s="253">
        <v>45597</v>
      </c>
      <c r="B13">
        <v>932718.02</v>
      </c>
      <c r="C13">
        <v>8432311.2100000028</v>
      </c>
    </row>
    <row r="14" spans="1:3" x14ac:dyDescent="0.3">
      <c r="A14" s="253">
        <v>45627</v>
      </c>
      <c r="B14">
        <v>688740.6</v>
      </c>
      <c r="C14">
        <v>12856176.879999999</v>
      </c>
    </row>
    <row r="15" spans="1:3" x14ac:dyDescent="0.3">
      <c r="A15" s="253">
        <v>45658</v>
      </c>
      <c r="B15" s="9">
        <v>689982.46</v>
      </c>
      <c r="C15" s="9">
        <v>8086735.4699999988</v>
      </c>
    </row>
    <row r="16" spans="1:3" x14ac:dyDescent="0.3">
      <c r="A16" s="253">
        <v>45689</v>
      </c>
      <c r="B16" s="9">
        <v>853253.07000000007</v>
      </c>
      <c r="C16" s="9">
        <v>9319159.459999999</v>
      </c>
    </row>
    <row r="17" spans="1:3" x14ac:dyDescent="0.3">
      <c r="A17" s="253">
        <v>45717</v>
      </c>
      <c r="B17" s="9">
        <v>834594.84</v>
      </c>
      <c r="C17" s="9">
        <v>9258463.5699999984</v>
      </c>
    </row>
    <row r="18" spans="1:3" x14ac:dyDescent="0.3">
      <c r="A18" s="253">
        <v>45748</v>
      </c>
      <c r="B18" s="9">
        <v>691158.21000000008</v>
      </c>
      <c r="C18" s="9">
        <v>13169292.220000001</v>
      </c>
    </row>
    <row r="19" spans="1:3" x14ac:dyDescent="0.3">
      <c r="A19" s="253">
        <v>45778</v>
      </c>
      <c r="B19" s="9">
        <v>850821.51</v>
      </c>
      <c r="C19" s="9">
        <v>13970252.15</v>
      </c>
    </row>
    <row r="20" spans="1:3" x14ac:dyDescent="0.3">
      <c r="A20" s="253">
        <v>45809</v>
      </c>
      <c r="B20" s="9">
        <v>1115937.8199999998</v>
      </c>
      <c r="C20" s="9">
        <v>7596376.8400000008</v>
      </c>
    </row>
    <row r="21" spans="1:3" x14ac:dyDescent="0.3">
      <c r="A21" s="253">
        <v>45839</v>
      </c>
      <c r="B21" s="9">
        <v>784905.47</v>
      </c>
      <c r="C21" s="9">
        <v>8551090.5799999963</v>
      </c>
    </row>
    <row r="22" spans="1:3" x14ac:dyDescent="0.3">
      <c r="A22" s="253">
        <v>45870</v>
      </c>
      <c r="B22" s="9">
        <v>1020714.7000000001</v>
      </c>
      <c r="C22" s="9">
        <v>8945909.8300000019</v>
      </c>
    </row>
    <row r="23" spans="1:3" x14ac:dyDescent="0.3">
      <c r="A23" s="7" t="s">
        <v>1152</v>
      </c>
      <c r="B23">
        <v>16545700.16</v>
      </c>
      <c r="C23">
        <v>199399518.69</v>
      </c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  <row r="82" spans="2:3" x14ac:dyDescent="0.3">
      <c r="B82"/>
      <c r="C82"/>
    </row>
    <row r="83" spans="2:3" x14ac:dyDescent="0.3">
      <c r="B83"/>
      <c r="C83"/>
    </row>
    <row r="84" spans="2:3" x14ac:dyDescent="0.3">
      <c r="B84"/>
      <c r="C84"/>
    </row>
    <row r="85" spans="2:3" x14ac:dyDescent="0.3">
      <c r="B85"/>
      <c r="C85"/>
    </row>
    <row r="86" spans="2:3" x14ac:dyDescent="0.3">
      <c r="B86"/>
      <c r="C86"/>
    </row>
    <row r="87" spans="2:3" x14ac:dyDescent="0.3">
      <c r="B87"/>
      <c r="C87"/>
    </row>
    <row r="88" spans="2:3" x14ac:dyDescent="0.3">
      <c r="B88"/>
      <c r="C88"/>
    </row>
    <row r="89" spans="2:3" x14ac:dyDescent="0.3">
      <c r="B89"/>
      <c r="C89"/>
    </row>
    <row r="90" spans="2:3" x14ac:dyDescent="0.3">
      <c r="B90"/>
      <c r="C90"/>
    </row>
    <row r="91" spans="2:3" x14ac:dyDescent="0.3">
      <c r="B91"/>
      <c r="C91"/>
    </row>
    <row r="92" spans="2:3" x14ac:dyDescent="0.3">
      <c r="B92"/>
      <c r="C92"/>
    </row>
    <row r="93" spans="2:3" x14ac:dyDescent="0.3">
      <c r="B93"/>
      <c r="C93"/>
    </row>
    <row r="94" spans="2:3" x14ac:dyDescent="0.3">
      <c r="B94"/>
      <c r="C94"/>
    </row>
    <row r="95" spans="2:3" x14ac:dyDescent="0.3">
      <c r="B95"/>
      <c r="C95"/>
    </row>
    <row r="96" spans="2:3" x14ac:dyDescent="0.3">
      <c r="B96"/>
      <c r="C96"/>
    </row>
    <row r="97" spans="2:3" x14ac:dyDescent="0.3">
      <c r="B97"/>
      <c r="C97"/>
    </row>
    <row r="98" spans="2:3" x14ac:dyDescent="0.3">
      <c r="B98"/>
      <c r="C98"/>
    </row>
    <row r="99" spans="2:3" x14ac:dyDescent="0.3">
      <c r="B99"/>
      <c r="C99"/>
    </row>
    <row r="100" spans="2:3" x14ac:dyDescent="0.3">
      <c r="B100"/>
      <c r="C100"/>
    </row>
    <row r="101" spans="2:3" x14ac:dyDescent="0.3">
      <c r="B101"/>
      <c r="C101"/>
    </row>
    <row r="102" spans="2:3" x14ac:dyDescent="0.3">
      <c r="B102"/>
      <c r="C102"/>
    </row>
    <row r="103" spans="2:3" x14ac:dyDescent="0.3">
      <c r="B103"/>
      <c r="C103"/>
    </row>
    <row r="104" spans="2:3" x14ac:dyDescent="0.3">
      <c r="B104"/>
      <c r="C104"/>
    </row>
    <row r="105" spans="2:3" x14ac:dyDescent="0.3">
      <c r="B105"/>
      <c r="C105"/>
    </row>
    <row r="106" spans="2:3" x14ac:dyDescent="0.3">
      <c r="B106"/>
      <c r="C106"/>
    </row>
    <row r="107" spans="2:3" x14ac:dyDescent="0.3">
      <c r="B107"/>
      <c r="C107"/>
    </row>
    <row r="108" spans="2:3" x14ac:dyDescent="0.3">
      <c r="B108"/>
      <c r="C108"/>
    </row>
    <row r="109" spans="2:3" x14ac:dyDescent="0.3">
      <c r="B109"/>
      <c r="C109"/>
    </row>
    <row r="110" spans="2:3" x14ac:dyDescent="0.3">
      <c r="B110"/>
      <c r="C110"/>
    </row>
    <row r="111" spans="2:3" x14ac:dyDescent="0.3">
      <c r="B111"/>
      <c r="C111"/>
    </row>
    <row r="112" spans="2:3" x14ac:dyDescent="0.3">
      <c r="B112"/>
      <c r="C112"/>
    </row>
    <row r="113" spans="2:3" x14ac:dyDescent="0.3">
      <c r="B113"/>
      <c r="C113"/>
    </row>
    <row r="114" spans="2:3" x14ac:dyDescent="0.3">
      <c r="B114"/>
      <c r="C114"/>
    </row>
    <row r="115" spans="2:3" x14ac:dyDescent="0.3">
      <c r="B115"/>
      <c r="C115"/>
    </row>
    <row r="116" spans="2:3" x14ac:dyDescent="0.3">
      <c r="B116"/>
      <c r="C116"/>
    </row>
    <row r="117" spans="2:3" x14ac:dyDescent="0.3">
      <c r="B117"/>
      <c r="C117"/>
    </row>
    <row r="118" spans="2:3" x14ac:dyDescent="0.3">
      <c r="B118"/>
      <c r="C118"/>
    </row>
    <row r="119" spans="2:3" x14ac:dyDescent="0.3">
      <c r="B119"/>
      <c r="C119"/>
    </row>
    <row r="120" spans="2:3" x14ac:dyDescent="0.3">
      <c r="B120"/>
      <c r="C120"/>
    </row>
    <row r="121" spans="2:3" x14ac:dyDescent="0.3">
      <c r="B121"/>
      <c r="C121"/>
    </row>
    <row r="122" spans="2:3" x14ac:dyDescent="0.3">
      <c r="B122"/>
      <c r="C122"/>
    </row>
    <row r="123" spans="2:3" x14ac:dyDescent="0.3">
      <c r="B123"/>
      <c r="C123"/>
    </row>
    <row r="124" spans="2:3" x14ac:dyDescent="0.3">
      <c r="B124"/>
      <c r="C124"/>
    </row>
    <row r="125" spans="2:3" x14ac:dyDescent="0.3">
      <c r="B125"/>
      <c r="C125"/>
    </row>
    <row r="126" spans="2:3" x14ac:dyDescent="0.3">
      <c r="B126"/>
      <c r="C126"/>
    </row>
    <row r="127" spans="2:3" x14ac:dyDescent="0.3">
      <c r="B127"/>
      <c r="C127"/>
    </row>
    <row r="128" spans="2:3" x14ac:dyDescent="0.3">
      <c r="B128"/>
      <c r="C128"/>
    </row>
    <row r="129" spans="2:3" x14ac:dyDescent="0.3">
      <c r="B129"/>
      <c r="C129"/>
    </row>
    <row r="130" spans="2:3" x14ac:dyDescent="0.3">
      <c r="B130"/>
      <c r="C130"/>
    </row>
    <row r="131" spans="2:3" x14ac:dyDescent="0.3">
      <c r="B131"/>
      <c r="C131"/>
    </row>
    <row r="132" spans="2:3" x14ac:dyDescent="0.3">
      <c r="B132"/>
      <c r="C132"/>
    </row>
    <row r="133" spans="2:3" x14ac:dyDescent="0.3">
      <c r="B133"/>
      <c r="C133"/>
    </row>
    <row r="134" spans="2:3" x14ac:dyDescent="0.3">
      <c r="B134"/>
      <c r="C134"/>
    </row>
    <row r="135" spans="2:3" x14ac:dyDescent="0.3">
      <c r="B135"/>
      <c r="C135"/>
    </row>
    <row r="136" spans="2:3" x14ac:dyDescent="0.3">
      <c r="B136"/>
      <c r="C136"/>
    </row>
    <row r="137" spans="2:3" x14ac:dyDescent="0.3">
      <c r="B137"/>
      <c r="C137"/>
    </row>
    <row r="138" spans="2:3" x14ac:dyDescent="0.3">
      <c r="B138"/>
      <c r="C138"/>
    </row>
    <row r="139" spans="2:3" x14ac:dyDescent="0.3">
      <c r="B139"/>
      <c r="C139"/>
    </row>
    <row r="140" spans="2:3" x14ac:dyDescent="0.3">
      <c r="B140"/>
      <c r="C140"/>
    </row>
    <row r="141" spans="2:3" x14ac:dyDescent="0.3">
      <c r="B141"/>
      <c r="C141"/>
    </row>
    <row r="142" spans="2:3" x14ac:dyDescent="0.3">
      <c r="B142"/>
      <c r="C142"/>
    </row>
    <row r="143" spans="2:3" x14ac:dyDescent="0.3">
      <c r="B143"/>
      <c r="C143"/>
    </row>
    <row r="144" spans="2:3" x14ac:dyDescent="0.3">
      <c r="B144"/>
      <c r="C144"/>
    </row>
    <row r="145" spans="2:3" x14ac:dyDescent="0.3">
      <c r="B145"/>
      <c r="C145"/>
    </row>
    <row r="146" spans="2:3" x14ac:dyDescent="0.3">
      <c r="B146"/>
      <c r="C146"/>
    </row>
    <row r="147" spans="2:3" x14ac:dyDescent="0.3">
      <c r="B147"/>
      <c r="C147"/>
    </row>
    <row r="148" spans="2:3" x14ac:dyDescent="0.3">
      <c r="B148"/>
      <c r="C148"/>
    </row>
    <row r="149" spans="2:3" x14ac:dyDescent="0.3">
      <c r="B149"/>
      <c r="C149"/>
    </row>
    <row r="150" spans="2:3" x14ac:dyDescent="0.3">
      <c r="B150"/>
      <c r="C150"/>
    </row>
    <row r="151" spans="2:3" x14ac:dyDescent="0.3">
      <c r="B151"/>
      <c r="C151"/>
    </row>
    <row r="152" spans="2:3" x14ac:dyDescent="0.3">
      <c r="B152"/>
      <c r="C152"/>
    </row>
    <row r="153" spans="2:3" x14ac:dyDescent="0.3">
      <c r="B153"/>
      <c r="C153"/>
    </row>
    <row r="154" spans="2:3" x14ac:dyDescent="0.3">
      <c r="B154"/>
      <c r="C154"/>
    </row>
    <row r="155" spans="2:3" x14ac:dyDescent="0.3">
      <c r="B155"/>
      <c r="C155"/>
    </row>
    <row r="156" spans="2:3" x14ac:dyDescent="0.3">
      <c r="B156"/>
      <c r="C156"/>
    </row>
    <row r="157" spans="2:3" x14ac:dyDescent="0.3">
      <c r="B157"/>
      <c r="C157"/>
    </row>
    <row r="158" spans="2:3" x14ac:dyDescent="0.3">
      <c r="B158"/>
      <c r="C158"/>
    </row>
    <row r="159" spans="2:3" x14ac:dyDescent="0.3">
      <c r="B159"/>
      <c r="C159"/>
    </row>
    <row r="160" spans="2:3" x14ac:dyDescent="0.3">
      <c r="B160"/>
      <c r="C160"/>
    </row>
    <row r="161" spans="2:3" x14ac:dyDescent="0.3">
      <c r="B161"/>
      <c r="C161"/>
    </row>
    <row r="162" spans="2:3" x14ac:dyDescent="0.3">
      <c r="B162"/>
      <c r="C162"/>
    </row>
    <row r="163" spans="2:3" x14ac:dyDescent="0.3">
      <c r="B163"/>
      <c r="C163"/>
    </row>
    <row r="164" spans="2:3" x14ac:dyDescent="0.3">
      <c r="B164"/>
      <c r="C164"/>
    </row>
    <row r="165" spans="2:3" x14ac:dyDescent="0.3">
      <c r="B165"/>
      <c r="C165"/>
    </row>
    <row r="166" spans="2:3" x14ac:dyDescent="0.3">
      <c r="B166"/>
      <c r="C166"/>
    </row>
    <row r="167" spans="2:3" x14ac:dyDescent="0.3">
      <c r="B167"/>
      <c r="C167"/>
    </row>
    <row r="168" spans="2:3" x14ac:dyDescent="0.3">
      <c r="B168"/>
      <c r="C168"/>
    </row>
    <row r="169" spans="2:3" x14ac:dyDescent="0.3">
      <c r="B169"/>
      <c r="C169"/>
    </row>
    <row r="170" spans="2:3" x14ac:dyDescent="0.3">
      <c r="B170"/>
      <c r="C170"/>
    </row>
    <row r="171" spans="2:3" x14ac:dyDescent="0.3">
      <c r="B171"/>
      <c r="C171"/>
    </row>
    <row r="172" spans="2:3" x14ac:dyDescent="0.3">
      <c r="B172"/>
      <c r="C172"/>
    </row>
    <row r="173" spans="2:3" x14ac:dyDescent="0.3">
      <c r="B173"/>
      <c r="C173"/>
    </row>
    <row r="174" spans="2:3" x14ac:dyDescent="0.3">
      <c r="B174"/>
      <c r="C174"/>
    </row>
    <row r="175" spans="2:3" x14ac:dyDescent="0.3">
      <c r="B175"/>
      <c r="C175"/>
    </row>
    <row r="176" spans="2:3" x14ac:dyDescent="0.3">
      <c r="B176"/>
      <c r="C176"/>
    </row>
    <row r="177" spans="2:3" x14ac:dyDescent="0.3">
      <c r="B177"/>
      <c r="C177"/>
    </row>
    <row r="178" spans="2:3" x14ac:dyDescent="0.3">
      <c r="B178"/>
      <c r="C178"/>
    </row>
    <row r="179" spans="2:3" x14ac:dyDescent="0.3">
      <c r="B179"/>
      <c r="C179"/>
    </row>
    <row r="180" spans="2:3" x14ac:dyDescent="0.3">
      <c r="B180"/>
      <c r="C180"/>
    </row>
    <row r="181" spans="2:3" x14ac:dyDescent="0.3">
      <c r="B181"/>
      <c r="C181"/>
    </row>
    <row r="182" spans="2:3" x14ac:dyDescent="0.3">
      <c r="B182"/>
      <c r="C182"/>
    </row>
    <row r="183" spans="2:3" x14ac:dyDescent="0.3">
      <c r="B183"/>
      <c r="C183"/>
    </row>
    <row r="184" spans="2:3" x14ac:dyDescent="0.3">
      <c r="B184"/>
      <c r="C184"/>
    </row>
    <row r="185" spans="2:3" x14ac:dyDescent="0.3">
      <c r="B185"/>
      <c r="C185"/>
    </row>
    <row r="186" spans="2:3" x14ac:dyDescent="0.3">
      <c r="B186"/>
      <c r="C186"/>
    </row>
    <row r="187" spans="2:3" x14ac:dyDescent="0.3">
      <c r="B187"/>
      <c r="C187"/>
    </row>
    <row r="188" spans="2:3" x14ac:dyDescent="0.3">
      <c r="B188"/>
      <c r="C188"/>
    </row>
    <row r="189" spans="2:3" x14ac:dyDescent="0.3">
      <c r="B189"/>
      <c r="C189"/>
    </row>
    <row r="190" spans="2:3" x14ac:dyDescent="0.3">
      <c r="B190"/>
      <c r="C190"/>
    </row>
    <row r="191" spans="2:3" x14ac:dyDescent="0.3">
      <c r="B191"/>
      <c r="C191"/>
    </row>
    <row r="192" spans="2:3" x14ac:dyDescent="0.3">
      <c r="B192"/>
      <c r="C192"/>
    </row>
    <row r="193" spans="2:3" x14ac:dyDescent="0.3">
      <c r="B193"/>
      <c r="C193"/>
    </row>
    <row r="194" spans="2:3" x14ac:dyDescent="0.3">
      <c r="B194"/>
      <c r="C194"/>
    </row>
    <row r="195" spans="2:3" x14ac:dyDescent="0.3">
      <c r="B195"/>
      <c r="C195"/>
    </row>
    <row r="196" spans="2:3" x14ac:dyDescent="0.3">
      <c r="B196"/>
      <c r="C196"/>
    </row>
    <row r="197" spans="2:3" x14ac:dyDescent="0.3">
      <c r="B197"/>
      <c r="C197"/>
    </row>
    <row r="198" spans="2:3" x14ac:dyDescent="0.3">
      <c r="B198"/>
      <c r="C198"/>
    </row>
    <row r="199" spans="2:3" x14ac:dyDescent="0.3">
      <c r="B199"/>
      <c r="C199"/>
    </row>
    <row r="200" spans="2:3" x14ac:dyDescent="0.3">
      <c r="B200"/>
      <c r="C200"/>
    </row>
    <row r="201" spans="2:3" x14ac:dyDescent="0.3">
      <c r="B201"/>
      <c r="C201"/>
    </row>
    <row r="202" spans="2:3" x14ac:dyDescent="0.3">
      <c r="B202"/>
      <c r="C202"/>
    </row>
    <row r="203" spans="2:3" x14ac:dyDescent="0.3">
      <c r="B203"/>
      <c r="C203"/>
    </row>
    <row r="204" spans="2:3" x14ac:dyDescent="0.3">
      <c r="B204"/>
      <c r="C204"/>
    </row>
    <row r="205" spans="2:3" x14ac:dyDescent="0.3">
      <c r="B205"/>
      <c r="C205"/>
    </row>
    <row r="206" spans="2:3" x14ac:dyDescent="0.3">
      <c r="B206"/>
      <c r="C206"/>
    </row>
    <row r="207" spans="2:3" x14ac:dyDescent="0.3">
      <c r="B207"/>
      <c r="C207"/>
    </row>
    <row r="208" spans="2:3" x14ac:dyDescent="0.3">
      <c r="B208"/>
      <c r="C208"/>
    </row>
    <row r="209" spans="2:3" x14ac:dyDescent="0.3">
      <c r="B209"/>
      <c r="C209"/>
    </row>
    <row r="210" spans="2:3" x14ac:dyDescent="0.3">
      <c r="B210"/>
      <c r="C210"/>
    </row>
    <row r="211" spans="2:3" x14ac:dyDescent="0.3">
      <c r="B211"/>
      <c r="C211"/>
    </row>
    <row r="212" spans="2:3" x14ac:dyDescent="0.3">
      <c r="B212"/>
      <c r="C212"/>
    </row>
    <row r="213" spans="2:3" x14ac:dyDescent="0.3">
      <c r="B213"/>
      <c r="C213"/>
    </row>
    <row r="214" spans="2:3" x14ac:dyDescent="0.3">
      <c r="B214"/>
      <c r="C214"/>
    </row>
    <row r="215" spans="2:3" x14ac:dyDescent="0.3">
      <c r="B215"/>
      <c r="C215"/>
    </row>
    <row r="216" spans="2:3" x14ac:dyDescent="0.3">
      <c r="B216"/>
      <c r="C216"/>
    </row>
    <row r="217" spans="2:3" x14ac:dyDescent="0.3">
      <c r="B217"/>
      <c r="C217"/>
    </row>
    <row r="218" spans="2:3" x14ac:dyDescent="0.3">
      <c r="B218"/>
      <c r="C218"/>
    </row>
    <row r="219" spans="2:3" x14ac:dyDescent="0.3">
      <c r="B219"/>
      <c r="C219"/>
    </row>
    <row r="220" spans="2:3" x14ac:dyDescent="0.3">
      <c r="B220"/>
      <c r="C220"/>
    </row>
    <row r="221" spans="2:3" x14ac:dyDescent="0.3">
      <c r="B221"/>
      <c r="C221"/>
    </row>
    <row r="222" spans="2:3" x14ac:dyDescent="0.3">
      <c r="B222"/>
      <c r="C222"/>
    </row>
    <row r="223" spans="2:3" x14ac:dyDescent="0.3">
      <c r="B223"/>
      <c r="C223"/>
    </row>
    <row r="224" spans="2:3" x14ac:dyDescent="0.3">
      <c r="B224"/>
      <c r="C224"/>
    </row>
    <row r="225" spans="2:3" x14ac:dyDescent="0.3">
      <c r="B225"/>
      <c r="C225"/>
    </row>
    <row r="226" spans="2:3" x14ac:dyDescent="0.3">
      <c r="B226"/>
      <c r="C226"/>
    </row>
    <row r="227" spans="2:3" x14ac:dyDescent="0.3">
      <c r="B227"/>
      <c r="C227"/>
    </row>
    <row r="228" spans="2:3" x14ac:dyDescent="0.3">
      <c r="B228"/>
      <c r="C228"/>
    </row>
    <row r="229" spans="2:3" x14ac:dyDescent="0.3">
      <c r="B229"/>
      <c r="C229"/>
    </row>
    <row r="230" spans="2:3" x14ac:dyDescent="0.3">
      <c r="B230"/>
      <c r="C230"/>
    </row>
    <row r="231" spans="2:3" x14ac:dyDescent="0.3">
      <c r="B231"/>
      <c r="C231"/>
    </row>
    <row r="232" spans="2:3" x14ac:dyDescent="0.3">
      <c r="B232"/>
      <c r="C232"/>
    </row>
    <row r="233" spans="2:3" x14ac:dyDescent="0.3">
      <c r="B233"/>
      <c r="C233"/>
    </row>
    <row r="234" spans="2:3" x14ac:dyDescent="0.3">
      <c r="B234"/>
      <c r="C234"/>
    </row>
    <row r="235" spans="2:3" x14ac:dyDescent="0.3">
      <c r="B235"/>
      <c r="C235"/>
    </row>
    <row r="236" spans="2:3" x14ac:dyDescent="0.3">
      <c r="B236"/>
      <c r="C236"/>
    </row>
    <row r="237" spans="2:3" x14ac:dyDescent="0.3">
      <c r="B237"/>
      <c r="C237"/>
    </row>
    <row r="238" spans="2:3" x14ac:dyDescent="0.3">
      <c r="B238"/>
      <c r="C238"/>
    </row>
    <row r="239" spans="2:3" x14ac:dyDescent="0.3">
      <c r="B239"/>
      <c r="C239"/>
    </row>
    <row r="240" spans="2:3" x14ac:dyDescent="0.3">
      <c r="B240"/>
      <c r="C240"/>
    </row>
    <row r="241" spans="2:3" x14ac:dyDescent="0.3">
      <c r="B241"/>
      <c r="C241"/>
    </row>
    <row r="242" spans="2:3" x14ac:dyDescent="0.3">
      <c r="B242"/>
      <c r="C242"/>
    </row>
    <row r="243" spans="2:3" x14ac:dyDescent="0.3">
      <c r="B243"/>
      <c r="C243"/>
    </row>
    <row r="244" spans="2:3" x14ac:dyDescent="0.3">
      <c r="B244"/>
      <c r="C244"/>
    </row>
    <row r="245" spans="2:3" x14ac:dyDescent="0.3">
      <c r="B245"/>
      <c r="C245"/>
    </row>
    <row r="246" spans="2:3" x14ac:dyDescent="0.3">
      <c r="B246"/>
      <c r="C246"/>
    </row>
    <row r="247" spans="2:3" x14ac:dyDescent="0.3">
      <c r="B247"/>
      <c r="C247"/>
    </row>
    <row r="248" spans="2:3" x14ac:dyDescent="0.3">
      <c r="B248"/>
      <c r="C248"/>
    </row>
    <row r="249" spans="2:3" x14ac:dyDescent="0.3">
      <c r="B249"/>
      <c r="C249"/>
    </row>
    <row r="250" spans="2:3" x14ac:dyDescent="0.3">
      <c r="B250"/>
      <c r="C250"/>
    </row>
    <row r="251" spans="2:3" x14ac:dyDescent="0.3">
      <c r="B251"/>
      <c r="C251"/>
    </row>
    <row r="252" spans="2:3" x14ac:dyDescent="0.3">
      <c r="B252"/>
      <c r="C252"/>
    </row>
    <row r="253" spans="2:3" x14ac:dyDescent="0.3">
      <c r="B253"/>
      <c r="C253"/>
    </row>
    <row r="254" spans="2:3" x14ac:dyDescent="0.3">
      <c r="B254"/>
      <c r="C254"/>
    </row>
    <row r="255" spans="2:3" x14ac:dyDescent="0.3">
      <c r="B255"/>
      <c r="C255"/>
    </row>
    <row r="256" spans="2:3" x14ac:dyDescent="0.3">
      <c r="B256"/>
      <c r="C256"/>
    </row>
    <row r="257" spans="2:3" x14ac:dyDescent="0.3">
      <c r="B257"/>
      <c r="C257"/>
    </row>
    <row r="258" spans="2:3" x14ac:dyDescent="0.3">
      <c r="B258"/>
      <c r="C258"/>
    </row>
    <row r="259" spans="2:3" x14ac:dyDescent="0.3">
      <c r="B259"/>
      <c r="C259"/>
    </row>
    <row r="260" spans="2:3" x14ac:dyDescent="0.3">
      <c r="B260"/>
      <c r="C260"/>
    </row>
    <row r="261" spans="2:3" x14ac:dyDescent="0.3">
      <c r="B261"/>
      <c r="C261"/>
    </row>
    <row r="262" spans="2:3" x14ac:dyDescent="0.3">
      <c r="B262"/>
      <c r="C262"/>
    </row>
    <row r="263" spans="2:3" x14ac:dyDescent="0.3">
      <c r="B263"/>
      <c r="C263"/>
    </row>
    <row r="264" spans="2:3" x14ac:dyDescent="0.3">
      <c r="B264"/>
      <c r="C264"/>
    </row>
    <row r="265" spans="2:3" x14ac:dyDescent="0.3">
      <c r="B265"/>
      <c r="C265"/>
    </row>
    <row r="266" spans="2:3" x14ac:dyDescent="0.3">
      <c r="B266"/>
      <c r="C266"/>
    </row>
    <row r="267" spans="2:3" x14ac:dyDescent="0.3">
      <c r="B267"/>
      <c r="C267"/>
    </row>
    <row r="268" spans="2:3" x14ac:dyDescent="0.3">
      <c r="B268"/>
      <c r="C268"/>
    </row>
    <row r="269" spans="2:3" x14ac:dyDescent="0.3">
      <c r="B269"/>
      <c r="C269"/>
    </row>
    <row r="270" spans="2:3" x14ac:dyDescent="0.3">
      <c r="B270"/>
      <c r="C270"/>
    </row>
    <row r="271" spans="2:3" x14ac:dyDescent="0.3">
      <c r="B271"/>
      <c r="C271"/>
    </row>
    <row r="272" spans="2:3" x14ac:dyDescent="0.3">
      <c r="B272"/>
      <c r="C272"/>
    </row>
    <row r="273" spans="2:3" x14ac:dyDescent="0.3">
      <c r="B273"/>
      <c r="C273"/>
    </row>
    <row r="274" spans="2:3" x14ac:dyDescent="0.3">
      <c r="B274"/>
      <c r="C274"/>
    </row>
    <row r="275" spans="2:3" x14ac:dyDescent="0.3">
      <c r="B275"/>
      <c r="C275"/>
    </row>
    <row r="276" spans="2:3" x14ac:dyDescent="0.3">
      <c r="B276"/>
      <c r="C276"/>
    </row>
    <row r="277" spans="2:3" x14ac:dyDescent="0.3">
      <c r="B277"/>
      <c r="C277"/>
    </row>
    <row r="278" spans="2:3" x14ac:dyDescent="0.3">
      <c r="B278"/>
      <c r="C278"/>
    </row>
    <row r="279" spans="2:3" x14ac:dyDescent="0.3">
      <c r="B279"/>
      <c r="C279"/>
    </row>
    <row r="280" spans="2:3" x14ac:dyDescent="0.3">
      <c r="B280"/>
      <c r="C280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93891-1426-4B57-BECA-0FD37E194B97}">
  <sheetPr codeName="Planilha10">
    <pageSetUpPr autoPageBreaks="0"/>
  </sheetPr>
  <dimension ref="A1:T50"/>
  <sheetViews>
    <sheetView topLeftCell="A7" zoomScale="85" zoomScaleNormal="85" workbookViewId="0">
      <selection activeCell="K8" sqref="K8:L39"/>
    </sheetView>
  </sheetViews>
  <sheetFormatPr defaultRowHeight="14.4" x14ac:dyDescent="0.3"/>
  <cols>
    <col min="1" max="1" width="51.5546875" bestFit="1" customWidth="1"/>
    <col min="2" max="2" width="16.88671875" bestFit="1" customWidth="1"/>
    <col min="3" max="3" width="7.6640625" bestFit="1" customWidth="1"/>
    <col min="4" max="4" width="39.44140625" bestFit="1" customWidth="1"/>
    <col min="5" max="5" width="16.88671875" bestFit="1" customWidth="1"/>
    <col min="7" max="7" width="10.6640625" hidden="1" customWidth="1"/>
    <col min="8" max="8" width="9.109375" hidden="1" customWidth="1"/>
    <col min="9" max="9" width="9.109375" customWidth="1"/>
    <col min="10" max="10" width="42.44140625" bestFit="1" customWidth="1"/>
    <col min="11" max="11" width="17.44140625" bestFit="1" customWidth="1"/>
    <col min="12" max="13" width="9.109375" customWidth="1"/>
    <col min="14" max="14" width="19.5546875" bestFit="1" customWidth="1"/>
    <col min="15" max="17" width="9.109375" hidden="1" customWidth="1"/>
  </cols>
  <sheetData>
    <row r="1" spans="1:20" x14ac:dyDescent="0.3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>
        <v>1</v>
      </c>
      <c r="P1" s="48"/>
      <c r="Q1" s="48"/>
      <c r="R1" s="48"/>
      <c r="S1" s="48"/>
      <c r="T1" s="48"/>
    </row>
    <row r="2" spans="1:20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>
        <v>2</v>
      </c>
      <c r="P2" s="48"/>
      <c r="Q2" s="48"/>
      <c r="R2" s="48"/>
      <c r="S2" s="48"/>
      <c r="T2" s="48"/>
    </row>
    <row r="3" spans="1:20" ht="15" thickBot="1" x14ac:dyDescent="0.35">
      <c r="A3" s="275" t="s">
        <v>729</v>
      </c>
      <c r="B3" s="96" t="s">
        <v>629</v>
      </c>
      <c r="C3" s="96" t="s">
        <v>174</v>
      </c>
      <c r="D3" s="48"/>
      <c r="E3" s="48"/>
      <c r="F3" s="48"/>
      <c r="G3" s="97">
        <f>IF(B4="Anual",C4,DATE(C4,H3,1))</f>
        <v>46174</v>
      </c>
      <c r="H3" s="98">
        <f>VLOOKUP(B4,LISTAMES3,2,)</f>
        <v>6</v>
      </c>
      <c r="I3" s="48"/>
      <c r="J3" s="275" t="s">
        <v>729</v>
      </c>
      <c r="K3" s="96" t="s">
        <v>629</v>
      </c>
      <c r="L3" s="96" t="s">
        <v>174</v>
      </c>
      <c r="M3" s="50" t="str">
        <f>IF(K4="TRIMESTRAL",IF(M4=1,"JANEIRO",IF(M4=2,"ABRIL",IF(M4=3,"JULHO",IF(M4=4,"OUTUBRO","")))),"")</f>
        <v/>
      </c>
      <c r="N3" s="48"/>
      <c r="O3" s="48">
        <v>3</v>
      </c>
      <c r="P3" s="97">
        <f>IF(K4="Anual",L4,DATE(L4,Q3,1))</f>
        <v>2026</v>
      </c>
      <c r="Q3" s="98">
        <f>IF(K4="TRIMESTRAL",VLOOKUP(M3,LISTAMES3,2,),VLOOKUP(K4,LISTAMES3,2,))</f>
        <v>13</v>
      </c>
      <c r="R3" s="48"/>
      <c r="S3" s="48"/>
      <c r="T3" s="48"/>
    </row>
    <row r="4" spans="1:20" ht="15.6" thickTop="1" thickBot="1" x14ac:dyDescent="0.35">
      <c r="A4" s="276"/>
      <c r="B4" s="99" t="s">
        <v>180</v>
      </c>
      <c r="C4" s="99">
        <v>2026</v>
      </c>
      <c r="D4" s="48"/>
      <c r="E4" s="48"/>
      <c r="F4" s="48"/>
      <c r="G4" s="48"/>
      <c r="H4" s="48"/>
      <c r="I4" s="48"/>
      <c r="J4" s="276"/>
      <c r="K4" s="99" t="s">
        <v>731</v>
      </c>
      <c r="L4" s="99">
        <v>2026</v>
      </c>
      <c r="M4" s="52">
        <v>4</v>
      </c>
      <c r="N4" s="48" t="str">
        <f>IF(K4="Trimestral","&lt;- Escolher trimestre","")</f>
        <v/>
      </c>
      <c r="O4" s="48">
        <v>4</v>
      </c>
      <c r="P4" s="48"/>
      <c r="Q4" s="48"/>
      <c r="R4" s="48"/>
      <c r="S4" s="48"/>
      <c r="T4" s="48"/>
    </row>
    <row r="5" spans="1:20" ht="15" thickTop="1" x14ac:dyDescent="0.3">
      <c r="A5" s="100"/>
      <c r="B5" s="52"/>
      <c r="C5" s="52"/>
      <c r="D5" s="48"/>
      <c r="E5" s="48"/>
      <c r="F5" s="48"/>
      <c r="G5" s="48">
        <f>MATCH(G3,listaPeriodos,0)-1</f>
        <v>116</v>
      </c>
      <c r="H5" s="48"/>
      <c r="I5" s="48"/>
      <c r="J5" s="48"/>
      <c r="K5" s="48"/>
      <c r="L5" s="48"/>
      <c r="M5" s="48"/>
      <c r="N5" s="48"/>
      <c r="O5" s="48"/>
      <c r="P5" s="48">
        <f>MATCH(P3,listaPeriodos,0)-1</f>
        <v>119</v>
      </c>
      <c r="Q5" s="48"/>
      <c r="R5" s="48"/>
      <c r="S5" s="48"/>
      <c r="T5" s="48"/>
    </row>
    <row r="6" spans="1:20" x14ac:dyDescent="0.3">
      <c r="A6" s="96" t="str">
        <f>IF(B4="Anual","Balanço "&amp;$B$4&amp;" "&amp;$C$4,"Balancete "&amp;$B$4&amp;" "&amp;$C$4)</f>
        <v>Balancete Junho 2026</v>
      </c>
      <c r="B6" s="96" t="s">
        <v>730</v>
      </c>
      <c r="C6" s="96" t="s">
        <v>248</v>
      </c>
      <c r="D6" s="96" t="str">
        <f>IF(B4="Anual","Balanço "&amp;$B$4&amp;" "&amp;$C$4,"Balancete "&amp;$B$4&amp;" "&amp;$C$4)</f>
        <v>Balancete Junho 2026</v>
      </c>
      <c r="E6" s="96" t="s">
        <v>730</v>
      </c>
      <c r="F6" s="96" t="s">
        <v>248</v>
      </c>
      <c r="G6" s="48"/>
      <c r="H6" s="48"/>
      <c r="I6" s="48"/>
      <c r="J6" s="96" t="str">
        <f ca="1">IF(AND(K4="Anual",L4=YEAR(TODAY())),"Demonstração Resultado Acumulado "&amp;$L$4,IF(K4="Anual","Demonstração Resultado Exercicio "&amp;$K$4&amp;" "&amp;$L$4,IF(K4="Trimestral","Demonstração Resultado "&amp;N12,"Demonstração Resultado "&amp;$K$4&amp;" "&amp;$L$4)))</f>
        <v>Demonstração Resultado Acumulado 2026</v>
      </c>
      <c r="K6" s="96" t="s">
        <v>730</v>
      </c>
      <c r="L6" s="96" t="s">
        <v>248</v>
      </c>
      <c r="M6" s="48"/>
      <c r="N6" s="48"/>
      <c r="O6" s="48"/>
      <c r="P6" s="48"/>
      <c r="Q6" s="48"/>
      <c r="R6" s="48"/>
      <c r="S6" s="48"/>
      <c r="T6" s="48"/>
    </row>
    <row r="7" spans="1:20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</row>
    <row r="8" spans="1:20" ht="15" thickBot="1" x14ac:dyDescent="0.35">
      <c r="A8" s="101" t="s">
        <v>623</v>
      </c>
      <c r="B8" s="102">
        <f>VLOOKUP(A8,SELECDB,$G$5,0)</f>
        <v>123527517.17999999</v>
      </c>
      <c r="C8" s="103">
        <f t="shared" ref="C8:C26" si="0">ROUND(B8/$B$48,4)</f>
        <v>0.89070000000000005</v>
      </c>
      <c r="D8" s="101" t="s">
        <v>625</v>
      </c>
      <c r="E8" s="102">
        <f>VLOOKUP(D8,SELECDB,$G$5,0)</f>
        <v>38168862.449799992</v>
      </c>
      <c r="F8" s="103">
        <f>ROUND(E8/$E$33,5)</f>
        <v>0.27521000000000001</v>
      </c>
      <c r="G8" s="48"/>
      <c r="H8" s="48"/>
      <c r="I8" s="48"/>
      <c r="J8" s="48" t="s">
        <v>109</v>
      </c>
      <c r="K8" s="104">
        <f t="shared" ref="K8:K22" si="1">IF($K$4="Trimestral",VLOOKUP(J8,SELECDB,$P$5,0)+VLOOKUP(J8,SELECDB,$P$5+1,0)+VLOOKUP(J8,SELECDB,$P$5+2,0),VLOOKUP(J8,SELECDB,$P$5,0))</f>
        <v>59297811.560000002</v>
      </c>
      <c r="L8" s="105">
        <f t="shared" ref="L8:L16" si="2">K8/$K$16</f>
        <v>1.035560513597902</v>
      </c>
      <c r="M8" s="48"/>
      <c r="N8" s="48"/>
      <c r="O8" s="48"/>
      <c r="P8" s="48"/>
      <c r="Q8" s="48"/>
      <c r="R8" s="48"/>
      <c r="S8" s="48"/>
      <c r="T8" s="48"/>
    </row>
    <row r="9" spans="1:20" ht="15" thickTop="1" x14ac:dyDescent="0.3">
      <c r="A9" s="48" t="s">
        <v>721</v>
      </c>
      <c r="B9" s="104">
        <f>VLOOKUP(A9,SELECDB,$G$5,0)</f>
        <v>720878.52</v>
      </c>
      <c r="C9" s="105">
        <f t="shared" si="0"/>
        <v>5.1999999999999998E-3</v>
      </c>
      <c r="D9" s="48" t="s">
        <v>70</v>
      </c>
      <c r="E9" s="104">
        <f>VLOOKUP(D9,SELECDB,$G$5,0)</f>
        <v>6030791.0499999998</v>
      </c>
      <c r="F9" s="105">
        <f t="shared" ref="F9:F17" si="3">ROUND(E9/$E$33,4)</f>
        <v>4.3499999999999997E-2</v>
      </c>
      <c r="G9" s="48"/>
      <c r="H9" s="48"/>
      <c r="I9" s="48"/>
      <c r="J9" s="48" t="s">
        <v>110</v>
      </c>
      <c r="K9" s="104">
        <f t="shared" si="1"/>
        <v>16726788.899999999</v>
      </c>
      <c r="L9" s="105">
        <f t="shared" si="2"/>
        <v>0.29211199618388889</v>
      </c>
      <c r="M9" s="48"/>
      <c r="N9" s="48"/>
      <c r="O9" s="48"/>
      <c r="P9" s="48"/>
      <c r="Q9" s="48"/>
      <c r="R9" s="48"/>
      <c r="S9" s="48"/>
      <c r="T9" s="48"/>
    </row>
    <row r="10" spans="1:20" x14ac:dyDescent="0.3">
      <c r="A10" s="48" t="s">
        <v>8</v>
      </c>
      <c r="B10" s="104">
        <f>VLOOKUP(A10,SELECDB,$G$5,0)</f>
        <v>12053768.66</v>
      </c>
      <c r="C10" s="105">
        <f t="shared" si="0"/>
        <v>8.6900000000000005E-2</v>
      </c>
      <c r="D10" s="48" t="s">
        <v>75</v>
      </c>
      <c r="E10" s="104">
        <f t="shared" ref="E10:E17" si="4">VLOOKUP(D10,SELECDB,$G$5,0)</f>
        <v>399135.03</v>
      </c>
      <c r="F10" s="105">
        <f t="shared" si="3"/>
        <v>2.8999999999999998E-3</v>
      </c>
      <c r="G10" s="48"/>
      <c r="H10" s="48"/>
      <c r="I10" s="48"/>
      <c r="J10" s="48" t="s">
        <v>111</v>
      </c>
      <c r="K10" s="104">
        <f t="shared" si="1"/>
        <v>303792.39</v>
      </c>
      <c r="L10" s="105">
        <f t="shared" si="2"/>
        <v>5.3053459333353876E-3</v>
      </c>
      <c r="M10" s="48"/>
      <c r="N10" s="48"/>
      <c r="O10" s="48"/>
      <c r="P10" s="48"/>
      <c r="Q10" s="48"/>
      <c r="R10" s="48"/>
      <c r="S10" s="48"/>
      <c r="T10" s="48"/>
    </row>
    <row r="11" spans="1:20" x14ac:dyDescent="0.3">
      <c r="A11" s="48" t="s">
        <v>9</v>
      </c>
      <c r="B11" s="104">
        <f>VLOOKUP(A11,SELECDB,$G$5,0)</f>
        <v>64953953.740000002</v>
      </c>
      <c r="C11" s="105">
        <f t="shared" si="0"/>
        <v>0.46829999999999999</v>
      </c>
      <c r="D11" s="48" t="s">
        <v>76</v>
      </c>
      <c r="E11" s="104">
        <f t="shared" si="4"/>
        <v>17653379.07</v>
      </c>
      <c r="F11" s="105">
        <f t="shared" si="3"/>
        <v>0.1273</v>
      </c>
      <c r="G11" s="48"/>
      <c r="H11" s="48"/>
      <c r="I11" s="48"/>
      <c r="J11" s="48" t="s">
        <v>112</v>
      </c>
      <c r="K11" s="104">
        <f t="shared" si="1"/>
        <v>0</v>
      </c>
      <c r="L11" s="105">
        <f t="shared" si="2"/>
        <v>0</v>
      </c>
      <c r="M11" s="48"/>
      <c r="N11" s="48"/>
      <c r="O11" s="48"/>
      <c r="P11" s="48"/>
      <c r="Q11" s="48"/>
      <c r="R11" s="48"/>
      <c r="S11" s="48"/>
      <c r="T11" s="48"/>
    </row>
    <row r="12" spans="1:20" x14ac:dyDescent="0.3">
      <c r="A12" s="48" t="s">
        <v>738</v>
      </c>
      <c r="B12" s="104">
        <f>VLOOKUP(A12,SELECDB,$G$5,0)</f>
        <v>7009817.21</v>
      </c>
      <c r="C12" s="105">
        <f t="shared" si="0"/>
        <v>5.0500000000000003E-2</v>
      </c>
      <c r="D12" s="48" t="s">
        <v>77</v>
      </c>
      <c r="E12" s="104">
        <f t="shared" si="4"/>
        <v>572158.74</v>
      </c>
      <c r="F12" s="105">
        <f t="shared" si="3"/>
        <v>4.1000000000000003E-3</v>
      </c>
      <c r="G12" s="48"/>
      <c r="H12" s="48"/>
      <c r="I12" s="48"/>
      <c r="J12" s="48" t="s">
        <v>113</v>
      </c>
      <c r="K12" s="104">
        <f t="shared" si="1"/>
        <v>1484696.19</v>
      </c>
      <c r="L12" s="105">
        <f t="shared" si="2"/>
        <v>2.5928321949917978E-2</v>
      </c>
      <c r="M12" s="48"/>
      <c r="N12" s="50" t="str">
        <f>M4&amp;"º Trimestre "&amp;L4</f>
        <v>4º Trimestre 2026</v>
      </c>
      <c r="O12" s="48"/>
      <c r="P12" s="48"/>
      <c r="Q12" s="48"/>
      <c r="R12" s="48"/>
      <c r="S12" s="48"/>
      <c r="T12" s="48"/>
    </row>
    <row r="13" spans="1:20" ht="15" thickBot="1" x14ac:dyDescent="0.35">
      <c r="A13" s="48" t="s">
        <v>10</v>
      </c>
      <c r="B13" s="104">
        <f t="shared" ref="B13:B22" si="5">VLOOKUP(A13,SELECDB,$G$5,0)</f>
        <v>-394348.76</v>
      </c>
      <c r="C13" s="105">
        <f t="shared" si="0"/>
        <v>-2.8E-3</v>
      </c>
      <c r="D13" s="48" t="s">
        <v>78</v>
      </c>
      <c r="E13" s="104">
        <f t="shared" si="4"/>
        <v>1297573.3600000001</v>
      </c>
      <c r="F13" s="105">
        <f t="shared" si="3"/>
        <v>9.4000000000000004E-3</v>
      </c>
      <c r="G13" s="48"/>
      <c r="H13" s="48"/>
      <c r="I13" s="48"/>
      <c r="J13" s="101" t="s">
        <v>99</v>
      </c>
      <c r="K13" s="102">
        <f t="shared" si="1"/>
        <v>77813089.039999992</v>
      </c>
      <c r="L13" s="103">
        <f t="shared" si="2"/>
        <v>1.358906177665044</v>
      </c>
      <c r="M13" s="48"/>
      <c r="N13" s="48"/>
      <c r="O13" s="48"/>
      <c r="P13" s="48"/>
      <c r="Q13" s="48"/>
      <c r="R13" s="48"/>
      <c r="S13" s="48"/>
      <c r="T13" s="48"/>
    </row>
    <row r="14" spans="1:20" ht="15" thickTop="1" x14ac:dyDescent="0.3">
      <c r="A14" s="48" t="s">
        <v>11</v>
      </c>
      <c r="B14" s="104">
        <f t="shared" si="5"/>
        <v>5292292.62</v>
      </c>
      <c r="C14" s="105">
        <f t="shared" si="0"/>
        <v>3.8199999999999998E-2</v>
      </c>
      <c r="D14" s="48" t="s">
        <v>79</v>
      </c>
      <c r="E14" s="104">
        <f t="shared" si="4"/>
        <v>1842737.2197999961</v>
      </c>
      <c r="F14" s="105">
        <f t="shared" si="3"/>
        <v>1.3299999999999999E-2</v>
      </c>
      <c r="G14" s="48"/>
      <c r="H14" s="48"/>
      <c r="I14" s="48"/>
      <c r="J14" s="48" t="s">
        <v>114</v>
      </c>
      <c r="K14" s="104">
        <f t="shared" si="1"/>
        <v>-13441140.360000001</v>
      </c>
      <c r="L14" s="105">
        <f t="shared" si="2"/>
        <v>-0.23473234253272818</v>
      </c>
      <c r="M14" s="48"/>
      <c r="N14" s="48"/>
      <c r="O14" s="48"/>
      <c r="P14" s="48"/>
      <c r="Q14" s="48"/>
      <c r="R14" s="48"/>
      <c r="S14" s="48"/>
      <c r="T14" s="48"/>
    </row>
    <row r="15" spans="1:20" x14ac:dyDescent="0.3">
      <c r="A15" s="48" t="s">
        <v>0</v>
      </c>
      <c r="B15" s="104">
        <f t="shared" si="5"/>
        <v>26830927.09</v>
      </c>
      <c r="C15" s="105">
        <f t="shared" si="0"/>
        <v>0.19350000000000001</v>
      </c>
      <c r="D15" s="48" t="s">
        <v>71</v>
      </c>
      <c r="E15" s="104">
        <f t="shared" si="4"/>
        <v>3503400</v>
      </c>
      <c r="F15" s="105">
        <f t="shared" si="3"/>
        <v>2.53E-2</v>
      </c>
      <c r="G15" s="48"/>
      <c r="H15" s="48"/>
      <c r="I15" s="48"/>
      <c r="J15" s="48" t="s">
        <v>115</v>
      </c>
      <c r="K15" s="104">
        <f t="shared" si="1"/>
        <v>-7110387.6399999997</v>
      </c>
      <c r="L15" s="105">
        <f t="shared" si="2"/>
        <v>-0.12417383513231585</v>
      </c>
      <c r="M15" s="48"/>
      <c r="N15" s="48"/>
      <c r="O15" s="48"/>
      <c r="P15" s="48"/>
      <c r="Q15" s="48"/>
      <c r="R15" s="48"/>
      <c r="S15" s="48"/>
      <c r="T15" s="48"/>
    </row>
    <row r="16" spans="1:20" ht="15" thickBot="1" x14ac:dyDescent="0.35">
      <c r="A16" s="48" t="s">
        <v>1</v>
      </c>
      <c r="B16" s="104">
        <f t="shared" si="5"/>
        <v>1056480.26</v>
      </c>
      <c r="C16" s="105">
        <f t="shared" si="0"/>
        <v>7.6E-3</v>
      </c>
      <c r="D16" s="48" t="s">
        <v>146</v>
      </c>
      <c r="E16" s="104">
        <f t="shared" si="4"/>
        <v>6869687.9800000004</v>
      </c>
      <c r="F16" s="105">
        <f t="shared" si="3"/>
        <v>4.9500000000000002E-2</v>
      </c>
      <c r="G16" s="48"/>
      <c r="H16" s="48"/>
      <c r="I16" s="48"/>
      <c r="J16" s="101" t="s">
        <v>100</v>
      </c>
      <c r="K16" s="102">
        <f t="shared" si="1"/>
        <v>57261561.039999992</v>
      </c>
      <c r="L16" s="103">
        <f t="shared" si="2"/>
        <v>1</v>
      </c>
      <c r="M16" s="48"/>
      <c r="N16" s="48"/>
      <c r="O16" s="48"/>
      <c r="P16" s="48"/>
      <c r="Q16" s="48"/>
      <c r="R16" s="48"/>
      <c r="S16" s="48"/>
      <c r="T16" s="48"/>
    </row>
    <row r="17" spans="1:20" ht="15" thickTop="1" x14ac:dyDescent="0.3">
      <c r="A17" s="48" t="s">
        <v>149</v>
      </c>
      <c r="B17" s="104">
        <f t="shared" si="5"/>
        <v>71521.27</v>
      </c>
      <c r="C17" s="105">
        <f t="shared" si="0"/>
        <v>5.0000000000000001E-4</v>
      </c>
      <c r="D17" s="48" t="s">
        <v>165</v>
      </c>
      <c r="E17" s="104">
        <f t="shared" si="4"/>
        <v>0</v>
      </c>
      <c r="F17" s="105">
        <f t="shared" si="3"/>
        <v>0</v>
      </c>
      <c r="G17" s="48"/>
      <c r="H17" s="48"/>
      <c r="I17" s="48"/>
      <c r="J17" s="48" t="s">
        <v>116</v>
      </c>
      <c r="K17" s="104">
        <f>IF($K$4="Trimestral",VLOOKUP(J17,SELECDB,$P$5,0)+VLOOKUP(J17,SELECDB,$P$5+1,0)+VLOOKUP(J17,SELECDB,$P$5+2,0),VLOOKUP(J17,SELECDB,$P$5,0))</f>
        <v>-42476223.149999999</v>
      </c>
      <c r="L17" s="105">
        <f t="shared" ref="L17:L22" si="6">K17/$K$16</f>
        <v>-0.7417929650979701</v>
      </c>
      <c r="M17" s="48"/>
      <c r="N17" s="48"/>
      <c r="O17" s="48"/>
      <c r="P17" s="48"/>
      <c r="Q17" s="48"/>
      <c r="R17" s="48"/>
      <c r="S17" s="48"/>
      <c r="T17" s="48"/>
    </row>
    <row r="18" spans="1:20" ht="15" thickBot="1" x14ac:dyDescent="0.35">
      <c r="A18" s="48" t="s">
        <v>150</v>
      </c>
      <c r="B18" s="104">
        <f t="shared" si="5"/>
        <v>2485</v>
      </c>
      <c r="C18" s="105">
        <f t="shared" si="0"/>
        <v>0</v>
      </c>
      <c r="D18" s="48"/>
      <c r="E18" s="48"/>
      <c r="F18" s="48"/>
      <c r="G18" s="48"/>
      <c r="H18" s="48"/>
      <c r="I18" s="48"/>
      <c r="J18" s="101" t="s">
        <v>101</v>
      </c>
      <c r="K18" s="102">
        <f t="shared" si="1"/>
        <v>14785337.889999986</v>
      </c>
      <c r="L18" s="103">
        <f t="shared" si="6"/>
        <v>0.25820703490202979</v>
      </c>
      <c r="M18" s="48"/>
      <c r="N18" s="48"/>
      <c r="O18" s="48"/>
      <c r="P18" s="48"/>
      <c r="Q18" s="48"/>
      <c r="R18" s="48"/>
      <c r="S18" s="48"/>
      <c r="T18" s="48"/>
    </row>
    <row r="19" spans="1:20" ht="15.6" thickTop="1" thickBot="1" x14ac:dyDescent="0.35">
      <c r="A19" s="48" t="s">
        <v>14</v>
      </c>
      <c r="B19" s="104">
        <f t="shared" si="5"/>
        <v>129521.75</v>
      </c>
      <c r="C19" s="105">
        <f t="shared" si="0"/>
        <v>8.9999999999999998E-4</v>
      </c>
      <c r="D19" s="101" t="s">
        <v>626</v>
      </c>
      <c r="E19" s="102">
        <f>VLOOKUP(D19,SELECDB,$G$5,0)</f>
        <v>19078740.59</v>
      </c>
      <c r="F19" s="103">
        <f>ROUND(E19/$E$33,4)</f>
        <v>0.1376</v>
      </c>
      <c r="G19" s="48"/>
      <c r="H19" s="48"/>
      <c r="I19" s="48"/>
      <c r="J19" s="48" t="s">
        <v>117</v>
      </c>
      <c r="K19" s="104">
        <f t="shared" si="1"/>
        <v>-4849661.5599999996</v>
      </c>
      <c r="L19" s="105">
        <f t="shared" si="6"/>
        <v>-8.4693142693268081E-2</v>
      </c>
      <c r="M19" s="48"/>
      <c r="N19" s="48"/>
      <c r="O19" s="48"/>
      <c r="P19" s="48"/>
      <c r="Q19" s="48"/>
      <c r="R19" s="48"/>
      <c r="S19" s="48"/>
      <c r="T19" s="48"/>
    </row>
    <row r="20" spans="1:20" ht="15" thickTop="1" x14ac:dyDescent="0.3">
      <c r="A20" s="48" t="s">
        <v>15</v>
      </c>
      <c r="B20" s="104">
        <f t="shared" si="5"/>
        <v>3756918.65</v>
      </c>
      <c r="C20" s="105">
        <f t="shared" si="0"/>
        <v>2.7099999999999999E-2</v>
      </c>
      <c r="D20" s="48" t="s">
        <v>733</v>
      </c>
      <c r="E20" s="104">
        <f>VLOOKUP(D20,SELECDB,$G$5,0)</f>
        <v>11065140.59</v>
      </c>
      <c r="F20" s="105">
        <f>ROUND(E20/$E$33,4)</f>
        <v>7.9799999999999996E-2</v>
      </c>
      <c r="G20" s="48"/>
      <c r="H20" s="48"/>
      <c r="I20" s="48"/>
      <c r="J20" s="48" t="s">
        <v>118</v>
      </c>
      <c r="K20" s="104">
        <f t="shared" si="1"/>
        <v>-3240832.4800000004</v>
      </c>
      <c r="L20" s="105">
        <f t="shared" si="6"/>
        <v>-5.6596998425106175E-2</v>
      </c>
      <c r="M20" s="48"/>
      <c r="N20" s="48"/>
      <c r="O20" s="48"/>
      <c r="P20" s="48"/>
      <c r="Q20" s="48"/>
      <c r="R20" s="48"/>
      <c r="S20" s="48"/>
      <c r="T20" s="48"/>
    </row>
    <row r="21" spans="1:20" x14ac:dyDescent="0.3">
      <c r="A21" s="48" t="s">
        <v>151</v>
      </c>
      <c r="B21" s="104">
        <f t="shared" si="5"/>
        <v>0</v>
      </c>
      <c r="C21" s="105">
        <f t="shared" si="0"/>
        <v>0</v>
      </c>
      <c r="D21" s="48" t="s">
        <v>732</v>
      </c>
      <c r="E21" s="104">
        <f>VLOOKUP(D21,SELECDB,$G$5,0)</f>
        <v>0</v>
      </c>
      <c r="F21" s="105">
        <f>ROUND(E21/$E$33,4)</f>
        <v>0</v>
      </c>
      <c r="G21" s="48"/>
      <c r="H21" s="48"/>
      <c r="I21" s="48"/>
      <c r="J21" s="48" t="s">
        <v>119</v>
      </c>
      <c r="K21" s="104">
        <f t="shared" si="1"/>
        <v>-85323.650000000009</v>
      </c>
      <c r="L21" s="105">
        <f t="shared" si="6"/>
        <v>-1.4900685285264453E-3</v>
      </c>
      <c r="M21" s="48"/>
      <c r="N21" s="48"/>
      <c r="O21" s="48"/>
      <c r="P21" s="48"/>
      <c r="Q21" s="48"/>
      <c r="R21" s="48"/>
      <c r="S21" s="48"/>
      <c r="T21" s="48"/>
    </row>
    <row r="22" spans="1:20" x14ac:dyDescent="0.3">
      <c r="A22" s="48" t="s">
        <v>766</v>
      </c>
      <c r="B22" s="104">
        <f t="shared" si="5"/>
        <v>2125.6799999999998</v>
      </c>
      <c r="C22" s="105">
        <f t="shared" si="0"/>
        <v>0</v>
      </c>
      <c r="D22" s="48" t="s">
        <v>1161</v>
      </c>
      <c r="E22" s="104">
        <f>VLOOKUP(D22,SELECDB,$G$5,0)</f>
        <v>8013600</v>
      </c>
      <c r="F22" s="105">
        <f>ROUND(E22/$E$33,4)</f>
        <v>5.7799999999999997E-2</v>
      </c>
      <c r="G22" s="48"/>
      <c r="H22" s="48"/>
      <c r="I22" s="48"/>
      <c r="J22" s="48" t="s">
        <v>120</v>
      </c>
      <c r="K22" s="104">
        <f t="shared" si="1"/>
        <v>-1459637.94</v>
      </c>
      <c r="L22" s="105">
        <f t="shared" si="6"/>
        <v>-2.5490711630798392E-2</v>
      </c>
      <c r="M22" s="48"/>
      <c r="N22" s="48"/>
      <c r="O22" s="48"/>
      <c r="P22" s="48"/>
      <c r="Q22" s="48"/>
      <c r="R22" s="48"/>
      <c r="S22" s="48"/>
      <c r="T22" s="48"/>
    </row>
    <row r="23" spans="1:20" x14ac:dyDescent="0.3">
      <c r="A23" s="48" t="s">
        <v>744</v>
      </c>
      <c r="B23" s="104">
        <f>VLOOKUP(A23,SELECDB,$G$5,0)</f>
        <v>30652.81</v>
      </c>
      <c r="C23" s="105">
        <f t="shared" si="0"/>
        <v>2.0000000000000001E-4</v>
      </c>
      <c r="D23" s="48"/>
      <c r="E23" s="48"/>
      <c r="F23" s="48"/>
      <c r="G23" s="48"/>
      <c r="H23" s="48"/>
      <c r="I23" s="48"/>
      <c r="J23" s="48" t="s">
        <v>992</v>
      </c>
      <c r="K23" s="104">
        <f>IF($K$4="Trimestral",VLOOKUP(J23,SELECDB,$P$5,0)+VLOOKUP(J23,SELECDB,$P$5+1,0)+VLOOKUP(J23,SELECDB,$P$5+2,0),VLOOKUP(J23,SELECDB,$P$5,0))</f>
        <v>0</v>
      </c>
      <c r="L23" s="105">
        <f>K23/$K$16</f>
        <v>0</v>
      </c>
      <c r="M23" s="48"/>
      <c r="N23" s="48"/>
      <c r="O23" s="48"/>
      <c r="P23" s="48"/>
      <c r="Q23" s="48"/>
      <c r="R23" s="48"/>
      <c r="S23" s="48"/>
      <c r="T23" s="48"/>
    </row>
    <row r="24" spans="1:20" ht="15" thickBot="1" x14ac:dyDescent="0.35">
      <c r="A24" s="48" t="s">
        <v>16</v>
      </c>
      <c r="B24" s="104">
        <f>VLOOKUP(A24,SELECDB,$G$5,0)</f>
        <v>0</v>
      </c>
      <c r="C24" s="105">
        <f t="shared" si="0"/>
        <v>0</v>
      </c>
      <c r="D24" s="101" t="s">
        <v>74</v>
      </c>
      <c r="E24" s="102">
        <f t="shared" ref="E24:E31" si="7">VLOOKUP(D24,SELECDB,$G$5,0)</f>
        <v>81440806.630199984</v>
      </c>
      <c r="F24" s="103">
        <f t="shared" ref="F24:F31" si="8">ROUND(E24/$E$33,4)</f>
        <v>0.58720000000000006</v>
      </c>
      <c r="G24" s="48"/>
      <c r="H24" s="48"/>
      <c r="I24" s="48"/>
      <c r="J24" s="101" t="s">
        <v>102</v>
      </c>
      <c r="K24" s="102">
        <f t="shared" ref="K24:K39" si="9">IF($K$4="Trimestral",VLOOKUP(J24,SELECDB,$P$5,0)+VLOOKUP(J24,SELECDB,$P$5+1,0)+VLOOKUP(J24,SELECDB,$P$5+2,0),VLOOKUP(J24,SELECDB,$P$5,0))</f>
        <v>-9635455.629999999</v>
      </c>
      <c r="L24" s="103">
        <f t="shared" ref="L24:L39" si="10">K24/$K$16</f>
        <v>-0.16827092127769908</v>
      </c>
      <c r="M24" s="48"/>
      <c r="N24" s="48"/>
      <c r="O24" s="48"/>
      <c r="P24" s="48"/>
      <c r="Q24" s="48"/>
      <c r="R24" s="48"/>
      <c r="S24" s="48"/>
      <c r="T24" s="48"/>
    </row>
    <row r="25" spans="1:20" ht="15.6" thickTop="1" thickBot="1" x14ac:dyDescent="0.35">
      <c r="A25" s="48" t="s">
        <v>162</v>
      </c>
      <c r="B25" s="104">
        <f>VLOOKUP(A25,SELECDB,$G$5,0)</f>
        <v>11880.18</v>
      </c>
      <c r="C25" s="105">
        <f t="shared" si="0"/>
        <v>1E-4</v>
      </c>
      <c r="D25" s="48" t="s">
        <v>72</v>
      </c>
      <c r="E25" s="104">
        <f t="shared" si="7"/>
        <v>1000000</v>
      </c>
      <c r="F25" s="105">
        <f t="shared" si="8"/>
        <v>7.1999999999999998E-3</v>
      </c>
      <c r="G25" s="48"/>
      <c r="H25" s="48"/>
      <c r="I25" s="48"/>
      <c r="J25" s="101" t="s">
        <v>103</v>
      </c>
      <c r="K25" s="102">
        <f t="shared" si="9"/>
        <v>5149882.2599999886</v>
      </c>
      <c r="L25" s="103">
        <f t="shared" si="10"/>
        <v>8.9936113624330724E-2</v>
      </c>
      <c r="M25" s="48"/>
      <c r="N25" s="48"/>
      <c r="O25" s="48"/>
      <c r="P25" s="48"/>
      <c r="Q25" s="48"/>
      <c r="R25" s="48"/>
      <c r="S25" s="48"/>
      <c r="T25" s="48"/>
    </row>
    <row r="26" spans="1:20" ht="15" thickTop="1" x14ac:dyDescent="0.3">
      <c r="A26" s="48" t="s">
        <v>12</v>
      </c>
      <c r="B26" s="104">
        <f>VLOOKUP(A26,SELECDB,$G$5,0)</f>
        <v>1998642.5</v>
      </c>
      <c r="C26" s="105">
        <f t="shared" si="0"/>
        <v>1.44E-2</v>
      </c>
      <c r="D26" s="48" t="s">
        <v>770</v>
      </c>
      <c r="E26" s="104">
        <f t="shared" si="7"/>
        <v>77291799.75</v>
      </c>
      <c r="F26" s="105">
        <f t="shared" si="8"/>
        <v>0.55730000000000002</v>
      </c>
      <c r="G26" s="48"/>
      <c r="H26" s="48"/>
      <c r="I26" s="48"/>
      <c r="J26" s="48" t="s">
        <v>121</v>
      </c>
      <c r="K26" s="104">
        <f t="shared" si="9"/>
        <v>1107761.77</v>
      </c>
      <c r="L26" s="105">
        <f t="shared" si="10"/>
        <v>1.9345643916800912E-2</v>
      </c>
      <c r="M26" s="48"/>
      <c r="N26" s="48"/>
      <c r="O26" s="48"/>
      <c r="P26" s="48"/>
      <c r="Q26" s="48"/>
      <c r="R26" s="48"/>
      <c r="S26" s="48"/>
      <c r="T26" s="48"/>
    </row>
    <row r="27" spans="1:20" x14ac:dyDescent="0.3">
      <c r="A27" s="48"/>
      <c r="B27" s="48"/>
      <c r="C27" s="106"/>
      <c r="D27" s="48" t="s">
        <v>163</v>
      </c>
      <c r="E27" s="104">
        <f t="shared" si="7"/>
        <v>0</v>
      </c>
      <c r="F27" s="105">
        <f t="shared" si="8"/>
        <v>0</v>
      </c>
      <c r="G27" s="48"/>
      <c r="H27" s="48"/>
      <c r="I27" s="48"/>
      <c r="J27" s="48" t="s">
        <v>122</v>
      </c>
      <c r="K27" s="104">
        <f t="shared" si="9"/>
        <v>-1197230.6100000001</v>
      </c>
      <c r="L27" s="105">
        <f t="shared" si="10"/>
        <v>-2.0908102892334288E-2</v>
      </c>
      <c r="M27" s="48"/>
      <c r="N27" s="48"/>
      <c r="O27" s="48"/>
      <c r="P27" s="48"/>
      <c r="Q27" s="48"/>
      <c r="R27" s="48"/>
      <c r="S27" s="48"/>
      <c r="T27" s="48"/>
    </row>
    <row r="28" spans="1:20" ht="15" thickBot="1" x14ac:dyDescent="0.35">
      <c r="A28" s="101" t="s">
        <v>624</v>
      </c>
      <c r="B28" s="102">
        <f>VLOOKUP(A28,SELECDB,$G$5,0)</f>
        <v>15160892.490000004</v>
      </c>
      <c r="C28" s="103">
        <f>ROUND(B28/$B$48,4)</f>
        <v>0.10929999999999999</v>
      </c>
      <c r="D28" s="48" t="s">
        <v>81</v>
      </c>
      <c r="E28" s="104">
        <f t="shared" si="7"/>
        <v>0</v>
      </c>
      <c r="F28" s="105">
        <f t="shared" si="8"/>
        <v>0</v>
      </c>
      <c r="G28" s="48"/>
      <c r="H28" s="48"/>
      <c r="I28" s="48"/>
      <c r="J28" s="48" t="s">
        <v>123</v>
      </c>
      <c r="K28" s="104">
        <f t="shared" si="9"/>
        <v>290525.53000000014</v>
      </c>
      <c r="L28" s="105">
        <f t="shared" si="10"/>
        <v>5.0736571746106242E-3</v>
      </c>
      <c r="M28" s="48"/>
      <c r="N28" s="48"/>
      <c r="O28" s="48"/>
      <c r="P28" s="48"/>
      <c r="Q28" s="48"/>
      <c r="R28" s="48"/>
      <c r="S28" s="48"/>
      <c r="T28" s="48"/>
    </row>
    <row r="29" spans="1:20" ht="15" thickTop="1" x14ac:dyDescent="0.3">
      <c r="A29" s="48"/>
      <c r="B29" s="48"/>
      <c r="C29" s="106"/>
      <c r="D29" s="48" t="s">
        <v>1036</v>
      </c>
      <c r="E29" s="104">
        <f t="shared" si="7"/>
        <v>-37390.199999999997</v>
      </c>
      <c r="F29" s="105">
        <f t="shared" si="8"/>
        <v>-2.9999999999999997E-4</v>
      </c>
      <c r="G29" s="48"/>
      <c r="H29" s="48"/>
      <c r="I29" s="48"/>
      <c r="J29" s="48" t="s">
        <v>166</v>
      </c>
      <c r="K29" s="104">
        <f t="shared" si="9"/>
        <v>0</v>
      </c>
      <c r="L29" s="105">
        <f t="shared" si="10"/>
        <v>0</v>
      </c>
      <c r="M29" s="48"/>
      <c r="N29" s="48"/>
      <c r="O29" s="48"/>
      <c r="P29" s="48"/>
      <c r="Q29" s="48"/>
      <c r="R29" s="48"/>
      <c r="S29" s="48"/>
      <c r="T29" s="48"/>
    </row>
    <row r="30" spans="1:20" ht="15" thickBot="1" x14ac:dyDescent="0.35">
      <c r="A30" s="101" t="s">
        <v>2</v>
      </c>
      <c r="B30" s="102">
        <f>VLOOKUP(A30,SELECDB,$G$5,0)</f>
        <v>3203302.51</v>
      </c>
      <c r="C30" s="103">
        <f>ROUND(B30/$B$48,4)</f>
        <v>2.3099999999999999E-2</v>
      </c>
      <c r="D30" s="48" t="s">
        <v>993</v>
      </c>
      <c r="E30" s="104">
        <f t="shared" si="7"/>
        <v>3686397.0801999923</v>
      </c>
      <c r="F30" s="105">
        <f t="shared" si="8"/>
        <v>2.6599999999999999E-2</v>
      </c>
      <c r="G30" s="48"/>
      <c r="H30" s="48"/>
      <c r="I30" s="48"/>
      <c r="J30" s="101" t="s">
        <v>104</v>
      </c>
      <c r="K30" s="102">
        <f t="shared" si="9"/>
        <v>201056.69000000012</v>
      </c>
      <c r="L30" s="103">
        <f t="shared" si="10"/>
        <v>3.5111981990772522E-3</v>
      </c>
      <c r="M30" s="48"/>
      <c r="N30" s="48"/>
      <c r="O30" s="48"/>
      <c r="P30" s="48"/>
      <c r="Q30" s="48"/>
      <c r="R30" s="48"/>
      <c r="S30" s="48"/>
      <c r="T30" s="48"/>
    </row>
    <row r="31" spans="1:20" ht="15.6" thickTop="1" thickBot="1" x14ac:dyDescent="0.35">
      <c r="A31" s="48" t="s">
        <v>1163</v>
      </c>
      <c r="B31" s="104">
        <f>VLOOKUP(A31,SELECDB,$G$5,0)</f>
        <v>3139560.82</v>
      </c>
      <c r="C31" s="105">
        <f>ROUND(B31/$B$48,4)</f>
        <v>2.2599999999999999E-2</v>
      </c>
      <c r="D31" s="48" t="s">
        <v>82</v>
      </c>
      <c r="E31" s="104">
        <f t="shared" si="7"/>
        <v>-500000</v>
      </c>
      <c r="F31" s="105">
        <f t="shared" si="8"/>
        <v>-3.5999999999999999E-3</v>
      </c>
      <c r="G31" s="48"/>
      <c r="H31" s="48"/>
      <c r="I31" s="48"/>
      <c r="J31" s="101" t="s">
        <v>105</v>
      </c>
      <c r="K31" s="102">
        <f t="shared" si="9"/>
        <v>0</v>
      </c>
      <c r="L31" s="103">
        <f t="shared" si="10"/>
        <v>0</v>
      </c>
      <c r="M31" s="48"/>
      <c r="N31" s="48"/>
      <c r="O31" s="48"/>
      <c r="P31" s="48"/>
      <c r="Q31" s="48"/>
      <c r="R31" s="48"/>
      <c r="S31" s="48"/>
      <c r="T31" s="48"/>
    </row>
    <row r="32" spans="1:20" ht="15.6" thickTop="1" thickBot="1" x14ac:dyDescent="0.35">
      <c r="A32" s="48" t="s">
        <v>13</v>
      </c>
      <c r="B32" s="104">
        <f>VLOOKUP(A32,SELECDB,$G$5,0)</f>
        <v>63741.69</v>
      </c>
      <c r="C32" s="105">
        <f>ROUND(B32/$B$48,4)</f>
        <v>5.0000000000000001E-4</v>
      </c>
      <c r="D32" s="48"/>
      <c r="E32" s="48"/>
      <c r="F32" s="48"/>
      <c r="G32" s="48"/>
      <c r="H32" s="48"/>
      <c r="I32" s="48"/>
      <c r="J32" s="101" t="s">
        <v>106</v>
      </c>
      <c r="K32" s="102">
        <f t="shared" si="9"/>
        <v>5350938.949999989</v>
      </c>
      <c r="L32" s="103">
        <f t="shared" si="10"/>
        <v>9.3447311823407986E-2</v>
      </c>
      <c r="M32" s="48"/>
      <c r="N32" s="48"/>
      <c r="O32" s="48"/>
      <c r="P32" s="48"/>
      <c r="Q32" s="48"/>
      <c r="R32" s="48"/>
      <c r="S32" s="48"/>
      <c r="T32" s="48"/>
    </row>
    <row r="33" spans="1:20" ht="15.6" thickTop="1" thickBot="1" x14ac:dyDescent="0.35">
      <c r="A33" s="48" t="s">
        <v>164</v>
      </c>
      <c r="B33" s="104">
        <f>VLOOKUP(A33,SELECDB,$G$5,0)</f>
        <v>0</v>
      </c>
      <c r="C33" s="105">
        <f>ROUND(B33/$B$48,4)</f>
        <v>0</v>
      </c>
      <c r="D33" s="107" t="s">
        <v>73</v>
      </c>
      <c r="E33" s="102">
        <f>VLOOKUP(D33,SELECDB,$G$5,0)</f>
        <v>138688409.66999996</v>
      </c>
      <c r="F33" s="103">
        <f>E33/$E$33</f>
        <v>1</v>
      </c>
      <c r="G33" s="48"/>
      <c r="H33" s="48"/>
      <c r="I33" s="48"/>
      <c r="J33" s="48" t="s">
        <v>107</v>
      </c>
      <c r="K33" s="104">
        <f t="shared" si="9"/>
        <v>178195.34999999998</v>
      </c>
      <c r="L33" s="105">
        <f t="shared" si="10"/>
        <v>3.1119541060978381E-3</v>
      </c>
      <c r="M33" s="48"/>
      <c r="N33" s="48"/>
      <c r="O33" s="48"/>
      <c r="P33" s="48"/>
      <c r="Q33" s="48"/>
      <c r="R33" s="48"/>
      <c r="S33" s="48"/>
      <c r="T33" s="48"/>
    </row>
    <row r="34" spans="1:20" ht="15.6" thickTop="1" thickBot="1" x14ac:dyDescent="0.35">
      <c r="A34" s="48"/>
      <c r="B34" s="48"/>
      <c r="C34" s="106"/>
      <c r="D34" s="48"/>
      <c r="E34" s="48"/>
      <c r="F34" s="48"/>
      <c r="G34" s="48"/>
      <c r="H34" s="48"/>
      <c r="I34" s="48"/>
      <c r="J34" s="101" t="s">
        <v>108</v>
      </c>
      <c r="K34" s="102">
        <f t="shared" si="9"/>
        <v>5529134.2999999877</v>
      </c>
      <c r="L34" s="103">
        <f t="shared" si="10"/>
        <v>9.6559265929505797E-2</v>
      </c>
      <c r="M34" s="48"/>
      <c r="N34" s="48"/>
      <c r="O34" s="48"/>
      <c r="P34" s="48"/>
      <c r="Q34" s="48"/>
      <c r="R34" s="48"/>
      <c r="S34" s="48"/>
      <c r="T34" s="48"/>
    </row>
    <row r="35" spans="1:20" ht="15.6" thickTop="1" thickBot="1" x14ac:dyDescent="0.35">
      <c r="A35" s="101" t="s">
        <v>3</v>
      </c>
      <c r="B35" s="102">
        <f>VLOOKUP(A35,SELECDB,$G$5,0)</f>
        <v>0</v>
      </c>
      <c r="C35" s="103">
        <f>ROUND(B35/$B$48,4)</f>
        <v>0</v>
      </c>
      <c r="D35" s="48"/>
      <c r="E35" s="48"/>
      <c r="F35" s="48"/>
      <c r="G35" s="48"/>
      <c r="H35" s="48"/>
      <c r="I35" s="48"/>
      <c r="J35" s="48" t="s">
        <v>142</v>
      </c>
      <c r="K35" s="104">
        <f t="shared" si="9"/>
        <v>-1351777.3674999971</v>
      </c>
      <c r="L35" s="105">
        <f t="shared" si="10"/>
        <v>-2.3607064546419101E-2</v>
      </c>
      <c r="M35" s="48"/>
      <c r="N35" s="48"/>
      <c r="O35" s="48"/>
      <c r="P35" s="48"/>
      <c r="Q35" s="48"/>
      <c r="R35" s="48"/>
      <c r="S35" s="48"/>
      <c r="T35" s="48"/>
    </row>
    <row r="36" spans="1:20" ht="15" thickTop="1" x14ac:dyDescent="0.3">
      <c r="A36" s="48" t="s">
        <v>996</v>
      </c>
      <c r="B36" s="104">
        <f>VLOOKUP(A36,SELECDB,$G$5,0)</f>
        <v>0</v>
      </c>
      <c r="C36" s="105">
        <f>ROUND(B36/$B$48,4)</f>
        <v>0</v>
      </c>
      <c r="D36" s="48"/>
      <c r="E36" s="48"/>
      <c r="F36" s="48"/>
      <c r="G36" s="48"/>
      <c r="H36" s="48"/>
      <c r="I36" s="48"/>
      <c r="J36" s="48" t="s">
        <v>143</v>
      </c>
      <c r="K36" s="104">
        <f t="shared" si="9"/>
        <v>-490959.85229999904</v>
      </c>
      <c r="L36" s="105">
        <f t="shared" si="10"/>
        <v>-8.5739865170116423E-3</v>
      </c>
      <c r="M36" s="48"/>
      <c r="N36" s="48"/>
      <c r="O36" s="48"/>
      <c r="P36" s="48"/>
      <c r="Q36" s="48"/>
      <c r="R36" s="48"/>
      <c r="S36" s="48"/>
      <c r="T36" s="48"/>
    </row>
    <row r="37" spans="1:20" ht="15" thickBot="1" x14ac:dyDescent="0.35">
      <c r="A37" s="48" t="s">
        <v>997</v>
      </c>
      <c r="B37" s="104">
        <f>VLOOKUP(A37,SELECDB,$G$5,0)</f>
        <v>0</v>
      </c>
      <c r="C37" s="105">
        <f>ROUND(B37/$B$48,4)</f>
        <v>0</v>
      </c>
      <c r="D37" s="48"/>
      <c r="E37" s="48"/>
      <c r="F37" s="48"/>
      <c r="G37" s="48"/>
      <c r="H37" s="48"/>
      <c r="I37" s="48"/>
      <c r="J37" s="101" t="s">
        <v>144</v>
      </c>
      <c r="K37" s="102">
        <f t="shared" si="9"/>
        <v>3686397.0801999923</v>
      </c>
      <c r="L37" s="103">
        <f t="shared" si="10"/>
        <v>6.4378214866075062E-2</v>
      </c>
      <c r="M37" s="48"/>
      <c r="N37" s="48"/>
      <c r="O37" s="48"/>
      <c r="P37" s="48"/>
      <c r="Q37" s="48"/>
      <c r="R37" s="48"/>
      <c r="S37" s="48"/>
      <c r="T37" s="48"/>
    </row>
    <row r="38" spans="1:20" ht="15" thickTop="1" x14ac:dyDescent="0.3">
      <c r="A38" s="48"/>
      <c r="B38" s="48"/>
      <c r="C38" s="106"/>
      <c r="D38" s="48"/>
      <c r="E38" s="48"/>
      <c r="F38" s="48"/>
      <c r="G38" s="48"/>
      <c r="H38" s="48"/>
      <c r="I38" s="48"/>
      <c r="J38" s="48" t="s">
        <v>843</v>
      </c>
      <c r="K38" s="104">
        <f t="shared" si="9"/>
        <v>0</v>
      </c>
      <c r="L38" s="105">
        <f t="shared" si="10"/>
        <v>0</v>
      </c>
      <c r="M38" s="48"/>
      <c r="N38" s="48"/>
      <c r="O38" s="48"/>
      <c r="P38" s="48"/>
      <c r="Q38" s="48"/>
      <c r="R38" s="48"/>
      <c r="S38" s="48"/>
      <c r="T38" s="48"/>
    </row>
    <row r="39" spans="1:20" ht="15" thickBot="1" x14ac:dyDescent="0.35">
      <c r="A39" s="101" t="s">
        <v>17</v>
      </c>
      <c r="B39" s="102">
        <f>VLOOKUP(A39,SELECDB,$G$5,0)</f>
        <v>11181763.350000003</v>
      </c>
      <c r="C39" s="103">
        <f>ROUND(B39/$B$48,4)</f>
        <v>8.0600000000000005E-2</v>
      </c>
      <c r="D39" s="48"/>
      <c r="E39" s="48"/>
      <c r="F39" s="48"/>
      <c r="G39" s="48"/>
      <c r="H39" s="48"/>
      <c r="I39" s="48"/>
      <c r="J39" s="101" t="s">
        <v>835</v>
      </c>
      <c r="K39" s="102">
        <f t="shared" si="9"/>
        <v>3686397.0801999923</v>
      </c>
      <c r="L39" s="103">
        <f t="shared" si="10"/>
        <v>6.4378214866075062E-2</v>
      </c>
      <c r="M39" s="48"/>
      <c r="N39" s="48"/>
      <c r="O39" s="48"/>
      <c r="P39" s="48"/>
      <c r="Q39" s="48"/>
      <c r="R39" s="48"/>
      <c r="S39" s="48"/>
      <c r="T39" s="48"/>
    </row>
    <row r="40" spans="1:20" ht="15" thickTop="1" x14ac:dyDescent="0.3">
      <c r="A40" s="48"/>
      <c r="B40" s="104"/>
      <c r="C40" s="105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</row>
    <row r="41" spans="1:20" ht="15" thickBot="1" x14ac:dyDescent="0.35">
      <c r="A41" s="101" t="s">
        <v>28</v>
      </c>
      <c r="B41" s="102">
        <f t="shared" ref="B41:B46" si="11">VLOOKUP(A41,SELECDB,$G$5,0)</f>
        <v>775826.63000000012</v>
      </c>
      <c r="C41" s="103">
        <f t="shared" ref="C41:C46" si="12">ROUND(B41/$B$48,4)</f>
        <v>5.5999999999999999E-3</v>
      </c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</row>
    <row r="42" spans="1:20" ht="15" thickTop="1" x14ac:dyDescent="0.3">
      <c r="A42" s="48" t="s">
        <v>29</v>
      </c>
      <c r="B42" s="104">
        <f t="shared" si="11"/>
        <v>1360000</v>
      </c>
      <c r="C42" s="105">
        <f t="shared" si="12"/>
        <v>9.7999999999999997E-3</v>
      </c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</row>
    <row r="43" spans="1:20" x14ac:dyDescent="0.3">
      <c r="A43" s="48" t="s">
        <v>30</v>
      </c>
      <c r="B43" s="104">
        <f t="shared" si="11"/>
        <v>724324.41</v>
      </c>
      <c r="C43" s="105">
        <f t="shared" si="12"/>
        <v>5.1999999999999998E-3</v>
      </c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</row>
    <row r="44" spans="1:20" x14ac:dyDescent="0.3">
      <c r="A44" s="48" t="s">
        <v>7</v>
      </c>
      <c r="B44" s="104">
        <f t="shared" si="11"/>
        <v>355</v>
      </c>
      <c r="C44" s="105">
        <f t="shared" si="12"/>
        <v>0</v>
      </c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</row>
    <row r="45" spans="1:20" x14ac:dyDescent="0.3">
      <c r="A45" s="48" t="s">
        <v>31</v>
      </c>
      <c r="B45" s="104">
        <f t="shared" si="11"/>
        <v>6000</v>
      </c>
      <c r="C45" s="105">
        <f t="shared" si="12"/>
        <v>0</v>
      </c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</row>
    <row r="46" spans="1:20" x14ac:dyDescent="0.3">
      <c r="A46" s="48" t="s">
        <v>32</v>
      </c>
      <c r="B46" s="104">
        <f t="shared" si="11"/>
        <v>-1314852.78</v>
      </c>
      <c r="C46" s="105">
        <f t="shared" si="12"/>
        <v>-9.4999999999999998E-3</v>
      </c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</row>
    <row r="47" spans="1:20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</row>
    <row r="48" spans="1:20" ht="15" thickBot="1" x14ac:dyDescent="0.35">
      <c r="A48" s="107" t="s">
        <v>33</v>
      </c>
      <c r="B48" s="102">
        <f>VLOOKUP(A48,SELECDB,$G$5,0)</f>
        <v>138688409.66999999</v>
      </c>
      <c r="C48" s="103">
        <f>B48/$B$48</f>
        <v>1</v>
      </c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</row>
    <row r="49" spans="1:20" ht="15" thickTop="1" x14ac:dyDescent="0.3">
      <c r="A49" s="48"/>
      <c r="B49" s="48"/>
      <c r="C49" s="106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</row>
    <row r="50" spans="1:20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</row>
  </sheetData>
  <sheetProtection selectLockedCells="1"/>
  <mergeCells count="2">
    <mergeCell ref="A3:A4"/>
    <mergeCell ref="J3:J4"/>
  </mergeCells>
  <conditionalFormatting sqref="G3">
    <cfRule type="cellIs" dxfId="101" priority="4" operator="equal">
      <formula>"Verificar"</formula>
    </cfRule>
  </conditionalFormatting>
  <conditionalFormatting sqref="P3">
    <cfRule type="cellIs" dxfId="100" priority="1" operator="equal">
      <formula>"Verificar"</formula>
    </cfRule>
  </conditionalFormatting>
  <dataValidations count="4">
    <dataValidation type="list" allowBlank="1" showInputMessage="1" showErrorMessage="1" sqref="B4:B5" xr:uid="{BB0E03D8-1DD4-40B1-98D3-012ACF468CC1}">
      <formula1>ListaMes2</formula1>
    </dataValidation>
    <dataValidation type="list" allowBlank="1" showInputMessage="1" showErrorMessage="1" sqref="C4:C5 L4" xr:uid="{1E0D16DE-D2EA-4862-8A43-66AA8B505CE9}">
      <formula1>LISTAANO</formula1>
    </dataValidation>
    <dataValidation type="list" allowBlank="1" showInputMessage="1" showErrorMessage="1" sqref="K4" xr:uid="{0E439062-0BFB-4D44-979A-CD4E0014C413}">
      <formula1>LISTAMES4</formula1>
    </dataValidation>
    <dataValidation type="list" allowBlank="1" showInputMessage="1" showErrorMessage="1" sqref="M4" xr:uid="{BEDD7B44-ED2D-41CE-A6EB-2E93193C840C}">
      <formula1>$O$1:$O$4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90" orientation="portrait" r:id="rId1"/>
  <headerFooter>
    <oddHeader>&amp;L&amp;G&amp;C&amp;9AGF IMPORTAÇÃO EXPORTAÇÃO E COMERCIALIZAÇÃO DE MAQUINAS E ACESSORIOS LTDA
CNPJ: 11.681.470/0001-84 IE: 530051442114</oddHead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E5F6A-3F99-4AB3-BD4D-2ACEBDBAB60E}">
  <sheetPr codeName="PlanRelFAt">
    <pageSetUpPr fitToPage="1"/>
  </sheetPr>
  <dimension ref="A1:T21"/>
  <sheetViews>
    <sheetView zoomScaleNormal="100" workbookViewId="0">
      <selection activeCell="P1" sqref="P1:S21"/>
    </sheetView>
  </sheetViews>
  <sheetFormatPr defaultRowHeight="14.4" x14ac:dyDescent="0.3"/>
  <cols>
    <col min="1" max="1" width="14.44140625" bestFit="1" customWidth="1"/>
    <col min="3" max="3" width="10.5546875" bestFit="1" customWidth="1"/>
    <col min="4" max="4" width="14.6640625" bestFit="1" customWidth="1"/>
    <col min="5" max="5" width="14.6640625" customWidth="1"/>
    <col min="6" max="6" width="15.33203125" bestFit="1" customWidth="1"/>
    <col min="7" max="7" width="11.5546875" bestFit="1" customWidth="1"/>
    <col min="10" max="11" width="16.44140625" bestFit="1" customWidth="1"/>
    <col min="12" max="12" width="16.88671875" bestFit="1" customWidth="1"/>
    <col min="16" max="16" width="24.88671875" bestFit="1" customWidth="1"/>
    <col min="17" max="17" width="38.5546875" bestFit="1" customWidth="1"/>
    <col min="18" max="18" width="25.88671875" bestFit="1" customWidth="1"/>
    <col min="19" max="19" width="41.88671875" bestFit="1" customWidth="1"/>
  </cols>
  <sheetData>
    <row r="1" spans="1:19" ht="30" customHeight="1" x14ac:dyDescent="0.3">
      <c r="A1" s="29">
        <f>FORMULAS!A25</f>
        <v>46174</v>
      </c>
      <c r="B1" s="29"/>
      <c r="C1" s="29"/>
      <c r="D1" s="76">
        <f>DATEVALUE(VLOOKUP(C2,G3:H14,2,0)&amp;"/"&amp;D2)</f>
        <v>45992</v>
      </c>
      <c r="E1" s="76"/>
      <c r="J1" s="2" t="s">
        <v>127</v>
      </c>
      <c r="K1" s="2" t="s">
        <v>762</v>
      </c>
      <c r="L1" t="s">
        <v>746</v>
      </c>
      <c r="P1" s="277" t="str">
        <f>"RELAÇÃO DE FATURAMENTO ATÉ "&amp;D17</f>
        <v>RELAÇÃO DE FATURAMENTO ATÉ DEZEMBRO 2025</v>
      </c>
      <c r="Q1" s="278"/>
      <c r="R1" s="278"/>
      <c r="S1" s="279"/>
    </row>
    <row r="2" spans="1:19" ht="30" customHeight="1" x14ac:dyDescent="0.3">
      <c r="C2" t="s">
        <v>761</v>
      </c>
      <c r="D2" t="s">
        <v>1176</v>
      </c>
      <c r="F2">
        <f>D2-1</f>
        <v>2024</v>
      </c>
      <c r="J2">
        <f>MATCH(J1,planoContas,0)</f>
        <v>94</v>
      </c>
      <c r="K2">
        <f>MATCH(K1,planoContas,0)</f>
        <v>97</v>
      </c>
      <c r="P2" s="78" t="s">
        <v>747</v>
      </c>
      <c r="Q2" s="79" t="s">
        <v>748</v>
      </c>
      <c r="R2" s="79" t="s">
        <v>749</v>
      </c>
      <c r="S2" s="80" t="s">
        <v>730</v>
      </c>
    </row>
    <row r="3" spans="1:19" ht="30" customHeight="1" x14ac:dyDescent="0.3">
      <c r="A3" s="2">
        <f>IF(A2=MATCH($D$1,listaPeriodos,0),MATCH($D$1,listaPeriodos,0)-C3-1,MATCH($D$1,listaPeriodos,0)-C3)</f>
        <v>97</v>
      </c>
      <c r="B3" s="2">
        <v>12</v>
      </c>
      <c r="C3" s="2">
        <f t="shared" ref="C3:C14" si="0">IF(D3&gt;3000,C4+1,C4+2)</f>
        <v>13</v>
      </c>
      <c r="D3" s="7">
        <f t="shared" ref="D3:D15" si="1">INDEX(listaPeriodos,1,MATCH($D$1,listaPeriodos,0)-B3)</f>
        <v>2024</v>
      </c>
      <c r="E3" s="7">
        <f t="shared" ref="E3:E15" si="2">IF(D3&gt;3000,INDEX(listaPeriodos,1,MATCH($D$1,listaPeriodos,0)-C3),INDEX(listaPeriodos,1,MATCH($D$1,listaPeriodos,0)-C3)+1)</f>
        <v>45628</v>
      </c>
      <c r="F3" s="75">
        <f t="shared" ref="F3:F15" si="3">IF(E3&gt;3000,E3,"ANO")</f>
        <v>45628</v>
      </c>
      <c r="G3" t="s">
        <v>751</v>
      </c>
      <c r="H3">
        <v>1</v>
      </c>
      <c r="J3" s="87">
        <f>INDEX(TBBP[],$J$2+1,A3)</f>
        <v>15593184.989999998</v>
      </c>
      <c r="K3" s="87">
        <f>INDEX(TBBP[],$K$2+1,A3)</f>
        <v>-394814.87</v>
      </c>
      <c r="L3" s="88">
        <f>J3+K3</f>
        <v>15198370.119999999</v>
      </c>
      <c r="P3" s="81" t="str">
        <f t="shared" ref="P3:P8" si="4">IFERROR(UPPER(TEXT(F4,"mmmm aaaa")),"SEM DADOS")</f>
        <v>JANEIRO 2025</v>
      </c>
      <c r="Q3" s="82">
        <f t="shared" ref="Q3:Q8" si="5">IFERROR(L4,"PERÍODO NÃO APURADO")</f>
        <v>9998339.1399999987</v>
      </c>
      <c r="R3" s="83" t="str">
        <f t="shared" ref="R3:R8" si="6">IFERROR(UPPER(TEXT(F10,"mmmm aaaa")),"SEM DADOS")</f>
        <v>JULHO 2025</v>
      </c>
      <c r="S3" s="84">
        <f t="shared" ref="S3:S8" si="7">IFERROR(L10,"PERÍODO NÃO APURADO")</f>
        <v>10272398.769999998</v>
      </c>
    </row>
    <row r="4" spans="1:19" ht="30" customHeight="1" x14ac:dyDescent="0.3">
      <c r="A4" s="2">
        <f t="shared" ref="A4:A15" si="8">IF(A3=MATCH($D$1,listaPeriodos,0)-C4,MATCH($D$1,listaPeriodos,0)-C4-1,MATCH($D$1,listaPeriodos,0)-C4)</f>
        <v>99</v>
      </c>
      <c r="B4" s="2">
        <v>11</v>
      </c>
      <c r="C4" s="2">
        <f t="shared" si="0"/>
        <v>11</v>
      </c>
      <c r="D4" s="7">
        <f t="shared" si="1"/>
        <v>45658</v>
      </c>
      <c r="E4" s="7">
        <f t="shared" si="2"/>
        <v>45658</v>
      </c>
      <c r="F4" s="75">
        <f t="shared" si="3"/>
        <v>45658</v>
      </c>
      <c r="G4" t="s">
        <v>750</v>
      </c>
      <c r="H4">
        <v>2</v>
      </c>
      <c r="J4" s="87">
        <f>INDEX(TBBP[],$J$2+1,A4)</f>
        <v>10440693.199999999</v>
      </c>
      <c r="K4" s="87">
        <f>INDEX(TBBP[],$K$2+1,A4)</f>
        <v>-442354.06</v>
      </c>
      <c r="L4" s="88">
        <f t="shared" ref="L4:L15" si="9">J4+K4</f>
        <v>9998339.1399999987</v>
      </c>
      <c r="P4" s="81" t="str">
        <f t="shared" si="4"/>
        <v>FEVEREIRO 2025</v>
      </c>
      <c r="Q4" s="82">
        <f t="shared" si="5"/>
        <v>11173948.989999998</v>
      </c>
      <c r="R4" s="83" t="str">
        <f t="shared" si="6"/>
        <v>AGOSTO 2025</v>
      </c>
      <c r="S4" s="84">
        <f t="shared" si="7"/>
        <v>10453478.640000001</v>
      </c>
    </row>
    <row r="5" spans="1:19" ht="30" customHeight="1" x14ac:dyDescent="0.3">
      <c r="A5" s="2">
        <f t="shared" si="8"/>
        <v>100</v>
      </c>
      <c r="B5" s="2">
        <v>10</v>
      </c>
      <c r="C5" s="2">
        <f t="shared" si="0"/>
        <v>10</v>
      </c>
      <c r="D5" s="7">
        <f t="shared" si="1"/>
        <v>45689</v>
      </c>
      <c r="E5" s="7">
        <f t="shared" si="2"/>
        <v>45689</v>
      </c>
      <c r="F5" s="75">
        <f t="shared" si="3"/>
        <v>45689</v>
      </c>
      <c r="G5" t="s">
        <v>752</v>
      </c>
      <c r="H5">
        <v>3</v>
      </c>
      <c r="J5" s="87">
        <f>INDEX(TBBP[],$J$2+1,A5)</f>
        <v>11506721.789999999</v>
      </c>
      <c r="K5" s="87">
        <f>INDEX(TBBP[],$K$2+1,A5)</f>
        <v>-332772.8</v>
      </c>
      <c r="L5" s="88">
        <f t="shared" si="9"/>
        <v>11173948.989999998</v>
      </c>
      <c r="P5" s="81" t="str">
        <f t="shared" si="4"/>
        <v>MARÇO 2025</v>
      </c>
      <c r="Q5" s="82">
        <f t="shared" si="5"/>
        <v>11240346.299999999</v>
      </c>
      <c r="R5" s="83" t="str">
        <f t="shared" si="6"/>
        <v>SETEMBRO 2025</v>
      </c>
      <c r="S5" s="84">
        <f t="shared" si="7"/>
        <v>10059983.68</v>
      </c>
    </row>
    <row r="6" spans="1:19" ht="30" customHeight="1" x14ac:dyDescent="0.3">
      <c r="A6" s="2">
        <f t="shared" si="8"/>
        <v>101</v>
      </c>
      <c r="B6" s="2">
        <v>9</v>
      </c>
      <c r="C6" s="2">
        <f t="shared" si="0"/>
        <v>9</v>
      </c>
      <c r="D6" s="7">
        <f t="shared" si="1"/>
        <v>45717</v>
      </c>
      <c r="E6" s="7">
        <f t="shared" si="2"/>
        <v>45717</v>
      </c>
      <c r="F6" s="75">
        <f t="shared" si="3"/>
        <v>45717</v>
      </c>
      <c r="G6" t="s">
        <v>753</v>
      </c>
      <c r="H6">
        <v>4</v>
      </c>
      <c r="J6" s="87">
        <f>INDEX(TBBP[],$J$2+1,A6)</f>
        <v>12675781.439999999</v>
      </c>
      <c r="K6" s="87">
        <f>INDEX(TBBP[],$K$2+1,A6)</f>
        <v>-1435435.14</v>
      </c>
      <c r="L6" s="88">
        <f t="shared" si="9"/>
        <v>11240346.299999999</v>
      </c>
      <c r="P6" s="81" t="str">
        <f t="shared" si="4"/>
        <v>ABRIL 2025</v>
      </c>
      <c r="Q6" s="82">
        <f t="shared" si="5"/>
        <v>15802239.939999999</v>
      </c>
      <c r="R6" s="83" t="str">
        <f t="shared" si="6"/>
        <v>OUTUBRO 2025</v>
      </c>
      <c r="S6" s="84">
        <f t="shared" si="7"/>
        <v>9923763.1700000018</v>
      </c>
    </row>
    <row r="7" spans="1:19" ht="30" customHeight="1" x14ac:dyDescent="0.3">
      <c r="A7" s="2">
        <f t="shared" si="8"/>
        <v>102</v>
      </c>
      <c r="B7" s="2">
        <v>8</v>
      </c>
      <c r="C7" s="2">
        <f t="shared" si="0"/>
        <v>8</v>
      </c>
      <c r="D7" s="7">
        <f t="shared" si="1"/>
        <v>45748</v>
      </c>
      <c r="E7" s="7">
        <f t="shared" si="2"/>
        <v>45748</v>
      </c>
      <c r="F7" s="75">
        <f t="shared" si="3"/>
        <v>45748</v>
      </c>
      <c r="G7" t="s">
        <v>754</v>
      </c>
      <c r="H7">
        <v>5</v>
      </c>
      <c r="J7" s="87">
        <f>INDEX(TBBP[],$J$2+1,A7)</f>
        <v>16729632.619999999</v>
      </c>
      <c r="K7" s="87">
        <f>INDEX(TBBP[],$K$2+1,A7)</f>
        <v>-927392.68</v>
      </c>
      <c r="L7" s="88">
        <f t="shared" si="9"/>
        <v>15802239.939999999</v>
      </c>
      <c r="P7" s="81" t="str">
        <f t="shared" si="4"/>
        <v>MAIO 2025</v>
      </c>
      <c r="Q7" s="82">
        <f t="shared" si="5"/>
        <v>16341614.880000001</v>
      </c>
      <c r="R7" s="83" t="str">
        <f t="shared" si="6"/>
        <v>NOVEMBRO 2025</v>
      </c>
      <c r="S7" s="84">
        <f t="shared" si="7"/>
        <v>10715307.379999999</v>
      </c>
    </row>
    <row r="8" spans="1:19" ht="30" customHeight="1" x14ac:dyDescent="0.3">
      <c r="A8" s="2">
        <f t="shared" si="8"/>
        <v>103</v>
      </c>
      <c r="B8" s="2">
        <v>7</v>
      </c>
      <c r="C8" s="2">
        <f t="shared" si="0"/>
        <v>7</v>
      </c>
      <c r="D8" s="7">
        <f t="shared" si="1"/>
        <v>45778</v>
      </c>
      <c r="E8" s="7">
        <f t="shared" si="2"/>
        <v>45778</v>
      </c>
      <c r="F8" s="75">
        <f t="shared" si="3"/>
        <v>45778</v>
      </c>
      <c r="G8" t="s">
        <v>755</v>
      </c>
      <c r="H8">
        <v>6</v>
      </c>
      <c r="J8" s="87">
        <f>INDEX(TBBP[],$J$2+1,A8)</f>
        <v>16519964.5</v>
      </c>
      <c r="K8" s="87">
        <f>INDEX(TBBP[],$K$2+1,A8)</f>
        <v>-178349.62</v>
      </c>
      <c r="L8" s="88">
        <f t="shared" si="9"/>
        <v>16341614.880000001</v>
      </c>
      <c r="P8" s="221" t="str">
        <f t="shared" si="4"/>
        <v>JUNHO 2025</v>
      </c>
      <c r="Q8" s="222">
        <f t="shared" si="5"/>
        <v>9419394.8600000013</v>
      </c>
      <c r="R8" s="83" t="str">
        <f t="shared" si="6"/>
        <v>DEZEMBRO 2025</v>
      </c>
      <c r="S8" s="84">
        <f t="shared" si="7"/>
        <v>8681820.4800000004</v>
      </c>
    </row>
    <row r="9" spans="1:19" ht="30" customHeight="1" x14ac:dyDescent="0.3">
      <c r="A9" s="2">
        <f t="shared" si="8"/>
        <v>104</v>
      </c>
      <c r="B9" s="2">
        <v>6</v>
      </c>
      <c r="C9" s="2">
        <f t="shared" si="0"/>
        <v>6</v>
      </c>
      <c r="D9" s="7">
        <f t="shared" si="1"/>
        <v>45809</v>
      </c>
      <c r="E9" s="7">
        <f t="shared" si="2"/>
        <v>45809</v>
      </c>
      <c r="F9" s="75">
        <f t="shared" si="3"/>
        <v>45809</v>
      </c>
      <c r="G9" t="s">
        <v>756</v>
      </c>
      <c r="H9">
        <v>7</v>
      </c>
      <c r="J9" s="87">
        <f>INDEX(TBBP[],$J$2+1,A9)</f>
        <v>14176496.430000002</v>
      </c>
      <c r="K9" s="87">
        <f>INDEX(TBBP[],$K$2+1,A9)</f>
        <v>-4757101.57</v>
      </c>
      <c r="L9" s="88">
        <f t="shared" si="9"/>
        <v>9419394.8600000013</v>
      </c>
      <c r="P9" s="148"/>
      <c r="Q9" s="149"/>
      <c r="R9" s="150" t="s">
        <v>764</v>
      </c>
      <c r="S9" s="151">
        <f>IFERROR(SUM(L4:L15),"PERÍODO NÃO APURADO")</f>
        <v>134082636.22999999</v>
      </c>
    </row>
    <row r="10" spans="1:19" x14ac:dyDescent="0.3">
      <c r="A10" s="2">
        <f t="shared" si="8"/>
        <v>105</v>
      </c>
      <c r="B10" s="2">
        <v>5</v>
      </c>
      <c r="C10" s="2">
        <f t="shared" si="0"/>
        <v>5</v>
      </c>
      <c r="D10" s="7">
        <f t="shared" si="1"/>
        <v>45839</v>
      </c>
      <c r="E10" s="7">
        <f t="shared" si="2"/>
        <v>45839</v>
      </c>
      <c r="F10" s="75">
        <f t="shared" si="3"/>
        <v>45839</v>
      </c>
      <c r="G10" t="s">
        <v>757</v>
      </c>
      <c r="H10">
        <v>8</v>
      </c>
      <c r="J10" s="87">
        <f>INDEX(TBBP[],$J$2+1,A10)</f>
        <v>11056996.909999998</v>
      </c>
      <c r="K10" s="87">
        <f>INDEX(TBBP[],$K$2+1,A10)</f>
        <v>-784598.14</v>
      </c>
      <c r="L10" s="88">
        <f t="shared" si="9"/>
        <v>10272398.769999998</v>
      </c>
    </row>
    <row r="11" spans="1:19" x14ac:dyDescent="0.3">
      <c r="A11" s="2">
        <f t="shared" si="8"/>
        <v>106</v>
      </c>
      <c r="B11" s="2">
        <v>4</v>
      </c>
      <c r="C11" s="2">
        <f t="shared" si="0"/>
        <v>4</v>
      </c>
      <c r="D11" s="7">
        <f t="shared" si="1"/>
        <v>45870</v>
      </c>
      <c r="E11" s="7">
        <f t="shared" si="2"/>
        <v>45870</v>
      </c>
      <c r="F11" s="75">
        <f t="shared" si="3"/>
        <v>45870</v>
      </c>
      <c r="G11" t="s">
        <v>758</v>
      </c>
      <c r="H11">
        <v>9</v>
      </c>
      <c r="J11" s="87">
        <f>INDEX(TBBP[],$J$2+1,A11)</f>
        <v>11735857.360000001</v>
      </c>
      <c r="K11" s="87">
        <f>INDEX(TBBP[],$K$2+1,A11)</f>
        <v>-1282378.72</v>
      </c>
      <c r="L11" s="88">
        <f t="shared" si="9"/>
        <v>10453478.640000001</v>
      </c>
    </row>
    <row r="12" spans="1:19" x14ac:dyDescent="0.3">
      <c r="A12" s="2">
        <f t="shared" si="8"/>
        <v>107</v>
      </c>
      <c r="B12" s="2">
        <v>3</v>
      </c>
      <c r="C12" s="2">
        <f t="shared" si="0"/>
        <v>3</v>
      </c>
      <c r="D12" s="7">
        <f t="shared" si="1"/>
        <v>45901</v>
      </c>
      <c r="E12" s="7">
        <f t="shared" si="2"/>
        <v>45901</v>
      </c>
      <c r="F12" s="75">
        <f t="shared" si="3"/>
        <v>45901</v>
      </c>
      <c r="G12" t="s">
        <v>759</v>
      </c>
      <c r="H12">
        <v>10</v>
      </c>
      <c r="J12" s="87">
        <f>INDEX(TBBP[],$J$2+1,A12)</f>
        <v>12009546.08</v>
      </c>
      <c r="K12" s="87">
        <f>INDEX(TBBP[],$K$2+1,A12)</f>
        <v>-1949562.4</v>
      </c>
      <c r="L12" s="88">
        <f t="shared" si="9"/>
        <v>10059983.68</v>
      </c>
    </row>
    <row r="13" spans="1:19" x14ac:dyDescent="0.3">
      <c r="A13" s="2">
        <f t="shared" si="8"/>
        <v>108</v>
      </c>
      <c r="B13" s="2">
        <v>2</v>
      </c>
      <c r="C13" s="2">
        <f t="shared" si="0"/>
        <v>2</v>
      </c>
      <c r="D13" s="7">
        <f t="shared" si="1"/>
        <v>45931</v>
      </c>
      <c r="E13" s="7">
        <f t="shared" si="2"/>
        <v>45931</v>
      </c>
      <c r="F13" s="75">
        <f t="shared" si="3"/>
        <v>45931</v>
      </c>
      <c r="G13" t="s">
        <v>760</v>
      </c>
      <c r="H13">
        <v>11</v>
      </c>
      <c r="J13" s="87">
        <f>INDEX(TBBP[],$J$2+1,A13)</f>
        <v>10598793.070000002</v>
      </c>
      <c r="K13" s="87">
        <f>INDEX(TBBP[],$K$2+1,A13)</f>
        <v>-675029.9</v>
      </c>
      <c r="L13" s="88">
        <f t="shared" si="9"/>
        <v>9923763.1700000018</v>
      </c>
    </row>
    <row r="14" spans="1:19" x14ac:dyDescent="0.3">
      <c r="A14" s="2">
        <f t="shared" si="8"/>
        <v>109</v>
      </c>
      <c r="B14" s="2">
        <v>1</v>
      </c>
      <c r="C14" s="2">
        <f t="shared" si="0"/>
        <v>1</v>
      </c>
      <c r="D14" s="7">
        <f t="shared" si="1"/>
        <v>45962</v>
      </c>
      <c r="E14" s="7">
        <f t="shared" si="2"/>
        <v>45962</v>
      </c>
      <c r="F14" s="75">
        <f t="shared" si="3"/>
        <v>45962</v>
      </c>
      <c r="G14" t="s">
        <v>761</v>
      </c>
      <c r="H14">
        <v>12</v>
      </c>
      <c r="J14" s="87">
        <f>INDEX(TBBP[],$J$2+1,A14)</f>
        <v>11134744.35</v>
      </c>
      <c r="K14" s="87">
        <f>INDEX(TBBP[],$K$2+1,A14)</f>
        <v>-419436.97</v>
      </c>
      <c r="L14" s="88">
        <f t="shared" si="9"/>
        <v>10715307.379999999</v>
      </c>
    </row>
    <row r="15" spans="1:19" x14ac:dyDescent="0.3">
      <c r="A15" s="2">
        <f t="shared" si="8"/>
        <v>110</v>
      </c>
      <c r="B15" s="2">
        <v>0</v>
      </c>
      <c r="C15" s="2">
        <v>0</v>
      </c>
      <c r="D15" s="7">
        <f t="shared" si="1"/>
        <v>45992</v>
      </c>
      <c r="E15" s="7">
        <f t="shared" si="2"/>
        <v>45992</v>
      </c>
      <c r="F15" s="75">
        <f t="shared" si="3"/>
        <v>45992</v>
      </c>
      <c r="J15" s="87">
        <f>INDEX(TBBP[],$J$2+1,A15)</f>
        <v>9273334.8399999999</v>
      </c>
      <c r="K15" s="87">
        <f>INDEX(TBBP[],$K$2+1,A15)</f>
        <v>-591514.36</v>
      </c>
      <c r="L15" s="88">
        <f t="shared" si="9"/>
        <v>8681820.4800000004</v>
      </c>
    </row>
    <row r="16" spans="1:19" ht="15.6" x14ac:dyDescent="0.3">
      <c r="A16" s="2"/>
      <c r="B16" s="2"/>
      <c r="C16" s="2"/>
      <c r="D16" s="7"/>
      <c r="E16" s="7"/>
      <c r="F16" s="75"/>
      <c r="J16" s="4"/>
      <c r="K16" s="4"/>
      <c r="L16" s="9"/>
      <c r="P16" s="281" t="s">
        <v>844</v>
      </c>
      <c r="Q16" s="281"/>
      <c r="R16" s="281"/>
      <c r="S16" s="281"/>
    </row>
    <row r="17" spans="4:20" ht="16.8" x14ac:dyDescent="0.4">
      <c r="D17" s="85" t="str">
        <f>UPPER(TEXT(D1,"mmmm aaaa"))</f>
        <v>DEZEMBRO 2025</v>
      </c>
      <c r="T17" s="77"/>
    </row>
    <row r="19" spans="4:20" x14ac:dyDescent="0.3">
      <c r="D19" s="29">
        <f ca="1">TODAY()</f>
        <v>46240</v>
      </c>
    </row>
    <row r="21" spans="4:20" ht="21" x14ac:dyDescent="0.4">
      <c r="P21" s="280" t="str">
        <f ca="1">UPPER(TEXT(D19,"dd mmmm aaaa"))</f>
        <v>06 AGOSTO 2026</v>
      </c>
      <c r="Q21" s="280"/>
      <c r="R21" s="280"/>
      <c r="S21" s="280"/>
    </row>
  </sheetData>
  <mergeCells count="3">
    <mergeCell ref="P1:S1"/>
    <mergeCell ref="P21:S21"/>
    <mergeCell ref="P16:S16"/>
  </mergeCells>
  <phoneticPr fontId="6" type="noConversion"/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0" orientation="portrait" r:id="rId1"/>
  <headerFooter>
    <oddHeader>&amp;L&amp;G&amp;C
AGF IMPORTAÇÃO EXPORTAÇÃO E COMERCIALIZAÇÃO DE MAQUINAS E ACESSORIOS LTDA
CNPJ: 11.681.470/0001-84 IE: 530051442114</oddHead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E2B46-4CB3-43AA-99E0-D11DA54443F8}">
  <sheetPr codeName="Planilha18"/>
  <dimension ref="A1:L85"/>
  <sheetViews>
    <sheetView topLeftCell="A64" workbookViewId="0">
      <selection activeCell="B85" sqref="B85:E85"/>
    </sheetView>
  </sheetViews>
  <sheetFormatPr defaultRowHeight="14.4" x14ac:dyDescent="0.3"/>
  <cols>
    <col min="1" max="1" width="10.6640625" bestFit="1" customWidth="1"/>
    <col min="2" max="2" width="16.44140625" bestFit="1" customWidth="1"/>
    <col min="3" max="3" width="17" customWidth="1"/>
    <col min="4" max="4" width="16.88671875" bestFit="1" customWidth="1"/>
    <col min="5" max="5" width="18" bestFit="1" customWidth="1"/>
    <col min="10" max="10" width="22.33203125" bestFit="1" customWidth="1"/>
    <col min="11" max="11" width="10.6640625" bestFit="1" customWidth="1"/>
  </cols>
  <sheetData>
    <row r="1" spans="1:12" x14ac:dyDescent="0.3">
      <c r="A1" t="s">
        <v>1082</v>
      </c>
      <c r="B1" t="s">
        <v>127</v>
      </c>
      <c r="C1" t="s">
        <v>762</v>
      </c>
      <c r="D1" t="s">
        <v>746</v>
      </c>
      <c r="E1" t="s">
        <v>1085</v>
      </c>
      <c r="F1">
        <f>MATCH(B1,planoContas,0)</f>
        <v>94</v>
      </c>
      <c r="G1">
        <f>MATCH(C1,planoContas,0)</f>
        <v>97</v>
      </c>
      <c r="J1" t="s">
        <v>1081</v>
      </c>
      <c r="K1" s="29">
        <v>45139</v>
      </c>
    </row>
    <row r="2" spans="1:12" x14ac:dyDescent="0.3">
      <c r="A2" s="29">
        <v>43466</v>
      </c>
      <c r="B2" s="4" cm="1">
        <f t="array" ref="B2">INDEX(TBBP[],$F$1+1,MATCH(A2,listaPeriodos,0))</f>
        <v>2900617.37</v>
      </c>
      <c r="C2" s="4" cm="1">
        <f t="array" ref="C2">INDEX(TBBP[],$G$1+1,MATCH(A2,listaPeriodos,0))</f>
        <v>-146000</v>
      </c>
      <c r="D2" s="9">
        <f>B2+C2</f>
        <v>2754617.37</v>
      </c>
      <c r="J2" s="9">
        <f t="shared" ref="J2:J7" si="0">SUM(D39:D52)</f>
        <v>116095281.66000001</v>
      </c>
      <c r="K2" s="2">
        <f>MATCH(K1,TBFatMensalData,0)</f>
        <v>57</v>
      </c>
      <c r="L2" s="2">
        <f>K2-11</f>
        <v>46</v>
      </c>
    </row>
    <row r="3" spans="1:12" x14ac:dyDescent="0.3">
      <c r="A3" s="29">
        <v>43497</v>
      </c>
      <c r="B3" s="4" cm="1">
        <f t="array" ref="B3">INDEX(TBBP[],$F$1+1,MATCH(A3,listaPeriodos,0))</f>
        <v>2575187.3899999997</v>
      </c>
      <c r="C3" s="4" cm="1">
        <f t="array" ref="C3">INDEX(TBBP[],$G$1+1,MATCH(A3,listaPeriodos,0))</f>
        <v>-44124.7</v>
      </c>
      <c r="D3" s="9">
        <f t="shared" ref="D3:D57" si="1">B3+C3</f>
        <v>2531062.6899999995</v>
      </c>
      <c r="J3" s="9">
        <f t="shared" si="0"/>
        <v>114814955.64000002</v>
      </c>
      <c r="K3" s="2" t="s">
        <v>1083</v>
      </c>
      <c r="L3" s="2" t="s">
        <v>1084</v>
      </c>
    </row>
    <row r="4" spans="1:12" x14ac:dyDescent="0.3">
      <c r="A4" s="29">
        <v>43525</v>
      </c>
      <c r="B4" s="4" cm="1">
        <f t="array" ref="B4">INDEX(TBBP[],$F$1+1,MATCH(A4,listaPeriodos,0))</f>
        <v>3056059.47</v>
      </c>
      <c r="C4" s="4" cm="1">
        <f t="array" ref="C4">INDEX(TBBP[],$G$1+1,MATCH(A4,listaPeriodos,0))</f>
        <v>-283303</v>
      </c>
      <c r="D4" s="9">
        <f t="shared" si="1"/>
        <v>2772756.47</v>
      </c>
      <c r="J4" s="9">
        <f t="shared" si="0"/>
        <v>113297834.30000001</v>
      </c>
    </row>
    <row r="5" spans="1:12" x14ac:dyDescent="0.3">
      <c r="A5" s="29">
        <v>43556</v>
      </c>
      <c r="B5" s="4" cm="1">
        <f t="array" ref="B5">INDEX(TBBP[],$F$1+1,MATCH(A5,listaPeriodos,0))</f>
        <v>3227255.89</v>
      </c>
      <c r="C5" s="4" cm="1">
        <f t="array" ref="C5">INDEX(TBBP[],$G$1+1,MATCH(A5,listaPeriodos,0))</f>
        <v>-17916.099999999999</v>
      </c>
      <c r="D5" s="9">
        <f t="shared" si="1"/>
        <v>3209339.79</v>
      </c>
      <c r="J5" s="9">
        <f t="shared" si="0"/>
        <v>114467279.69</v>
      </c>
    </row>
    <row r="6" spans="1:12" x14ac:dyDescent="0.3">
      <c r="A6" s="29">
        <v>43586</v>
      </c>
      <c r="B6" s="4" cm="1">
        <f t="array" ref="B6">INDEX(TBBP[],$F$1+1,MATCH(A6,listaPeriodos,0))</f>
        <v>3272029.05</v>
      </c>
      <c r="C6" s="4" cm="1">
        <f t="array" ref="C6">INDEX(TBBP[],$G$1+1,MATCH(A6,listaPeriodos,0))</f>
        <v>-63368.639999999999</v>
      </c>
      <c r="D6" s="9">
        <f t="shared" si="1"/>
        <v>3208660.4099999997</v>
      </c>
      <c r="J6" s="9">
        <f t="shared" si="0"/>
        <v>111461016.09999999</v>
      </c>
    </row>
    <row r="7" spans="1:12" x14ac:dyDescent="0.3">
      <c r="A7" s="29">
        <v>43617</v>
      </c>
      <c r="B7" s="4" cm="1">
        <f t="array" ref="B7">INDEX(TBBP[],$F$1+1,MATCH(A7,listaPeriodos,0))</f>
        <v>2314541.0099999998</v>
      </c>
      <c r="C7" s="4" cm="1">
        <f t="array" ref="C7">INDEX(TBBP[],$G$1+1,MATCH(A7,listaPeriodos,0))</f>
        <v>0</v>
      </c>
      <c r="D7" s="9">
        <f t="shared" si="1"/>
        <v>2314541.0099999998</v>
      </c>
      <c r="J7" s="9">
        <f t="shared" si="0"/>
        <v>111646737.28</v>
      </c>
    </row>
    <row r="8" spans="1:12" x14ac:dyDescent="0.3">
      <c r="A8" s="29">
        <v>43647</v>
      </c>
      <c r="B8" s="4" cm="1">
        <f t="array" ref="B8">INDEX(TBBP[],$F$1+1,MATCH(A8,listaPeriodos,0))</f>
        <v>3221790.75</v>
      </c>
      <c r="C8" s="4" cm="1">
        <f t="array" ref="C8">INDEX(TBBP[],$G$1+1,MATCH(A8,listaPeriodos,0))</f>
        <v>-1842.1399999999999</v>
      </c>
      <c r="D8" s="9">
        <f t="shared" si="1"/>
        <v>3219948.61</v>
      </c>
    </row>
    <row r="9" spans="1:12" x14ac:dyDescent="0.3">
      <c r="A9" s="29">
        <v>43678</v>
      </c>
      <c r="B9" s="4" cm="1">
        <f t="array" ref="B9">INDEX(TBBP[],$F$1+1,MATCH(A9,listaPeriodos,0))</f>
        <v>2867989.29</v>
      </c>
      <c r="C9" s="4" cm="1">
        <f t="array" ref="C9">INDEX(TBBP[],$G$1+1,MATCH(A9,listaPeriodos,0))</f>
        <v>-63077</v>
      </c>
      <c r="D9" s="9">
        <f t="shared" si="1"/>
        <v>2804912.29</v>
      </c>
    </row>
    <row r="10" spans="1:12" x14ac:dyDescent="0.3">
      <c r="A10" s="29">
        <v>43709</v>
      </c>
      <c r="B10" s="4" cm="1">
        <f t="array" ref="B10">INDEX(TBBP[],$F$1+1,MATCH(A10,listaPeriodos,0))</f>
        <v>4135294.23</v>
      </c>
      <c r="C10" s="4" cm="1">
        <f t="array" ref="C10">INDEX(TBBP[],$G$1+1,MATCH(A10,listaPeriodos,0))</f>
        <v>-13176.83</v>
      </c>
      <c r="D10" s="9">
        <f t="shared" si="1"/>
        <v>4122117.4</v>
      </c>
    </row>
    <row r="11" spans="1:12" x14ac:dyDescent="0.3">
      <c r="A11" s="29">
        <v>43739</v>
      </c>
      <c r="B11" s="4" cm="1">
        <f t="array" ref="B11">INDEX(TBBP[],$F$1+1,MATCH(A11,listaPeriodos,0))</f>
        <v>4400707.25</v>
      </c>
      <c r="C11" s="4" cm="1">
        <f t="array" ref="C11">INDEX(TBBP[],$G$1+1,MATCH(A11,listaPeriodos,0))</f>
        <v>-183227.56</v>
      </c>
      <c r="D11" s="9">
        <f t="shared" si="1"/>
        <v>4217479.6900000004</v>
      </c>
    </row>
    <row r="12" spans="1:12" x14ac:dyDescent="0.3">
      <c r="A12" s="29">
        <v>43770</v>
      </c>
      <c r="B12" s="4" cm="1">
        <f t="array" ref="B12">INDEX(TBBP[],$F$1+1,MATCH(A12,listaPeriodos,0))</f>
        <v>3475463.92</v>
      </c>
      <c r="C12" s="4" cm="1">
        <f t="array" ref="C12">INDEX(TBBP[],$G$1+1,MATCH(A12,listaPeriodos,0))</f>
        <v>-305196.15000000002</v>
      </c>
      <c r="D12" s="9">
        <f t="shared" si="1"/>
        <v>3170267.77</v>
      </c>
    </row>
    <row r="13" spans="1:12" x14ac:dyDescent="0.3">
      <c r="A13" s="29">
        <v>43800</v>
      </c>
      <c r="B13" s="4" cm="1">
        <f t="array" ref="B13">INDEX(TBBP[],$F$1+1,MATCH(A13,listaPeriodos,0))</f>
        <v>2640162.4799999995</v>
      </c>
      <c r="C13" s="4" cm="1">
        <f t="array" ref="C13">INDEX(TBBP[],$G$1+1,MATCH(A13,listaPeriodos,0))</f>
        <v>-212000</v>
      </c>
      <c r="D13" s="9">
        <f t="shared" si="1"/>
        <v>2428162.4799999995</v>
      </c>
    </row>
    <row r="14" spans="1:12" x14ac:dyDescent="0.3">
      <c r="A14" s="29">
        <v>43831</v>
      </c>
      <c r="B14" s="4" cm="1">
        <f t="array" ref="B14">INDEX(TBBP[],$F$1+1,MATCH(A14,listaPeriodos,0))</f>
        <v>3413682.59</v>
      </c>
      <c r="C14" s="4" cm="1">
        <f t="array" ref="C14">INDEX(TBBP[],$G$1+1,MATCH(A14,listaPeriodos,0))</f>
        <v>-45961.45</v>
      </c>
      <c r="D14" s="9">
        <f t="shared" si="1"/>
        <v>3367721.1399999997</v>
      </c>
    </row>
    <row r="15" spans="1:12" x14ac:dyDescent="0.3">
      <c r="A15" s="29">
        <v>43862</v>
      </c>
      <c r="B15" s="4" cm="1">
        <f t="array" ref="B15">INDEX(TBBP[],$F$1+1,MATCH(A15,listaPeriodos,0))</f>
        <v>2721852.6399999997</v>
      </c>
      <c r="C15" s="4" cm="1">
        <f t="array" ref="C15">INDEX(TBBP[],$G$1+1,MATCH(A15,listaPeriodos,0))</f>
        <v>-23638.02</v>
      </c>
      <c r="D15" s="9">
        <f t="shared" si="1"/>
        <v>2698214.6199999996</v>
      </c>
    </row>
    <row r="16" spans="1:12" x14ac:dyDescent="0.3">
      <c r="A16" s="29">
        <v>43891</v>
      </c>
      <c r="B16" s="4" cm="1">
        <f t="array" ref="B16">INDEX(TBBP[],$F$1+1,MATCH(A16,listaPeriodos,0))</f>
        <v>2075932.72</v>
      </c>
      <c r="C16" s="4" cm="1">
        <f t="array" ref="C16">INDEX(TBBP[],$G$1+1,MATCH(A16,listaPeriodos,0))</f>
        <v>-3478.88</v>
      </c>
      <c r="D16" s="9">
        <f t="shared" si="1"/>
        <v>2072453.84</v>
      </c>
    </row>
    <row r="17" spans="1:5" x14ac:dyDescent="0.3">
      <c r="A17" s="29">
        <v>43922</v>
      </c>
      <c r="B17" s="4" cm="1">
        <f t="array" ref="B17">INDEX(TBBP[],$F$1+1,MATCH(A17,listaPeriodos,0))</f>
        <v>2176589.56</v>
      </c>
      <c r="C17" s="4" cm="1">
        <f t="array" ref="C17">INDEX(TBBP[],$G$1+1,MATCH(A17,listaPeriodos,0))</f>
        <v>-147262.67000000001</v>
      </c>
      <c r="D17" s="9">
        <f t="shared" si="1"/>
        <v>2029326.8900000001</v>
      </c>
    </row>
    <row r="18" spans="1:5" x14ac:dyDescent="0.3">
      <c r="A18" s="29">
        <v>43952</v>
      </c>
      <c r="B18" s="4" cm="1">
        <f t="array" ref="B18">INDEX(TBBP[],$F$1+1,MATCH(A18,listaPeriodos,0))</f>
        <v>2937114.15</v>
      </c>
      <c r="C18" s="4" cm="1">
        <f t="array" ref="C18">INDEX(TBBP[],$G$1+1,MATCH(A18,listaPeriodos,0))</f>
        <v>-2881.81</v>
      </c>
      <c r="D18" s="9">
        <f t="shared" si="1"/>
        <v>2934232.34</v>
      </c>
    </row>
    <row r="19" spans="1:5" x14ac:dyDescent="0.3">
      <c r="A19" s="29">
        <v>43983</v>
      </c>
      <c r="B19" s="4" cm="1">
        <f t="array" ref="B19">INDEX(TBBP[],$F$1+1,MATCH(A19,listaPeriodos,0))</f>
        <v>4537832.74</v>
      </c>
      <c r="C19" s="4" cm="1">
        <f t="array" ref="C19">INDEX(TBBP[],$G$1+1,MATCH(A19,listaPeriodos,0))</f>
        <v>-95244.77</v>
      </c>
      <c r="D19" s="9">
        <f t="shared" si="1"/>
        <v>4442587.9700000007</v>
      </c>
    </row>
    <row r="20" spans="1:5" x14ac:dyDescent="0.3">
      <c r="A20" s="29">
        <v>44013</v>
      </c>
      <c r="B20" s="4" cm="1">
        <f t="array" ref="B20">INDEX(TBBP[],$F$1+1,MATCH(A20,listaPeriodos,0))</f>
        <v>5099758.04</v>
      </c>
      <c r="C20" s="4" cm="1">
        <f t="array" ref="C20">INDEX(TBBP[],$G$1+1,MATCH(A20,listaPeriodos,0))</f>
        <v>-301204.81</v>
      </c>
      <c r="D20" s="9">
        <f t="shared" si="1"/>
        <v>4798553.2300000004</v>
      </c>
    </row>
    <row r="21" spans="1:5" x14ac:dyDescent="0.3">
      <c r="A21" s="29">
        <v>44044</v>
      </c>
      <c r="B21" s="4" cm="1">
        <f t="array" ref="B21">INDEX(TBBP[],$F$1+1,MATCH(A21,listaPeriodos,0))</f>
        <v>5254566.99</v>
      </c>
      <c r="C21" s="4" cm="1">
        <f t="array" ref="C21">INDEX(TBBP[],$G$1+1,MATCH(A21,listaPeriodos,0))</f>
        <v>-168526.08000000002</v>
      </c>
      <c r="D21" s="9">
        <f t="shared" si="1"/>
        <v>5086040.91</v>
      </c>
    </row>
    <row r="22" spans="1:5" x14ac:dyDescent="0.3">
      <c r="A22" s="29">
        <v>44075</v>
      </c>
      <c r="B22" s="4" cm="1">
        <f t="array" ref="B22">INDEX(TBBP[],$F$1+1,MATCH(A22,listaPeriodos,0))</f>
        <v>5569491.5700000003</v>
      </c>
      <c r="C22" s="4" cm="1">
        <f t="array" ref="C22">INDEX(TBBP[],$G$1+1,MATCH(A22,listaPeriodos,0))</f>
        <v>-125344.83</v>
      </c>
      <c r="D22" s="9">
        <f t="shared" si="1"/>
        <v>5444146.7400000002</v>
      </c>
    </row>
    <row r="23" spans="1:5" x14ac:dyDescent="0.3">
      <c r="A23" s="29">
        <v>44105</v>
      </c>
      <c r="B23" s="4" cm="1">
        <f t="array" ref="B23">INDEX(TBBP[],$F$1+1,MATCH(A23,listaPeriodos,0))</f>
        <v>6648857.6699999999</v>
      </c>
      <c r="C23" s="4" cm="1">
        <f t="array" ref="C23">INDEX(TBBP[],$G$1+1,MATCH(A23,listaPeriodos,0))</f>
        <v>-12528.24</v>
      </c>
      <c r="D23" s="9">
        <f t="shared" si="1"/>
        <v>6636329.4299999997</v>
      </c>
    </row>
    <row r="24" spans="1:5" x14ac:dyDescent="0.3">
      <c r="A24" s="29">
        <v>44136</v>
      </c>
      <c r="B24" s="4" cm="1">
        <f t="array" ref="B24">INDEX(TBBP[],$F$1+1,MATCH(A24,listaPeriodos,0))</f>
        <v>5504363.3500000006</v>
      </c>
      <c r="C24" s="4" cm="1">
        <f t="array" ref="C24">INDEX(TBBP[],$G$1+1,MATCH(A24,listaPeriodos,0))</f>
        <v>-177964.59</v>
      </c>
      <c r="D24" s="9">
        <f t="shared" si="1"/>
        <v>5326398.7600000007</v>
      </c>
    </row>
    <row r="25" spans="1:5" x14ac:dyDescent="0.3">
      <c r="A25" s="29">
        <v>44166</v>
      </c>
      <c r="B25" s="4" cm="1">
        <f t="array" ref="B25">INDEX(TBBP[],$F$1+1,MATCH(A25,listaPeriodos,0))</f>
        <v>5135744.9000000013</v>
      </c>
      <c r="C25" s="4" cm="1">
        <f t="array" ref="C25">INDEX(TBBP[],$G$1+1,MATCH(A25,listaPeriodos,0))</f>
        <v>-40905.96</v>
      </c>
      <c r="D25" s="9">
        <f t="shared" si="1"/>
        <v>5094838.9400000013</v>
      </c>
    </row>
    <row r="26" spans="1:5" x14ac:dyDescent="0.3">
      <c r="A26" s="29">
        <v>44197</v>
      </c>
      <c r="B26" s="4" cm="1">
        <f t="array" ref="B26">INDEX(TBBP[],$F$1+1,MATCH(A26,listaPeriodos,0))</f>
        <v>5984137.6000000006</v>
      </c>
      <c r="C26" s="4" cm="1">
        <f t="array" ref="C26">INDEX(TBBP[],$G$1+1,MATCH(A26,listaPeriodos,0))</f>
        <v>-280173.61</v>
      </c>
      <c r="D26" s="9">
        <f t="shared" si="1"/>
        <v>5703963.9900000002</v>
      </c>
      <c r="E26" s="9">
        <f>SUM(D15:D26)</f>
        <v>52267087.660000004</v>
      </c>
    </row>
    <row r="27" spans="1:5" x14ac:dyDescent="0.3">
      <c r="A27" s="29">
        <v>44228</v>
      </c>
      <c r="B27" s="4" cm="1">
        <f t="array" ref="B27">INDEX(TBBP[],$F$1+1,MATCH(A27,listaPeriodos,0))</f>
        <v>6458193.2000000011</v>
      </c>
      <c r="C27" s="4" cm="1">
        <f t="array" ref="C27">INDEX(TBBP[],$G$1+1,MATCH(A27,listaPeriodos,0))</f>
        <v>-346768.14</v>
      </c>
      <c r="D27" s="9">
        <f t="shared" si="1"/>
        <v>6111425.0600000015</v>
      </c>
      <c r="E27" s="9">
        <f>SUM(D16:D27)</f>
        <v>55680298.100000001</v>
      </c>
    </row>
    <row r="28" spans="1:5" x14ac:dyDescent="0.3">
      <c r="A28" s="29">
        <v>44256</v>
      </c>
      <c r="B28" s="4" cm="1">
        <f t="array" ref="B28">INDEX(TBBP[],$F$1+1,MATCH(A28,listaPeriodos,0))</f>
        <v>7143509.1299999999</v>
      </c>
      <c r="C28" s="4" cm="1">
        <f t="array" ref="C28">INDEX(TBBP[],$G$1+1,MATCH(A28,listaPeriodos,0))</f>
        <v>-114132.21</v>
      </c>
      <c r="D28" s="9">
        <f t="shared" si="1"/>
        <v>7029376.9199999999</v>
      </c>
      <c r="E28" s="9">
        <f t="shared" ref="E28:E64" si="2">SUM(D17:D28)</f>
        <v>60637221.180000015</v>
      </c>
    </row>
    <row r="29" spans="1:5" x14ac:dyDescent="0.3">
      <c r="A29" s="29">
        <v>44287</v>
      </c>
      <c r="B29" s="4" cm="1">
        <f t="array" ref="B29">INDEX(TBBP[],$F$1+1,MATCH(A29,listaPeriodos,0))</f>
        <v>8367948.120000001</v>
      </c>
      <c r="C29" s="4" cm="1">
        <f t="array" ref="C29">INDEX(TBBP[],$G$1+1,MATCH(A29,listaPeriodos,0))</f>
        <v>-166857.48000000001</v>
      </c>
      <c r="D29" s="9">
        <f t="shared" si="1"/>
        <v>8201090.6400000006</v>
      </c>
      <c r="E29" s="9">
        <f t="shared" si="2"/>
        <v>66808984.930000015</v>
      </c>
    </row>
    <row r="30" spans="1:5" x14ac:dyDescent="0.3">
      <c r="A30" s="29">
        <v>44317</v>
      </c>
      <c r="B30" s="4" cm="1">
        <f t="array" ref="B30">INDEX(TBBP[],$F$1+1,MATCH(A30,listaPeriodos,0))</f>
        <v>9030428.3300000001</v>
      </c>
      <c r="C30" s="4" cm="1">
        <f t="array" ref="C30">INDEX(TBBP[],$G$1+1,MATCH(A30,listaPeriodos,0))</f>
        <v>-2007.71</v>
      </c>
      <c r="D30" s="9">
        <f t="shared" si="1"/>
        <v>9028420.6199999992</v>
      </c>
      <c r="E30" s="9">
        <f t="shared" si="2"/>
        <v>72903173.210000008</v>
      </c>
    </row>
    <row r="31" spans="1:5" x14ac:dyDescent="0.3">
      <c r="A31" s="29">
        <v>44348</v>
      </c>
      <c r="B31" s="4" cm="1">
        <f t="array" ref="B31">INDEX(TBBP[],$F$1+1,MATCH(A31,listaPeriodos,0))</f>
        <v>10399690.640000001</v>
      </c>
      <c r="C31" s="4" cm="1">
        <f t="array" ref="C31">INDEX(TBBP[],$G$1+1,MATCH(A31,listaPeriodos,0))</f>
        <v>-142681.71</v>
      </c>
      <c r="D31" s="9">
        <f t="shared" si="1"/>
        <v>10257008.93</v>
      </c>
      <c r="E31" s="9">
        <f t="shared" si="2"/>
        <v>78717594.170000017</v>
      </c>
    </row>
    <row r="32" spans="1:5" x14ac:dyDescent="0.3">
      <c r="A32" s="29">
        <v>44378</v>
      </c>
      <c r="B32" s="4" cm="1">
        <f t="array" ref="B32">INDEX(TBBP[],$F$1+1,MATCH(A32,listaPeriodos,0))</f>
        <v>10783795.330000002</v>
      </c>
      <c r="C32" s="4" cm="1">
        <f t="array" ref="C32">INDEX(TBBP[],$G$1+1,MATCH(A32,listaPeriodos,0))</f>
        <v>-97705.67</v>
      </c>
      <c r="D32" s="9">
        <f t="shared" si="1"/>
        <v>10686089.660000002</v>
      </c>
      <c r="E32" s="9">
        <f t="shared" si="2"/>
        <v>84605130.599999994</v>
      </c>
    </row>
    <row r="33" spans="1:5" x14ac:dyDescent="0.3">
      <c r="A33" s="29">
        <v>44409</v>
      </c>
      <c r="B33" s="4" cm="1">
        <f t="array" ref="B33">INDEX(TBBP[],$F$1+1,MATCH(A33,listaPeriodos,0))</f>
        <v>10567529.34</v>
      </c>
      <c r="C33" s="4" cm="1">
        <f t="array" ref="C33">INDEX(TBBP[],$G$1+1,MATCH(A33,listaPeriodos,0))</f>
        <v>-748962.08</v>
      </c>
      <c r="D33" s="9">
        <f t="shared" si="1"/>
        <v>9818567.2599999998</v>
      </c>
      <c r="E33" s="9">
        <f t="shared" si="2"/>
        <v>89337656.950000003</v>
      </c>
    </row>
    <row r="34" spans="1:5" x14ac:dyDescent="0.3">
      <c r="A34" s="29">
        <v>44440</v>
      </c>
      <c r="B34" s="4" cm="1">
        <f t="array" ref="B34">INDEX(TBBP[],$F$1+1,MATCH(A34,listaPeriodos,0))</f>
        <v>10167180.199999999</v>
      </c>
      <c r="C34" s="4" cm="1">
        <f t="array" ref="C34">INDEX(TBBP[],$G$1+1,MATCH(A34,listaPeriodos,0))</f>
        <v>-163893.24</v>
      </c>
      <c r="D34" s="9">
        <f t="shared" si="1"/>
        <v>10003286.959999999</v>
      </c>
      <c r="E34" s="9">
        <f t="shared" si="2"/>
        <v>93896797.170000002</v>
      </c>
    </row>
    <row r="35" spans="1:5" x14ac:dyDescent="0.3">
      <c r="A35" s="29">
        <v>44470</v>
      </c>
      <c r="B35" s="4" cm="1">
        <f t="array" ref="B35">INDEX(TBBP[],$F$1+1,MATCH(A35,listaPeriodos,0))</f>
        <v>9090243.2699999996</v>
      </c>
      <c r="C35" s="4" cm="1">
        <f t="array" ref="C35">INDEX(TBBP[],$G$1+1,MATCH(A35,listaPeriodos,0))</f>
        <v>-473639.41</v>
      </c>
      <c r="D35" s="9">
        <f t="shared" si="1"/>
        <v>8616603.8599999994</v>
      </c>
      <c r="E35" s="9">
        <f t="shared" si="2"/>
        <v>95877071.599999994</v>
      </c>
    </row>
    <row r="36" spans="1:5" x14ac:dyDescent="0.3">
      <c r="A36" s="29">
        <v>44501</v>
      </c>
      <c r="B36" s="4" cm="1">
        <f t="array" ref="B36">INDEX(TBBP[],$F$1+1,MATCH(A36,listaPeriodos,0))</f>
        <v>7572149.7800000003</v>
      </c>
      <c r="C36" s="4" cm="1">
        <f t="array" ref="C36">INDEX(TBBP[],$G$1+1,MATCH(A36,listaPeriodos,0))</f>
        <v>-450430.56</v>
      </c>
      <c r="D36" s="9">
        <f t="shared" si="1"/>
        <v>7121719.2200000007</v>
      </c>
      <c r="E36" s="9">
        <f t="shared" si="2"/>
        <v>97672392.060000002</v>
      </c>
    </row>
    <row r="37" spans="1:5" x14ac:dyDescent="0.3">
      <c r="A37" s="29">
        <v>44531</v>
      </c>
      <c r="B37" s="4" cm="1">
        <f t="array" ref="B37">INDEX(TBBP[],$F$1+1,MATCH(A37,listaPeriodos,0))</f>
        <v>7300945.6600000001</v>
      </c>
      <c r="C37" s="4" cm="1">
        <f t="array" ref="C37">INDEX(TBBP[],$G$1+1,MATCH(A37,listaPeriodos,0))</f>
        <v>-907751.49</v>
      </c>
      <c r="D37" s="9">
        <f t="shared" si="1"/>
        <v>6393194.1699999999</v>
      </c>
      <c r="E37" s="9">
        <f t="shared" si="2"/>
        <v>98970747.289999992</v>
      </c>
    </row>
    <row r="38" spans="1:5" x14ac:dyDescent="0.3">
      <c r="A38" s="29">
        <v>44562</v>
      </c>
      <c r="B38" s="4" cm="1">
        <f t="array" ref="B38">INDEX(TBBP[],$F$1+1,MATCH(A38,listaPeriodos,0))</f>
        <v>6905753.6500000004</v>
      </c>
      <c r="C38" s="4" cm="1">
        <f t="array" ref="C38">INDEX(TBBP[],$G$1+1,MATCH(A38,listaPeriodos,0))</f>
        <v>-447532.97</v>
      </c>
      <c r="D38" s="9">
        <f t="shared" si="1"/>
        <v>6458220.6800000006</v>
      </c>
      <c r="E38" s="9">
        <f t="shared" si="2"/>
        <v>99725003.980000004</v>
      </c>
    </row>
    <row r="39" spans="1:5" x14ac:dyDescent="0.3">
      <c r="A39" s="29">
        <v>44593</v>
      </c>
      <c r="B39" s="4" cm="1">
        <f t="array" ref="B39">INDEX(TBBP[],$F$1+1,MATCH(A39,listaPeriodos,0))</f>
        <v>8578941.1099999994</v>
      </c>
      <c r="C39" s="4" cm="1">
        <f t="array" ref="C39">INDEX(TBBP[],$G$1+1,MATCH(A39,listaPeriodos,0))</f>
        <v>-564980.61</v>
      </c>
      <c r="D39" s="9">
        <f t="shared" si="1"/>
        <v>8013960.4999999991</v>
      </c>
      <c r="E39" s="9">
        <f t="shared" si="2"/>
        <v>101627539.42</v>
      </c>
    </row>
    <row r="40" spans="1:5" x14ac:dyDescent="0.3">
      <c r="A40" s="29">
        <v>44621</v>
      </c>
      <c r="B40" s="4" cm="1">
        <f t="array" ref="B40">INDEX(TBBP[],$F$1+1,MATCH(A40,listaPeriodos,0))</f>
        <v>13363384.18</v>
      </c>
      <c r="C40" s="4" cm="1">
        <f t="array" ref="C40">INDEX(TBBP[],$G$1+1,MATCH(A40,listaPeriodos,0))</f>
        <v>-906923.54</v>
      </c>
      <c r="D40" s="9">
        <f t="shared" si="1"/>
        <v>12456460.640000001</v>
      </c>
      <c r="E40" s="9">
        <f t="shared" si="2"/>
        <v>107054623.14000002</v>
      </c>
    </row>
    <row r="41" spans="1:5" x14ac:dyDescent="0.3">
      <c r="A41" s="29">
        <v>44652</v>
      </c>
      <c r="B41" s="4" cm="1">
        <f t="array" ref="B41">INDEX(TBBP[],$F$1+1,MATCH(A41,listaPeriodos,0))</f>
        <v>9523992.8300000001</v>
      </c>
      <c r="C41" s="4" cm="1">
        <f t="array" ref="C41">INDEX(TBBP[],$G$1+1,MATCH(A41,listaPeriodos,0))</f>
        <v>-842567.06</v>
      </c>
      <c r="D41" s="9">
        <f t="shared" si="1"/>
        <v>8681425.7699999996</v>
      </c>
      <c r="E41" s="9">
        <f t="shared" si="2"/>
        <v>107534958.27</v>
      </c>
    </row>
    <row r="42" spans="1:5" x14ac:dyDescent="0.3">
      <c r="A42" s="29">
        <v>44682</v>
      </c>
      <c r="B42" s="4" cm="1">
        <f t="array" ref="B42">INDEX(TBBP[],$F$1+1,MATCH(A42,listaPeriodos,0))</f>
        <v>9420703.4799999986</v>
      </c>
      <c r="C42" s="4" cm="1">
        <f t="array" ref="C42">INDEX(TBBP[],$G$1+1,MATCH(A42,listaPeriodos,0))</f>
        <v>-5825</v>
      </c>
      <c r="D42" s="9">
        <f t="shared" si="1"/>
        <v>9414878.4799999986</v>
      </c>
      <c r="E42" s="9">
        <f t="shared" si="2"/>
        <v>107921416.13000001</v>
      </c>
    </row>
    <row r="43" spans="1:5" x14ac:dyDescent="0.3">
      <c r="A43" s="29">
        <v>44713</v>
      </c>
      <c r="B43" s="4" cm="1">
        <f t="array" ref="B43">INDEX(TBBP[],$F$1+1,MATCH(A43,listaPeriodos,0))</f>
        <v>10258238.4</v>
      </c>
      <c r="C43" s="4" cm="1">
        <f t="array" ref="C43">INDEX(TBBP[],$G$1+1,MATCH(A43,listaPeriodos,0))</f>
        <v>-711513.66</v>
      </c>
      <c r="D43" s="9">
        <f t="shared" si="1"/>
        <v>9546724.7400000002</v>
      </c>
      <c r="E43" s="9">
        <f t="shared" si="2"/>
        <v>107211131.94</v>
      </c>
    </row>
    <row r="44" spans="1:5" x14ac:dyDescent="0.3">
      <c r="A44" s="29">
        <v>44743</v>
      </c>
      <c r="B44" s="4" cm="1">
        <f t="array" ref="B44">INDEX(TBBP[],$F$1+1,MATCH(A44,listaPeriodos,0))</f>
        <v>9044960.7999999989</v>
      </c>
      <c r="C44" s="4" cm="1">
        <f t="array" ref="C44">INDEX(TBBP[],$G$1+1,MATCH(A44,listaPeriodos,0))</f>
        <v>-378882.95</v>
      </c>
      <c r="D44" s="9">
        <f t="shared" si="1"/>
        <v>8666077.8499999996</v>
      </c>
      <c r="E44" s="9">
        <f t="shared" si="2"/>
        <v>105191120.12999998</v>
      </c>
    </row>
    <row r="45" spans="1:5" x14ac:dyDescent="0.3">
      <c r="A45" s="29">
        <v>44774</v>
      </c>
      <c r="B45" s="4" cm="1">
        <f t="array" ref="B45">INDEX(TBBP[],$F$1+1,MATCH(A45,listaPeriodos,0))</f>
        <v>9551538.7800000012</v>
      </c>
      <c r="C45" s="4" cm="1">
        <f t="array" ref="C45">INDEX(TBBP[],$G$1+1,MATCH(A45,listaPeriodos,0))</f>
        <v>-106416.85</v>
      </c>
      <c r="D45" s="9">
        <f t="shared" si="1"/>
        <v>9445121.9300000016</v>
      </c>
      <c r="E45" s="9">
        <f t="shared" si="2"/>
        <v>104817674.8</v>
      </c>
    </row>
    <row r="46" spans="1:5" x14ac:dyDescent="0.3">
      <c r="A46" s="29">
        <v>44805</v>
      </c>
      <c r="B46" s="4" cm="1">
        <f t="array" ref="B46">INDEX(TBBP[],$F$1+1,MATCH(A46,listaPeriodos,0))</f>
        <v>10334890.16</v>
      </c>
      <c r="C46" s="4" cm="1">
        <f t="array" ref="C46">INDEX(TBBP[],$G$1+1,MATCH(A46,listaPeriodos,0))</f>
        <v>-598916.26</v>
      </c>
      <c r="D46" s="9">
        <f t="shared" si="1"/>
        <v>9735973.9000000004</v>
      </c>
      <c r="E46" s="9">
        <f t="shared" si="2"/>
        <v>104550361.74000001</v>
      </c>
    </row>
    <row r="47" spans="1:5" x14ac:dyDescent="0.3">
      <c r="A47" s="29">
        <v>44835</v>
      </c>
      <c r="B47" s="4" cm="1">
        <f t="array" ref="B47">INDEX(TBBP[],$F$1+1,MATCH(A47,listaPeriodos,0))</f>
        <v>7610532.5699999994</v>
      </c>
      <c r="C47" s="4" cm="1">
        <f t="array" ref="C47">INDEX(TBBP[],$G$1+1,MATCH(A47,listaPeriodos,0))</f>
        <v>-1216751.49</v>
      </c>
      <c r="D47" s="9">
        <f t="shared" si="1"/>
        <v>6393781.0799999991</v>
      </c>
      <c r="E47" s="9">
        <f t="shared" si="2"/>
        <v>102327538.96000001</v>
      </c>
    </row>
    <row r="48" spans="1:5" x14ac:dyDescent="0.3">
      <c r="A48" s="29">
        <v>44866</v>
      </c>
      <c r="B48" s="4" cm="1">
        <f t="array" ref="B48">INDEX(TBBP[],$F$1+1,MATCH(A48,listaPeriodos,0))</f>
        <v>8174519.1299999999</v>
      </c>
      <c r="C48" s="4" cm="1">
        <f t="array" ref="C48">INDEX(TBBP[],$G$1+1,MATCH(A48,listaPeriodos,0))</f>
        <v>-215252.65</v>
      </c>
      <c r="D48" s="9">
        <f t="shared" si="1"/>
        <v>7959266.4799999995</v>
      </c>
      <c r="E48" s="9">
        <f t="shared" si="2"/>
        <v>103165086.22000001</v>
      </c>
    </row>
    <row r="49" spans="1:5" x14ac:dyDescent="0.3">
      <c r="A49" s="29">
        <v>44896</v>
      </c>
      <c r="B49" s="4" cm="1">
        <f t="array" ref="B49">INDEX(TBBP[],$F$1+1,MATCH(A49,listaPeriodos,0))</f>
        <v>6930030.25</v>
      </c>
      <c r="C49" s="4" cm="1">
        <f t="array" ref="C49">INDEX(TBBP[],$G$1+1,MATCH(A49,listaPeriodos,0))</f>
        <v>-222064.11</v>
      </c>
      <c r="D49" s="9">
        <f t="shared" si="1"/>
        <v>6707966.1399999997</v>
      </c>
      <c r="E49" s="9">
        <f t="shared" si="2"/>
        <v>103479858.19000001</v>
      </c>
    </row>
    <row r="50" spans="1:5" x14ac:dyDescent="0.3">
      <c r="A50" s="29">
        <v>44927</v>
      </c>
      <c r="B50" s="4" cm="1">
        <f t="array" ref="B50">INDEX(TBBP[],$F$1+1,MATCH(A50,listaPeriodos,0))</f>
        <v>5872559.79</v>
      </c>
      <c r="C50" s="4" cm="1">
        <f t="array" ref="C50">INDEX(TBBP[],$G$1+1,MATCH(A50,listaPeriodos,0))</f>
        <v>-342782.5</v>
      </c>
      <c r="D50" s="9">
        <f t="shared" si="1"/>
        <v>5529777.29</v>
      </c>
      <c r="E50" s="9">
        <f t="shared" si="2"/>
        <v>102551414.80000001</v>
      </c>
    </row>
    <row r="51" spans="1:5" x14ac:dyDescent="0.3">
      <c r="A51" s="29">
        <v>44958</v>
      </c>
      <c r="B51" s="4" cm="1">
        <f t="array" ref="B51">INDEX(TBBP[],$F$1+1,MATCH(A51,listaPeriodos,0))</f>
        <v>6109318.3799999999</v>
      </c>
      <c r="C51" s="4" cm="1">
        <f t="array" ref="C51">INDEX(TBBP[],$G$1+1,MATCH(A51,listaPeriodos,0))</f>
        <v>-58672.86</v>
      </c>
      <c r="D51" s="9">
        <f t="shared" si="1"/>
        <v>6050645.5199999996</v>
      </c>
      <c r="E51" s="9">
        <f t="shared" si="2"/>
        <v>100588099.82000001</v>
      </c>
    </row>
    <row r="52" spans="1:5" x14ac:dyDescent="0.3">
      <c r="A52" s="29">
        <v>44986</v>
      </c>
      <c r="B52" s="4" cm="1">
        <f t="array" ref="B52">INDEX(TBBP[],$F$1+1,MATCH(A52,listaPeriodos,0))</f>
        <v>7697795.2199999997</v>
      </c>
      <c r="C52" s="4" cm="1">
        <f t="array" ref="C52">INDEX(TBBP[],$G$1+1,MATCH(A52,listaPeriodos,0))</f>
        <v>-204573.88</v>
      </c>
      <c r="D52" s="9">
        <f t="shared" si="1"/>
        <v>7493221.3399999999</v>
      </c>
      <c r="E52" s="9">
        <f t="shared" si="2"/>
        <v>95624860.520000011</v>
      </c>
    </row>
    <row r="53" spans="1:5" x14ac:dyDescent="0.3">
      <c r="A53" s="29">
        <v>45017</v>
      </c>
      <c r="B53" s="4" cm="1">
        <f t="array" ref="B53">INDEX(TBBP[],$F$1+1,MATCH(A53,listaPeriodos,0))</f>
        <v>7048212.46</v>
      </c>
      <c r="C53" s="4" cm="1">
        <f t="array" ref="C53">INDEX(TBBP[],$G$1+1,MATCH(A53,listaPeriodos,0))</f>
        <v>-314577.98</v>
      </c>
      <c r="D53" s="9">
        <f t="shared" si="1"/>
        <v>6733634.4800000004</v>
      </c>
      <c r="E53" s="9">
        <f t="shared" si="2"/>
        <v>93677069.230000004</v>
      </c>
    </row>
    <row r="54" spans="1:5" x14ac:dyDescent="0.3">
      <c r="A54" s="29">
        <v>45047</v>
      </c>
      <c r="B54" s="4" cm="1">
        <f t="array" ref="B54">INDEX(TBBP[],$F$1+1,MATCH(A54,listaPeriodos,0))</f>
        <v>11083984.619999999</v>
      </c>
      <c r="C54" s="4" cm="1">
        <f t="array" ref="C54">INDEX(TBBP[],$G$1+1,MATCH(A54,listaPeriodos,0))</f>
        <v>-144645.32</v>
      </c>
      <c r="D54" s="9">
        <f t="shared" si="1"/>
        <v>10939339.299999999</v>
      </c>
      <c r="E54" s="9">
        <f t="shared" si="2"/>
        <v>95201530.049999997</v>
      </c>
    </row>
    <row r="55" spans="1:5" x14ac:dyDescent="0.3">
      <c r="A55" s="29">
        <v>45078</v>
      </c>
      <c r="B55" s="4" cm="1">
        <f t="array" ref="B55">INDEX(TBBP[],$F$1+1,MATCH(A55,listaPeriodos,0))</f>
        <v>10165787.210000001</v>
      </c>
      <c r="C55" s="4" cm="1">
        <f t="array" ref="C55">INDEX(TBBP[],$G$1+1,MATCH(A55,listaPeriodos,0))</f>
        <v>-314916.05</v>
      </c>
      <c r="D55" s="9">
        <f t="shared" si="1"/>
        <v>9850871.1600000001</v>
      </c>
      <c r="E55" s="9">
        <f t="shared" si="2"/>
        <v>95505676.469999999</v>
      </c>
    </row>
    <row r="56" spans="1:5" x14ac:dyDescent="0.3">
      <c r="A56" s="29">
        <v>45108</v>
      </c>
      <c r="B56" s="4" cm="1">
        <f t="array" ref="B56">INDEX(TBBP[],$F$1+1,MATCH(A56,listaPeriodos,0))</f>
        <v>7270461.5700000003</v>
      </c>
      <c r="C56" s="4" cm="1">
        <f t="array" ref="C56">INDEX(TBBP[],$G$1+1,MATCH(A56,listaPeriodos,0))</f>
        <v>-861846.68</v>
      </c>
      <c r="D56" s="9">
        <f t="shared" si="1"/>
        <v>6408614.8900000006</v>
      </c>
      <c r="E56" s="9">
        <f t="shared" si="2"/>
        <v>93248213.510000005</v>
      </c>
    </row>
    <row r="57" spans="1:5" x14ac:dyDescent="0.3">
      <c r="A57" s="29">
        <v>45139</v>
      </c>
      <c r="B57" s="4" cm="1">
        <f t="array" ref="B57">INDEX(TBBP[],$F$1+1,MATCH(A57,listaPeriodos,0))</f>
        <v>10048399.349999998</v>
      </c>
      <c r="C57" s="4" cm="1">
        <f t="array" ref="C57">INDEX(TBBP[],$G$1+1,MATCH(A57,listaPeriodos,0))</f>
        <v>-315953.43</v>
      </c>
      <c r="D57" s="9">
        <f t="shared" si="1"/>
        <v>9732445.9199999981</v>
      </c>
      <c r="E57" s="9">
        <f t="shared" si="2"/>
        <v>93535537.5</v>
      </c>
    </row>
    <row r="58" spans="1:5" x14ac:dyDescent="0.3">
      <c r="A58" s="29">
        <v>45170</v>
      </c>
      <c r="B58" s="4" cm="1">
        <f t="array" ref="B58">INDEX(TBBP[],$F$1+1,MATCH(A58,listaPeriodos,0))</f>
        <v>9170377.5999999996</v>
      </c>
      <c r="C58" s="4" cm="1">
        <f t="array" ref="C58">INDEX(TBBP[],$G$1+1,MATCH(A58,listaPeriodos,0))</f>
        <v>-268850.26</v>
      </c>
      <c r="D58" s="9">
        <f t="shared" ref="D58:D63" si="3">B58+C58</f>
        <v>8901527.3399999999</v>
      </c>
      <c r="E58" s="9">
        <f t="shared" si="2"/>
        <v>92701090.939999998</v>
      </c>
    </row>
    <row r="59" spans="1:5" x14ac:dyDescent="0.3">
      <c r="A59" s="29">
        <v>45200</v>
      </c>
      <c r="B59" s="4" cm="1">
        <f t="array" ref="B59">INDEX(TBBP[],$F$1+1,MATCH(A59,listaPeriodos,0))</f>
        <v>11244984.779999999</v>
      </c>
      <c r="C59" s="4" cm="1">
        <f t="array" ref="C59">INDEX(TBBP[],$G$1+1,MATCH(A59,listaPeriodos,0))</f>
        <v>-711066.74</v>
      </c>
      <c r="D59" s="9">
        <f t="shared" si="3"/>
        <v>10533918.039999999</v>
      </c>
      <c r="E59" s="9">
        <f t="shared" si="2"/>
        <v>96841227.900000006</v>
      </c>
    </row>
    <row r="60" spans="1:5" x14ac:dyDescent="0.3">
      <c r="A60" s="29">
        <v>45231</v>
      </c>
      <c r="B60" s="4" cm="1">
        <f t="array" ref="B60">INDEX(TBBP[],$F$1+1,MATCH(A60,listaPeriodos,0))</f>
        <v>7826019.8000000007</v>
      </c>
      <c r="C60" s="4" cm="1">
        <f t="array" ref="C60">INDEX(TBBP[],$G$1+1,MATCH(A60,listaPeriodos,0))</f>
        <v>-518464.95</v>
      </c>
      <c r="D60" s="9">
        <f t="shared" si="3"/>
        <v>7307554.8500000006</v>
      </c>
      <c r="E60" s="9">
        <f t="shared" si="2"/>
        <v>96189516.270000011</v>
      </c>
    </row>
    <row r="61" spans="1:5" x14ac:dyDescent="0.3">
      <c r="A61" s="29">
        <v>45261</v>
      </c>
      <c r="B61" s="4" cm="1">
        <f t="array" ref="B61">INDEX(TBBP[],$F$1+1,MATCH(A61,listaPeriodos,0))</f>
        <v>10678594.619999999</v>
      </c>
      <c r="C61" s="4" cm="1">
        <f t="array" ref="C61">INDEX(TBBP[],$G$1+1,MATCH(A61,listaPeriodos,0))</f>
        <v>-727648.96</v>
      </c>
      <c r="D61" s="9">
        <f t="shared" si="3"/>
        <v>9950945.6600000001</v>
      </c>
      <c r="E61" s="9">
        <f t="shared" si="2"/>
        <v>99432495.789999992</v>
      </c>
    </row>
    <row r="62" spans="1:5" x14ac:dyDescent="0.3">
      <c r="A62" s="29">
        <v>45292</v>
      </c>
      <c r="B62" s="4" cm="1">
        <f t="array" ref="B62">INDEX(TBBP[],$F$1+1,MATCH(A62,listaPeriodos,0))</f>
        <v>9152530.2599999998</v>
      </c>
      <c r="C62" s="4" cm="1">
        <f t="array" ref="C62">INDEX(TBBP[],$G$1+1,MATCH(A62,listaPeriodos,0))</f>
        <v>-42596.66</v>
      </c>
      <c r="D62" s="9">
        <f t="shared" si="3"/>
        <v>9109933.5999999996</v>
      </c>
      <c r="E62" s="9">
        <f t="shared" si="2"/>
        <v>103012652.09999999</v>
      </c>
    </row>
    <row r="63" spans="1:5" x14ac:dyDescent="0.3">
      <c r="A63" s="29">
        <v>45323</v>
      </c>
      <c r="B63" s="4" cm="1">
        <f t="array" ref="B63">INDEX(TBBP[],$F$1+1,MATCH(A63,listaPeriodos,0))</f>
        <v>10226612.67</v>
      </c>
      <c r="C63" s="4" cm="1">
        <f t="array" ref="C63">INDEX(TBBP[],$G$1+1,MATCH(A63,listaPeriodos,0))</f>
        <v>-25478.84</v>
      </c>
      <c r="D63" s="9">
        <f t="shared" si="3"/>
        <v>10201133.83</v>
      </c>
      <c r="E63" s="9">
        <f t="shared" si="2"/>
        <v>107163140.40999998</v>
      </c>
    </row>
    <row r="64" spans="1:5" x14ac:dyDescent="0.3">
      <c r="A64" s="29">
        <v>45352</v>
      </c>
      <c r="B64" s="4" cm="1">
        <f t="array" ref="B64">INDEX(TBBP[],$F$1+1,MATCH(A64,listaPeriodos,0))</f>
        <v>9811806.5899999999</v>
      </c>
      <c r="C64" s="4" cm="1">
        <f t="array" ref="C64">INDEX(TBBP[],$G$1+1,MATCH(A64,listaPeriodos,0))</f>
        <v>-463947.98</v>
      </c>
      <c r="D64" s="9">
        <f t="shared" ref="D64:D69" si="4">B64+C64</f>
        <v>9347858.6099999994</v>
      </c>
      <c r="E64" s="9">
        <f t="shared" si="2"/>
        <v>109017777.67999999</v>
      </c>
    </row>
    <row r="65" spans="1:5" x14ac:dyDescent="0.3">
      <c r="A65" s="29">
        <v>45383</v>
      </c>
      <c r="B65" s="4" cm="1">
        <f t="array" ref="B65">INDEX(TBBP[],$F$1+1,MATCH(A65,listaPeriodos,0))</f>
        <v>13162678.76</v>
      </c>
      <c r="C65" s="4" cm="1">
        <f t="array" ref="C65">INDEX(TBBP[],$G$1+1,MATCH(A65,listaPeriodos,0))</f>
        <v>-418658.26</v>
      </c>
      <c r="D65" s="9">
        <f t="shared" si="4"/>
        <v>12744020.5</v>
      </c>
      <c r="E65" s="9">
        <f>SUM(D54:D65)</f>
        <v>115028163.69999999</v>
      </c>
    </row>
    <row r="66" spans="1:5" x14ac:dyDescent="0.3">
      <c r="A66" s="29">
        <v>45413</v>
      </c>
      <c r="B66" s="4" cm="1">
        <f t="array" ref="B66">INDEX(TBBP[],$F$1+1,MATCH(A66,listaPeriodos,0))</f>
        <v>14581408.779999999</v>
      </c>
      <c r="C66" s="4" cm="1">
        <f t="array" ref="C66">INDEX(TBBP[],$G$1+1,MATCH(A66,listaPeriodos,0))</f>
        <v>-298763.25</v>
      </c>
      <c r="D66" s="9">
        <f t="shared" si="4"/>
        <v>14282645.529999999</v>
      </c>
      <c r="E66" s="9">
        <f>SUM(D55:D66)</f>
        <v>118371469.92999999</v>
      </c>
    </row>
    <row r="67" spans="1:5" x14ac:dyDescent="0.3">
      <c r="A67" s="29">
        <v>45444</v>
      </c>
      <c r="B67" s="4" cm="1">
        <f t="array" ref="B67">INDEX(TBBP[],$F$1+1,MATCH(A67,listaPeriodos,0))</f>
        <v>13181439.569999998</v>
      </c>
      <c r="C67" s="4" cm="1">
        <f t="array" ref="C67">INDEX(TBBP[],$G$1+1,MATCH(A67,listaPeriodos,0))</f>
        <v>-414735.06</v>
      </c>
      <c r="D67" s="9">
        <f t="shared" si="4"/>
        <v>12766704.509999998</v>
      </c>
      <c r="E67" s="9">
        <f>SUM(D56:D67)</f>
        <v>121287303.28</v>
      </c>
    </row>
    <row r="68" spans="1:5" x14ac:dyDescent="0.3">
      <c r="A68" s="29">
        <v>45474</v>
      </c>
      <c r="B68" s="4" cm="1">
        <f t="array" ref="B68">INDEX(TBBP[],$F$1+1,MATCH(A68,listaPeriodos,0))</f>
        <v>14811713.790000001</v>
      </c>
      <c r="C68" s="4" cm="1">
        <f t="array" ref="C68">INDEX(TBBP[],$G$1+1,MATCH(A68,listaPeriodos,0))</f>
        <v>-769767.44</v>
      </c>
      <c r="D68" s="9">
        <f t="shared" si="4"/>
        <v>14041946.350000001</v>
      </c>
      <c r="E68" s="9">
        <f>SUM(D57:D68)</f>
        <v>128920634.73999998</v>
      </c>
    </row>
    <row r="69" spans="1:5" x14ac:dyDescent="0.3">
      <c r="A69" s="29">
        <v>45505</v>
      </c>
      <c r="B69" s="4" cm="1">
        <f t="array" ref="B69">INDEX(TBBP[],$F$1+1,MATCH(A69,listaPeriodos,0))</f>
        <v>11759584.790000001</v>
      </c>
      <c r="C69" s="4" cm="1">
        <f t="array" ref="C69">INDEX(TBBP[],$G$1+1,MATCH(A69,listaPeriodos,0))</f>
        <v>-350564.28</v>
      </c>
      <c r="D69" s="9">
        <f t="shared" si="4"/>
        <v>11409020.510000002</v>
      </c>
      <c r="E69" s="9">
        <f>SUM(D58:D69)</f>
        <v>130597209.33</v>
      </c>
    </row>
    <row r="70" spans="1:5" x14ac:dyDescent="0.3">
      <c r="A70" s="29">
        <v>45536</v>
      </c>
      <c r="B70" s="4" cm="1">
        <f t="array" ref="B70">INDEX(TBBP[],$F$1+1,MATCH(A70,listaPeriodos,0))</f>
        <v>13630452.979999999</v>
      </c>
      <c r="C70" s="4" cm="1">
        <f t="array" ref="C70">INDEX(TBBP[],$G$1+1,MATCH(A70,listaPeriodos,0))</f>
        <v>-1172519.05</v>
      </c>
      <c r="D70" s="9">
        <f t="shared" ref="D70:D85" si="5">B70+C70</f>
        <v>12457933.929999998</v>
      </c>
      <c r="E70" s="9">
        <f t="shared" ref="E70:E75" si="6">SUM(D59:D70)</f>
        <v>134153615.91999999</v>
      </c>
    </row>
    <row r="71" spans="1:5" x14ac:dyDescent="0.3">
      <c r="A71" s="29">
        <v>45566</v>
      </c>
      <c r="B71" s="4" cm="1">
        <f t="array" ref="B71">INDEX(TBBP[],$F$1+1,MATCH(A71,listaPeriodos,0))</f>
        <v>13471536.359999999</v>
      </c>
      <c r="C71" s="4" cm="1">
        <f t="array" ref="C71">INDEX(TBBP[],$G$1+1,MATCH(A71,listaPeriodos,0))</f>
        <v>-186728.69</v>
      </c>
      <c r="D71" s="9">
        <f t="shared" si="5"/>
        <v>13284807.67</v>
      </c>
      <c r="E71" s="9">
        <f t="shared" si="6"/>
        <v>136904505.54999998</v>
      </c>
    </row>
    <row r="72" spans="1:5" x14ac:dyDescent="0.3">
      <c r="A72" s="29">
        <v>45597</v>
      </c>
      <c r="B72" s="4" cm="1">
        <f t="array" ref="B72">INDEX(TBBP[],$F$1+1,MATCH(A72,listaPeriodos,0))</f>
        <v>13007721.290000001</v>
      </c>
      <c r="C72" s="4" cm="1">
        <f t="array" ref="C72">INDEX(TBBP[],$G$1+1,MATCH(A72,listaPeriodos,0))</f>
        <v>-2780083.61</v>
      </c>
      <c r="D72" s="9">
        <f t="shared" si="5"/>
        <v>10227637.680000002</v>
      </c>
      <c r="E72" s="9">
        <f t="shared" si="6"/>
        <v>139824588.38</v>
      </c>
    </row>
    <row r="73" spans="1:5" x14ac:dyDescent="0.3">
      <c r="A73" s="29">
        <v>45627</v>
      </c>
      <c r="B73" s="4" cm="1">
        <f t="array" ref="B73">INDEX(TBBP[],$F$1+1,MATCH(A73,listaPeriodos,0))</f>
        <v>15593184.989999998</v>
      </c>
      <c r="C73" s="4" cm="1">
        <f t="array" ref="C73">INDEX(TBBP[],$G$1+1,MATCH(A73,listaPeriodos,0))</f>
        <v>-394814.87</v>
      </c>
      <c r="D73" s="9">
        <f t="shared" si="5"/>
        <v>15198370.119999999</v>
      </c>
      <c r="E73" s="9">
        <f t="shared" si="6"/>
        <v>145072012.84</v>
      </c>
    </row>
    <row r="74" spans="1:5" x14ac:dyDescent="0.3">
      <c r="A74" s="29">
        <v>45658</v>
      </c>
      <c r="B74" s="4" cm="1">
        <f t="array" ref="B74">INDEX(TBBP[],$F$1+1,MATCH(A74,listaPeriodos,0))</f>
        <v>10440693.199999999</v>
      </c>
      <c r="C74" s="4" cm="1">
        <f t="array" ref="C74">INDEX(TBBP[],$G$1+1,MATCH(A74,listaPeriodos,0))</f>
        <v>-442354.06</v>
      </c>
      <c r="D74" s="9">
        <f t="shared" si="5"/>
        <v>9998339.1399999987</v>
      </c>
      <c r="E74" s="9">
        <f t="shared" si="6"/>
        <v>145960418.38</v>
      </c>
    </row>
    <row r="75" spans="1:5" x14ac:dyDescent="0.3">
      <c r="A75" s="29">
        <v>45689</v>
      </c>
      <c r="B75" s="4" cm="1">
        <f t="array" ref="B75">INDEX(TBBP[],$F$1+1,MATCH(A75,listaPeriodos,0))</f>
        <v>11506721.789999999</v>
      </c>
      <c r="C75" s="4" cm="1">
        <f t="array" ref="C75">INDEX(TBBP[],$G$1+1,MATCH(A75,listaPeriodos,0))</f>
        <v>-332772.8</v>
      </c>
      <c r="D75" s="9">
        <f t="shared" si="5"/>
        <v>11173948.989999998</v>
      </c>
      <c r="E75" s="9">
        <f t="shared" si="6"/>
        <v>146933233.54000002</v>
      </c>
    </row>
    <row r="76" spans="1:5" x14ac:dyDescent="0.3">
      <c r="A76" s="29">
        <v>45717</v>
      </c>
      <c r="B76" s="4" cm="1">
        <f t="array" ref="B76">INDEX(TBBP[],$F$1+1,MATCH(A76,listaPeriodos,0))</f>
        <v>12675781.439999999</v>
      </c>
      <c r="C76" s="4" cm="1">
        <f t="array" ref="C76">INDEX(TBBP[],$G$1+1,MATCH(A76,listaPeriodos,0))</f>
        <v>-1435435.14</v>
      </c>
      <c r="D76" s="9">
        <f t="shared" si="5"/>
        <v>11240346.299999999</v>
      </c>
      <c r="E76" s="9">
        <f t="shared" ref="E76:E85" si="7">SUM(D65:D76)</f>
        <v>148825721.23000002</v>
      </c>
    </row>
    <row r="77" spans="1:5" x14ac:dyDescent="0.3">
      <c r="A77" s="29">
        <v>45748</v>
      </c>
      <c r="B77" s="4" cm="1">
        <f t="array" ref="B77">INDEX(TBBP[],$F$1+1,MATCH(A77,listaPeriodos,0))</f>
        <v>16729632.619999999</v>
      </c>
      <c r="C77" s="4" cm="1">
        <f t="array" ref="C77">INDEX(TBBP[],$G$1+1,MATCH(A77,listaPeriodos,0))</f>
        <v>-927392.68</v>
      </c>
      <c r="D77" s="9">
        <f t="shared" si="5"/>
        <v>15802239.939999999</v>
      </c>
      <c r="E77" s="9">
        <f t="shared" si="7"/>
        <v>151883940.67000002</v>
      </c>
    </row>
    <row r="78" spans="1:5" x14ac:dyDescent="0.3">
      <c r="A78" s="29">
        <v>45778</v>
      </c>
      <c r="B78" s="4" cm="1">
        <f t="array" ref="B78">INDEX(TBBP[],$F$1+1,MATCH(A78,listaPeriodos,0))</f>
        <v>16519964.5</v>
      </c>
      <c r="C78" s="4" cm="1">
        <f t="array" ref="C78">INDEX(TBBP[],$G$1+1,MATCH(A78,listaPeriodos,0))</f>
        <v>-178349.62</v>
      </c>
      <c r="D78" s="9">
        <f t="shared" si="5"/>
        <v>16341614.880000001</v>
      </c>
      <c r="E78" s="9">
        <f t="shared" si="7"/>
        <v>153942910.02000001</v>
      </c>
    </row>
    <row r="79" spans="1:5" x14ac:dyDescent="0.3">
      <c r="A79" s="29">
        <v>45809</v>
      </c>
      <c r="B79" s="4" cm="1">
        <f t="array" ref="B79">INDEX(TBBP[],$F$1+1,MATCH(A79,listaPeriodos,0))</f>
        <v>14176496.430000002</v>
      </c>
      <c r="C79" s="4" cm="1">
        <f t="array" ref="C79">INDEX(TBBP[],$G$1+1,MATCH(A79,listaPeriodos,0))</f>
        <v>-4757101.57</v>
      </c>
      <c r="D79" s="9">
        <f t="shared" si="5"/>
        <v>9419394.8600000013</v>
      </c>
      <c r="E79" s="9">
        <f t="shared" si="7"/>
        <v>150595600.37</v>
      </c>
    </row>
    <row r="80" spans="1:5" x14ac:dyDescent="0.3">
      <c r="A80" s="29">
        <v>45839</v>
      </c>
      <c r="B80" s="4" cm="1">
        <f t="array" ref="B80">INDEX(TBBP[],$F$1+1,MATCH(A80,listaPeriodos,0))</f>
        <v>11056996.909999998</v>
      </c>
      <c r="C80" s="4" cm="1">
        <f t="array" ref="C80">INDEX(TBBP[],$G$1+1,MATCH(A80,listaPeriodos,0))</f>
        <v>-784598.14</v>
      </c>
      <c r="D80" s="9">
        <f t="shared" si="5"/>
        <v>10272398.769999998</v>
      </c>
      <c r="E80" s="9">
        <f t="shared" si="7"/>
        <v>146826052.78999999</v>
      </c>
    </row>
    <row r="81" spans="1:5" x14ac:dyDescent="0.3">
      <c r="A81" s="29">
        <v>45870</v>
      </c>
      <c r="B81" s="4" cm="1">
        <f t="array" ref="B81">INDEX(TBBP[],$F$1+1,MATCH(A81,listaPeriodos,0))</f>
        <v>11735857.360000001</v>
      </c>
      <c r="C81" s="4" cm="1">
        <f t="array" ref="C81">INDEX(TBBP[],$G$1+1,MATCH(A81,listaPeriodos,0))</f>
        <v>-1282378.72</v>
      </c>
      <c r="D81" s="9">
        <f t="shared" si="5"/>
        <v>10453478.640000001</v>
      </c>
      <c r="E81" s="9">
        <f t="shared" si="7"/>
        <v>145870510.92000002</v>
      </c>
    </row>
    <row r="82" spans="1:5" x14ac:dyDescent="0.3">
      <c r="A82" s="29">
        <v>45901</v>
      </c>
      <c r="B82" s="4" cm="1">
        <f t="array" ref="B82">INDEX(TBBP[],$F$1+1,MATCH(A82,listaPeriodos,0))</f>
        <v>12009546.08</v>
      </c>
      <c r="C82" s="4" cm="1">
        <f t="array" ref="C82">INDEX(TBBP[],$G$1+1,MATCH(A82,listaPeriodos,0))</f>
        <v>-1949562.4</v>
      </c>
      <c r="D82" s="9">
        <f t="shared" si="5"/>
        <v>10059983.68</v>
      </c>
      <c r="E82" s="9">
        <f t="shared" si="7"/>
        <v>143472560.66999999</v>
      </c>
    </row>
    <row r="83" spans="1:5" x14ac:dyDescent="0.3">
      <c r="A83" s="29">
        <v>45931</v>
      </c>
      <c r="B83" s="4" cm="1">
        <f t="array" ref="B83">INDEX(TBBP[],$F$1+1,MATCH(A83,listaPeriodos,0))</f>
        <v>10598793.070000002</v>
      </c>
      <c r="C83" s="4" cm="1">
        <f t="array" ref="C83">INDEX(TBBP[],$G$1+1,MATCH(A83,listaPeriodos,0))</f>
        <v>-675029.9</v>
      </c>
      <c r="D83" s="9">
        <f t="shared" si="5"/>
        <v>9923763.1700000018</v>
      </c>
      <c r="E83" s="9">
        <f t="shared" si="7"/>
        <v>140111516.16999996</v>
      </c>
    </row>
    <row r="84" spans="1:5" x14ac:dyDescent="0.3">
      <c r="A84" s="29">
        <v>45962</v>
      </c>
      <c r="B84" s="4" cm="1">
        <f t="array" ref="B84">INDEX(TBBP[],$F$1+1,MATCH(A84,listaPeriodos,0))</f>
        <v>11134744.35</v>
      </c>
      <c r="C84" s="4" cm="1">
        <f t="array" ref="C84">INDEX(TBBP[],$G$1+1,MATCH(A84,listaPeriodos,0))</f>
        <v>-419436.97</v>
      </c>
      <c r="D84" s="9">
        <f t="shared" si="5"/>
        <v>10715307.379999999</v>
      </c>
      <c r="E84" s="9">
        <f t="shared" si="7"/>
        <v>140599185.87</v>
      </c>
    </row>
    <row r="85" spans="1:5" x14ac:dyDescent="0.3">
      <c r="A85" s="29">
        <v>45992</v>
      </c>
      <c r="B85" s="4" cm="1">
        <f t="array" ref="B85">INDEX(TBBP[],$F$1+1,MATCH(A85,listaPeriodos,0))</f>
        <v>9273334.8399999999</v>
      </c>
      <c r="C85" s="4" cm="1">
        <f t="array" ref="C85">INDEX(TBBP[],$G$1+1,MATCH(A85,listaPeriodos,0))</f>
        <v>-591514.36</v>
      </c>
      <c r="D85" s="4">
        <f t="shared" si="5"/>
        <v>8681820.4800000004</v>
      </c>
      <c r="E85" s="4">
        <f t="shared" si="7"/>
        <v>134082636.22999999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87783-8A89-4706-88FE-FC3FACAAD748}">
  <sheetPr codeName="Planilha1">
    <pageSetUpPr fitToPage="1"/>
  </sheetPr>
  <dimension ref="A1:AD53"/>
  <sheetViews>
    <sheetView topLeftCell="A31" zoomScale="85" zoomScaleNormal="85" workbookViewId="0">
      <selection activeCell="I31" sqref="I31"/>
    </sheetView>
  </sheetViews>
  <sheetFormatPr defaultRowHeight="14.4" x14ac:dyDescent="0.3"/>
  <cols>
    <col min="1" max="1" width="18.33203125" customWidth="1"/>
    <col min="2" max="2" width="54" bestFit="1" customWidth="1"/>
    <col min="3" max="3" width="5" bestFit="1" customWidth="1"/>
    <col min="4" max="4" width="17.33203125" bestFit="1" customWidth="1"/>
    <col min="5" max="5" width="5" bestFit="1" customWidth="1"/>
    <col min="6" max="6" width="16.44140625" bestFit="1" customWidth="1"/>
    <col min="7" max="10" width="17.33203125" bestFit="1" customWidth="1"/>
    <col min="12" max="12" width="19" bestFit="1" customWidth="1"/>
    <col min="13" max="13" width="19.109375" bestFit="1" customWidth="1"/>
    <col min="14" max="14" width="11.5546875" bestFit="1" customWidth="1"/>
    <col min="15" max="15" width="16.109375" bestFit="1" customWidth="1"/>
    <col min="16" max="16" width="31.44140625" bestFit="1" customWidth="1"/>
    <col min="17" max="17" width="11.6640625" customWidth="1"/>
    <col min="18" max="18" width="15.44140625" bestFit="1" customWidth="1"/>
    <col min="19" max="19" width="15.44140625" customWidth="1"/>
    <col min="20" max="20" width="14.109375" bestFit="1" customWidth="1"/>
    <col min="21" max="21" width="17.88671875" bestFit="1" customWidth="1"/>
    <col min="22" max="22" width="11.5546875" bestFit="1" customWidth="1"/>
    <col min="29" max="29" width="59.5546875" bestFit="1" customWidth="1"/>
    <col min="30" max="30" width="28" customWidth="1"/>
  </cols>
  <sheetData>
    <row r="1" spans="1:30" x14ac:dyDescent="0.3">
      <c r="B1" s="267" t="s">
        <v>845</v>
      </c>
      <c r="C1" s="267"/>
      <c r="D1" s="267"/>
      <c r="E1" s="267"/>
      <c r="F1" s="267"/>
      <c r="G1" s="95" t="s">
        <v>885</v>
      </c>
      <c r="H1" s="117">
        <f>DATEVALUE(VLOOKUP(G3,Z1:AA12,2,0)&amp;"/"&amp;G2)</f>
        <v>45992</v>
      </c>
      <c r="I1" s="95" t="s">
        <v>880</v>
      </c>
      <c r="J1" s="20" t="s">
        <v>882</v>
      </c>
      <c r="L1" t="s">
        <v>899</v>
      </c>
      <c r="M1" s="4" cm="1">
        <f t="array" ref="M1">INDEX(TBBP[],M2,M3)</f>
        <v>-686980.51</v>
      </c>
      <c r="N1" t="s">
        <v>1037</v>
      </c>
      <c r="O1" s="4" cm="1">
        <f t="array" ref="O1">-INDEX(TBBP[],O2,O3)</f>
        <v>500000</v>
      </c>
      <c r="P1" t="s">
        <v>881</v>
      </c>
      <c r="V1" t="s">
        <v>751</v>
      </c>
      <c r="W1">
        <v>1</v>
      </c>
      <c r="Z1" t="s">
        <v>751</v>
      </c>
      <c r="AA1">
        <v>1</v>
      </c>
      <c r="AC1" t="s">
        <v>889</v>
      </c>
    </row>
    <row r="2" spans="1:30" x14ac:dyDescent="0.3">
      <c r="B2" s="267" t="s">
        <v>846</v>
      </c>
      <c r="C2" s="267"/>
      <c r="D2" s="267"/>
      <c r="E2" s="267"/>
      <c r="F2" s="267"/>
      <c r="G2" s="2">
        <v>2025</v>
      </c>
      <c r="H2" s="122"/>
      <c r="I2" s="2" t="str">
        <f>TEXT(I3,"MM/AAAA")</f>
        <v>12/2025</v>
      </c>
      <c r="J2" s="2" t="str">
        <f>TEXT(J3,"MM/AAAA")</f>
        <v>12/2024</v>
      </c>
      <c r="L2" t="s">
        <v>891</v>
      </c>
      <c r="M2">
        <f>MATCH("2.9.9.1.01.00002",planoContas,0)+1</f>
        <v>89</v>
      </c>
      <c r="O2">
        <f>MATCH("4.3.1.1.02.00008",planoContas,1)+1</f>
        <v>302</v>
      </c>
      <c r="P2" t="s">
        <v>884</v>
      </c>
      <c r="R2" s="2" t="s">
        <v>909</v>
      </c>
      <c r="S2" s="2" t="s">
        <v>910</v>
      </c>
      <c r="T2" s="2" t="s">
        <v>911</v>
      </c>
      <c r="V2" t="s">
        <v>750</v>
      </c>
      <c r="W2">
        <v>1</v>
      </c>
      <c r="Z2" t="s">
        <v>750</v>
      </c>
      <c r="AA2">
        <v>2</v>
      </c>
      <c r="AC2" s="286" t="str">
        <f>"DEMONSTRAÇÃO FLUXO DE CAIXA INDIRETO " &amp;J1&amp;" "&amp;G3&amp;" "&amp;G2</f>
        <v>DEMONSTRAÇÃO FLUXO DE CAIXA INDIRETO ANUAL DEZEMBRO 2025</v>
      </c>
      <c r="AD2" s="286"/>
    </row>
    <row r="3" spans="1:30" x14ac:dyDescent="0.3">
      <c r="G3" s="2" t="s">
        <v>761</v>
      </c>
      <c r="H3" s="95" t="s">
        <v>883</v>
      </c>
      <c r="I3" s="118">
        <f>H1</f>
        <v>45992</v>
      </c>
      <c r="J3" s="118">
        <f>IF(J1="MENSAL",DATE(YEAR(I3),MONTH(I3)-1,DAY(I3)),IF(J1="TRIMESTRAL",DATE(YEAR(I3),MONTH(I3)-3,DAY(I3)),DATE(YEAR(I3)-1,MONTH(I3),DAY(I3))))</f>
        <v>45627</v>
      </c>
      <c r="L3" t="s">
        <v>892</v>
      </c>
      <c r="M3">
        <f>N11-1</f>
        <v>97</v>
      </c>
      <c r="O3">
        <f>N11-1</f>
        <v>97</v>
      </c>
      <c r="P3" t="s">
        <v>882</v>
      </c>
      <c r="R3" s="2">
        <f>COLUMN(R1)</f>
        <v>18</v>
      </c>
      <c r="S3" s="2">
        <f>COLUMN(S1)</f>
        <v>19</v>
      </c>
      <c r="T3" s="2">
        <f>COLUMN(T1)</f>
        <v>20</v>
      </c>
      <c r="V3" t="s">
        <v>752</v>
      </c>
      <c r="W3">
        <v>1</v>
      </c>
      <c r="Z3" t="s">
        <v>752</v>
      </c>
      <c r="AA3">
        <v>3</v>
      </c>
      <c r="AC3" s="286" t="s">
        <v>900</v>
      </c>
      <c r="AD3" s="286"/>
    </row>
    <row r="4" spans="1:30" x14ac:dyDescent="0.3">
      <c r="B4" t="s">
        <v>847</v>
      </c>
      <c r="D4" s="2">
        <v>2021</v>
      </c>
      <c r="E4" s="2"/>
      <c r="F4" s="2">
        <v>2020</v>
      </c>
      <c r="G4" s="95" t="s">
        <v>901</v>
      </c>
      <c r="H4" s="95" t="s">
        <v>886</v>
      </c>
      <c r="I4" s="2">
        <f>MATCH(I3,listaPeriodos,0)+2</f>
        <v>112</v>
      </c>
      <c r="J4" s="2">
        <f>IFERROR(MATCH(J3,listaPeriodos,0)+2,"SEM DADOS")</f>
        <v>99</v>
      </c>
      <c r="R4" s="2" t="str">
        <f>ADDRESS(1,R3,4)</f>
        <v>R1</v>
      </c>
      <c r="S4" s="2" t="str">
        <f>ADDRESS(1,S3,4)</f>
        <v>S1</v>
      </c>
      <c r="T4" s="2" t="str">
        <f>ADDRESS(1,T3,4)</f>
        <v>T1</v>
      </c>
      <c r="V4" t="s">
        <v>753</v>
      </c>
      <c r="W4">
        <v>2</v>
      </c>
      <c r="Z4" t="s">
        <v>753</v>
      </c>
      <c r="AA4">
        <v>4</v>
      </c>
      <c r="AC4" s="133" t="str">
        <f>"REFERENTE A VARIAÇÃO DO PERIODO " &amp; J2 &amp; " À " &amp;I2</f>
        <v>REFERENTE A VARIAÇÃO DO PERIODO 12/2024 À 12/2025</v>
      </c>
    </row>
    <row r="5" spans="1:30" x14ac:dyDescent="0.3">
      <c r="B5" t="s">
        <v>848</v>
      </c>
      <c r="G5" s="2">
        <f>VLOOKUP(G3,V1:W12,2,0)</f>
        <v>4</v>
      </c>
      <c r="V5" t="s">
        <v>754</v>
      </c>
      <c r="W5">
        <v>2</v>
      </c>
      <c r="Z5" t="s">
        <v>754</v>
      </c>
      <c r="AA5">
        <v>5</v>
      </c>
      <c r="AC5" s="282" t="s">
        <v>848</v>
      </c>
      <c r="AD5" s="282"/>
    </row>
    <row r="6" spans="1:30" x14ac:dyDescent="0.3">
      <c r="B6" t="s">
        <v>849</v>
      </c>
      <c r="H6" s="118">
        <f>I3</f>
        <v>45992</v>
      </c>
      <c r="I6" s="118">
        <f>J3</f>
        <v>45627</v>
      </c>
      <c r="J6" s="119" t="s">
        <v>888</v>
      </c>
      <c r="L6" s="284" t="s">
        <v>890</v>
      </c>
      <c r="M6" s="284"/>
      <c r="N6" s="284"/>
      <c r="O6" s="284"/>
      <c r="P6" s="119" t="s">
        <v>902</v>
      </c>
      <c r="R6" s="2" t="s">
        <v>904</v>
      </c>
      <c r="S6" s="2" t="s">
        <v>908</v>
      </c>
      <c r="T6" s="2" t="s">
        <v>905</v>
      </c>
      <c r="V6" t="s">
        <v>755</v>
      </c>
      <c r="W6">
        <v>2</v>
      </c>
      <c r="Z6" t="s">
        <v>755</v>
      </c>
      <c r="AA6">
        <v>6</v>
      </c>
    </row>
    <row r="7" spans="1:30" x14ac:dyDescent="0.3">
      <c r="A7" t="s">
        <v>836</v>
      </c>
      <c r="B7" s="120" t="s">
        <v>144</v>
      </c>
      <c r="D7" s="4">
        <v>24551941.23</v>
      </c>
      <c r="E7" s="4"/>
      <c r="F7" s="4">
        <v>11120726.82</v>
      </c>
      <c r="H7" s="4">
        <f>IF(J1="ANUAL",M15,IF(J1="TRIMESTRAL",U10,VLOOKUP($A7,TBBP[],$I$4-2,0)))</f>
        <v>12578797.474099997</v>
      </c>
      <c r="I7" s="4">
        <f>VLOOKUP($A7,TBBP[],$J$4-2,0)</f>
        <v>2188529.2299999986</v>
      </c>
      <c r="M7" t="s">
        <v>891</v>
      </c>
      <c r="N7">
        <f>MATCH(A7,planoContas,0)+4</f>
        <v>125</v>
      </c>
      <c r="P7" s="2" t="s">
        <v>903</v>
      </c>
      <c r="Q7" s="2">
        <f>G5</f>
        <v>4</v>
      </c>
      <c r="R7" s="130">
        <f>IF($Q$7=1,$R$8+1,IF($Q$7=2,$R$8+4,IF($Q$7=3,$R$8+7,$R$8+10)))</f>
        <v>108</v>
      </c>
      <c r="S7" s="130">
        <f>IF($Q$7=1,$R$8+2,IF($Q$7=2,$R$8+5,IF($Q$7=3,$R$8+8,$R$8+11)))</f>
        <v>109</v>
      </c>
      <c r="T7" s="130">
        <f>IF(Q7=1,R8+3,IF(Q7=2,R8+6,IF(Q7=3,R8+9,R8+12)))</f>
        <v>110</v>
      </c>
      <c r="V7" t="s">
        <v>756</v>
      </c>
      <c r="W7">
        <v>3</v>
      </c>
      <c r="Z7" t="s">
        <v>756</v>
      </c>
      <c r="AA7">
        <v>7</v>
      </c>
      <c r="AC7" s="285" t="s">
        <v>849</v>
      </c>
      <c r="AD7" s="285"/>
    </row>
    <row r="8" spans="1:30" x14ac:dyDescent="0.3">
      <c r="A8" t="s">
        <v>134</v>
      </c>
      <c r="B8" s="120" t="s">
        <v>120</v>
      </c>
      <c r="D8" s="4">
        <v>538507.35</v>
      </c>
      <c r="E8" s="4"/>
      <c r="F8" s="4">
        <v>862726.47</v>
      </c>
      <c r="H8" s="4">
        <f>IF(J1="ANUAL",-M24,IF(J1="TRIMESTRAL",-U11,-VLOOKUP(A8,TBBP[],$I$4-2,0)))</f>
        <v>2175747.96</v>
      </c>
      <c r="I8" s="4">
        <f>-VLOOKUP(A8,TBBP[],$J$4-2,0)</f>
        <v>226558.58</v>
      </c>
      <c r="M8" t="s">
        <v>892</v>
      </c>
      <c r="N8">
        <f>I4-2</f>
        <v>110</v>
      </c>
      <c r="P8" s="2" t="s">
        <v>174</v>
      </c>
      <c r="Q8" s="2">
        <f>G2</f>
        <v>2025</v>
      </c>
      <c r="R8" s="2">
        <f>N11</f>
        <v>98</v>
      </c>
      <c r="S8" s="2"/>
      <c r="T8" s="2"/>
      <c r="V8" t="s">
        <v>757</v>
      </c>
      <c r="W8">
        <v>3</v>
      </c>
      <c r="Z8" t="s">
        <v>757</v>
      </c>
      <c r="AA8">
        <v>8</v>
      </c>
      <c r="AC8" t="s">
        <v>913</v>
      </c>
      <c r="AD8" s="9">
        <f>H7</f>
        <v>12578797.474099997</v>
      </c>
    </row>
    <row r="9" spans="1:30" x14ac:dyDescent="0.3">
      <c r="A9" t="s">
        <v>139</v>
      </c>
      <c r="B9" s="120" t="s">
        <v>850</v>
      </c>
      <c r="D9" s="4">
        <v>-609884.65</v>
      </c>
      <c r="E9" s="4"/>
      <c r="F9" s="4">
        <v>-218322.61</v>
      </c>
      <c r="H9" s="4">
        <f>IF(J1="ANUAL",-M33,IF(J1="TRIMESTRAL",-U12,-VLOOKUP(A9,TBBP[],$I$4-2,0)))</f>
        <v>591404.79000000015</v>
      </c>
      <c r="I9" s="4">
        <f>-VLOOKUP(A9,TBBP[],$J$4-2,0)</f>
        <v>-111043.08</v>
      </c>
      <c r="M9" t="s">
        <v>893</v>
      </c>
      <c r="N9">
        <f>N8-12</f>
        <v>98</v>
      </c>
      <c r="Q9" t="s">
        <v>891</v>
      </c>
      <c r="R9" s="2" t="s">
        <v>906</v>
      </c>
      <c r="S9" s="2" t="s">
        <v>908</v>
      </c>
      <c r="T9" s="2" t="s">
        <v>907</v>
      </c>
      <c r="U9" s="2" t="s">
        <v>730</v>
      </c>
      <c r="V9" t="s">
        <v>758</v>
      </c>
      <c r="W9">
        <v>3</v>
      </c>
      <c r="Z9" t="s">
        <v>758</v>
      </c>
      <c r="AA9">
        <v>9</v>
      </c>
      <c r="AC9" t="s">
        <v>120</v>
      </c>
      <c r="AD9" s="9">
        <f>H8</f>
        <v>2175747.96</v>
      </c>
    </row>
    <row r="10" spans="1:30" x14ac:dyDescent="0.3">
      <c r="A10" t="s">
        <v>39</v>
      </c>
      <c r="B10" s="120" t="s">
        <v>10</v>
      </c>
      <c r="D10" s="4"/>
      <c r="E10" s="4"/>
      <c r="F10" s="4"/>
      <c r="H10" s="4">
        <f>VLOOKUP(A10,TBBP[],$I$4-2,0)</f>
        <v>-394342.76</v>
      </c>
      <c r="I10" s="4">
        <f>VLOOKUP(A10,TBBP[],$J$4-2,0)</f>
        <v>-394330.76</v>
      </c>
      <c r="J10" s="9">
        <f>I10-H10</f>
        <v>12</v>
      </c>
      <c r="M10" s="4" t="s">
        <v>894</v>
      </c>
      <c r="N10">
        <f>VLOOKUP($G$3,$Z$1:$AA$12,2,0)</f>
        <v>12</v>
      </c>
      <c r="P10" t="s">
        <v>144</v>
      </c>
      <c r="Q10">
        <f>$N$7</f>
        <v>125</v>
      </c>
      <c r="R10" t="str">
        <f>ADDRESS(Q10,$R$7,4)</f>
        <v>DD125</v>
      </c>
      <c r="S10" t="str">
        <f>ADDRESS(Q10,$S$7,4)</f>
        <v>DE125</v>
      </c>
      <c r="T10" t="str">
        <f>ADDRESS(Q10,$T$7,4)</f>
        <v>DF125</v>
      </c>
      <c r="U10" s="4">
        <v>2492994.8300000015</v>
      </c>
      <c r="V10" t="s">
        <v>759</v>
      </c>
      <c r="W10">
        <v>4</v>
      </c>
      <c r="Z10" t="s">
        <v>759</v>
      </c>
      <c r="AA10">
        <v>10</v>
      </c>
      <c r="AC10" t="s">
        <v>10</v>
      </c>
      <c r="AD10" s="9">
        <f>J10</f>
        <v>12</v>
      </c>
    </row>
    <row r="11" spans="1:30" x14ac:dyDescent="0.3">
      <c r="A11" t="s">
        <v>1035</v>
      </c>
      <c r="B11" s="115" t="s">
        <v>851</v>
      </c>
      <c r="C11" s="115"/>
      <c r="D11" s="116">
        <v>0</v>
      </c>
      <c r="E11" s="116"/>
      <c r="F11" s="116">
        <v>1.31</v>
      </c>
      <c r="H11" s="4">
        <f>VLOOKUP($A$11,TBBP[],$I$4-2,0)</f>
        <v>-148258.67000000001</v>
      </c>
      <c r="I11" s="4">
        <f>VLOOKUP($A$11,TBBP[],$J$4-2,0)</f>
        <v>1162655.03</v>
      </c>
      <c r="J11" s="4">
        <f>IF(H11&lt;&gt;0,I11-H11,0)</f>
        <v>1310913.7</v>
      </c>
      <c r="M11" t="s">
        <v>895</v>
      </c>
      <c r="N11">
        <f>N8-N10</f>
        <v>98</v>
      </c>
      <c r="P11" t="s">
        <v>120</v>
      </c>
      <c r="Q11">
        <f>$N$16</f>
        <v>108</v>
      </c>
      <c r="R11" t="str">
        <f>ADDRESS(Q11,$R$7,4)</f>
        <v>DD108</v>
      </c>
      <c r="S11" t="str">
        <f>ADDRESS(Q11,$S$7,4)</f>
        <v>DE108</v>
      </c>
      <c r="T11" t="str">
        <f>ADDRESS(Q11,$T$7,4)</f>
        <v>DF108</v>
      </c>
      <c r="U11" s="4">
        <v>-682460.04999999993</v>
      </c>
      <c r="V11" t="s">
        <v>760</v>
      </c>
      <c r="W11">
        <v>4</v>
      </c>
      <c r="Z11" t="s">
        <v>760</v>
      </c>
      <c r="AA11">
        <v>11</v>
      </c>
      <c r="AC11" t="s">
        <v>850</v>
      </c>
      <c r="AD11" s="9">
        <f>H9</f>
        <v>591404.79000000015</v>
      </c>
    </row>
    <row r="12" spans="1:30" ht="15" customHeight="1" x14ac:dyDescent="0.3">
      <c r="B12" t="s">
        <v>852</v>
      </c>
      <c r="D12" s="4">
        <v>24480563.93</v>
      </c>
      <c r="E12" s="4"/>
      <c r="F12" s="4">
        <v>11765131.99</v>
      </c>
      <c r="H12" s="4">
        <f>H7+H8+H9-J11</f>
        <v>14035036.5241</v>
      </c>
      <c r="I12" s="4">
        <f>I7-I8-I9</f>
        <v>2073013.7299999986</v>
      </c>
      <c r="J12" s="4">
        <f>H12+J10</f>
        <v>14035048.5241</v>
      </c>
      <c r="K12" s="120"/>
      <c r="L12" s="240" t="s">
        <v>896</v>
      </c>
      <c r="M12" s="123" t="str">
        <f>ADDRESS(N7,N8,4)</f>
        <v>DF125</v>
      </c>
      <c r="N12" s="218" t="s">
        <v>144</v>
      </c>
      <c r="O12" s="218"/>
      <c r="P12" t="s">
        <v>897</v>
      </c>
      <c r="Q12">
        <f>$N$25</f>
        <v>117</v>
      </c>
      <c r="R12" t="str">
        <f>ADDRESS(Q12,$R$7,4)</f>
        <v>DD117</v>
      </c>
      <c r="S12" t="str">
        <f>ADDRESS(Q12,$S$7,4)</f>
        <v>DE117</v>
      </c>
      <c r="T12" t="str">
        <f>ADDRESS(Q12,$T$7,4)</f>
        <v>DF117</v>
      </c>
      <c r="U12" s="4">
        <v>93009.64</v>
      </c>
      <c r="V12" t="s">
        <v>761</v>
      </c>
      <c r="W12">
        <v>4</v>
      </c>
      <c r="Z12" t="s">
        <v>761</v>
      </c>
      <c r="AA12">
        <v>12</v>
      </c>
      <c r="AC12" t="s">
        <v>851</v>
      </c>
      <c r="AD12" s="9">
        <f>-J11</f>
        <v>-1310913.7</v>
      </c>
    </row>
    <row r="13" spans="1:30" ht="15" customHeight="1" x14ac:dyDescent="0.3">
      <c r="B13" t="s">
        <v>853</v>
      </c>
      <c r="D13" s="4"/>
      <c r="E13" s="4"/>
      <c r="F13" s="4"/>
      <c r="L13" s="240"/>
      <c r="M13" s="123" t="str">
        <f>ADDRESS(N7,N9,4)</f>
        <v>CT125</v>
      </c>
      <c r="N13" s="218"/>
      <c r="O13" s="218"/>
      <c r="P13" t="s">
        <v>1038</v>
      </c>
      <c r="Q13">
        <f>$N$43</f>
        <v>124</v>
      </c>
      <c r="R13" t="str">
        <f>ADDRESS(Q13,$R$7,4)</f>
        <v>DD124</v>
      </c>
      <c r="S13" t="str">
        <f>ADDRESS(Q13,$S$7,4)</f>
        <v>DE124</v>
      </c>
      <c r="T13" t="str">
        <f>ADDRESS(Q13,$T$7,4)</f>
        <v>DF124</v>
      </c>
      <c r="U13" s="4">
        <v>1000000</v>
      </c>
      <c r="AC13" s="126" t="s">
        <v>852</v>
      </c>
      <c r="AD13" s="128">
        <f>J12</f>
        <v>14035048.5241</v>
      </c>
    </row>
    <row r="14" spans="1:30" ht="16.95" customHeight="1" x14ac:dyDescent="0.3">
      <c r="A14" t="s">
        <v>38</v>
      </c>
      <c r="B14" t="s">
        <v>854</v>
      </c>
      <c r="D14" s="4">
        <v>-10189706.560000001</v>
      </c>
      <c r="E14" s="4"/>
      <c r="F14" s="4">
        <v>-5362906.76</v>
      </c>
      <c r="H14" s="4">
        <f>VLOOKUP(A14,TBBP[],$I$4-2,0)+VLOOKUP("1.1.1.3.03",TBBP[],$I$4-2,0)</f>
        <v>64100983.32</v>
      </c>
      <c r="I14" s="4">
        <f>VLOOKUP(A14,TBBP[],$J$4-2,0)+VLOOKUP("1.1.1.3.03",TBBP[],$J$4-2,0)</f>
        <v>59087744.319999993</v>
      </c>
      <c r="J14" s="4">
        <f t="shared" ref="J14:J19" si="0">I14-H14</f>
        <v>-5013239.0000000075</v>
      </c>
      <c r="K14" s="120"/>
      <c r="L14" s="219" t="s">
        <v>895</v>
      </c>
      <c r="M14" s="124" t="str">
        <f>ADDRESS(N7,N11,4)</f>
        <v>CT125</v>
      </c>
      <c r="N14" s="218"/>
      <c r="O14" s="218"/>
    </row>
    <row r="15" spans="1:30" x14ac:dyDescent="0.3">
      <c r="A15" t="s">
        <v>40</v>
      </c>
      <c r="B15" t="s">
        <v>855</v>
      </c>
      <c r="D15" s="4">
        <v>169236.54</v>
      </c>
      <c r="E15" s="4"/>
      <c r="F15" s="4">
        <v>-196088.36</v>
      </c>
      <c r="H15" s="4">
        <f>VLOOKUP(A15,TBBP[],$I$4-2,0)</f>
        <v>2427460.98</v>
      </c>
      <c r="I15" s="4">
        <f>VLOOKUP(A15,TBBP[],$J$4-2,0)</f>
        <v>5573525.7999999998</v>
      </c>
      <c r="J15" s="4">
        <f t="shared" si="0"/>
        <v>3146064.82</v>
      </c>
      <c r="K15" s="120"/>
      <c r="L15" s="219"/>
      <c r="M15" s="16">
        <v>12578797.474099997</v>
      </c>
      <c r="N15" s="218"/>
      <c r="O15" s="218"/>
      <c r="AC15" s="285" t="s">
        <v>853</v>
      </c>
      <c r="AD15" s="285"/>
    </row>
    <row r="16" spans="1:30" x14ac:dyDescent="0.3">
      <c r="A16" t="s">
        <v>49</v>
      </c>
      <c r="B16" t="s">
        <v>856</v>
      </c>
      <c r="D16" s="4">
        <v>0</v>
      </c>
      <c r="E16" s="4"/>
      <c r="F16" s="4">
        <v>0</v>
      </c>
      <c r="H16" s="4">
        <f>VLOOKUP(A16,TBBP[],$I$4-2,0)</f>
        <v>63237.69</v>
      </c>
      <c r="I16" s="4">
        <f>VLOOKUP(A16,TBBP[],$J$4-2,0)</f>
        <v>62037.69</v>
      </c>
      <c r="J16" s="4">
        <f t="shared" si="0"/>
        <v>-1200</v>
      </c>
      <c r="K16" s="120"/>
      <c r="M16" t="s">
        <v>891</v>
      </c>
      <c r="N16">
        <f>MATCH(A8,planoContas,0)+4</f>
        <v>108</v>
      </c>
      <c r="AC16" t="s">
        <v>854</v>
      </c>
      <c r="AD16" s="9">
        <f>J14</f>
        <v>-5013239.0000000075</v>
      </c>
    </row>
    <row r="17" spans="1:30" x14ac:dyDescent="0.3">
      <c r="A17" t="s">
        <v>41</v>
      </c>
      <c r="B17" t="s">
        <v>0</v>
      </c>
      <c r="D17" s="4">
        <v>-8380139.3399999999</v>
      </c>
      <c r="E17" s="4"/>
      <c r="F17" s="4">
        <v>-1554379.82</v>
      </c>
      <c r="H17" s="4">
        <f>VLOOKUP(A17,TBBP[],$I$4-2,0)</f>
        <v>27286693.039999999</v>
      </c>
      <c r="I17" s="4">
        <f>VLOOKUP(A17,TBBP[],$J$4-2,0)</f>
        <v>28358377.210000001</v>
      </c>
      <c r="J17" s="4">
        <f t="shared" si="0"/>
        <v>1071684.1700000018</v>
      </c>
      <c r="K17" s="120"/>
      <c r="M17" t="s">
        <v>892</v>
      </c>
      <c r="N17">
        <f>$I$4-2</f>
        <v>110</v>
      </c>
      <c r="AC17" t="s">
        <v>855</v>
      </c>
      <c r="AD17" s="9">
        <f t="shared" ref="AD17:AD22" si="1">J15</f>
        <v>3146064.82</v>
      </c>
    </row>
    <row r="18" spans="1:30" x14ac:dyDescent="0.3">
      <c r="A18" t="s">
        <v>42</v>
      </c>
      <c r="B18" t="s">
        <v>857</v>
      </c>
      <c r="D18" s="4">
        <v>-455889.44</v>
      </c>
      <c r="E18" s="4"/>
      <c r="F18" s="4">
        <v>-1741738.23</v>
      </c>
      <c r="H18" s="4">
        <f>VLOOKUP(A18,TBBP[],$I$4-2,0)+VLOOKUP("1.1.1.7.02",TBBP[],$I$4-2,0)+VLOOKUP("1.1.1.7.03",TBBP[],$I$4-2,0)+VLOOKUP("1.1.1.7.04",TBBP[],$I$4-2,0)+VLOOKUP("1.1.1.7.05",TBBP[],$I$4-2,0)+VLOOKUP("1.1.1.7.06",TBBP[],$I$4-2,0)+VLOOKUP("1.1.1.7.07",TBBP[],$I$4-2,0)+VLOOKUP("1.1.1.7.08",TBBP[],$I$4-2,0)+VLOOKUP("1.1.1.7.90",TBBP[],$I$4-2,0)</f>
        <v>3253869.14</v>
      </c>
      <c r="I18" s="4">
        <f>VLOOKUP(A18,TBBP[],$J$4-2,0)+VLOOKUP("1.1.1.7.02",TBBP[],$J$4-2,0)+VLOOKUP("1.1.1.7.03",TBBP[],$J$4-2,0)+VLOOKUP("1.1.1.7.04",TBBP[],$J$4-2,0)+VLOOKUP("1.1.1.7.05",TBBP[],$J$4-2,0)+VLOOKUP("1.1.1.7.06",TBBP[],$J$4-2,0)+VLOOKUP("1.1.1.7.07",TBBP[],$J$4-2,0)+VLOOKUP("1.1.1.7.08",TBBP[],$J$4-2,0)+VLOOKUP("1.1.1.7.90",TBBP[],$J$4-2,0)</f>
        <v>2034707.69</v>
      </c>
      <c r="J18" s="4">
        <f t="shared" si="0"/>
        <v>-1219161.4500000002</v>
      </c>
      <c r="K18" s="120"/>
      <c r="M18" t="s">
        <v>893</v>
      </c>
      <c r="N18">
        <f>N17-12</f>
        <v>98</v>
      </c>
      <c r="AC18" t="s">
        <v>856</v>
      </c>
      <c r="AD18" s="9">
        <f t="shared" si="1"/>
        <v>-1200</v>
      </c>
    </row>
    <row r="19" spans="1:30" x14ac:dyDescent="0.3">
      <c r="A19" t="s">
        <v>46</v>
      </c>
      <c r="B19" t="s">
        <v>858</v>
      </c>
      <c r="D19" s="4">
        <v>-53956.56</v>
      </c>
      <c r="E19" s="4"/>
      <c r="F19" s="4">
        <v>598.49</v>
      </c>
      <c r="H19" s="4">
        <f>VLOOKUP(A19,TBBP[],$I$4-2,0)</f>
        <v>2716945.99</v>
      </c>
      <c r="I19" s="4">
        <f>VLOOKUP(A19,TBBP[],$J$4-2,0)</f>
        <v>3366755.65</v>
      </c>
      <c r="J19" s="4">
        <f t="shared" si="0"/>
        <v>649809.65999999968</v>
      </c>
      <c r="K19" s="120"/>
      <c r="M19" s="4" t="s">
        <v>894</v>
      </c>
      <c r="N19">
        <f>VLOOKUP($G$3,$Z$1:$AA$12,2,0)</f>
        <v>12</v>
      </c>
      <c r="AC19" t="s">
        <v>0</v>
      </c>
      <c r="AD19" s="9">
        <f t="shared" si="1"/>
        <v>1071684.1700000018</v>
      </c>
    </row>
    <row r="20" spans="1:30" x14ac:dyDescent="0.3">
      <c r="A20" t="s">
        <v>249</v>
      </c>
      <c r="B20" t="s">
        <v>164</v>
      </c>
      <c r="D20" s="4">
        <v>0</v>
      </c>
      <c r="E20" s="4"/>
      <c r="F20" s="4">
        <v>0</v>
      </c>
      <c r="H20" s="4">
        <f>VLOOKUP(A20,TBBP[],$I$4-2,0)</f>
        <v>0</v>
      </c>
      <c r="I20" s="4">
        <f>VLOOKUP(A20,TBBP[],$J$4-2,0)</f>
        <v>0</v>
      </c>
      <c r="J20" s="4">
        <f>H20-I20</f>
        <v>0</v>
      </c>
      <c r="K20" s="120"/>
      <c r="M20" t="s">
        <v>895</v>
      </c>
      <c r="N20">
        <f>N17-N19</f>
        <v>98</v>
      </c>
      <c r="AC20" t="s">
        <v>857</v>
      </c>
      <c r="AD20" s="9">
        <f t="shared" si="1"/>
        <v>-1219161.4500000002</v>
      </c>
    </row>
    <row r="21" spans="1:30" ht="15" customHeight="1" x14ac:dyDescent="0.3">
      <c r="B21" t="s">
        <v>859</v>
      </c>
      <c r="D21" s="4">
        <v>-18910455.359999999</v>
      </c>
      <c r="E21" s="4"/>
      <c r="F21" s="4">
        <v>-8854514.6799999997</v>
      </c>
      <c r="H21" s="4">
        <f>SUM(H14:H20)</f>
        <v>99849190.159999996</v>
      </c>
      <c r="I21" s="4">
        <f>SUM(I14:I20)</f>
        <v>98483148.359999985</v>
      </c>
      <c r="J21" s="121">
        <f>SUM(J14:J20)</f>
        <v>-1366041.8000000063</v>
      </c>
      <c r="L21" s="240" t="s">
        <v>896</v>
      </c>
      <c r="M21" s="123" t="str">
        <f>ADDRESS(N16,N17,4)</f>
        <v>DF108</v>
      </c>
      <c r="N21" s="218" t="s">
        <v>120</v>
      </c>
      <c r="O21" s="218"/>
      <c r="AC21" t="s">
        <v>858</v>
      </c>
      <c r="AD21" s="9">
        <f t="shared" si="1"/>
        <v>649809.65999999968</v>
      </c>
    </row>
    <row r="22" spans="1:30" ht="15" customHeight="1" x14ac:dyDescent="0.3">
      <c r="B22" t="s">
        <v>860</v>
      </c>
      <c r="D22" s="4"/>
      <c r="E22" s="4"/>
      <c r="F22" s="4"/>
      <c r="H22" s="4"/>
      <c r="I22" s="4"/>
      <c r="L22" s="240"/>
      <c r="M22" s="123" t="str">
        <f>ADDRESS(N16,N18,4)</f>
        <v>CT108</v>
      </c>
      <c r="N22" s="218"/>
      <c r="O22" s="218"/>
      <c r="AC22" t="s">
        <v>164</v>
      </c>
      <c r="AD22" s="9">
        <f t="shared" si="1"/>
        <v>0</v>
      </c>
    </row>
    <row r="23" spans="1:30" x14ac:dyDescent="0.3">
      <c r="A23" t="s">
        <v>84</v>
      </c>
      <c r="B23" t="s">
        <v>861</v>
      </c>
      <c r="D23" s="4">
        <v>-50830.71</v>
      </c>
      <c r="E23" s="4"/>
      <c r="F23" s="4">
        <v>245720.16</v>
      </c>
      <c r="H23" s="4">
        <f>VLOOKUP(A23,TBBP[],$I$4-2,0)+VLOOKUP("2.1.1.1.03",TBBP[],$I$4-2,0)++VLOOKUP("2.1.1.1.02",TBBP[],$I$4-2,0)</f>
        <v>4598427.8099999996</v>
      </c>
      <c r="I23" s="4">
        <f>VLOOKUP(A23,TBBP[],$J$4-2,0)+VLOOKUP("2.1.1.1.03",TBBP[],$J$4-2,0)+VLOOKUP("2.1.1.1.02",TBBP[],$J$4-2,0)</f>
        <v>7897830.7200000007</v>
      </c>
      <c r="J23" s="9">
        <f t="shared" ref="J23:J28" si="2">H23-I23</f>
        <v>-3299402.9100000011</v>
      </c>
      <c r="K23" s="120"/>
      <c r="L23" s="219" t="s">
        <v>895</v>
      </c>
      <c r="M23" s="124" t="str">
        <f>ADDRESS(N16,N20,4)</f>
        <v>CT108</v>
      </c>
      <c r="N23" s="218"/>
      <c r="O23" s="218"/>
      <c r="AC23" s="125" t="s">
        <v>859</v>
      </c>
      <c r="AD23" s="128">
        <f>J21</f>
        <v>-1366041.8000000063</v>
      </c>
    </row>
    <row r="24" spans="1:30" x14ac:dyDescent="0.3">
      <c r="A24" t="s">
        <v>87</v>
      </c>
      <c r="B24" t="s">
        <v>862</v>
      </c>
      <c r="D24" s="4">
        <v>86441.37</v>
      </c>
      <c r="E24" s="4"/>
      <c r="F24" s="4">
        <v>-24719.45</v>
      </c>
      <c r="H24" s="4">
        <f>VLOOKUP(A24,TBBP[],$I$4-2,0)</f>
        <v>1078961.79</v>
      </c>
      <c r="I24" s="4">
        <f>VLOOKUP(A24,TBBP[],$J$4-2,0)</f>
        <v>1645585.17</v>
      </c>
      <c r="J24" s="9">
        <f t="shared" si="2"/>
        <v>-566623.37999999989</v>
      </c>
      <c r="K24" s="120"/>
      <c r="L24" s="219"/>
      <c r="M24" s="16">
        <v>-2175747.96</v>
      </c>
      <c r="N24" s="218"/>
      <c r="O24" s="218"/>
    </row>
    <row r="25" spans="1:30" x14ac:dyDescent="0.3">
      <c r="A25" t="s">
        <v>88</v>
      </c>
      <c r="B25" t="s">
        <v>863</v>
      </c>
      <c r="D25" s="4">
        <v>722667.99</v>
      </c>
      <c r="E25" s="4"/>
      <c r="F25" s="4">
        <v>433440.73</v>
      </c>
      <c r="H25" s="4">
        <f>VLOOKUP(A25,TBBP[],$I$4-2,0)+VLOOKUP("2.1.1.6",TBBP[],$I$4-2,0)</f>
        <v>433801.39</v>
      </c>
      <c r="I25" s="4">
        <f>VLOOKUP(A25,TBBP[],$J$4-2,0)+VLOOKUP("2.1.1.6",TBBP[],$J$4-2,0)</f>
        <v>7782066.2059000004</v>
      </c>
      <c r="J25" s="9">
        <f t="shared" si="2"/>
        <v>-7348264.8159000007</v>
      </c>
      <c r="K25" s="120"/>
      <c r="M25" t="s">
        <v>891</v>
      </c>
      <c r="N25">
        <f>MATCH(A9,planoContas,0)+4</f>
        <v>117</v>
      </c>
      <c r="AC25" s="285" t="s">
        <v>860</v>
      </c>
      <c r="AD25" s="285"/>
    </row>
    <row r="26" spans="1:30" x14ac:dyDescent="0.3">
      <c r="A26" t="s">
        <v>145</v>
      </c>
      <c r="B26" t="s">
        <v>864</v>
      </c>
      <c r="D26" s="4">
        <v>2902926.92</v>
      </c>
      <c r="E26" s="4"/>
      <c r="F26" s="4">
        <v>1358516.21</v>
      </c>
      <c r="H26" s="4">
        <f>VLOOKUP(A26,TBBP[],$I$4-2,0)</f>
        <v>7125334.3600000003</v>
      </c>
      <c r="I26" s="4">
        <f>VLOOKUP(A26,TBBP[],$J$4-2,0)</f>
        <v>8077947.7800000003</v>
      </c>
      <c r="J26" s="9">
        <f t="shared" si="2"/>
        <v>-952613.41999999993</v>
      </c>
      <c r="K26" s="120"/>
      <c r="M26" t="s">
        <v>892</v>
      </c>
      <c r="N26">
        <f>$I$4-2</f>
        <v>110</v>
      </c>
      <c r="AC26" t="s">
        <v>861</v>
      </c>
      <c r="AD26" s="9" cm="1">
        <f t="array" ref="AD26:AD30">J23:J27</f>
        <v>-3299402.9100000011</v>
      </c>
    </row>
    <row r="27" spans="1:30" x14ac:dyDescent="0.3">
      <c r="A27" t="s">
        <v>887</v>
      </c>
      <c r="B27" t="s">
        <v>865</v>
      </c>
      <c r="D27" s="4">
        <v>0</v>
      </c>
      <c r="E27" s="4"/>
      <c r="F27" s="4">
        <v>0</v>
      </c>
      <c r="H27" s="4">
        <f>VLOOKUP(A27,TBBP[],$I$4-2,0)</f>
        <v>0</v>
      </c>
      <c r="I27" s="4">
        <f>VLOOKUP(A27,TBBP[],$J$4-2,0)</f>
        <v>0</v>
      </c>
      <c r="J27" s="9">
        <f t="shared" si="2"/>
        <v>0</v>
      </c>
      <c r="K27" s="120"/>
      <c r="M27" t="s">
        <v>893</v>
      </c>
      <c r="N27">
        <f>N26-12</f>
        <v>98</v>
      </c>
      <c r="AC27" t="s">
        <v>862</v>
      </c>
      <c r="AD27" s="9">
        <v>-566623.37999999989</v>
      </c>
    </row>
    <row r="28" spans="1:30" x14ac:dyDescent="0.3">
      <c r="B28" t="s">
        <v>866</v>
      </c>
      <c r="D28" s="4">
        <v>3661205.57</v>
      </c>
      <c r="E28" s="4"/>
      <c r="F28" s="4">
        <v>2012957.65</v>
      </c>
      <c r="H28" s="4">
        <f>SUM(H23:H27)</f>
        <v>13236525.35</v>
      </c>
      <c r="I28" s="4">
        <f>SUM(I23:I27)</f>
        <v>25403429.8759</v>
      </c>
      <c r="J28" s="121">
        <f t="shared" si="2"/>
        <v>-12166904.525900001</v>
      </c>
      <c r="M28" s="4" t="s">
        <v>894</v>
      </c>
      <c r="N28">
        <f>VLOOKUP($G$3,$Z$1:$AA$12,2,0)</f>
        <v>12</v>
      </c>
      <c r="AC28" t="s">
        <v>863</v>
      </c>
      <c r="AD28" s="9">
        <v>-7348264.8159000007</v>
      </c>
    </row>
    <row r="29" spans="1:30" x14ac:dyDescent="0.3">
      <c r="B29" t="s">
        <v>867</v>
      </c>
      <c r="D29" s="4">
        <v>9231314.1400000006</v>
      </c>
      <c r="E29" s="4"/>
      <c r="F29" s="4">
        <v>4923574.96</v>
      </c>
      <c r="H29" s="4">
        <f>SUM(H22:H28)</f>
        <v>26473050.699999999</v>
      </c>
      <c r="I29" s="4">
        <f>SUM(I22:I28)</f>
        <v>50806859.751800001</v>
      </c>
      <c r="J29" s="121">
        <f>J12+J21+J28</f>
        <v>502102.198199993</v>
      </c>
      <c r="M29" t="s">
        <v>895</v>
      </c>
      <c r="N29">
        <f>N26-N28</f>
        <v>98</v>
      </c>
      <c r="AC29" t="s">
        <v>864</v>
      </c>
      <c r="AD29" s="9">
        <v>-952613.41999999993</v>
      </c>
    </row>
    <row r="30" spans="1:30" ht="15" customHeight="1" x14ac:dyDescent="0.3">
      <c r="A30" t="s">
        <v>988</v>
      </c>
      <c r="B30" t="s">
        <v>1034</v>
      </c>
      <c r="D30" s="4"/>
      <c r="E30" s="4"/>
      <c r="F30" s="4"/>
      <c r="H30" s="230"/>
      <c r="I30" s="230"/>
      <c r="J30" s="231"/>
      <c r="L30" s="240" t="s">
        <v>896</v>
      </c>
      <c r="M30" s="123" t="str">
        <f>ADDRESS(N25,N26,4)</f>
        <v>DF117</v>
      </c>
      <c r="N30" s="218" t="s">
        <v>897</v>
      </c>
      <c r="O30" s="218"/>
      <c r="AC30" t="s">
        <v>865</v>
      </c>
      <c r="AD30" s="9">
        <v>0</v>
      </c>
    </row>
    <row r="31" spans="1:30" ht="15" customHeight="1" x14ac:dyDescent="0.3">
      <c r="D31" s="4"/>
      <c r="E31" s="4"/>
      <c r="F31" s="4"/>
      <c r="H31" s="4"/>
      <c r="I31" s="4"/>
      <c r="L31" s="240"/>
      <c r="M31" s="123" t="str">
        <f>ADDRESS(N25,N27,4)</f>
        <v>CT117</v>
      </c>
      <c r="N31" s="218"/>
      <c r="O31" s="218"/>
      <c r="AC31" s="125" t="s">
        <v>866</v>
      </c>
      <c r="AD31" s="128">
        <f>J28</f>
        <v>-12166904.525900001</v>
      </c>
    </row>
    <row r="32" spans="1:30" x14ac:dyDescent="0.3">
      <c r="B32" t="s">
        <v>868</v>
      </c>
      <c r="D32" s="4"/>
      <c r="E32" s="4"/>
      <c r="F32" s="4"/>
      <c r="H32" s="4"/>
      <c r="I32" s="4"/>
      <c r="L32" s="219" t="s">
        <v>895</v>
      </c>
      <c r="M32" s="124" t="str">
        <f>ADDRESS(N25,N29,4)</f>
        <v>CT117</v>
      </c>
      <c r="N32" s="218"/>
      <c r="O32" s="218"/>
    </row>
    <row r="33" spans="1:30" x14ac:dyDescent="0.3">
      <c r="A33" t="s">
        <v>994</v>
      </c>
      <c r="B33" t="s">
        <v>869</v>
      </c>
      <c r="D33" s="4">
        <v>0</v>
      </c>
      <c r="E33" s="4"/>
      <c r="F33" s="4">
        <v>0</v>
      </c>
      <c r="H33" s="4">
        <f>VLOOKUP(A33,TBBP[],$I$4-2,0)</f>
        <v>0</v>
      </c>
      <c r="I33" s="4">
        <f>VLOOKUP(A33,TBBP[],$J$4-2,0)-H9</f>
        <v>2490309.59</v>
      </c>
      <c r="J33" s="4">
        <f>I33-H33</f>
        <v>2490309.59</v>
      </c>
      <c r="K33" s="120"/>
      <c r="L33" s="219"/>
      <c r="M33" s="16">
        <v>-591404.79000000015</v>
      </c>
      <c r="N33" s="218"/>
      <c r="O33" s="218"/>
      <c r="AC33" s="127" t="s">
        <v>867</v>
      </c>
      <c r="AD33" s="129">
        <f>J29</f>
        <v>502102.198199993</v>
      </c>
    </row>
    <row r="34" spans="1:30" x14ac:dyDescent="0.3">
      <c r="A34" t="s">
        <v>51</v>
      </c>
      <c r="B34" t="s">
        <v>870</v>
      </c>
      <c r="D34" s="4">
        <v>-1681413.94</v>
      </c>
      <c r="E34" s="4"/>
      <c r="F34" s="4">
        <v>-1424938.71</v>
      </c>
      <c r="H34" s="4">
        <f>IF(J1="ANUAL",(VLOOKUP(A34,TBBP[],$I$4-2,0)+VLOOKUP("1.3.4",TBBP[],$I$4-2,0)+(M24*-1))*-1,IF(J1="TRIMESTRAL",(VLOOKUP(A34,TBBP[],$I$4-2,0)+VLOOKUP("1.3.4",TBBP[],$I$4-2,0)+(U11*-1))*-1,(VLOOKUP(A34,TBBP[],$I$4-2,0)+VLOOKUP("1.3.4",TBBP[],$I$4-2,0)+(VLOOKUP("4.2.1.2.25",TBBP[],$I$4-2,0)*-1))*-1))</f>
        <v>-15240409.080000006</v>
      </c>
      <c r="I34" s="4">
        <f>(VLOOKUP(A34,TBBP[],$J$4-2,0)+VLOOKUP("1.3.4",TBBP[],$J$4-2,0))*-1</f>
        <v>-13975731.570000002</v>
      </c>
      <c r="J34" s="4">
        <f>H34-I34</f>
        <v>-1264677.5100000035</v>
      </c>
      <c r="K34" s="120"/>
      <c r="L34" s="219"/>
      <c r="M34" t="s">
        <v>891</v>
      </c>
      <c r="N34">
        <f>MATCH(A9,planoContas,0)+4</f>
        <v>117</v>
      </c>
      <c r="O34" s="218"/>
    </row>
    <row r="35" spans="1:30" x14ac:dyDescent="0.3">
      <c r="A35" t="s">
        <v>995</v>
      </c>
      <c r="B35" t="s">
        <v>1001</v>
      </c>
      <c r="D35" s="4"/>
      <c r="E35" s="4"/>
      <c r="F35" s="4"/>
      <c r="H35" s="4">
        <f>VLOOKUP(A35,TBBP[],$I$4-2,0)*-1</f>
        <v>0</v>
      </c>
      <c r="I35" s="4">
        <f>VLOOKUP(A35,TBBP[],$J$4-2,0)</f>
        <v>0</v>
      </c>
      <c r="J35" s="4">
        <f>H35+I35</f>
        <v>0</v>
      </c>
      <c r="K35" s="120"/>
      <c r="M35" t="s">
        <v>892</v>
      </c>
      <c r="N35">
        <f>$J$4-2</f>
        <v>97</v>
      </c>
    </row>
    <row r="36" spans="1:30" x14ac:dyDescent="0.3">
      <c r="B36" t="s">
        <v>871</v>
      </c>
      <c r="D36" s="4">
        <v>-1681413.94</v>
      </c>
      <c r="E36" s="4"/>
      <c r="F36" s="4">
        <v>-1424938.71</v>
      </c>
      <c r="H36" s="4">
        <f>H33+H34</f>
        <v>-15240409.080000006</v>
      </c>
      <c r="I36" s="4">
        <f>I33+I34</f>
        <v>-11485421.980000002</v>
      </c>
      <c r="J36" s="121">
        <f>J33+J34+J35</f>
        <v>1225632.0799999963</v>
      </c>
      <c r="M36" t="s">
        <v>893</v>
      </c>
      <c r="N36">
        <f>N35-12</f>
        <v>85</v>
      </c>
      <c r="AC36" s="282" t="s">
        <v>868</v>
      </c>
      <c r="AD36" s="282"/>
    </row>
    <row r="37" spans="1:30" x14ac:dyDescent="0.3">
      <c r="D37" s="4"/>
      <c r="E37" s="4"/>
      <c r="F37" s="4"/>
      <c r="H37" s="4"/>
      <c r="I37" s="4"/>
      <c r="M37" s="4" t="s">
        <v>894</v>
      </c>
      <c r="N37">
        <f>VLOOKUP($G$3,$Z$1:$AA$12,2,0)</f>
        <v>12</v>
      </c>
      <c r="AC37" t="s">
        <v>869</v>
      </c>
      <c r="AD37" s="9">
        <f>J33</f>
        <v>2490309.59</v>
      </c>
    </row>
    <row r="38" spans="1:30" x14ac:dyDescent="0.3">
      <c r="B38" t="s">
        <v>872</v>
      </c>
      <c r="D38" s="4"/>
      <c r="E38" s="4"/>
      <c r="F38" s="4"/>
      <c r="H38" s="4"/>
      <c r="I38" s="4"/>
      <c r="M38" t="s">
        <v>895</v>
      </c>
      <c r="N38">
        <f>N35-N37</f>
        <v>85</v>
      </c>
      <c r="AC38" t="s">
        <v>870</v>
      </c>
      <c r="AD38" s="9">
        <f>J34</f>
        <v>-1264677.5100000035</v>
      </c>
    </row>
    <row r="39" spans="1:30" ht="15" customHeight="1" x14ac:dyDescent="0.3">
      <c r="A39" t="s">
        <v>95</v>
      </c>
      <c r="B39" t="s">
        <v>873</v>
      </c>
      <c r="D39" s="4">
        <v>-5087508.08</v>
      </c>
      <c r="E39" s="4"/>
      <c r="F39" s="4">
        <v>-1196057.31</v>
      </c>
      <c r="H39" s="4">
        <f>IF(AND(J1="ANUAL",N10&lt;&gt;12),VLOOKUP(A39,TBBP[],$I$4-2,0)+M1-M51,IF(AND(J1="ANUAL",N10=12),VLOOKUP(A39,TBBP[],$I$4-2,0)-M51--VLOOKUP("4.3.1.1.02.00008",TBBP[],$I$4-2,0),VLOOKUP(A39,TBBP[],$I$4-2,0))-VLOOKUP("4.3.1.1.02.00008",TBBP[],$I$4-2,0))</f>
        <v>-2000000</v>
      </c>
      <c r="I39" s="4">
        <f>IF(MONTH(J3)=12,0,VLOOKUP(A39,TBBP[],$J$4-2,0))</f>
        <v>0</v>
      </c>
      <c r="J39" s="4">
        <f>H39-I39</f>
        <v>-2000000</v>
      </c>
      <c r="K39" s="120"/>
      <c r="L39" s="240" t="s">
        <v>896</v>
      </c>
      <c r="M39" s="123" t="str">
        <f>ADDRESS(N34,N35,4)</f>
        <v>CS117</v>
      </c>
      <c r="N39" s="218" t="s">
        <v>898</v>
      </c>
      <c r="O39" s="218"/>
      <c r="AC39" t="s">
        <v>1033</v>
      </c>
      <c r="AD39" s="9">
        <f>J35</f>
        <v>0</v>
      </c>
    </row>
    <row r="40" spans="1:30" ht="15" customHeight="1" x14ac:dyDescent="0.3">
      <c r="A40" t="s">
        <v>86</v>
      </c>
      <c r="B40" t="s">
        <v>874</v>
      </c>
      <c r="D40" s="4">
        <v>-1111898.5900000001</v>
      </c>
      <c r="E40" s="4"/>
      <c r="F40" s="4">
        <v>3117589.96</v>
      </c>
      <c r="H40" s="4">
        <f>VLOOKUP(A40,TBBP[],$I$4-2,0)+VLOOKUP("2.3.1",TBBP[],$I$4-2,0)</f>
        <v>29882370.640000001</v>
      </c>
      <c r="I40" s="4">
        <f>VLOOKUP(A40,TBBP[],$J$4-2,0)+VLOOKUP("2.3.1",TBBP[],$J$4-2,0)</f>
        <v>25467449.189999998</v>
      </c>
      <c r="J40" s="4">
        <f>H40-I40</f>
        <v>4414921.450000003</v>
      </c>
      <c r="K40" s="120"/>
      <c r="L40" s="240"/>
      <c r="M40" s="123" t="str">
        <f>ADDRESS(N34,N36,4)</f>
        <v>CG117</v>
      </c>
      <c r="N40" s="218"/>
      <c r="O40" s="218"/>
      <c r="AC40" s="127" t="s">
        <v>871</v>
      </c>
      <c r="AD40" s="129">
        <f>J36</f>
        <v>1225632.0799999963</v>
      </c>
    </row>
    <row r="41" spans="1:30" ht="15" customHeight="1" x14ac:dyDescent="0.3">
      <c r="B41" t="s">
        <v>875</v>
      </c>
      <c r="D41" s="4">
        <v>-6216406.6699999999</v>
      </c>
      <c r="E41" s="4"/>
      <c r="F41" s="4">
        <v>1921532.65</v>
      </c>
      <c r="H41" s="4">
        <f>H39+H40</f>
        <v>27882370.640000001</v>
      </c>
      <c r="I41" s="4">
        <f>I39+I40</f>
        <v>25467449.189999998</v>
      </c>
      <c r="J41" s="121">
        <f>J39+J40</f>
        <v>2414921.450000003</v>
      </c>
      <c r="L41" s="234" t="s">
        <v>895</v>
      </c>
      <c r="M41" s="124" t="str">
        <f>ADDRESS(N34,N38,4)</f>
        <v>CG117</v>
      </c>
      <c r="N41" s="218"/>
      <c r="O41" s="218"/>
    </row>
    <row r="42" spans="1:30" x14ac:dyDescent="0.3">
      <c r="L42" s="234"/>
      <c r="M42" s="16">
        <v>362797.39000000013</v>
      </c>
      <c r="N42" s="233"/>
      <c r="O42" s="233"/>
      <c r="AC42" s="282" t="s">
        <v>872</v>
      </c>
      <c r="AD42" s="282"/>
    </row>
    <row r="43" spans="1:30" x14ac:dyDescent="0.3">
      <c r="D43" s="4"/>
      <c r="E43" s="4"/>
      <c r="F43" s="4"/>
      <c r="H43" s="4"/>
      <c r="I43" s="4"/>
      <c r="M43" t="s">
        <v>891</v>
      </c>
      <c r="N43">
        <f>MATCH("4.3.1.1.02.00008",planoContas,0)+4</f>
        <v>124</v>
      </c>
      <c r="AC43" t="s">
        <v>873</v>
      </c>
      <c r="AD43" s="9">
        <f>J39</f>
        <v>-2000000</v>
      </c>
    </row>
    <row r="44" spans="1:30" x14ac:dyDescent="0.3">
      <c r="B44" t="s">
        <v>876</v>
      </c>
      <c r="D44" s="4">
        <v>1333493.53</v>
      </c>
      <c r="E44" s="4"/>
      <c r="F44" s="4">
        <v>5420168.9000000004</v>
      </c>
      <c r="H44" s="4"/>
      <c r="I44" s="4"/>
      <c r="J44" s="4">
        <f>J29+J36+J41</f>
        <v>4142655.7281999923</v>
      </c>
      <c r="M44" t="s">
        <v>892</v>
      </c>
      <c r="N44">
        <f>$I$4-2</f>
        <v>110</v>
      </c>
      <c r="AC44" t="s">
        <v>874</v>
      </c>
      <c r="AD44" s="9">
        <f>J40</f>
        <v>4414921.450000003</v>
      </c>
    </row>
    <row r="45" spans="1:30" x14ac:dyDescent="0.3">
      <c r="D45" s="4"/>
      <c r="E45" s="4"/>
      <c r="F45" s="4"/>
      <c r="H45" s="4"/>
      <c r="I45" s="4"/>
      <c r="M45" t="s">
        <v>893</v>
      </c>
      <c r="N45">
        <f>N44-12</f>
        <v>98</v>
      </c>
      <c r="AD45" s="9"/>
    </row>
    <row r="46" spans="1:30" x14ac:dyDescent="0.3">
      <c r="A46" t="s">
        <v>36</v>
      </c>
      <c r="B46" t="s">
        <v>877</v>
      </c>
      <c r="D46" s="4">
        <v>8980244.9199999999</v>
      </c>
      <c r="E46" s="4"/>
      <c r="F46" s="4">
        <v>3560076.02</v>
      </c>
      <c r="H46" s="4">
        <f>VLOOKUP(A46,TBBP[],$I$4-3,0)+VLOOKUP("1.1.1.2",TBBP[],$I$4-3,0)</f>
        <v>20643604.649999999</v>
      </c>
      <c r="I46" s="4">
        <f>VLOOKUP(A46,TBBP[],$J$4-3,0)+VLOOKUP("1.1.1.2",TBBP[],$J$4-3,0)</f>
        <v>19010513.860000003</v>
      </c>
      <c r="J46" s="4">
        <f>H46</f>
        <v>20643604.649999999</v>
      </c>
      <c r="M46" s="4" t="s">
        <v>894</v>
      </c>
      <c r="N46">
        <f>VLOOKUP($G$3,$Z$1:$AA$12,2,0)</f>
        <v>12</v>
      </c>
      <c r="AC46" s="127" t="s">
        <v>875</v>
      </c>
      <c r="AD46" s="129">
        <f>J41</f>
        <v>2414921.450000003</v>
      </c>
    </row>
    <row r="47" spans="1:30" x14ac:dyDescent="0.3">
      <c r="A47" t="s">
        <v>36</v>
      </c>
      <c r="B47" t="s">
        <v>878</v>
      </c>
      <c r="D47" s="4">
        <v>10313738.449999999</v>
      </c>
      <c r="E47" s="4"/>
      <c r="F47" s="4">
        <v>8980244.9199999999</v>
      </c>
      <c r="H47" s="4">
        <f>VLOOKUP(A47,TBBP[],$I$4-2,0)+VLOOKUP("1.1.1.2",TBBP[],$I$4-2,0)</f>
        <v>17770270.399999999</v>
      </c>
      <c r="I47" s="4">
        <f>VLOOKUP(A46,TBBP[],$J$4-2,0)+VLOOKUP("1.1.1.2",TBBP[],$J$4-2,0)</f>
        <v>20758672.41</v>
      </c>
      <c r="J47" s="4">
        <f>H47</f>
        <v>17770270.399999999</v>
      </c>
      <c r="K47" s="120"/>
      <c r="M47" t="s">
        <v>895</v>
      </c>
      <c r="N47">
        <f>N44-N46</f>
        <v>98</v>
      </c>
    </row>
    <row r="48" spans="1:30" x14ac:dyDescent="0.3">
      <c r="B48" t="s">
        <v>879</v>
      </c>
      <c r="D48" s="4">
        <v>1333493.53</v>
      </c>
      <c r="E48" s="4"/>
      <c r="F48" s="4">
        <v>5420168.9000000004</v>
      </c>
      <c r="H48" s="4">
        <f>H47-I47</f>
        <v>-2988402.0100000016</v>
      </c>
      <c r="I48" s="4">
        <f>I47-I46</f>
        <v>1748158.549999997</v>
      </c>
      <c r="J48" s="4">
        <f>H48</f>
        <v>-2988402.0100000016</v>
      </c>
      <c r="L48" s="232" t="s">
        <v>896</v>
      </c>
      <c r="M48" s="123" t="str">
        <f>ADDRESS(N43,N44,4)</f>
        <v>DF124</v>
      </c>
      <c r="N48" s="218" t="s">
        <v>1038</v>
      </c>
      <c r="O48" s="218"/>
      <c r="AC48" s="282" t="s">
        <v>876</v>
      </c>
      <c r="AD48" s="282"/>
    </row>
    <row r="49" spans="10:30" ht="15" thickBot="1" x14ac:dyDescent="0.35">
      <c r="L49" s="232"/>
      <c r="M49" s="123" t="str">
        <f>ADDRESS(N43,N45,4)</f>
        <v>CT124</v>
      </c>
      <c r="N49" s="218"/>
      <c r="O49" s="218"/>
      <c r="AC49" s="283">
        <f>J44</f>
        <v>4142655.7281999923</v>
      </c>
      <c r="AD49" s="283"/>
    </row>
    <row r="50" spans="10:30" x14ac:dyDescent="0.3">
      <c r="L50" s="234" t="s">
        <v>895</v>
      </c>
      <c r="M50" s="124" t="str">
        <f>ADDRESS(N43,N47,4)</f>
        <v>CT124</v>
      </c>
      <c r="N50" s="218"/>
      <c r="O50" s="218"/>
    </row>
    <row r="51" spans="10:30" x14ac:dyDescent="0.3">
      <c r="J51" s="9">
        <f>J44-J48</f>
        <v>7131057.738199994</v>
      </c>
      <c r="L51" s="234"/>
      <c r="M51" s="16">
        <v>2000000</v>
      </c>
      <c r="N51" s="233"/>
      <c r="O51" s="233"/>
      <c r="AC51" s="134" t="s">
        <v>877</v>
      </c>
      <c r="AD51" s="135">
        <f>H46</f>
        <v>20643604.649999999</v>
      </c>
    </row>
    <row r="52" spans="10:30" x14ac:dyDescent="0.3">
      <c r="AC52" s="134" t="s">
        <v>878</v>
      </c>
      <c r="AD52" s="135">
        <f>H47</f>
        <v>17770270.399999999</v>
      </c>
    </row>
    <row r="53" spans="10:30" x14ac:dyDescent="0.3">
      <c r="AC53" s="134" t="s">
        <v>879</v>
      </c>
      <c r="AD53" s="135">
        <f>H48</f>
        <v>-2988402.0100000016</v>
      </c>
    </row>
  </sheetData>
  <mergeCells count="13">
    <mergeCell ref="AC48:AD48"/>
    <mergeCell ref="AC49:AD49"/>
    <mergeCell ref="B1:F1"/>
    <mergeCell ref="B2:F2"/>
    <mergeCell ref="L6:O6"/>
    <mergeCell ref="AC7:AD7"/>
    <mergeCell ref="AC42:AD42"/>
    <mergeCell ref="AC25:AD25"/>
    <mergeCell ref="AC15:AD15"/>
    <mergeCell ref="AC2:AD2"/>
    <mergeCell ref="AC3:AD3"/>
    <mergeCell ref="AC5:AD5"/>
    <mergeCell ref="AC36:AD36"/>
  </mergeCells>
  <phoneticPr fontId="6" type="noConversion"/>
  <dataValidations disablePrompts="1" count="1">
    <dataValidation type="list" allowBlank="1" showInputMessage="1" showErrorMessage="1" sqref="J1" xr:uid="{FF1A7A99-15B7-48AC-B66C-1533EEA531CF}">
      <formula1>$P$1:$P$3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95" orientation="portrait" r:id="rId1"/>
  <headerFooter>
    <oddHeader>&amp;L&amp;G&amp;C&amp;8AGF IMPORTAÇÃO EXPORTAÇÃO E COMERCIALIZAÇÃO DE MAQUINAS E ACESSORIOS LTDA
CNPJ: 11.681.470/0001-84 IE: 530051442114</oddHeader>
  </headerFooter>
  <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0D07B-2899-46FC-98A7-436BAAD8262E}">
  <sheetPr codeName="Planilha13"/>
  <dimension ref="A1:R119"/>
  <sheetViews>
    <sheetView workbookViewId="0">
      <pane xSplit="1" topLeftCell="M1" activePane="topRight" state="frozen"/>
      <selection pane="topRight" activeCell="P4" sqref="O4:P4"/>
    </sheetView>
  </sheetViews>
  <sheetFormatPr defaultRowHeight="14.4" x14ac:dyDescent="0.3"/>
  <cols>
    <col min="1" max="1" width="77.88671875" bestFit="1" customWidth="1"/>
    <col min="2" max="2" width="24.5546875" bestFit="1" customWidth="1"/>
    <col min="3" max="8" width="16.44140625" bestFit="1" customWidth="1"/>
    <col min="9" max="15" width="16.44140625" customWidth="1"/>
    <col min="16" max="16" width="12.109375" bestFit="1" customWidth="1"/>
    <col min="17" max="17" width="3" bestFit="1" customWidth="1"/>
  </cols>
  <sheetData>
    <row r="1" spans="1:18" x14ac:dyDescent="0.3">
      <c r="A1" t="s">
        <v>934</v>
      </c>
      <c r="B1" s="20">
        <v>2021</v>
      </c>
      <c r="C1" s="20">
        <v>2021</v>
      </c>
      <c r="D1">
        <v>2021</v>
      </c>
      <c r="E1">
        <v>2021</v>
      </c>
      <c r="F1">
        <v>2022</v>
      </c>
      <c r="G1">
        <v>2022</v>
      </c>
      <c r="H1">
        <v>2022</v>
      </c>
      <c r="I1">
        <v>2022</v>
      </c>
      <c r="J1">
        <v>2023</v>
      </c>
      <c r="K1">
        <v>2023</v>
      </c>
      <c r="L1">
        <v>2023</v>
      </c>
      <c r="M1">
        <v>2023</v>
      </c>
      <c r="N1">
        <v>2024</v>
      </c>
    </row>
    <row r="2" spans="1:18" x14ac:dyDescent="0.3">
      <c r="A2" t="s">
        <v>903</v>
      </c>
      <c r="B2" s="2" t="s">
        <v>916</v>
      </c>
      <c r="C2" s="2" t="s">
        <v>917</v>
      </c>
      <c r="D2" s="2" t="s">
        <v>918</v>
      </c>
      <c r="E2" s="2" t="s">
        <v>919</v>
      </c>
      <c r="F2" s="2" t="s">
        <v>920</v>
      </c>
      <c r="G2" s="2" t="s">
        <v>921</v>
      </c>
      <c r="H2" s="2" t="s">
        <v>1002</v>
      </c>
      <c r="I2" s="2" t="s">
        <v>1126</v>
      </c>
      <c r="J2" s="2" t="s">
        <v>1127</v>
      </c>
      <c r="K2" s="2" t="s">
        <v>1128</v>
      </c>
      <c r="L2" s="2" t="s">
        <v>1129</v>
      </c>
      <c r="M2" s="2" t="s">
        <v>1130</v>
      </c>
      <c r="N2" s="2" t="s">
        <v>1131</v>
      </c>
      <c r="O2" s="2"/>
      <c r="P2" s="2"/>
    </row>
    <row r="3" spans="1:18" hidden="1" x14ac:dyDescent="0.3">
      <c r="B3" s="37">
        <f t="shared" ref="B3:H3" si="0">DATE(B$1,VLOOKUP(B2,$Q$4:$R$7,2,1),1)</f>
        <v>44256</v>
      </c>
      <c r="C3" s="37">
        <f t="shared" si="0"/>
        <v>44348</v>
      </c>
      <c r="D3" s="37">
        <f t="shared" si="0"/>
        <v>44440</v>
      </c>
      <c r="E3" s="37">
        <f t="shared" si="0"/>
        <v>44531</v>
      </c>
      <c r="F3" s="37">
        <f t="shared" si="0"/>
        <v>44621</v>
      </c>
      <c r="G3" s="37">
        <f t="shared" si="0"/>
        <v>44713</v>
      </c>
      <c r="H3" s="37">
        <f t="shared" si="0"/>
        <v>44805</v>
      </c>
      <c r="I3" s="37">
        <f t="shared" ref="I3:N3" si="1">DATE(I$1,VLOOKUP(I2,$Q$4:$R$7,2,1),1)</f>
        <v>44896</v>
      </c>
      <c r="J3" s="37">
        <f t="shared" si="1"/>
        <v>44986</v>
      </c>
      <c r="K3" s="37">
        <f t="shared" si="1"/>
        <v>45078</v>
      </c>
      <c r="L3" s="37">
        <f t="shared" si="1"/>
        <v>45170</v>
      </c>
      <c r="M3" s="37">
        <f t="shared" si="1"/>
        <v>45261</v>
      </c>
      <c r="N3" s="37">
        <f t="shared" si="1"/>
        <v>45352</v>
      </c>
      <c r="O3" s="37"/>
      <c r="P3" s="2"/>
    </row>
    <row r="4" spans="1:18" hidden="1" x14ac:dyDescent="0.3">
      <c r="B4" s="4" cm="1">
        <f t="array" ref="B4">(INDEX(TBBP[],MATCH("1",planoContas,0)+1,MATCH(B$3,listaPeriodos,0)))/1000</f>
        <v>48717.474430000009</v>
      </c>
      <c r="C4" s="4" cm="1">
        <f t="array" ref="C4">(INDEX(TBBP[],MATCH("1",planoContas,0)+1,MATCH(C$3,listaPeriodos,0)))/1000</f>
        <v>54694.782700000003</v>
      </c>
      <c r="D4" s="4" cm="1">
        <f t="array" ref="D4">(INDEX(TBBP[],MATCH("1",planoContas,0)+1,MATCH(D$3,listaPeriodos,0)))/1000</f>
        <v>61348.830259999995</v>
      </c>
      <c r="E4" s="4" cm="1">
        <f t="array" ref="E4">(INDEX(TBBP[],MATCH("1",planoContas,0)+1,MATCH(E$3,listaPeriodos,0)))/1000</f>
        <v>63547.764300000003</v>
      </c>
      <c r="F4" s="4" cm="1">
        <f t="array" ref="F4">(INDEX(TBBP[],MATCH("1",planoContas,0)+1,MATCH(F$3,listaPeriodos,0)))/1000</f>
        <v>68592.950150000004</v>
      </c>
      <c r="G4" s="4" cm="1">
        <f t="array" ref="G4">(INDEX(TBBP[],MATCH("1",planoContas,0)+1,MATCH(G$3,listaPeriodos,0)))/1000</f>
        <v>71587.626930000013</v>
      </c>
      <c r="H4" s="4" cm="1">
        <f t="array" ref="H4">(INDEX(TBBP[],MATCH("1",planoContas,0)+1,MATCH(H$3,listaPeriodos,0)))/1000</f>
        <v>78253.639779999998</v>
      </c>
      <c r="I4" s="4" cm="1">
        <f t="array" ref="I4">(INDEX(TBBP[],MATCH("1",planoContas,0)+1,MATCH(I$3,listaPeriodos,0)))/1000</f>
        <v>76043.176389999979</v>
      </c>
      <c r="J4" s="4" cm="1">
        <f t="array" ref="J4">(INDEX(TBBP[],MATCH("1",planoContas,0)+1,MATCH(J$3,listaPeriodos,0)))/1000</f>
        <v>77782.645460000014</v>
      </c>
      <c r="K4" s="4" cm="1">
        <f t="array" ref="K4">(INDEX(TBBP[],MATCH("1",planoContas,0)+1,MATCH(K$3,listaPeriodos,0)))/1000</f>
        <v>85271.225300000006</v>
      </c>
      <c r="L4" s="4" cm="1">
        <f t="array" ref="L4">(INDEX(TBBP[],MATCH("1",planoContas,0)+1,MATCH(L$3,listaPeriodos,0)))/1000</f>
        <v>91686.341680000012</v>
      </c>
      <c r="M4" s="4" cm="1">
        <f t="array" ref="M4">(INDEX(TBBP[],MATCH("1",planoContas,0)+1,MATCH(M$3,listaPeriodos,0)))/1000</f>
        <v>93839.01241000001</v>
      </c>
      <c r="N4" s="4" cm="1">
        <f t="array" ref="N4">(INDEX(TBBP[],MATCH("1",planoContas,0)+1,MATCH(N$3,listaPeriodos,0)))/1000</f>
        <v>100301.77340000001</v>
      </c>
      <c r="O4" s="4"/>
      <c r="P4" s="2">
        <v>1</v>
      </c>
      <c r="Q4" t="s">
        <v>922</v>
      </c>
      <c r="R4">
        <v>3</v>
      </c>
    </row>
    <row r="5" spans="1:18" hidden="1" x14ac:dyDescent="0.3">
      <c r="A5" t="s">
        <v>943</v>
      </c>
      <c r="B5" s="33">
        <f>B4/B4-1</f>
        <v>0</v>
      </c>
      <c r="C5" s="33">
        <f t="shared" ref="C5:N5" si="2">C4/B4-1</f>
        <v>0.12269331158758079</v>
      </c>
      <c r="D5" s="33">
        <f t="shared" si="2"/>
        <v>0.12165781143143639</v>
      </c>
      <c r="E5" s="33">
        <f t="shared" si="2"/>
        <v>3.5843129048765743E-2</v>
      </c>
      <c r="F5" s="33">
        <f t="shared" si="2"/>
        <v>7.9392027486323347E-2</v>
      </c>
      <c r="G5" s="33">
        <f t="shared" si="2"/>
        <v>4.3658667158231301E-2</v>
      </c>
      <c r="H5" s="33">
        <f t="shared" si="2"/>
        <v>9.3116829483929742E-2</v>
      </c>
      <c r="I5" s="33">
        <f t="shared" si="2"/>
        <v>-2.8247419496581272E-2</v>
      </c>
      <c r="J5" s="33">
        <f t="shared" si="2"/>
        <v>2.2874755534656899E-2</v>
      </c>
      <c r="K5" s="33">
        <f t="shared" si="2"/>
        <v>9.6275715433862707E-2</v>
      </c>
      <c r="L5" s="33">
        <f t="shared" si="2"/>
        <v>7.5231901000958334E-2</v>
      </c>
      <c r="M5" s="33">
        <f t="shared" si="2"/>
        <v>2.3478641317298488E-2</v>
      </c>
      <c r="N5" s="33">
        <f t="shared" si="2"/>
        <v>6.8870726833345053E-2</v>
      </c>
      <c r="O5" s="33"/>
      <c r="Q5" t="s">
        <v>923</v>
      </c>
      <c r="R5">
        <v>6</v>
      </c>
    </row>
    <row r="6" spans="1:18" hidden="1" x14ac:dyDescent="0.3">
      <c r="B6" s="4" cm="1">
        <f t="array" ref="B6">((INDEX(TBBP[],MATCH("2.1",planoContas,0)+1,MATCH(B$3,listaPeriodos,0)))+(INDEX(TBBP[#Data],MATCH("2.3",planoContas,0)+1,MATCH(B$3,listaPeriodos,0))))/1000</f>
        <v>13521.475010000002</v>
      </c>
      <c r="C6" s="4" cm="1">
        <f t="array" ref="C6">((INDEX(TBBP[],MATCH("2.1",planoContas,0)+1,MATCH(C$3,listaPeriodos,0)))+(INDEX(TBBP[#Data],MATCH("2.3",planoContas,0)+1,MATCH(C$3,listaPeriodos,0))))/1000</f>
        <v>15192.343699999999</v>
      </c>
      <c r="D6" s="4" cm="1">
        <f t="array" ref="D6">((INDEX(TBBP[],MATCH("2.1",planoContas,0)+1,MATCH(D$3,listaPeriodos,0)))+(INDEX(TBBP[#Data],MATCH("2.3",planoContas,0)+1,MATCH(D$3,listaPeriodos,0))))/1000</f>
        <v>13543.31709</v>
      </c>
      <c r="E6" s="4" cm="1">
        <f t="array" ref="E6">((INDEX(TBBP[],MATCH("2.1",planoContas,0)+1,MATCH(E$3,listaPeriodos,0)))+(INDEX(TBBP[#Data],MATCH("2.3",planoContas,0)+1,MATCH(E$3,listaPeriodos,0))))/1000</f>
        <v>12582.219880000001</v>
      </c>
      <c r="F6" s="4" cm="1">
        <f t="array" ref="F6">((INDEX(TBBP[],MATCH("2.1",planoContas,0)+1,MATCH(F$3,listaPeriodos,0)))+(INDEX(TBBP[#Data],MATCH("2.3",planoContas,0)+1,MATCH(F$3,listaPeriodos,0))))/1000</f>
        <v>14458.84943</v>
      </c>
      <c r="G6" s="4" cm="1">
        <f t="array" ref="G6">((INDEX(TBBP[],MATCH("2.1",planoContas,0)+1,MATCH(G$3,listaPeriodos,0)))+(INDEX(TBBP[#Data],MATCH("2.3",planoContas,0)+1,MATCH(G$3,listaPeriodos,0))))/1000</f>
        <v>13124.433679999998</v>
      </c>
      <c r="H6" s="4" cm="1">
        <f t="array" ref="H6">((INDEX(TBBP[],MATCH("2.1",planoContas,0)+1,MATCH(H$3,listaPeriodos,0)))+(INDEX(TBBP[#Data],MATCH("2.3",planoContas,0)+1,MATCH(H$3,listaPeriodos,0))))/1000</f>
        <v>15699.5249</v>
      </c>
      <c r="I6" s="4" cm="1">
        <f t="array" ref="I6">((INDEX(TBBP[],MATCH("2.1",planoContas,0)+1,MATCH(I$3,listaPeriodos,0)))+(INDEX(TBBP[#Data],MATCH("2.3",planoContas,0)+1,MATCH(I$3,listaPeriodos,0))))/1000</f>
        <v>11728.112419999998</v>
      </c>
      <c r="J6" s="4" cm="1">
        <f t="array" ref="J6">((INDEX(TBBP[],MATCH("2.1",planoContas,0)+1,MATCH(J$3,listaPeriodos,0)))+(INDEX(TBBP[#Data],MATCH("2.3",planoContas,0)+1,MATCH(J$3,listaPeriodos,0))))/1000</f>
        <v>12310.0298258</v>
      </c>
      <c r="K6" s="4" cm="1">
        <f t="array" ref="K6">((INDEX(TBBP[],MATCH("2.1",planoContas,0)+1,MATCH(K$3,listaPeriodos,0)))+(INDEX(TBBP[#Data],MATCH("2.3",planoContas,0)+1,MATCH(K$3,listaPeriodos,0))))/1000</f>
        <v>15904.5162208</v>
      </c>
      <c r="L6" s="4" cm="1">
        <f t="array" ref="L6">((INDEX(TBBP[],MATCH("2.1",planoContas,0)+1,MATCH(L$3,listaPeriodos,0)))+(INDEX(TBBP[#Data],MATCH("2.3",planoContas,0)+1,MATCH(L$3,listaPeriodos,0))))/1000</f>
        <v>20659.845635800004</v>
      </c>
      <c r="M6" s="4" cm="1">
        <f t="array" ref="M6">((INDEX(TBBP[],MATCH("2.1",planoContas,0)+1,MATCH(M$3,listaPeriodos,0)))+(INDEX(TBBP[#Data],MATCH("2.3",planoContas,0)+1,MATCH(M$3,listaPeriodos,0))))/1000</f>
        <v>19859.427509999998</v>
      </c>
      <c r="N6" s="4" cm="1">
        <f t="array" ref="N6">((INDEX(TBBP[],MATCH("2.1",planoContas,0)+1,MATCH(N$3,listaPeriodos,0)))+(INDEX(TBBP[#Data],MATCH("2.3",planoContas,0)+1,MATCH(N$3,listaPeriodos,0))))/1000</f>
        <v>23146.073047600003</v>
      </c>
      <c r="O6" s="4"/>
      <c r="P6" s="2">
        <v>2</v>
      </c>
      <c r="Q6" t="s">
        <v>924</v>
      </c>
      <c r="R6">
        <v>9</v>
      </c>
    </row>
    <row r="7" spans="1:18" hidden="1" x14ac:dyDescent="0.3">
      <c r="A7" t="s">
        <v>944</v>
      </c>
      <c r="B7" s="33">
        <f>B6/B6-1</f>
        <v>0</v>
      </c>
      <c r="C7" s="33">
        <f t="shared" ref="C7:N7" si="3">C6/B6-1</f>
        <v>0.12357148083062564</v>
      </c>
      <c r="D7" s="33">
        <f t="shared" si="3"/>
        <v>-0.1085432664349214</v>
      </c>
      <c r="E7" s="33">
        <f t="shared" si="3"/>
        <v>-7.0964683438568099E-2</v>
      </c>
      <c r="F7" s="33">
        <f t="shared" si="3"/>
        <v>0.14914932085895161</v>
      </c>
      <c r="G7" s="33">
        <f t="shared" si="3"/>
        <v>-9.2290590372376635E-2</v>
      </c>
      <c r="H7" s="33">
        <f t="shared" si="3"/>
        <v>0.19620589221492435</v>
      </c>
      <c r="I7" s="33">
        <f t="shared" si="3"/>
        <v>-0.25296386389374126</v>
      </c>
      <c r="J7" s="33">
        <f t="shared" si="3"/>
        <v>4.9617311376352058E-2</v>
      </c>
      <c r="K7" s="33">
        <f t="shared" si="3"/>
        <v>0.29199656262948182</v>
      </c>
      <c r="L7" s="33">
        <f t="shared" si="3"/>
        <v>0.29899239618373064</v>
      </c>
      <c r="M7" s="33">
        <f t="shared" si="3"/>
        <v>-3.8742696335204774E-2</v>
      </c>
      <c r="N7" s="33">
        <f t="shared" si="3"/>
        <v>0.16549548248281831</v>
      </c>
      <c r="O7" s="33"/>
      <c r="Q7" t="s">
        <v>927</v>
      </c>
      <c r="R7">
        <v>12</v>
      </c>
    </row>
    <row r="8" spans="1:18" hidden="1" x14ac:dyDescent="0.3">
      <c r="B8" s="4" cm="1">
        <f t="array" ref="B8">(INDEX(TBBP[],MATCH("2.9",planoContas,0)+1,MATCH(B$3,listaPeriodos,0)))/1000</f>
        <v>35195.99942</v>
      </c>
      <c r="C8" s="4" cm="1">
        <f t="array" ref="C8">(INDEX(TBBP[],MATCH("2.9",planoContas,0)+1,MATCH(C$3,listaPeriodos,0)))/1000</f>
        <v>39502.438999999998</v>
      </c>
      <c r="D8" s="4" cm="1">
        <f t="array" ref="D8">(INDEX(TBBP[],MATCH("2.9",planoContas,0)+1,MATCH(D$3,listaPeriodos,0)))/1000</f>
        <v>47805.513170000006</v>
      </c>
      <c r="E8" s="4" cm="1">
        <f t="array" ref="E8">(INDEX(TBBP[],MATCH("2.9",planoContas,0)+1,MATCH(E$3,listaPeriodos,0)))/1000</f>
        <v>50965.544419999998</v>
      </c>
      <c r="F8" s="4" cm="1">
        <f t="array" ref="F8">(INDEX(TBBP[],MATCH("2.9",planoContas,0)+1,MATCH(F$3,listaPeriodos,0)))/1000</f>
        <v>54134.100720000002</v>
      </c>
      <c r="G8" s="4" cm="1">
        <f t="array" ref="G8">(INDEX(TBBP[],MATCH("2.9",planoContas,0)+1,MATCH(G$3,listaPeriodos,0)))/1000</f>
        <v>58463.193250000004</v>
      </c>
      <c r="H8" s="4" cm="1">
        <f t="array" ref="H8">(INDEX(TBBP[],MATCH("2.9",planoContas,0)+1,MATCH(H$3,listaPeriodos,0)))/1000</f>
        <v>62554.114880000001</v>
      </c>
      <c r="I8" s="4" cm="1">
        <f t="array" ref="I8">(INDEX(TBBP[],MATCH("2.9",planoContas,0)+1,MATCH(I$3,listaPeriodos,0)))/1000</f>
        <v>64315.063965000008</v>
      </c>
      <c r="J8" s="4" cm="1">
        <f t="array" ref="J8">(INDEX(TBBP[],MATCH("2.9",planoContas,0)+1,MATCH(J$3,listaPeriodos,0)))/1000</f>
        <v>65472.615634199996</v>
      </c>
      <c r="K8" s="4" cm="1">
        <f t="array" ref="K8">(INDEX(TBBP[],MATCH("2.9",planoContas,0)+1,MATCH(K$3,listaPeriodos,0)))/1000</f>
        <v>69366.709079199994</v>
      </c>
      <c r="L8" s="4" cm="1">
        <f t="array" ref="L8">(INDEX(TBBP[],MATCH("2.9",planoContas,0)+1,MATCH(L$3,listaPeriodos,0)))/1000</f>
        <v>71026.496044199986</v>
      </c>
      <c r="M8" s="4" cm="1">
        <f t="array" ref="M8">(INDEX(TBBP[],MATCH("2.9",planoContas,0)+1,MATCH(M$3,listaPeriodos,0)))/1000</f>
        <v>73979.584895799999</v>
      </c>
      <c r="N8" s="4" cm="1">
        <f t="array" ref="N8">(INDEX(TBBP[],MATCH("2.9",planoContas,0)+1,MATCH(N$3,listaPeriodos,0)))/1000</f>
        <v>77155.700352400003</v>
      </c>
      <c r="O8" s="4"/>
      <c r="P8" s="2" t="s">
        <v>92</v>
      </c>
    </row>
    <row r="9" spans="1:18" hidden="1" x14ac:dyDescent="0.3">
      <c r="A9" t="s">
        <v>945</v>
      </c>
      <c r="B9" s="33">
        <f>B8/B8-1</f>
        <v>0</v>
      </c>
      <c r="C9" s="33">
        <f t="shared" ref="C9:N9" si="4">C8/B8-1</f>
        <v>0.1223559396228675</v>
      </c>
      <c r="D9" s="33">
        <f t="shared" si="4"/>
        <v>0.21019143071140522</v>
      </c>
      <c r="E9" s="33">
        <f t="shared" si="4"/>
        <v>6.6101816306472605E-2</v>
      </c>
      <c r="F9" s="33">
        <f t="shared" si="4"/>
        <v>6.2170557306096219E-2</v>
      </c>
      <c r="G9" s="33">
        <f t="shared" si="4"/>
        <v>7.9969787480012711E-2</v>
      </c>
      <c r="H9" s="33">
        <f t="shared" si="4"/>
        <v>6.9974310375186199E-2</v>
      </c>
      <c r="I9" s="33">
        <f t="shared" si="4"/>
        <v>2.8150811315580171E-2</v>
      </c>
      <c r="J9" s="33">
        <f t="shared" si="4"/>
        <v>1.7998142236629322E-2</v>
      </c>
      <c r="K9" s="33">
        <f t="shared" si="4"/>
        <v>5.9476674442893396E-2</v>
      </c>
      <c r="L9" s="33">
        <f t="shared" si="4"/>
        <v>2.3927716725106851E-2</v>
      </c>
      <c r="M9" s="33">
        <f t="shared" si="4"/>
        <v>4.1577284760919264E-2</v>
      </c>
      <c r="N9" s="33">
        <f t="shared" si="4"/>
        <v>4.2932323303429554E-2</v>
      </c>
      <c r="O9" s="33"/>
      <c r="P9" s="2" t="s">
        <v>926</v>
      </c>
    </row>
    <row r="10" spans="1:18" hidden="1" x14ac:dyDescent="0.3">
      <c r="A10" t="s">
        <v>925</v>
      </c>
      <c r="B10" s="34" cm="1">
        <f t="array" ref="B10">((INDEX(TBBP[],MATCH("1.1",planoContas,0)+1,MATCH(B$3,listaPeriodos,0)))/(INDEX(TBBP[],MATCH("2.1",planoContas,0)+1,MATCH(B$3,listaPeriodos,0))))</f>
        <v>3.9067843399459581</v>
      </c>
      <c r="C10" s="34" cm="1">
        <f t="array" ref="C10">((INDEX(TBBP[],MATCH("1.1",planoContas,0)+1,MATCH(C$3,listaPeriodos,0)))/(INDEX(TBBP[],MATCH("2.1",planoContas,0)+1,MATCH(C$3,listaPeriodos,0))))</f>
        <v>3.7599588901442318</v>
      </c>
      <c r="D10" s="34" cm="1">
        <f t="array" ref="D10">((INDEX(TBBP[],MATCH("1.1",planoContas,0)+1,MATCH(D$3,listaPeriodos,0)))/(INDEX(TBBP[],MATCH("2.1",planoContas,0)+1,MATCH(D$3,listaPeriodos,0))))</f>
        <v>4.6955674606466138</v>
      </c>
      <c r="E10" s="34" cm="1">
        <f t="array" ref="E10">((INDEX(TBBP[],MATCH("1.1",planoContas,0)+1,MATCH(E$3,listaPeriodos,0)))/(INDEX(TBBP[],MATCH("2.1",planoContas,0)+1,MATCH(E$3,listaPeriodos,0))))</f>
        <v>5.1296961073298508</v>
      </c>
      <c r="F10" s="34" cm="1">
        <f t="array" ref="F10">((INDEX(TBBP[],MATCH("1.1",planoContas,0)+1,MATCH(F$3,listaPeriodos,0)))/(INDEX(TBBP[],MATCH("2.1",planoContas,0)+1,MATCH(F$3,listaPeriodos,0))))</f>
        <v>4.6148793757961073</v>
      </c>
      <c r="G10" s="34" cm="1">
        <f t="array" ref="G10">((INDEX(TBBP[],MATCH("1.1",planoContas,0)+1,MATCH(G$3,listaPeriodos,0)))/(INDEX(TBBP[],MATCH("2.1",planoContas,0)+1,MATCH(G$3,listaPeriodos,0))))</f>
        <v>5.1381789846560384</v>
      </c>
      <c r="H10" s="34" cm="1">
        <f t="array" ref="H10">((INDEX(TBBP[],MATCH("1.1",planoContas,0)+1,MATCH(H$3,listaPeriodos,0)))/(INDEX(TBBP[],MATCH("2.1",planoContas,0)+1,MATCH(H$3,listaPeriodos,0))))</f>
        <v>4.8806446940528776</v>
      </c>
      <c r="I10" s="34" cm="1">
        <f t="array" ref="I10">((INDEX(TBBP[],MATCH("1.1",planoContas,0)+1,MATCH(I$3,listaPeriodos,0)))/(INDEX(TBBP[],MATCH("2.1",planoContas,0)+1,MATCH(I$3,listaPeriodos,0))))</f>
        <v>6.4529852962159273</v>
      </c>
      <c r="J10" s="34" cm="1">
        <f t="array" ref="J10">((INDEX(TBBP[],MATCH("1.1",planoContas,0)+1,MATCH(J$3,listaPeriodos,0)))/(INDEX(TBBP[],MATCH("2.1",planoContas,0)+1,MATCH(J$3,listaPeriodos,0))))</f>
        <v>6.2194202082732053</v>
      </c>
      <c r="K10" s="34" cm="1">
        <f t="array" ref="K10">((INDEX(TBBP[],MATCH("1.1",planoContas,0)+1,MATCH(K$3,listaPeriodos,0)))/(INDEX(TBBP[],MATCH("2.1",planoContas,0)+1,MATCH(K$3,listaPeriodos,0))))</f>
        <v>5.0247298769314783</v>
      </c>
      <c r="L10" s="34" cm="1">
        <f t="array" ref="L10">((INDEX(TBBP[],MATCH("1.1",planoContas,0)+1,MATCH(L$3,listaPeriodos,0)))/(INDEX(TBBP[],MATCH("2.1",planoContas,0)+1,MATCH(L$3,listaPeriodos,0))))</f>
        <v>4.3132484385581904</v>
      </c>
      <c r="M10" s="34" cm="1">
        <f t="array" ref="M10">((INDEX(TBBP[],MATCH("1.1",planoContas,0)+1,MATCH(M$3,listaPeriodos,0)))/(INDEX(TBBP[],MATCH("2.1",planoContas,0)+1,MATCH(M$3,listaPeriodos,0))))</f>
        <v>4.5158317796406306</v>
      </c>
      <c r="N10" s="34" cm="1">
        <f t="array" ref="N10">((INDEX(TBBP[],MATCH("1.1",planoContas,0)+1,MATCH(N$3,listaPeriodos,0)))/(INDEX(TBBP[],MATCH("2.1",planoContas,0)+1,MATCH(N$3,listaPeriodos,0))))</f>
        <v>4.3914954415298268</v>
      </c>
      <c r="O10" s="34"/>
    </row>
    <row r="11" spans="1:18" hidden="1" x14ac:dyDescent="0.3">
      <c r="B11" s="4" cm="1">
        <f t="array" ref="B11">((INDEX(TBBP[],MATCH("3.1",planoContas,0)+1,MATCH(B$3,listaPeriodos,0)))+(INDEX(TBBP[],MATCH("3.1",planoContas,0)+1,MATCH(DATE(B$1,VLOOKUP(B$2,$Q$4:$R$7,2,1)-1,1),listaPeriodos,0)))+(INDEX(TBBP[],MATCH("3.1",planoContas,0)+1,MATCH(DATE(B$1,VLOOKUP(B$2,$Q$4:$R$7,2,1)-2,1),listaPeriodos,0))))/1000</f>
        <v>16209.433950000002</v>
      </c>
      <c r="C11" s="4" cm="1">
        <f t="array" ref="C11">((INDEX(TBBP[],MATCH("3.1",planoContas,0)+1,MATCH(C$3,listaPeriodos,0)))+(INDEX(TBBP[],MATCH("3.1",planoContas,0)+1,MATCH(DATE(C$1,VLOOKUP(C$2,$Q$4:$R$7,2,1)-1,1),listaPeriodos,0)))+(INDEX(TBBP[],MATCH("3.1",planoContas,0)+1,MATCH(DATE(C$1,VLOOKUP(C$2,$Q$4:$R$7,2,1)-2,1),listaPeriodos,0))))/1000</f>
        <v>23892.518499999998</v>
      </c>
      <c r="D11" s="4" cm="1">
        <f t="array" ref="D11">((INDEX(TBBP[],MATCH("3.1",planoContas,0)+1,MATCH(D$3,listaPeriodos,0)))+(INDEX(TBBP[],MATCH("3.1",planoContas,0)+1,MATCH(DATE(D$1,VLOOKUP(D$2,$Q$4:$R$7,2,1)-1,1),listaPeriodos,0)))+(INDEX(TBBP[],MATCH("3.1",planoContas,0)+1,MATCH(DATE(D$1,VLOOKUP(D$2,$Q$4:$R$7,2,1)-2,1),listaPeriodos,0))))/1000</f>
        <v>26711.85628</v>
      </c>
      <c r="E11" s="4" cm="1">
        <f t="array" ref="E11">((INDEX(TBBP[],MATCH("3.1",planoContas,0)+1,MATCH(E$3,listaPeriodos,0)))+(INDEX(TBBP[],MATCH("3.1",planoContas,0)+1,MATCH(DATE(E$1,VLOOKUP(E$2,$Q$4:$R$7,2,1)-1,1),listaPeriodos,0)))+(INDEX(TBBP[],MATCH("3.1",planoContas,0)+1,MATCH(DATE(E$1,VLOOKUP(E$2,$Q$4:$R$7,2,1)-2,1),listaPeriodos,0))))/1000</f>
        <v>19145.9892</v>
      </c>
      <c r="F11" s="4" cm="1">
        <f t="array" ref="F11">((INDEX(TBBP[],MATCH("3.1",planoContas,0)+1,MATCH(F$3,listaPeriodos,0)))+(INDEX(TBBP[],MATCH("3.1",planoContas,0)+1,MATCH(DATE(F$1,VLOOKUP(F$2,$Q$4:$R$7,2,1)-1,1),listaPeriodos,0)))+(INDEX(TBBP[],MATCH("3.1",planoContas,0)+1,MATCH(DATE(F$1,VLOOKUP(F$2,$Q$4:$R$7,2,1)-2,1),listaPeriodos,0))))/1000</f>
        <v>22413.11823</v>
      </c>
      <c r="G11" s="4" cm="1">
        <f t="array" ref="G11">((INDEX(TBBP[],MATCH("3.1",planoContas,0)+1,MATCH(G$3,listaPeriodos,0)))+(INDEX(TBBP[],MATCH("3.1",planoContas,0)+1,MATCH(DATE(G$1,VLOOKUP(G$2,$Q$4:$R$7,2,1)-1,1),listaPeriodos,0)))+(INDEX(TBBP[],MATCH("3.1",planoContas,0)+1,MATCH(DATE(G$1,VLOOKUP(G$2,$Q$4:$R$7,2,1)-2,1),listaPeriodos,0))))/1000</f>
        <v>22945.825120000001</v>
      </c>
      <c r="H11" s="4" cm="1">
        <f t="array" ref="H11">((INDEX(TBBP[],MATCH("3.1",planoContas,0)+1,MATCH(H$3,listaPeriodos,0)))+(INDEX(TBBP[],MATCH("3.1",planoContas,0)+1,MATCH(DATE(H$1,VLOOKUP(H$2,$Q$4:$R$7,2,1)-1,1),listaPeriodos,0)))+(INDEX(TBBP[],MATCH("3.1",planoContas,0)+1,MATCH(DATE(H$1,VLOOKUP(H$2,$Q$4:$R$7,2,1)-2,1),listaPeriodos,0))))/1000</f>
        <v>22788.652160000005</v>
      </c>
      <c r="I11" s="4" cm="1">
        <f t="array" ref="I11">((INDEX(TBBP[],MATCH("3.1",planoContas,0)+1,MATCH(I$3,listaPeriodos,0)))+(INDEX(TBBP[],MATCH("3.1",planoContas,0)+1,MATCH(DATE(I$1,VLOOKUP(I$2,$Q$4:$R$7,2,1)-1,1),listaPeriodos,0)))+(INDEX(TBBP[],MATCH("3.1",planoContas,0)+1,MATCH(DATE(I$1,VLOOKUP(I$2,$Q$4:$R$7,2,1)-2,1),listaPeriodos,0))))/1000</f>
        <v>17369.238170000001</v>
      </c>
      <c r="J11" s="4" cm="1">
        <f t="array" ref="J11">((INDEX(TBBP[],MATCH("3.1",planoContas,0)+1,MATCH(J$3,listaPeriodos,0)))+(INDEX(TBBP[],MATCH("3.1",planoContas,0)+1,MATCH(DATE(J$1,VLOOKUP(J$2,$Q$4:$R$7,2,1)-1,1),listaPeriodos,0)))+(INDEX(TBBP[],MATCH("3.1",planoContas,0)+1,MATCH(DATE(J$1,VLOOKUP(J$2,$Q$4:$R$7,2,1)-2,1),listaPeriodos,0))))/1000</f>
        <v>15707.36643</v>
      </c>
      <c r="K11" s="4" cm="1">
        <f t="array" ref="K11">((INDEX(TBBP[],MATCH("3.1",planoContas,0)+1,MATCH(K$3,listaPeriodos,0)))+(INDEX(TBBP[],MATCH("3.1",planoContas,0)+1,MATCH(DATE(K$1,VLOOKUP(K$2,$Q$4:$R$7,2,1)-1,1),listaPeriodos,0)))+(INDEX(TBBP[],MATCH("3.1",planoContas,0)+1,MATCH(DATE(K$1,VLOOKUP(K$2,$Q$4:$R$7,2,1)-2,1),listaPeriodos,0))))/1000</f>
        <v>22815.266749999999</v>
      </c>
      <c r="L11" s="4" cm="1">
        <f t="array" ref="L11">((INDEX(TBBP[],MATCH("3.1",planoContas,0)+1,MATCH(L$3,listaPeriodos,0)))+(INDEX(TBBP[],MATCH("3.1",planoContas,0)+1,MATCH(DATE(L$1,VLOOKUP(L$2,$Q$4:$R$7,2,1)-1,1),listaPeriodos,0)))+(INDEX(TBBP[],MATCH("3.1",planoContas,0)+1,MATCH(DATE(L$1,VLOOKUP(L$2,$Q$4:$R$7,2,1)-2,1),listaPeriodos,0))))/1000</f>
        <v>20493.019469999999</v>
      </c>
      <c r="M11" s="4" cm="1">
        <f t="array" ref="M11">((INDEX(TBBP[],MATCH("3.1",planoContas,0)+1,MATCH(M$3,listaPeriodos,0)))+(INDEX(TBBP[],MATCH("3.1",planoContas,0)+1,MATCH(DATE(M$1,VLOOKUP(M$2,$Q$4:$R$7,2,1)-1,1),listaPeriodos,0)))+(INDEX(TBBP[],MATCH("3.1",planoContas,0)+1,MATCH(DATE(M$1,VLOOKUP(M$2,$Q$4:$R$7,2,1)-2,1),listaPeriodos,0))))/1000</f>
        <v>23035.949230000002</v>
      </c>
      <c r="N11" s="4" cm="1">
        <f t="array" ref="N11">((INDEX(TBBP[],MATCH("3.1",planoContas,0)+1,MATCH(N$3,listaPeriodos,0)))+(INDEX(TBBP[],MATCH("3.1",planoContas,0)+1,MATCH(DATE(N$1,VLOOKUP(N$2,$Q$4:$R$7,2,1)-1,1),listaPeriodos,0)))+(INDEX(TBBP[],MATCH("3.1",planoContas,0)+1,MATCH(DATE(N$1,VLOOKUP(N$2,$Q$4:$R$7,2,1)-2,1),listaPeriodos,0))))/1000</f>
        <v>23560.751009999996</v>
      </c>
      <c r="O11" s="4"/>
      <c r="P11" s="2" t="s">
        <v>141</v>
      </c>
    </row>
    <row r="12" spans="1:18" hidden="1" x14ac:dyDescent="0.3">
      <c r="A12" t="s">
        <v>946</v>
      </c>
      <c r="B12" s="33">
        <f>B11/B11-1</f>
        <v>0</v>
      </c>
      <c r="C12" s="33">
        <f t="shared" ref="C12:N12" si="5">C11/B11-1</f>
        <v>0.47398845472947526</v>
      </c>
      <c r="D12" s="33">
        <f t="shared" si="5"/>
        <v>0.11800086206901961</v>
      </c>
      <c r="E12" s="33">
        <f t="shared" si="5"/>
        <v>-0.28324003396442354</v>
      </c>
      <c r="F12" s="33">
        <f t="shared" si="5"/>
        <v>0.17064299973594466</v>
      </c>
      <c r="G12" s="33">
        <f t="shared" si="5"/>
        <v>2.3767638421992254E-2</v>
      </c>
      <c r="H12" s="33">
        <f t="shared" si="5"/>
        <v>-6.8497410390790936E-3</v>
      </c>
      <c r="I12" s="33">
        <f t="shared" si="5"/>
        <v>-0.23781195798461841</v>
      </c>
      <c r="J12" s="33">
        <f t="shared" si="5"/>
        <v>-9.5679023094425109E-2</v>
      </c>
      <c r="K12" s="33">
        <f t="shared" si="5"/>
        <v>0.45252018227730351</v>
      </c>
      <c r="L12" s="33">
        <f t="shared" si="5"/>
        <v>-0.10178479635790361</v>
      </c>
      <c r="M12" s="33">
        <f t="shared" si="5"/>
        <v>0.12408760767160887</v>
      </c>
      <c r="N12" s="33">
        <f t="shared" si="5"/>
        <v>2.2781860419996969E-2</v>
      </c>
      <c r="O12" s="33"/>
    </row>
    <row r="13" spans="1:18" hidden="1" x14ac:dyDescent="0.3">
      <c r="B13" s="4" cm="1">
        <f t="array" ref="B13">((INDEX(TBBP[],MATCH(9,planoContas,0)+1,MATCH(B$3,listaPeriodos,0)))+(INDEX(TBBP[],MATCH(9,planoContas,0)+1,MATCH(DATE(B$1,VLOOKUP(B$2,$Q$4:$R$7,2,1)-1,1),listaPeriodos,0)))+(INDEX(TBBP[],MATCH(9,planoContas,0)+1,MATCH(DATE(B$1,VLOOKUP(B$2,$Q$4:$R$7,2,1)-2,1),listaPeriodos,0))))/1000</f>
        <v>4735.8351000000011</v>
      </c>
      <c r="C13" s="4" cm="1">
        <f t="array" ref="C13">((INDEX(TBBP[],MATCH(9,planoContas,0)+1,MATCH(C$3,listaPeriodos,0)))+(INDEX(TBBP[],MATCH(9,planoContas,0)+1,MATCH(DATE(C$1,VLOOKUP(C$2,$Q$4:$R$7,2,1)-1,1),listaPeriodos,0)))+(INDEX(TBBP[],MATCH(9,planoContas,0)+1,MATCH(DATE(C$1,VLOOKUP(C$2,$Q$4:$R$7,2,1)-2,1),listaPeriodos,0))))/1000</f>
        <v>8580.7893500000009</v>
      </c>
      <c r="D13" s="4" cm="1">
        <f t="array" ref="D13">((INDEX(TBBP[],MATCH(9,planoContas,0)+1,MATCH(D$3,listaPeriodos,0)))+(INDEX(TBBP[],MATCH(9,planoContas,0)+1,MATCH(DATE(D$1,VLOOKUP(D$2,$Q$4:$R$7,2,1)-1,1),listaPeriodos,0)))+(INDEX(TBBP[],MATCH(9,planoContas,0)+1,MATCH(DATE(D$1,VLOOKUP(D$2,$Q$4:$R$7,2,1)-2,1),listaPeriodos,0))))/1000</f>
        <v>9447.404770000001</v>
      </c>
      <c r="E13" s="4" cm="1">
        <f t="array" ref="E13">((INDEX(TBBP[],MATCH(9,planoContas,0)+1,MATCH(E$3,listaPeriodos,0)))+(INDEX(TBBP[],MATCH(9,planoContas,0)+1,MATCH(DATE(E$1,VLOOKUP(E$2,$Q$4:$R$7,2,1)-1,1),listaPeriodos,0)))+(INDEX(TBBP[],MATCH(9,planoContas,0)+1,MATCH(DATE(E$1,VLOOKUP(E$2,$Q$4:$R$7,2,1)-2,1),listaPeriodos,0))))/1000</f>
        <v>4294.2514499999988</v>
      </c>
      <c r="F13" s="4" cm="1">
        <f t="array" ref="F13">((INDEX(TBBP[],MATCH(9,planoContas,0)+1,MATCH(F$3,listaPeriodos,0)))+(INDEX(TBBP[],MATCH(9,planoContas,0)+1,MATCH(DATE(F$1,VLOOKUP(F$2,$Q$4:$R$7,2,1)-1,1),listaPeriodos,0)))+(INDEX(TBBP[],MATCH(9,planoContas,0)+1,MATCH(DATE(F$1,VLOOKUP(F$2,$Q$4:$R$7,2,1)-2,1),listaPeriodos,0))))/1000</f>
        <v>5416.4453999999996</v>
      </c>
      <c r="G13" s="4" cm="1">
        <f t="array" ref="G13">((INDEX(TBBP[],MATCH(9,planoContas,0)+1,MATCH(G$3,listaPeriodos,0)))+(INDEX(TBBP[],MATCH(9,planoContas,0)+1,MATCH(DATE(G$1,VLOOKUP(G$2,$Q$4:$R$7,2,1)-1,1),listaPeriodos,0)))+(INDEX(TBBP[],MATCH(9,planoContas,0)+1,MATCH(DATE(G$1,VLOOKUP(G$2,$Q$4:$R$7,2,1)-2,1),listaPeriodos,0))))/1000</f>
        <v>6515.92868</v>
      </c>
      <c r="H13" s="4" cm="1">
        <f t="array" ref="H13">((INDEX(TBBP[],MATCH(9,planoContas,0)+1,MATCH(H$3,listaPeriodos,0)))+(INDEX(TBBP[],MATCH(9,planoContas,0)+1,MATCH(DATE(H$1,VLOOKUP(H$2,$Q$4:$R$7,2,1)-1,1),listaPeriodos,0)))+(INDEX(TBBP[],MATCH(9,planoContas,0)+1,MATCH(DATE(H$1,VLOOKUP(H$2,$Q$4:$R$7,2,1)-2,1),listaPeriodos,0))))/1000</f>
        <v>6268.8036600000041</v>
      </c>
      <c r="I13" s="4" cm="1">
        <f t="array" ref="I13">((INDEX(TBBP[],MATCH(9,planoContas,0)+1,MATCH(I$3,listaPeriodos,0)))+(INDEX(TBBP[],MATCH(9,planoContas,0)+1,MATCH(DATE(I$1,VLOOKUP(I$2,$Q$4:$R$7,2,1)-1,1),listaPeriodos,0)))+(INDEX(TBBP[],MATCH(9,planoContas,0)+1,MATCH(DATE(I$1,VLOOKUP(I$2,$Q$4:$R$7,2,1)-2,1),listaPeriodos,0))))/1000</f>
        <v>2848.4251799999984</v>
      </c>
      <c r="J13" s="4" cm="1">
        <f t="array" ref="J13">((INDEX(TBBP[],MATCH(9,planoContas,0)+1,MATCH(J$3,listaPeriodos,0)))+(INDEX(TBBP[],MATCH(9,planoContas,0)+1,MATCH(DATE(J$1,VLOOKUP(J$2,$Q$4:$R$7,2,1)-1,1),listaPeriodos,0)))+(INDEX(TBBP[],MATCH(9,planoContas,0)+1,MATCH(DATE(J$1,VLOOKUP(J$2,$Q$4:$R$7,2,1)-2,1),listaPeriodos,0))))/1000</f>
        <v>1659.2163799999998</v>
      </c>
      <c r="K13" s="4" cm="1">
        <f t="array" ref="K13">((INDEX(TBBP[],MATCH(9,planoContas,0)+1,MATCH(K$3,listaPeriodos,0)))+(INDEX(TBBP[],MATCH(9,planoContas,0)+1,MATCH(DATE(K$1,VLOOKUP(K$2,$Q$4:$R$7,2,1)-1,1),listaPeriodos,0)))+(INDEX(TBBP[],MATCH(9,planoContas,0)+1,MATCH(DATE(K$1,VLOOKUP(K$2,$Q$4:$R$7,2,1)-2,1),listaPeriodos,0))))/1000</f>
        <v>6386.2853000000014</v>
      </c>
      <c r="L13" s="4" cm="1">
        <f t="array" ref="L13">((INDEX(TBBP[],MATCH(9,planoContas,0)+1,MATCH(L$3,listaPeriodos,0)))+(INDEX(TBBP[],MATCH(9,planoContas,0)+1,MATCH(DATE(L$1,VLOOKUP(L$2,$Q$4:$R$7,2,1)-1,1),listaPeriodos,0)))+(INDEX(TBBP[],MATCH(9,planoContas,0)+1,MATCH(DATE(L$1,VLOOKUP(L$2,$Q$4:$R$7,2,1)-2,1),listaPeriodos,0))))/1000</f>
        <v>3420.9109099999978</v>
      </c>
      <c r="M13" s="4" cm="1">
        <f t="array" ref="M13">((INDEX(TBBP[],MATCH(9,planoContas,0)+1,MATCH(M$3,listaPeriodos,0)))+(INDEX(TBBP[],MATCH(9,planoContas,0)+1,MATCH(DATE(M$1,VLOOKUP(M$2,$Q$4:$R$7,2,1)-1,1),listaPeriodos,0)))+(INDEX(TBBP[],MATCH(9,planoContas,0)+1,MATCH(DATE(M$1,VLOOKUP(M$2,$Q$4:$R$7,2,1)-2,1),listaPeriodos,0))))/1000</f>
        <v>4950.8881399999991</v>
      </c>
      <c r="N13" s="4" cm="1">
        <f t="array" ref="N13">((INDEX(TBBP[],MATCH(9,planoContas,0)+1,MATCH(N$3,listaPeriodos,0)))+(INDEX(TBBP[],MATCH(9,planoContas,0)+1,MATCH(DATE(N$1,VLOOKUP(N$2,$Q$4:$R$7,2,1)-1,1),listaPeriodos,0)))+(INDEX(TBBP[],MATCH(9,planoContas,0)+1,MATCH(DATE(N$1,VLOOKUP(N$2,$Q$4:$R$7,2,1)-2,1),listaPeriodos,0))))/1000</f>
        <v>3924.3088599999974</v>
      </c>
      <c r="O13" s="4"/>
      <c r="P13" s="2">
        <v>9</v>
      </c>
    </row>
    <row r="14" spans="1:18" hidden="1" x14ac:dyDescent="0.3">
      <c r="A14" t="s">
        <v>935</v>
      </c>
      <c r="B14" s="33">
        <f t="shared" ref="B14:G14" si="6">B13/B11</f>
        <v>0.29216535966698581</v>
      </c>
      <c r="C14" s="33">
        <f t="shared" si="6"/>
        <v>0.3591412663340619</v>
      </c>
      <c r="D14" s="33">
        <f t="shared" si="6"/>
        <v>0.35367833186020725</v>
      </c>
      <c r="E14" s="33">
        <f t="shared" si="6"/>
        <v>0.22428987111305793</v>
      </c>
      <c r="F14" s="33">
        <f t="shared" si="6"/>
        <v>0.24166407121121047</v>
      </c>
      <c r="G14" s="33">
        <f t="shared" si="6"/>
        <v>0.28397011856943849</v>
      </c>
      <c r="H14" s="33">
        <f t="shared" ref="H14:N14" si="7">H13/H11</f>
        <v>0.2750844418523084</v>
      </c>
      <c r="I14" s="33">
        <f t="shared" si="7"/>
        <v>0.16399252241930645</v>
      </c>
      <c r="J14" s="33">
        <f t="shared" si="7"/>
        <v>0.10563300903396572</v>
      </c>
      <c r="K14" s="33">
        <f t="shared" si="7"/>
        <v>0.27991280443828259</v>
      </c>
      <c r="L14" s="33">
        <f t="shared" si="7"/>
        <v>0.16693054505744817</v>
      </c>
      <c r="M14" s="33">
        <f t="shared" si="7"/>
        <v>0.21492008384670322</v>
      </c>
      <c r="N14" s="33">
        <f t="shared" si="7"/>
        <v>0.1665612805947648</v>
      </c>
      <c r="O14" s="33"/>
    </row>
    <row r="15" spans="1:18" hidden="1" x14ac:dyDescent="0.3">
      <c r="A15" t="s">
        <v>936</v>
      </c>
      <c r="B15" s="33" cm="1">
        <f t="array" ref="B15">((((INDEX(TBBP[],MATCH("4.1",planoContas,0)+1,MATCH(B$3,listaPeriodos,0)))+(INDEX(TBBP[],MATCH("4.1",planoContas,0)+1,MATCH(DATE(B$1,VLOOKUP(B$2,$Q$4:$R$7,2,1)-1,1),listaPeriodos,0)))+(INDEX(TBBP[],MATCH("4.1",planoContas,0)+1,MATCH(DATE(B$1,VLOOKUP(B$2,$Q$4:$R$7,2,1)-2,1),listaPeriodos,0))))/1000)*-1)/B11</f>
        <v>0.61862677012234579</v>
      </c>
      <c r="C15" s="33" cm="1">
        <f t="array" ref="C15">((((INDEX(TBBP[],MATCH("4.1",planoContas,0)+1,MATCH(C$3,listaPeriodos,0)))+(INDEX(TBBP[],MATCH("4.1",planoContas,0)+1,MATCH(DATE(C$1,VLOOKUP(C$2,$Q$4:$R$7,2,1)-1,1),listaPeriodos,0)))+(INDEX(TBBP[],MATCH("4.1",planoContas,0)+1,MATCH(DATE(C$1,VLOOKUP(C$2,$Q$4:$R$7,2,1)-2,1),listaPeriodos,0))))/1000)*-1)/C11</f>
        <v>0.58230140660977214</v>
      </c>
      <c r="D15" s="33" cm="1">
        <f t="array" ref="D15">((((INDEX(TBBP[],MATCH("4.1",planoContas,0)+1,MATCH(D$3,listaPeriodos,0)))+(INDEX(TBBP[],MATCH("4.1",planoContas,0)+1,MATCH(DATE(D$1,VLOOKUP(D$2,$Q$4:$R$7,2,1)-1,1),listaPeriodos,0)))+(INDEX(TBBP[],MATCH("4.1",planoContas,0)+1,MATCH(DATE(D$1,VLOOKUP(D$2,$Q$4:$R$7,2,1)-2,1),listaPeriodos,0))))/1000)*-1)/D11</f>
        <v>0.58198868199361253</v>
      </c>
      <c r="E15" s="33" cm="1">
        <f t="array" ref="E15">((((INDEX(TBBP[],MATCH("4.1",planoContas,0)+1,MATCH(E$3,listaPeriodos,0)))+(INDEX(TBBP[],MATCH("4.1",planoContas,0)+1,MATCH(DATE(E$1,VLOOKUP(E$2,$Q$4:$R$7,2,1)-1,1),listaPeriodos,0)))+(INDEX(TBBP[],MATCH("4.1",planoContas,0)+1,MATCH(DATE(E$1,VLOOKUP(E$2,$Q$4:$R$7,2,1)-2,1),listaPeriodos,0))))/1000)*-1)/E11</f>
        <v>0.66993276168775862</v>
      </c>
      <c r="F15" s="33" cm="1">
        <f t="array" ref="F15">((((INDEX(TBBP[],MATCH("4.1",planoContas,0)+1,MATCH(F$3,listaPeriodos,0)))+(INDEX(TBBP[],MATCH("4.1",planoContas,0)+1,MATCH(DATE(F$1,VLOOKUP(F$2,$Q$4:$R$7,2,1)-1,1),listaPeriodos,0)))+(INDEX(TBBP[],MATCH("4.1",planoContas,0)+1,MATCH(DATE(F$1,VLOOKUP(F$2,$Q$4:$R$7,2,1)-2,1),listaPeriodos,0))))/1000)*-1)/F11</f>
        <v>0.64942199968040759</v>
      </c>
      <c r="G15" s="33" cm="1">
        <f t="array" ref="G15">((((INDEX(TBBP[],MATCH("4.1",planoContas,0)+1,MATCH(G$3,listaPeriodos,0)))+(INDEX(TBBP[],MATCH("4.1",planoContas,0)+1,MATCH(DATE(G$1,VLOOKUP(G$2,$Q$4:$R$7,2,1)-1,1),listaPeriodos,0)))+(INDEX(TBBP[],MATCH("4.1",planoContas,0)+1,MATCH(DATE(G$1,VLOOKUP(G$2,$Q$4:$R$7,2,1)-2,1),listaPeriodos,0))))/1000)*-1)/G11</f>
        <v>0.60591126522104333</v>
      </c>
      <c r="H15" s="33" cm="1">
        <f t="array" ref="H15">((((INDEX(TBBP[],MATCH("4.1",planoContas,0)+1,MATCH(H$3,listaPeriodos,0)))+(INDEX(TBBP[],MATCH("4.1",planoContas,0)+1,MATCH(DATE(H$1,VLOOKUP(H$2,$Q$4:$R$7,2,1)-1,1),listaPeriodos,0)))+(INDEX(TBBP[],MATCH("4.1",planoContas,0)+1,MATCH(DATE(H$1,VLOOKUP(H$2,$Q$4:$R$7,2,1)-2,1),listaPeriodos,0))))/1000)*-1)/H11</f>
        <v>0.61005110097744353</v>
      </c>
      <c r="I15" s="33" cm="1">
        <f t="array" ref="I15">((((INDEX(TBBP[],MATCH("4.1",planoContas,0)+1,MATCH(I$3,listaPeriodos,0)))+(INDEX(TBBP[],MATCH("4.1",planoContas,0)+1,MATCH(DATE(I$1,VLOOKUP(I$2,$Q$4:$R$7,2,1)-1,1),listaPeriodos,0)))+(INDEX(TBBP[],MATCH("4.1",planoContas,0)+1,MATCH(DATE(I$1,VLOOKUP(I$2,$Q$4:$R$7,2,1)-2,1),listaPeriodos,0))))/1000)*-1)/I11</f>
        <v>0.69387719496047429</v>
      </c>
      <c r="J15" s="33" cm="1">
        <f t="array" ref="J15">((((INDEX(TBBP[],MATCH("4.1",planoContas,0)+1,MATCH(J$3,listaPeriodos,0)))+(INDEX(TBBP[],MATCH("4.1",planoContas,0)+1,MATCH(DATE(J$1,VLOOKUP(J$2,$Q$4:$R$7,2,1)-1,1),listaPeriodos,0)))+(INDEX(TBBP[],MATCH("4.1",planoContas,0)+1,MATCH(DATE(J$1,VLOOKUP(J$2,$Q$4:$R$7,2,1)-2,1),listaPeriodos,0))))/1000)*-1)/J11</f>
        <v>0.71133702965379919</v>
      </c>
      <c r="K15" s="33" cm="1">
        <f t="array" ref="K15">((((INDEX(TBBP[],MATCH("4.1",planoContas,0)+1,MATCH(K$3,listaPeriodos,0)))+(INDEX(TBBP[],MATCH("4.1",planoContas,0)+1,MATCH(DATE(K$1,VLOOKUP(K$2,$Q$4:$R$7,2,1)-1,1),listaPeriodos,0)))+(INDEX(TBBP[],MATCH("4.1",planoContas,0)+1,MATCH(DATE(K$1,VLOOKUP(K$2,$Q$4:$R$7,2,1)-2,1),listaPeriodos,0))))/1000)*-1)/K11</f>
        <v>0.61660097311814255</v>
      </c>
      <c r="L15" s="33" cm="1">
        <f t="array" ref="L15">((((INDEX(TBBP[],MATCH("4.1",planoContas,0)+1,MATCH(L$3,listaPeriodos,0)))+(INDEX(TBBP[],MATCH("4.1",planoContas,0)+1,MATCH(DATE(L$1,VLOOKUP(L$2,$Q$4:$R$7,2,1)-1,1),listaPeriodos,0)))+(INDEX(TBBP[],MATCH("4.1",planoContas,0)+1,MATCH(DATE(L$1,VLOOKUP(L$2,$Q$4:$R$7,2,1)-2,1),listaPeriodos,0))))/1000)*-1)/L11</f>
        <v>0.6724231590260622</v>
      </c>
      <c r="M15" s="33" cm="1">
        <f t="array" ref="M15">((((INDEX(TBBP[],MATCH("4.1",planoContas,0)+1,MATCH(M$3,listaPeriodos,0)))+(INDEX(TBBP[],MATCH("4.1",planoContas,0)+1,MATCH(DATE(M$1,VLOOKUP(M$2,$Q$4:$R$7,2,1)-1,1),listaPeriodos,0)))+(INDEX(TBBP[],MATCH("4.1",planoContas,0)+1,MATCH(DATE(M$1,VLOOKUP(M$2,$Q$4:$R$7,2,1)-2,1),listaPeriodos,0))))/1000)*-1)/M11</f>
        <v>0.65221740376270132</v>
      </c>
      <c r="N15" s="33" cm="1">
        <f t="array" ref="N15">((((INDEX(TBBP[],MATCH("4.1",planoContas,0)+1,MATCH(N$3,listaPeriodos,0)))+(INDEX(TBBP[],MATCH("4.1",planoContas,0)+1,MATCH(DATE(N$1,VLOOKUP(N$2,$Q$4:$R$7,2,1)-1,1),listaPeriodos,0)))+(INDEX(TBBP[],MATCH("4.1",planoContas,0)+1,MATCH(DATE(N$1,VLOOKUP(N$2,$Q$4:$R$7,2,1)-2,1),listaPeriodos,0))))/1000)*-1)/N11</f>
        <v>0.68183104830494123</v>
      </c>
      <c r="O15" s="33"/>
      <c r="P15" s="2"/>
    </row>
    <row r="16" spans="1:18" hidden="1" x14ac:dyDescent="0.3">
      <c r="B16" s="4" cm="1">
        <f t="array" ref="B16">(((INDEX(TBBP[],MATCH("4.2.1.2.25",planoContas,0)+1,MATCH(B$3,listaPeriodos,0)))+(INDEX(TBBP[],MATCH("4.2.1.2.25",planoContas,0)+1,MATCH(DATE(B$1,VLOOKUP(B$2,$Q$4:$R$7,2,1)-1,1),listaPeriodos,0)))+(INDEX(TBBP[],MATCH("4.2.1.2.25",planoContas,0)+1,MATCH(DATE(B$1,VLOOKUP(B$2,$Q$4:$R$7,2,1)-2,1),listaPeriodos,0))))/1000)+B13</f>
        <v>4500.101200000001</v>
      </c>
      <c r="C16" s="4" cm="1">
        <f t="array" ref="C16">(((INDEX(TBBP[],MATCH("4.2.1.2.25",planoContas,0)+1,MATCH(C$3,listaPeriodos,0)))+(INDEX(TBBP[],MATCH("4.2.1.2.25",planoContas,0)+1,MATCH(DATE(C$1,VLOOKUP(C$2,$Q$4:$R$7,2,1)-1,1),listaPeriodos,0)))+(INDEX(TBBP[],MATCH("4.2.1.2.25",planoContas,0)+1,MATCH(DATE(C$1,VLOOKUP(C$2,$Q$4:$R$7,2,1)-2,1),listaPeriodos,0))))/1000)+C13</f>
        <v>8366.2915300000004</v>
      </c>
      <c r="D16" s="4" cm="1">
        <f t="array" ref="D16">(((INDEX(TBBP[],MATCH("4.2.1.2.25",planoContas,0)+1,MATCH(D$3,listaPeriodos,0)))+(INDEX(TBBP[],MATCH("4.2.1.2.25",planoContas,0)+1,MATCH(DATE(D$1,VLOOKUP(D$2,$Q$4:$R$7,2,1)-1,1),listaPeriodos,0)))+(INDEX(TBBP[],MATCH("4.2.1.2.25",planoContas,0)+1,MATCH(DATE(D$1,VLOOKUP(D$2,$Q$4:$R$7,2,1)-2,1),listaPeriodos,0))))/1000)+D13</f>
        <v>9228.7361500000006</v>
      </c>
      <c r="E16" s="4" cm="1">
        <f t="array" ref="E16">(((INDEX(TBBP[],MATCH("4.2.1.2.25",planoContas,0)+1,MATCH(E$3,listaPeriodos,0)))+(INDEX(TBBP[],MATCH("4.2.1.2.25",planoContas,0)+1,MATCH(DATE(E$1,VLOOKUP(E$2,$Q$4:$R$7,2,1)-1,1),listaPeriodos,0)))+(INDEX(TBBP[],MATCH("4.2.1.2.25",planoContas,0)+1,MATCH(DATE(E$1,VLOOKUP(E$2,$Q$4:$R$7,2,1)-2,1),listaPeriodos,0))))/1000)+E13</f>
        <v>4424.6444399999991</v>
      </c>
      <c r="F16" s="4" cm="1">
        <f t="array" ref="F16">(((INDEX(TBBP[],MATCH("4.2.1.2.25",planoContas,0)+1,MATCH(F$3,listaPeriodos,0)))+(INDEX(TBBP[],MATCH("4.2.1.2.25",planoContas,0)+1,MATCH(DATE(F$1,VLOOKUP(F$2,$Q$4:$R$7,2,1)-1,1),listaPeriodos,0)))+(INDEX(TBBP[],MATCH("4.2.1.2.25",planoContas,0)+1,MATCH(DATE(F$1,VLOOKUP(F$2,$Q$4:$R$7,2,1)-2,1),listaPeriodos,0))))/1000)+F13</f>
        <v>5229.7091999999993</v>
      </c>
      <c r="G16" s="4" cm="1">
        <f t="array" ref="G16">(((INDEX(TBBP[],MATCH("4.2.1.2.25",planoContas,0)+1,MATCH(G$3,listaPeriodos,0)))+(INDEX(TBBP[],MATCH("4.2.1.2.25",planoContas,0)+1,MATCH(DATE(G$1,VLOOKUP(G$2,$Q$4:$R$7,2,1)-1,1),listaPeriodos,0)))+(INDEX(TBBP[],MATCH("4.2.1.2.25",planoContas,0)+1,MATCH(DATE(G$1,VLOOKUP(G$2,$Q$4:$R$7,2,1)-2,1),listaPeriodos,0))))/1000)+G13</f>
        <v>6322.3965200000002</v>
      </c>
      <c r="H16" s="4" cm="1">
        <f t="array" ref="H16">(((INDEX(TBBP[],MATCH("4.2.1.2.25",planoContas,0)+1,MATCH(H$3,listaPeriodos,0)))+(INDEX(TBBP[],MATCH("4.2.1.2.25",planoContas,0)+1,MATCH(DATE(H$1,VLOOKUP(H$2,$Q$4:$R$7,2,1)-1,1),listaPeriodos,0)))+(INDEX(TBBP[],MATCH("4.2.1.2.25",planoContas,0)+1,MATCH(DATE(H$1,VLOOKUP(H$2,$Q$4:$R$7,2,1)-2,1),listaPeriodos,0))))/1000)+H13</f>
        <v>6067.3448900000039</v>
      </c>
      <c r="I16" s="4" cm="1">
        <f t="array" ref="I16">(((INDEX(TBBP[],MATCH("4.2.1.2.25",planoContas,0)+1,MATCH(I$3,listaPeriodos,0)))+(INDEX(TBBP[],MATCH("4.2.1.2.25",planoContas,0)+1,MATCH(DATE(I$1,VLOOKUP(I$2,$Q$4:$R$7,2,1)-1,1),listaPeriodos,0)))+(INDEX(TBBP[],MATCH("4.2.1.2.25",planoContas,0)+1,MATCH(DATE(I$1,VLOOKUP(I$2,$Q$4:$R$7,2,1)-2,1),listaPeriodos,0))))/1000)+I13</f>
        <v>2629.5542899999982</v>
      </c>
      <c r="J16" s="4" cm="1">
        <f t="array" ref="J16">(((INDEX(TBBP[],MATCH("4.2.1.2.25",planoContas,0)+1,MATCH(J$3,listaPeriodos,0)))+(INDEX(TBBP[],MATCH("4.2.1.2.25",planoContas,0)+1,MATCH(DATE(J$1,VLOOKUP(J$2,$Q$4:$R$7,2,1)-1,1),listaPeriodos,0)))+(INDEX(TBBP[],MATCH("4.2.1.2.25",planoContas,0)+1,MATCH(DATE(J$1,VLOOKUP(J$2,$Q$4:$R$7,2,1)-2,1),listaPeriodos,0))))/1000)+J13</f>
        <v>1427.85448</v>
      </c>
      <c r="K16" s="4" cm="1">
        <f t="array" ref="K16">(((INDEX(TBBP[],MATCH("4.2.1.2.25",planoContas,0)+1,MATCH(K$3,listaPeriodos,0)))+(INDEX(TBBP[],MATCH("4.2.1.2.25",planoContas,0)+1,MATCH(DATE(K$1,VLOOKUP(K$2,$Q$4:$R$7,2,1)-1,1),listaPeriodos,0)))+(INDEX(TBBP[],MATCH("4.2.1.2.25",planoContas,0)+1,MATCH(DATE(K$1,VLOOKUP(K$2,$Q$4:$R$7,2,1)-2,1),listaPeriodos,0))))/1000)+K13</f>
        <v>6145.6912800000009</v>
      </c>
      <c r="L16" s="4" cm="1">
        <f t="array" ref="L16">(((INDEX(TBBP[],MATCH("4.2.1.2.25",planoContas,0)+1,MATCH(L$3,listaPeriodos,0)))+(INDEX(TBBP[],MATCH("4.2.1.2.25",planoContas,0)+1,MATCH(DATE(L$1,VLOOKUP(L$2,$Q$4:$R$7,2,1)-1,1),listaPeriodos,0)))+(INDEX(TBBP[],MATCH("4.2.1.2.25",planoContas,0)+1,MATCH(DATE(L$1,VLOOKUP(L$2,$Q$4:$R$7,2,1)-2,1),listaPeriodos,0))))/1000)+L13</f>
        <v>3139.2078899999979</v>
      </c>
      <c r="M16" s="4" cm="1">
        <f t="array" ref="M16">(((INDEX(TBBP[],MATCH("4.2.1.2.25",planoContas,0)+1,MATCH(M$3,listaPeriodos,0)))+(INDEX(TBBP[],MATCH("4.2.1.2.25",planoContas,0)+1,MATCH(DATE(M$1,VLOOKUP(M$2,$Q$4:$R$7,2,1)-1,1),listaPeriodos,0)))+(INDEX(TBBP[],MATCH("4.2.1.2.25",planoContas,0)+1,MATCH(DATE(M$1,VLOOKUP(M$2,$Q$4:$R$7,2,1)-2,1),listaPeriodos,0))))/1000)+M13</f>
        <v>4637.7423599999993</v>
      </c>
      <c r="N16" s="4" cm="1">
        <f t="array" ref="N16">(((INDEX(TBBP[],MATCH("4.2.1.2.25",planoContas,0)+1,MATCH(N$3,listaPeriodos,0)))+(INDEX(TBBP[],MATCH("4.2.1.2.25",planoContas,0)+1,MATCH(DATE(N$1,VLOOKUP(N$2,$Q$4:$R$7,2,1)-1,1),listaPeriodos,0)))+(INDEX(TBBP[],MATCH("4.2.1.2.25",planoContas,0)+1,MATCH(DATE(N$1,VLOOKUP(N$2,$Q$4:$R$7,2,1)-2,1),listaPeriodos,0))))/1000)+N13</f>
        <v>3588.6700099999975</v>
      </c>
      <c r="O16" s="4"/>
      <c r="P16" s="2" t="s">
        <v>928</v>
      </c>
    </row>
    <row r="17" spans="1:16" x14ac:dyDescent="0.3">
      <c r="A17" t="s">
        <v>937</v>
      </c>
      <c r="B17" s="33">
        <f t="shared" ref="B17:G17" si="8">B16/B11</f>
        <v>0.2776223533703347</v>
      </c>
      <c r="C17" s="33">
        <f t="shared" si="8"/>
        <v>0.35016365185612397</v>
      </c>
      <c r="D17" s="33">
        <f t="shared" si="8"/>
        <v>0.3454921310320857</v>
      </c>
      <c r="E17" s="33">
        <f t="shared" si="8"/>
        <v>0.2311003309246617</v>
      </c>
      <c r="F17" s="33">
        <f t="shared" si="8"/>
        <v>0.23333251296555532</v>
      </c>
      <c r="G17" s="33">
        <f t="shared" si="8"/>
        <v>0.27553581041151071</v>
      </c>
      <c r="H17" s="33">
        <f t="shared" ref="H17:N17" si="9">H16/H11</f>
        <v>0.26624413095609789</v>
      </c>
      <c r="I17" s="33">
        <f t="shared" si="9"/>
        <v>0.15139145794786452</v>
      </c>
      <c r="J17" s="33">
        <f t="shared" si="9"/>
        <v>9.0903493361744914E-2</v>
      </c>
      <c r="K17" s="33">
        <f t="shared" si="9"/>
        <v>0.26936749621829431</v>
      </c>
      <c r="L17" s="33">
        <f t="shared" si="9"/>
        <v>0.1531842535257201</v>
      </c>
      <c r="M17" s="33">
        <f t="shared" si="9"/>
        <v>0.20132629715819178</v>
      </c>
      <c r="N17" s="33">
        <f t="shared" si="9"/>
        <v>0.15231560354238463</v>
      </c>
      <c r="O17" s="33"/>
      <c r="P17" s="2"/>
    </row>
    <row r="18" spans="1:16" hidden="1" x14ac:dyDescent="0.3">
      <c r="B18" s="4" cm="1">
        <f t="array" ref="B18">((INDEX(TBBP[],MATCH(8,planoContas,0)+1,MATCH(B$3,listaPeriodos,0)))+(INDEX(TBBP[],MATCH(8,planoContas,0)+1,MATCH(DATE(B$1,VLOOKUP(B$2,$Q$4:$R$7,2,1)-1,1),listaPeriodos,0)))+(INDEX(TBBP[],MATCH(8,planoContas,0)+1,MATCH(DATE(B$1,VLOOKUP(B$2,$Q$4:$R$7,2,1)-2,1),listaPeriodos,0))))/1000</f>
        <v>4152.840360000002</v>
      </c>
      <c r="C18" s="4" cm="1">
        <f t="array" ref="C18">((INDEX(TBBP[],MATCH(8,planoContas,0)+1,MATCH(C$3,listaPeriodos,0)))+(INDEX(TBBP[],MATCH(8,planoContas,0)+1,MATCH(DATE(C$1,VLOOKUP(C$2,$Q$4:$R$7,2,1)-1,1),listaPeriodos,0)))+(INDEX(TBBP[],MATCH(8,planoContas,0)+1,MATCH(DATE(C$1,VLOOKUP(C$2,$Q$4:$R$7,2,1)-2,1),listaPeriodos,0))))/1000</f>
        <v>7766.4441400000014</v>
      </c>
      <c r="D18" s="4" cm="1">
        <f t="array" ref="D18">((INDEX(TBBP[],MATCH(8,planoContas,0)+1,MATCH(D$3,listaPeriodos,0)))+(INDEX(TBBP[],MATCH(8,planoContas,0)+1,MATCH(DATE(D$1,VLOOKUP(D$2,$Q$4:$R$7,2,1)-1,1),listaPeriodos,0)))+(INDEX(TBBP[],MATCH(8,planoContas,0)+1,MATCH(DATE(D$1,VLOOKUP(D$2,$Q$4:$R$7,2,1)-2,1),listaPeriodos,0))))/1000</f>
        <v>8701.7170500000011</v>
      </c>
      <c r="E18" s="4" cm="1">
        <f t="array" ref="E18">((INDEX(TBBP[],MATCH(8,planoContas,0)+1,MATCH(E$3,listaPeriodos,0)))+(INDEX(TBBP[],MATCH(8,planoContas,0)+1,MATCH(DATE(E$1,VLOOKUP(E$2,$Q$4:$R$7,2,1)-1,1),listaPeriodos,0)))+(INDEX(TBBP[],MATCH(8,planoContas,0)+1,MATCH(DATE(E$1,VLOOKUP(E$2,$Q$4:$R$7,2,1)-2,1),listaPeriodos,0))))/1000</f>
        <v>3930.939679999999</v>
      </c>
      <c r="F18" s="4" cm="1">
        <f t="array" ref="F18">((INDEX(TBBP[],MATCH(8,planoContas,0)+1,MATCH(F$3,listaPeriodos,0)))+(INDEX(TBBP[],MATCH(8,planoContas,0)+1,MATCH(DATE(F$1,VLOOKUP(F$2,$Q$4:$R$7,2,1)-1,1),listaPeriodos,0)))+(INDEX(TBBP[],MATCH(8,planoContas,0)+1,MATCH(DATE(F$1,VLOOKUP(F$2,$Q$4:$R$7,2,1)-2,1),listaPeriodos,0))))/1000</f>
        <v>3477.5471199999988</v>
      </c>
      <c r="G18" s="4" cm="1">
        <f t="array" ref="G18">((INDEX(TBBP[],MATCH(8,planoContas,0)+1,MATCH(G$3,listaPeriodos,0)))+(INDEX(TBBP[],MATCH(8,planoContas,0)+1,MATCH(DATE(G$1,VLOOKUP(G$2,$Q$4:$R$7,2,1)-1,1),listaPeriodos,0)))+(INDEX(TBBP[],MATCH(8,planoContas,0)+1,MATCH(DATE(G$1,VLOOKUP(G$2,$Q$4:$R$7,2,1)-2,1),listaPeriodos,0))))/1000</f>
        <v>4594.9398299999993</v>
      </c>
      <c r="H18" s="4" cm="1">
        <f t="array" ref="H18">((INDEX(TBBP[],MATCH(8,planoContas,0)+1,MATCH(H$3,listaPeriodos,0)))+(INDEX(TBBP[],MATCH(8,planoContas,0)+1,MATCH(DATE(H$1,VLOOKUP(H$2,$Q$4:$R$7,2,1)-1,1),listaPeriodos,0)))+(INDEX(TBBP[],MATCH(8,planoContas,0)+1,MATCH(DATE(H$1,VLOOKUP(H$2,$Q$4:$R$7,2,1)-2,1),listaPeriodos,0))))/1000</f>
        <v>4537.082900000004</v>
      </c>
      <c r="I18" s="4" cm="1">
        <f t="array" ref="I18">((INDEX(TBBP[],MATCH(8,planoContas,0)+1,MATCH(I$3,listaPeriodos,0)))+(INDEX(TBBP[],MATCH(8,planoContas,0)+1,MATCH(DATE(I$1,VLOOKUP(I$2,$Q$4:$R$7,2,1)-1,1),listaPeriodos,0)))+(INDEX(TBBP[],MATCH(8,planoContas,0)+1,MATCH(DATE(I$1,VLOOKUP(I$2,$Q$4:$R$7,2,1)-2,1),listaPeriodos,0))))/1000</f>
        <v>2103.2152849999984</v>
      </c>
      <c r="J18" s="4" cm="1">
        <f t="array" ref="J18">((INDEX(TBBP[],MATCH(8,planoContas,0)+1,MATCH(J$3,listaPeriodos,0)))+(INDEX(TBBP[],MATCH(8,planoContas,0)+1,MATCH(DATE(J$1,VLOOKUP(J$2,$Q$4:$R$7,2,1)-1,1),listaPeriodos,0)))+(INDEX(TBBP[],MATCH(8,planoContas,0)+1,MATCH(DATE(J$1,VLOOKUP(J$2,$Q$4:$R$7,2,1)-2,1),listaPeriodos,0))))/1000</f>
        <v>1385.4615441999999</v>
      </c>
      <c r="K18" s="4" cm="1">
        <f t="array" ref="K18">((INDEX(TBBP[],MATCH(8,planoContas,0)+1,MATCH(K$3,listaPeriodos,0)))+(INDEX(TBBP[],MATCH(8,planoContas,0)+1,MATCH(DATE(K$1,VLOOKUP(K$2,$Q$4:$R$7,2,1)-1,1),listaPeriodos,0)))+(INDEX(TBBP[],MATCH(8,planoContas,0)+1,MATCH(DATE(K$1,VLOOKUP(K$2,$Q$4:$R$7,2,1)-2,1),listaPeriodos,0))))/1000</f>
        <v>4198.0654350000013</v>
      </c>
      <c r="L18" s="4" cm="1">
        <f t="array" ref="L18">((INDEX(TBBP[],MATCH(8,planoContas,0)+1,MATCH(L$3,listaPeriodos,0)))+(INDEX(TBBP[],MATCH(8,planoContas,0)+1,MATCH(DATE(L$1,VLOOKUP(L$2,$Q$4:$R$7,2,1)-1,1),listaPeriodos,0)))+(INDEX(TBBP[],MATCH(8,planoContas,0)+1,MATCH(DATE(L$1,VLOOKUP(L$2,$Q$4:$R$7,2,1)-2,1),listaPeriodos,0))))/1000</f>
        <v>2014.8128249999979</v>
      </c>
      <c r="M18" s="4" cm="1">
        <f t="array" ref="M18">((INDEX(TBBP[],MATCH(8,planoContas,0)+1,MATCH(M$3,listaPeriodos,0)))+(INDEX(TBBP[],MATCH(8,planoContas,0)+1,MATCH(DATE(M$1,VLOOKUP(M$2,$Q$4:$R$7,2,1)-1,1),listaPeriodos,0)))+(INDEX(TBBP[],MATCH(8,planoContas,0)+1,MATCH(DATE(M$1,VLOOKUP(M$2,$Q$4:$R$7,2,1)-2,1),listaPeriodos,0))))/1000</f>
        <v>3226.1370515999993</v>
      </c>
      <c r="N18" s="4" cm="1">
        <f t="array" ref="N18">((INDEX(TBBP[],MATCH(8,planoContas,0)+1,MATCH(N$3,listaPeriodos,0)))+(INDEX(TBBP[],MATCH(8,planoContas,0)+1,MATCH(DATE(N$1,VLOOKUP(N$2,$Q$4:$R$7,2,1)-1,1),listaPeriodos,0)))+(INDEX(TBBP[],MATCH(8,planoContas,0)+1,MATCH(DATE(N$1,VLOOKUP(N$2,$Q$4:$R$7,2,1)-2,1),listaPeriodos,0))))/1000</f>
        <v>2411.4817023999972</v>
      </c>
      <c r="O18" s="4"/>
      <c r="P18" s="2">
        <v>8</v>
      </c>
    </row>
    <row r="19" spans="1:16" hidden="1" x14ac:dyDescent="0.3">
      <c r="A19" t="s">
        <v>938</v>
      </c>
      <c r="B19" s="33">
        <f t="shared" ref="B19:G19" si="10">B18/B11</f>
        <v>0.25619897479516868</v>
      </c>
      <c r="C19" s="33">
        <f t="shared" si="10"/>
        <v>0.32505757565909188</v>
      </c>
      <c r="D19" s="33">
        <f t="shared" si="10"/>
        <v>0.3257623490777482</v>
      </c>
      <c r="E19" s="33">
        <f t="shared" si="10"/>
        <v>0.20531400278863624</v>
      </c>
      <c r="F19" s="33">
        <f t="shared" si="10"/>
        <v>0.15515677400680891</v>
      </c>
      <c r="G19" s="33">
        <f t="shared" si="10"/>
        <v>0.20025167131579705</v>
      </c>
      <c r="H19" s="33">
        <f t="shared" ref="H19:N19" si="11">H18/H11</f>
        <v>0.19909395554177448</v>
      </c>
      <c r="I19" s="33">
        <f t="shared" si="11"/>
        <v>0.12108851663008766</v>
      </c>
      <c r="J19" s="33">
        <f t="shared" si="11"/>
        <v>8.8204572699969785E-2</v>
      </c>
      <c r="K19" s="33">
        <f t="shared" si="11"/>
        <v>0.18400246996892997</v>
      </c>
      <c r="L19" s="33">
        <f t="shared" si="11"/>
        <v>9.8317030730854904E-2</v>
      </c>
      <c r="M19" s="33">
        <f t="shared" si="11"/>
        <v>0.14004793201222032</v>
      </c>
      <c r="N19" s="33">
        <f t="shared" si="11"/>
        <v>0.10235164835690004</v>
      </c>
      <c r="O19" s="33"/>
      <c r="P19" s="2"/>
    </row>
    <row r="20" spans="1:16" hidden="1" x14ac:dyDescent="0.3">
      <c r="A20" t="s">
        <v>939</v>
      </c>
      <c r="B20" s="33">
        <f t="shared" ref="B20:G20" si="12">B13/B11</f>
        <v>0.29216535966698581</v>
      </c>
      <c r="C20" s="33">
        <f t="shared" si="12"/>
        <v>0.3591412663340619</v>
      </c>
      <c r="D20" s="33">
        <f t="shared" si="12"/>
        <v>0.35367833186020725</v>
      </c>
      <c r="E20" s="33">
        <f t="shared" si="12"/>
        <v>0.22428987111305793</v>
      </c>
      <c r="F20" s="33">
        <f t="shared" si="12"/>
        <v>0.24166407121121047</v>
      </c>
      <c r="G20" s="33">
        <f t="shared" si="12"/>
        <v>0.28397011856943849</v>
      </c>
      <c r="H20" s="33">
        <f t="shared" ref="H20:N20" si="13">H13/H11</f>
        <v>0.2750844418523084</v>
      </c>
      <c r="I20" s="33">
        <f t="shared" si="13"/>
        <v>0.16399252241930645</v>
      </c>
      <c r="J20" s="33">
        <f t="shared" si="13"/>
        <v>0.10563300903396572</v>
      </c>
      <c r="K20" s="33">
        <f t="shared" si="13"/>
        <v>0.27991280443828259</v>
      </c>
      <c r="L20" s="33">
        <f t="shared" si="13"/>
        <v>0.16693054505744817</v>
      </c>
      <c r="M20" s="33">
        <f t="shared" si="13"/>
        <v>0.21492008384670322</v>
      </c>
      <c r="N20" s="33">
        <f t="shared" si="13"/>
        <v>0.1665612805947648</v>
      </c>
      <c r="O20" s="33"/>
      <c r="P20" s="2" t="s">
        <v>929</v>
      </c>
    </row>
    <row r="21" spans="1:16" hidden="1" x14ac:dyDescent="0.3">
      <c r="A21" t="s">
        <v>940</v>
      </c>
      <c r="B21" s="33">
        <f t="shared" ref="B21:N21" si="14">B18/B11</f>
        <v>0.25619897479516868</v>
      </c>
      <c r="C21" s="33">
        <f t="shared" si="14"/>
        <v>0.32505757565909188</v>
      </c>
      <c r="D21" s="33">
        <f t="shared" si="14"/>
        <v>0.3257623490777482</v>
      </c>
      <c r="E21" s="33">
        <f t="shared" si="14"/>
        <v>0.20531400278863624</v>
      </c>
      <c r="F21" s="33">
        <f t="shared" si="14"/>
        <v>0.15515677400680891</v>
      </c>
      <c r="G21" s="33">
        <f t="shared" si="14"/>
        <v>0.20025167131579705</v>
      </c>
      <c r="H21" s="33">
        <f t="shared" si="14"/>
        <v>0.19909395554177448</v>
      </c>
      <c r="I21" s="33">
        <f t="shared" si="14"/>
        <v>0.12108851663008766</v>
      </c>
      <c r="J21" s="33">
        <f t="shared" si="14"/>
        <v>8.8204572699969785E-2</v>
      </c>
      <c r="K21" s="33">
        <f t="shared" si="14"/>
        <v>0.18400246996892997</v>
      </c>
      <c r="L21" s="33">
        <f t="shared" si="14"/>
        <v>9.8317030730854904E-2</v>
      </c>
      <c r="M21" s="33">
        <f t="shared" si="14"/>
        <v>0.14004793201222032</v>
      </c>
      <c r="N21" s="33">
        <f t="shared" si="14"/>
        <v>0.10235164835690004</v>
      </c>
      <c r="O21" s="33"/>
      <c r="P21" s="2" t="s">
        <v>930</v>
      </c>
    </row>
    <row r="22" spans="1:16" hidden="1" x14ac:dyDescent="0.3">
      <c r="A22" t="s">
        <v>941</v>
      </c>
      <c r="B22" s="33">
        <f t="shared" ref="B22:G22" si="15">B18/B8</f>
        <v>0.11799182942480006</v>
      </c>
      <c r="C22" s="33">
        <f t="shared" si="15"/>
        <v>0.19660669914584267</v>
      </c>
      <c r="D22" s="33">
        <f t="shared" si="15"/>
        <v>0.18202329549430921</v>
      </c>
      <c r="E22" s="33">
        <f t="shared" si="15"/>
        <v>7.7129357190922343E-2</v>
      </c>
      <c r="F22" s="33">
        <f t="shared" si="15"/>
        <v>6.4239491812878843E-2</v>
      </c>
      <c r="G22" s="33">
        <f t="shared" si="15"/>
        <v>7.8595430296650767E-2</v>
      </c>
      <c r="H22" s="33">
        <f t="shared" ref="H22:N22" si="16">H18/H8</f>
        <v>7.2530526708013812E-2</v>
      </c>
      <c r="I22" s="33">
        <f t="shared" si="16"/>
        <v>3.2701752207609708E-2</v>
      </c>
      <c r="J22" s="33">
        <f t="shared" si="16"/>
        <v>2.1160931647219789E-2</v>
      </c>
      <c r="K22" s="33">
        <f t="shared" si="16"/>
        <v>6.0519887576140116E-2</v>
      </c>
      <c r="L22" s="33">
        <f t="shared" si="16"/>
        <v>2.8367059297789016E-2</v>
      </c>
      <c r="M22" s="33">
        <f t="shared" si="16"/>
        <v>4.3608477340660978E-2</v>
      </c>
      <c r="N22" s="33">
        <f t="shared" si="16"/>
        <v>3.1254744515127532E-2</v>
      </c>
      <c r="O22" s="33"/>
      <c r="P22" s="2" t="s">
        <v>931</v>
      </c>
    </row>
    <row r="23" spans="1:16" hidden="1" x14ac:dyDescent="0.3">
      <c r="A23" t="s">
        <v>942</v>
      </c>
      <c r="B23" s="33">
        <f t="shared" ref="B23:G23" si="17">B18/B4</f>
        <v>8.5243342529322516E-2</v>
      </c>
      <c r="C23" s="33">
        <f t="shared" si="17"/>
        <v>0.14199606903274159</v>
      </c>
      <c r="D23" s="33">
        <f t="shared" si="17"/>
        <v>0.141839983144285</v>
      </c>
      <c r="E23" s="33">
        <f t="shared" si="17"/>
        <v>6.1858032667248354E-2</v>
      </c>
      <c r="F23" s="33">
        <f t="shared" si="17"/>
        <v>5.0698316844446131E-2</v>
      </c>
      <c r="G23" s="33">
        <f t="shared" si="17"/>
        <v>6.4186229199817368E-2</v>
      </c>
      <c r="H23" s="33">
        <f t="shared" ref="H23:N23" si="18">H18/H4</f>
        <v>5.7979193207567427E-2</v>
      </c>
      <c r="I23" s="33">
        <f t="shared" si="18"/>
        <v>2.7658172433688354E-2</v>
      </c>
      <c r="J23" s="33">
        <f t="shared" si="18"/>
        <v>1.7811962244360512E-2</v>
      </c>
      <c r="K23" s="33">
        <f t="shared" si="18"/>
        <v>4.9231911705624347E-2</v>
      </c>
      <c r="L23" s="33">
        <f t="shared" si="18"/>
        <v>2.1975059622642779E-2</v>
      </c>
      <c r="M23" s="33">
        <f t="shared" si="18"/>
        <v>3.4379486407043684E-2</v>
      </c>
      <c r="N23" s="33">
        <f t="shared" si="18"/>
        <v>2.4042263866891879E-2</v>
      </c>
      <c r="O23" s="33"/>
      <c r="P23" s="58" t="s">
        <v>932</v>
      </c>
    </row>
    <row r="24" spans="1:16" x14ac:dyDescent="0.3">
      <c r="A24" s="2"/>
      <c r="B24" s="16"/>
      <c r="C24" s="2"/>
    </row>
    <row r="25" spans="1:16" x14ac:dyDescent="0.3">
      <c r="A25" t="s">
        <v>933</v>
      </c>
      <c r="B25">
        <v>2021</v>
      </c>
      <c r="C25">
        <v>2021</v>
      </c>
      <c r="D25">
        <v>2021</v>
      </c>
      <c r="E25">
        <v>2021</v>
      </c>
      <c r="F25">
        <v>2022</v>
      </c>
      <c r="G25">
        <v>2022</v>
      </c>
      <c r="H25">
        <v>2022</v>
      </c>
      <c r="I25">
        <v>2022</v>
      </c>
      <c r="J25">
        <v>2023</v>
      </c>
      <c r="K25">
        <v>2023</v>
      </c>
      <c r="L25">
        <v>2023</v>
      </c>
      <c r="M25">
        <v>2023</v>
      </c>
      <c r="N25">
        <v>2024</v>
      </c>
    </row>
    <row r="26" spans="1:16" x14ac:dyDescent="0.3">
      <c r="A26" t="s">
        <v>903</v>
      </c>
      <c r="B26" t="s">
        <v>916</v>
      </c>
      <c r="C26" t="s">
        <v>917</v>
      </c>
      <c r="D26" t="s">
        <v>918</v>
      </c>
      <c r="E26" s="2" t="s">
        <v>919</v>
      </c>
      <c r="F26" s="2" t="s">
        <v>920</v>
      </c>
      <c r="G26" s="2" t="s">
        <v>921</v>
      </c>
      <c r="H26" s="2" t="s">
        <v>1002</v>
      </c>
      <c r="I26" s="2" t="s">
        <v>1126</v>
      </c>
      <c r="J26" s="2" t="s">
        <v>1127</v>
      </c>
      <c r="K26" s="2" t="s">
        <v>1128</v>
      </c>
      <c r="L26" s="2" t="s">
        <v>1129</v>
      </c>
      <c r="M26" s="2" t="s">
        <v>1130</v>
      </c>
      <c r="N26" s="2" t="s">
        <v>1131</v>
      </c>
      <c r="O26" s="2"/>
    </row>
    <row r="27" spans="1:16" hidden="1" x14ac:dyDescent="0.3">
      <c r="B27" s="37">
        <f t="shared" ref="B27:H27" si="19">DATE(B$25,VLOOKUP(B26,$Q$4:$R$7,2,1),1)</f>
        <v>44256</v>
      </c>
      <c r="C27" s="37">
        <f t="shared" si="19"/>
        <v>44348</v>
      </c>
      <c r="D27" s="37">
        <f t="shared" si="19"/>
        <v>44440</v>
      </c>
      <c r="E27" s="37">
        <f t="shared" si="19"/>
        <v>44531</v>
      </c>
      <c r="F27" s="37">
        <f t="shared" si="19"/>
        <v>44621</v>
      </c>
      <c r="G27" s="37">
        <f t="shared" si="19"/>
        <v>44713</v>
      </c>
      <c r="H27" s="37">
        <f t="shared" si="19"/>
        <v>44805</v>
      </c>
      <c r="I27" s="37">
        <f t="shared" ref="I27:N27" si="20">DATE(I$25,VLOOKUP(I26,$Q$4:$R$7,2,1),1)</f>
        <v>44896</v>
      </c>
      <c r="J27" s="37">
        <f t="shared" si="20"/>
        <v>44986</v>
      </c>
      <c r="K27" s="37">
        <f t="shared" si="20"/>
        <v>45078</v>
      </c>
      <c r="L27" s="37">
        <f t="shared" si="20"/>
        <v>45170</v>
      </c>
      <c r="M27" s="37">
        <f t="shared" si="20"/>
        <v>45261</v>
      </c>
      <c r="N27" s="37">
        <f t="shared" si="20"/>
        <v>45352</v>
      </c>
      <c r="O27" s="37"/>
    </row>
    <row r="28" spans="1:16" hidden="1" x14ac:dyDescent="0.3">
      <c r="B28" s="4">
        <v>21161200</v>
      </c>
      <c r="C28" s="4">
        <v>21411835</v>
      </c>
      <c r="D28" s="4">
        <v>22500301</v>
      </c>
      <c r="E28" s="4">
        <v>23932787</v>
      </c>
      <c r="F28" s="4">
        <v>24169250</v>
      </c>
      <c r="G28" s="4">
        <v>25882424</v>
      </c>
      <c r="H28" s="4">
        <v>27697485</v>
      </c>
      <c r="I28" s="4">
        <v>28134660</v>
      </c>
      <c r="J28" s="4">
        <v>28920083</v>
      </c>
      <c r="K28" s="4">
        <v>29101227</v>
      </c>
      <c r="L28" s="4">
        <v>30075811</v>
      </c>
      <c r="M28" s="4">
        <v>31496270</v>
      </c>
      <c r="N28" s="4">
        <v>31981696</v>
      </c>
      <c r="O28" s="4"/>
    </row>
    <row r="29" spans="1:16" hidden="1" x14ac:dyDescent="0.3">
      <c r="A29" t="s">
        <v>943</v>
      </c>
      <c r="B29" s="33">
        <f>B28/B28-1</f>
        <v>0</v>
      </c>
      <c r="C29" s="33">
        <f t="shared" ref="C29:N29" si="21">C28/B28-1</f>
        <v>1.184408256620606E-2</v>
      </c>
      <c r="D29" s="33">
        <f t="shared" si="21"/>
        <v>5.0834783660531624E-2</v>
      </c>
      <c r="E29" s="33">
        <f t="shared" si="21"/>
        <v>6.3665192745643751E-2</v>
      </c>
      <c r="F29" s="33">
        <f t="shared" si="21"/>
        <v>9.880295178325893E-3</v>
      </c>
      <c r="G29" s="33">
        <f t="shared" si="21"/>
        <v>7.0882381538525108E-2</v>
      </c>
      <c r="H29" s="33">
        <f t="shared" si="21"/>
        <v>7.0127164287239863E-2</v>
      </c>
      <c r="I29" s="33">
        <f t="shared" si="21"/>
        <v>1.578392406386353E-2</v>
      </c>
      <c r="J29" s="33">
        <f t="shared" si="21"/>
        <v>2.791656270237497E-2</v>
      </c>
      <c r="K29" s="33">
        <f t="shared" si="21"/>
        <v>6.2636058133027639E-3</v>
      </c>
      <c r="L29" s="33">
        <f t="shared" si="21"/>
        <v>3.3489447025721653E-2</v>
      </c>
      <c r="M29" s="33">
        <f t="shared" si="21"/>
        <v>4.7229283359973229E-2</v>
      </c>
      <c r="N29" s="33">
        <f t="shared" si="21"/>
        <v>1.5412174203484952E-2</v>
      </c>
      <c r="O29" s="33"/>
    </row>
    <row r="30" spans="1:16" hidden="1" x14ac:dyDescent="0.3">
      <c r="B30" s="4">
        <v>8783954</v>
      </c>
      <c r="C30" s="4">
        <v>9089622</v>
      </c>
      <c r="D30" s="4">
        <v>9360529</v>
      </c>
      <c r="E30" s="4">
        <v>9922115</v>
      </c>
      <c r="F30" s="4">
        <v>11381918</v>
      </c>
      <c r="G30" s="4">
        <v>12081673</v>
      </c>
      <c r="H30" s="4">
        <f>10789911+2619652</f>
        <v>13409563</v>
      </c>
      <c r="I30" s="4">
        <v>12886305</v>
      </c>
      <c r="J30" s="4">
        <v>13619754</v>
      </c>
      <c r="K30" s="4">
        <v>13270704</v>
      </c>
      <c r="L30" s="4">
        <v>13476024</v>
      </c>
      <c r="M30" s="4">
        <v>13641494</v>
      </c>
      <c r="N30" s="4">
        <v>14014530</v>
      </c>
      <c r="O30" s="4"/>
    </row>
    <row r="31" spans="1:16" hidden="1" x14ac:dyDescent="0.3">
      <c r="A31" t="s">
        <v>944</v>
      </c>
      <c r="B31" s="33">
        <f>B30/B30-1</f>
        <v>0</v>
      </c>
      <c r="C31" s="33">
        <f t="shared" ref="C31:N31" si="22">C30/B30-1</f>
        <v>3.4798451813386144E-2</v>
      </c>
      <c r="D31" s="33">
        <f t="shared" si="22"/>
        <v>2.9803989648854445E-2</v>
      </c>
      <c r="E31" s="33">
        <f t="shared" si="22"/>
        <v>5.9995113524032639E-2</v>
      </c>
      <c r="F31" s="33">
        <f t="shared" si="22"/>
        <v>0.14712619234911095</v>
      </c>
      <c r="G31" s="33">
        <f t="shared" si="22"/>
        <v>6.147953271144635E-2</v>
      </c>
      <c r="H31" s="33">
        <f t="shared" si="22"/>
        <v>0.10990944714361994</v>
      </c>
      <c r="I31" s="33">
        <f t="shared" si="22"/>
        <v>-3.9021256695688011E-2</v>
      </c>
      <c r="J31" s="33">
        <f t="shared" si="22"/>
        <v>5.6916936235794413E-2</v>
      </c>
      <c r="K31" s="33">
        <f t="shared" si="22"/>
        <v>-2.5628216192451037E-2</v>
      </c>
      <c r="L31" s="33">
        <f t="shared" si="22"/>
        <v>1.5471673544975362E-2</v>
      </c>
      <c r="M31" s="33">
        <f t="shared" si="22"/>
        <v>1.2278844264450806E-2</v>
      </c>
      <c r="N31" s="33">
        <f t="shared" si="22"/>
        <v>2.7345685157358801E-2</v>
      </c>
      <c r="O31" s="33"/>
    </row>
    <row r="32" spans="1:16" hidden="1" x14ac:dyDescent="0.3">
      <c r="B32" s="4">
        <v>12377246</v>
      </c>
      <c r="C32" s="4">
        <v>12322213</v>
      </c>
      <c r="D32" s="4">
        <v>13139772</v>
      </c>
      <c r="E32" s="4">
        <v>14010672</v>
      </c>
      <c r="F32" s="4">
        <v>12787332</v>
      </c>
      <c r="G32" s="4">
        <v>13800751</v>
      </c>
      <c r="H32" s="4">
        <v>14287922</v>
      </c>
      <c r="I32" s="4">
        <v>15248355</v>
      </c>
      <c r="J32" s="4">
        <v>15300329</v>
      </c>
      <c r="K32" s="4">
        <v>15830523</v>
      </c>
      <c r="L32" s="4">
        <v>16599787</v>
      </c>
      <c r="M32" s="4">
        <v>17854776</v>
      </c>
      <c r="N32" s="4">
        <v>17967166</v>
      </c>
      <c r="O32" s="4"/>
    </row>
    <row r="33" spans="1:15" hidden="1" x14ac:dyDescent="0.3">
      <c r="A33" t="s">
        <v>945</v>
      </c>
      <c r="B33" s="33">
        <f>B32/B32-1</f>
        <v>0</v>
      </c>
      <c r="C33" s="33">
        <f t="shared" ref="C33:H33" si="23">C32/B32-1</f>
        <v>-4.4463041293677508E-3</v>
      </c>
      <c r="D33" s="33">
        <f t="shared" si="23"/>
        <v>6.6348390504205712E-2</v>
      </c>
      <c r="E33" s="33">
        <f t="shared" si="23"/>
        <v>6.6279688871313747E-2</v>
      </c>
      <c r="F33" s="33">
        <f t="shared" si="23"/>
        <v>-8.7314869693616459E-2</v>
      </c>
      <c r="G33" s="33">
        <f t="shared" si="23"/>
        <v>7.9251793884760335E-2</v>
      </c>
      <c r="H33" s="33">
        <f t="shared" si="23"/>
        <v>3.5300325322875636E-2</v>
      </c>
      <c r="I33" s="33">
        <f t="shared" ref="I33:N33" si="24">I32/H32-1</f>
        <v>6.721992183327985E-2</v>
      </c>
      <c r="J33" s="33">
        <f t="shared" si="24"/>
        <v>3.4084988183971099E-3</v>
      </c>
      <c r="K33" s="33">
        <f t="shared" si="24"/>
        <v>3.4652457473300036E-2</v>
      </c>
      <c r="L33" s="33">
        <f t="shared" si="24"/>
        <v>4.8593719866361962E-2</v>
      </c>
      <c r="M33" s="33">
        <f t="shared" si="24"/>
        <v>7.5602717071008296E-2</v>
      </c>
      <c r="N33" s="33">
        <f t="shared" si="24"/>
        <v>6.2946743213132539E-3</v>
      </c>
      <c r="O33" s="33"/>
    </row>
    <row r="34" spans="1:15" hidden="1" x14ac:dyDescent="0.3">
      <c r="A34" t="s">
        <v>925</v>
      </c>
      <c r="B34" s="34">
        <f>(13360912/6488389)</f>
        <v>2.0592032937605929</v>
      </c>
      <c r="C34" s="34">
        <f>(13990900/7407489)</f>
        <v>1.88875069541109</v>
      </c>
      <c r="D34" s="34">
        <f>(14743151/7533439 )</f>
        <v>1.9570279921294909</v>
      </c>
      <c r="E34" s="34">
        <f>(15945946/7927884)</f>
        <v>2.0113747880266666</v>
      </c>
      <c r="F34" s="34">
        <f>(16424181/9300954)</f>
        <v>1.7658598247018531</v>
      </c>
      <c r="G34" s="34">
        <f>17566996/10410529</f>
        <v>1.6874258743239656</v>
      </c>
      <c r="H34" s="34">
        <f>(19548424/10789911 )</f>
        <v>1.8117317186397552</v>
      </c>
      <c r="I34" s="34">
        <v>1.91</v>
      </c>
      <c r="J34" s="34">
        <v>1.81</v>
      </c>
      <c r="K34" s="34">
        <v>1.88</v>
      </c>
      <c r="L34" s="34">
        <v>1.86</v>
      </c>
      <c r="M34" s="34">
        <v>1.92</v>
      </c>
      <c r="N34" s="34">
        <v>1.83</v>
      </c>
      <c r="O34" s="34"/>
    </row>
    <row r="35" spans="1:15" hidden="1" x14ac:dyDescent="0.3">
      <c r="B35" s="4">
        <v>5076879</v>
      </c>
      <c r="C35" s="4">
        <v>5748206</v>
      </c>
      <c r="D35" s="4">
        <v>6198243</v>
      </c>
      <c r="E35" s="16">
        <f>23563338-Tabela6[[#This Row],[3T 2021]]-Tabela6[[#This Row],[2T 2021]]-Tabela6[[#This Row],[1T 2021]]</f>
        <v>6540010</v>
      </c>
      <c r="F35" s="4">
        <v>6828106</v>
      </c>
      <c r="G35" s="16">
        <v>7185787</v>
      </c>
      <c r="H35" s="16">
        <v>7911192</v>
      </c>
      <c r="I35" s="16">
        <v>7979637</v>
      </c>
      <c r="J35" s="16">
        <v>7696157</v>
      </c>
      <c r="K35" s="16">
        <v>8171322</v>
      </c>
      <c r="L35" s="16">
        <v>8074837</v>
      </c>
      <c r="M35" s="16">
        <v>8561285</v>
      </c>
      <c r="N35" s="16">
        <v>8033304</v>
      </c>
      <c r="O35" s="16"/>
    </row>
    <row r="36" spans="1:15" hidden="1" x14ac:dyDescent="0.3">
      <c r="A36" t="s">
        <v>946</v>
      </c>
      <c r="B36" s="33">
        <f>B35/B35-1</f>
        <v>0</v>
      </c>
      <c r="C36" s="33">
        <f t="shared" ref="C36:H36" si="25">C35/B35-1</f>
        <v>0.13223222377370036</v>
      </c>
      <c r="D36" s="33">
        <f t="shared" si="25"/>
        <v>7.8291731368012929E-2</v>
      </c>
      <c r="E36" s="33">
        <f t="shared" si="25"/>
        <v>5.5139335453611604E-2</v>
      </c>
      <c r="F36" s="33">
        <f t="shared" si="25"/>
        <v>4.4051308790047816E-2</v>
      </c>
      <c r="G36" s="33">
        <f t="shared" si="25"/>
        <v>5.2383633177340849E-2</v>
      </c>
      <c r="H36" s="33">
        <f t="shared" si="25"/>
        <v>0.10094997249431414</v>
      </c>
      <c r="I36" s="33">
        <f t="shared" ref="I36:N36" si="26">I35/H35-1</f>
        <v>8.6516671571110759E-3</v>
      </c>
      <c r="J36" s="33">
        <f t="shared" si="26"/>
        <v>-3.5525425530008481E-2</v>
      </c>
      <c r="K36" s="33">
        <f t="shared" si="26"/>
        <v>6.1740554409168036E-2</v>
      </c>
      <c r="L36" s="33">
        <f t="shared" si="26"/>
        <v>-1.1807758891400955E-2</v>
      </c>
      <c r="M36" s="33">
        <f t="shared" si="26"/>
        <v>6.0242454429730197E-2</v>
      </c>
      <c r="N36" s="33">
        <f t="shared" si="26"/>
        <v>-6.1670765545125517E-2</v>
      </c>
      <c r="O36" s="33"/>
    </row>
    <row r="37" spans="1:15" hidden="1" x14ac:dyDescent="0.3">
      <c r="B37" s="4">
        <v>893182</v>
      </c>
      <c r="C37" s="4">
        <v>1265972</v>
      </c>
      <c r="D37" s="4">
        <v>1014041</v>
      </c>
      <c r="E37" s="16">
        <f>4158343-Tabela6[[#This Row],[3T 2021]]-Tabela6[[#This Row],[2T 2021]]-Tabela6[[#This Row],[1T 2021]]</f>
        <v>985148</v>
      </c>
      <c r="F37" s="4">
        <v>1098588</v>
      </c>
      <c r="G37" s="16">
        <v>1121441</v>
      </c>
      <c r="H37" s="16">
        <v>1425947</v>
      </c>
      <c r="I37" s="16">
        <f>1559440-153829</f>
        <v>1405611</v>
      </c>
      <c r="J37" s="16">
        <f>1689125-150932</f>
        <v>1538193</v>
      </c>
      <c r="K37" s="16">
        <f>1833098-151825</f>
        <v>1681273</v>
      </c>
      <c r="L37" s="16">
        <v>1581169</v>
      </c>
      <c r="M37" s="16">
        <v>1661490</v>
      </c>
      <c r="N37" s="16">
        <v>1603367</v>
      </c>
      <c r="O37" s="16"/>
    </row>
    <row r="38" spans="1:15" hidden="1" x14ac:dyDescent="0.3">
      <c r="A38" t="s">
        <v>935</v>
      </c>
      <c r="B38" s="33">
        <f t="shared" ref="B38:G38" si="27">B37/B35</f>
        <v>0.17593131528247966</v>
      </c>
      <c r="C38" s="33">
        <f t="shared" si="27"/>
        <v>0.22023775765865036</v>
      </c>
      <c r="D38" s="33">
        <f t="shared" si="27"/>
        <v>0.16360136251515148</v>
      </c>
      <c r="E38" s="33">
        <f t="shared" si="27"/>
        <v>0.15063402043727761</v>
      </c>
      <c r="F38" s="33">
        <f t="shared" si="27"/>
        <v>0.16089205410695148</v>
      </c>
      <c r="G38" s="33">
        <f t="shared" si="27"/>
        <v>0.15606376865888177</v>
      </c>
      <c r="H38" s="33">
        <f t="shared" ref="H38:N38" si="28">H37/H35</f>
        <v>0.18024426660356618</v>
      </c>
      <c r="I38" s="33">
        <f t="shared" si="28"/>
        <v>0.17614974214992488</v>
      </c>
      <c r="J38" s="33">
        <f t="shared" si="28"/>
        <v>0.19986507551756025</v>
      </c>
      <c r="K38" s="33">
        <f t="shared" si="28"/>
        <v>0.20575287572806455</v>
      </c>
      <c r="L38" s="33">
        <f t="shared" si="28"/>
        <v>0.19581435513806655</v>
      </c>
      <c r="M38" s="33">
        <f t="shared" si="28"/>
        <v>0.19407016586879189</v>
      </c>
      <c r="N38" s="33">
        <f t="shared" si="28"/>
        <v>0.19958998190532812</v>
      </c>
      <c r="O38" s="33"/>
    </row>
    <row r="39" spans="1:15" hidden="1" x14ac:dyDescent="0.3">
      <c r="A39" t="s">
        <v>936</v>
      </c>
      <c r="B39" s="33">
        <f>3457140/B35</f>
        <v>0.68095773013302074</v>
      </c>
      <c r="C39" s="33">
        <f>4001699/C35</f>
        <v>0.69616485560886299</v>
      </c>
      <c r="D39" s="33">
        <f>4411429/D35</f>
        <v>0.71172249942443366</v>
      </c>
      <c r="E39" s="33">
        <f>4732113/E35</f>
        <v>0.72356357253276371</v>
      </c>
      <c r="F39" s="33">
        <f>4933270/F35</f>
        <v>0.72249464199882074</v>
      </c>
      <c r="G39" s="33">
        <f>5217781/G35</f>
        <v>0.7261251968643101</v>
      </c>
      <c r="H39" s="33">
        <f>5493544/H35</f>
        <v>0.6944015516245845</v>
      </c>
      <c r="I39" s="33">
        <f>5564640/I35</f>
        <v>0.69735503005963806</v>
      </c>
      <c r="J39" s="33">
        <f>5149094/J35</f>
        <v>0.66904742197956724</v>
      </c>
      <c r="K39" s="33">
        <f>5416778/K35</f>
        <v>0.6629010581151985</v>
      </c>
      <c r="L39" s="33">
        <f>5461011/L35</f>
        <v>0.67629984357578987</v>
      </c>
      <c r="M39" s="33">
        <f>5675854/M35</f>
        <v>0.66296753349526383</v>
      </c>
      <c r="N39" s="33">
        <f>5362600/N35</f>
        <v>0.66754600597711722</v>
      </c>
      <c r="O39" s="33"/>
    </row>
    <row r="40" spans="1:15" hidden="1" x14ac:dyDescent="0.3">
      <c r="B40" s="4">
        <v>1016900</v>
      </c>
      <c r="C40" s="4">
        <v>1392700</v>
      </c>
      <c r="D40" s="4">
        <v>1144000</v>
      </c>
      <c r="E40" s="4">
        <f>4678520-Tabela6[[#This Row],[3T 2021]]-Tabela6[[#This Row],[2T 2021]]-Tabela6[[#This Row],[1T 2021]]</f>
        <v>1124920</v>
      </c>
      <c r="F40" s="4">
        <v>1232900</v>
      </c>
      <c r="G40" s="4">
        <v>1256700</v>
      </c>
      <c r="H40" s="4">
        <v>1568100</v>
      </c>
      <c r="I40" s="16">
        <v>1559440</v>
      </c>
      <c r="J40" s="16">
        <v>1689125</v>
      </c>
      <c r="K40" s="4">
        <v>1833098</v>
      </c>
      <c r="L40" s="4">
        <v>1738770</v>
      </c>
      <c r="M40" s="4">
        <v>1829174</v>
      </c>
      <c r="N40" s="4">
        <v>1769900</v>
      </c>
      <c r="O40" s="4"/>
    </row>
    <row r="41" spans="1:15" x14ac:dyDescent="0.3">
      <c r="A41" t="s">
        <v>937</v>
      </c>
      <c r="B41" s="33">
        <f t="shared" ref="B41:G41" si="29">B40/B35</f>
        <v>0.20030022381860982</v>
      </c>
      <c r="C41" s="33">
        <f t="shared" si="29"/>
        <v>0.24228428835013915</v>
      </c>
      <c r="D41" s="33">
        <f t="shared" si="29"/>
        <v>0.1845684333447398</v>
      </c>
      <c r="E41" s="33">
        <f t="shared" si="29"/>
        <v>0.17200585320205933</v>
      </c>
      <c r="F41" s="33">
        <f t="shared" si="29"/>
        <v>0.1805625161648047</v>
      </c>
      <c r="G41" s="33">
        <f t="shared" si="29"/>
        <v>0.17488689826180487</v>
      </c>
      <c r="H41" s="33">
        <f t="shared" ref="H41:N41" si="30">H40/H35</f>
        <v>0.19821286096962379</v>
      </c>
      <c r="I41" s="33">
        <f t="shared" si="30"/>
        <v>0.19542743611018898</v>
      </c>
      <c r="J41" s="33">
        <f t="shared" si="30"/>
        <v>0.21947642180376517</v>
      </c>
      <c r="K41" s="33">
        <f t="shared" si="30"/>
        <v>0.22433310056805986</v>
      </c>
      <c r="L41" s="33">
        <f t="shared" si="30"/>
        <v>0.21533190081731682</v>
      </c>
      <c r="M41" s="33">
        <f t="shared" si="30"/>
        <v>0.21365647797030468</v>
      </c>
      <c r="N41" s="33">
        <f t="shared" si="30"/>
        <v>0.22032030656377499</v>
      </c>
      <c r="O41" s="33"/>
    </row>
    <row r="42" spans="1:15" hidden="1" x14ac:dyDescent="0.3">
      <c r="B42" s="4">
        <v>778921</v>
      </c>
      <c r="C42" s="4">
        <v>1134709</v>
      </c>
      <c r="D42" s="4">
        <v>832232</v>
      </c>
      <c r="E42" s="56">
        <f>3657480-Tabela6[[#This Row],[3T 2021]]-Tabela6[[#This Row],[2T 2021]]-Tabela6[[#This Row],[1T 2021]]</f>
        <v>911618</v>
      </c>
      <c r="F42" s="4">
        <v>943900</v>
      </c>
      <c r="G42" s="16">
        <v>912965</v>
      </c>
      <c r="H42" s="16">
        <v>1158032</v>
      </c>
      <c r="I42" s="16">
        <v>1193187</v>
      </c>
      <c r="J42" s="16">
        <v>1306653</v>
      </c>
      <c r="K42" s="16">
        <v>1368400</v>
      </c>
      <c r="L42" s="16">
        <v>1311688</v>
      </c>
      <c r="M42" s="16">
        <v>1744929</v>
      </c>
      <c r="N42" s="16">
        <v>1327964</v>
      </c>
      <c r="O42" s="16"/>
    </row>
    <row r="43" spans="1:15" hidden="1" x14ac:dyDescent="0.3">
      <c r="A43" t="s">
        <v>938</v>
      </c>
      <c r="B43" s="33">
        <f t="shared" ref="B43:G43" si="31">B42/B35</f>
        <v>0.15342516534272335</v>
      </c>
      <c r="C43" s="33">
        <f t="shared" si="31"/>
        <v>0.19740228516514544</v>
      </c>
      <c r="D43" s="33">
        <f t="shared" si="31"/>
        <v>0.13426901784909046</v>
      </c>
      <c r="E43" s="33">
        <f t="shared" si="31"/>
        <v>0.13939091836251014</v>
      </c>
      <c r="F43" s="33">
        <f t="shared" si="31"/>
        <v>0.13823745559896111</v>
      </c>
      <c r="G43" s="33">
        <f t="shared" si="31"/>
        <v>0.12705149762997428</v>
      </c>
      <c r="H43" s="33">
        <f t="shared" ref="H43:N43" si="32">H42/H35</f>
        <v>0.146378952754528</v>
      </c>
      <c r="I43" s="33">
        <f t="shared" si="32"/>
        <v>0.14952898233340689</v>
      </c>
      <c r="J43" s="33">
        <f t="shared" si="32"/>
        <v>0.16977993042501602</v>
      </c>
      <c r="K43" s="33">
        <f t="shared" si="32"/>
        <v>0.16746372251638106</v>
      </c>
      <c r="L43" s="33">
        <f t="shared" si="32"/>
        <v>0.16244142141816609</v>
      </c>
      <c r="M43" s="33">
        <f t="shared" si="32"/>
        <v>0.20381624954665101</v>
      </c>
      <c r="N43" s="33">
        <f t="shared" si="32"/>
        <v>0.16530732560351258</v>
      </c>
      <c r="O43" s="33"/>
    </row>
    <row r="44" spans="1:15" hidden="1" x14ac:dyDescent="0.3">
      <c r="A44" t="s">
        <v>939</v>
      </c>
      <c r="B44" s="33">
        <f t="shared" ref="B44:G44" si="33">B37/B35</f>
        <v>0.17593131528247966</v>
      </c>
      <c r="C44" s="33">
        <f t="shared" si="33"/>
        <v>0.22023775765865036</v>
      </c>
      <c r="D44" s="33">
        <f t="shared" si="33"/>
        <v>0.16360136251515148</v>
      </c>
      <c r="E44" s="33">
        <f t="shared" si="33"/>
        <v>0.15063402043727761</v>
      </c>
      <c r="F44" s="33">
        <f t="shared" si="33"/>
        <v>0.16089205410695148</v>
      </c>
      <c r="G44" s="33">
        <f t="shared" si="33"/>
        <v>0.15606376865888177</v>
      </c>
      <c r="H44" s="33">
        <f t="shared" ref="H44:N44" si="34">H37/H35</f>
        <v>0.18024426660356618</v>
      </c>
      <c r="I44" s="33">
        <f t="shared" si="34"/>
        <v>0.17614974214992488</v>
      </c>
      <c r="J44" s="33">
        <f t="shared" si="34"/>
        <v>0.19986507551756025</v>
      </c>
      <c r="K44" s="33">
        <f t="shared" si="34"/>
        <v>0.20575287572806455</v>
      </c>
      <c r="L44" s="33">
        <f t="shared" si="34"/>
        <v>0.19581435513806655</v>
      </c>
      <c r="M44" s="33">
        <f t="shared" si="34"/>
        <v>0.19407016586879189</v>
      </c>
      <c r="N44" s="33">
        <f t="shared" si="34"/>
        <v>0.19958998190532812</v>
      </c>
      <c r="O44" s="33"/>
    </row>
    <row r="45" spans="1:15" hidden="1" x14ac:dyDescent="0.3">
      <c r="A45" t="s">
        <v>940</v>
      </c>
      <c r="B45" s="33">
        <f t="shared" ref="B45:G45" si="35">B42/B35</f>
        <v>0.15342516534272335</v>
      </c>
      <c r="C45" s="33">
        <f t="shared" si="35"/>
        <v>0.19740228516514544</v>
      </c>
      <c r="D45" s="33">
        <f t="shared" si="35"/>
        <v>0.13426901784909046</v>
      </c>
      <c r="E45" s="33">
        <f t="shared" si="35"/>
        <v>0.13939091836251014</v>
      </c>
      <c r="F45" s="33">
        <f t="shared" si="35"/>
        <v>0.13823745559896111</v>
      </c>
      <c r="G45" s="33">
        <f t="shared" si="35"/>
        <v>0.12705149762997428</v>
      </c>
      <c r="H45" s="33">
        <f t="shared" ref="H45:N45" si="36">H42/H35</f>
        <v>0.146378952754528</v>
      </c>
      <c r="I45" s="33">
        <f t="shared" si="36"/>
        <v>0.14952898233340689</v>
      </c>
      <c r="J45" s="33">
        <f t="shared" si="36"/>
        <v>0.16977993042501602</v>
      </c>
      <c r="K45" s="33">
        <f t="shared" si="36"/>
        <v>0.16746372251638106</v>
      </c>
      <c r="L45" s="33">
        <f t="shared" si="36"/>
        <v>0.16244142141816609</v>
      </c>
      <c r="M45" s="33">
        <f t="shared" si="36"/>
        <v>0.20381624954665101</v>
      </c>
      <c r="N45" s="33">
        <f t="shared" si="36"/>
        <v>0.16530732560351258</v>
      </c>
      <c r="O45" s="33"/>
    </row>
    <row r="46" spans="1:15" hidden="1" x14ac:dyDescent="0.3">
      <c r="A46" t="s">
        <v>941</v>
      </c>
      <c r="B46" s="33">
        <f t="shared" ref="B46:G46" si="37">B42/B32</f>
        <v>6.2931689327335019E-2</v>
      </c>
      <c r="C46" s="33">
        <f t="shared" si="37"/>
        <v>9.2086462066513539E-2</v>
      </c>
      <c r="D46" s="33">
        <f t="shared" si="37"/>
        <v>6.333686764123457E-2</v>
      </c>
      <c r="E46" s="33">
        <f t="shared" si="37"/>
        <v>6.5065972567197344E-2</v>
      </c>
      <c r="F46" s="33">
        <f t="shared" si="37"/>
        <v>7.3815241521843655E-2</v>
      </c>
      <c r="G46" s="33">
        <f t="shared" si="37"/>
        <v>6.6153283977082117E-2</v>
      </c>
      <c r="H46" s="33">
        <f t="shared" ref="H46:N46" si="38">H42/H32</f>
        <v>8.1049714577109258E-2</v>
      </c>
      <c r="I46" s="33">
        <f t="shared" si="38"/>
        <v>7.825021125229574E-2</v>
      </c>
      <c r="J46" s="33">
        <f t="shared" si="38"/>
        <v>8.5400320476768835E-2</v>
      </c>
      <c r="K46" s="33">
        <f t="shared" si="38"/>
        <v>8.6440605910493296E-2</v>
      </c>
      <c r="L46" s="33">
        <f t="shared" si="38"/>
        <v>7.901836330791473E-2</v>
      </c>
      <c r="M46" s="33">
        <f t="shared" si="38"/>
        <v>9.7728977389579127E-2</v>
      </c>
      <c r="N46" s="33">
        <f t="shared" si="38"/>
        <v>7.3910598922501194E-2</v>
      </c>
      <c r="O46" s="33"/>
    </row>
    <row r="47" spans="1:15" hidden="1" x14ac:dyDescent="0.3">
      <c r="A47" t="s">
        <v>942</v>
      </c>
      <c r="B47" s="33">
        <f t="shared" ref="B47:G47" si="39">B42/B28</f>
        <v>3.6808923879553146E-2</v>
      </c>
      <c r="C47" s="33">
        <f t="shared" si="39"/>
        <v>5.2994477119779788E-2</v>
      </c>
      <c r="D47" s="33">
        <f t="shared" si="39"/>
        <v>3.698759407707479E-2</v>
      </c>
      <c r="E47" s="33">
        <f t="shared" si="39"/>
        <v>3.8090758088475028E-2</v>
      </c>
      <c r="F47" s="33">
        <f t="shared" si="39"/>
        <v>3.9053756322599997E-2</v>
      </c>
      <c r="G47" s="33">
        <f t="shared" si="39"/>
        <v>3.5273550885342113E-2</v>
      </c>
      <c r="H47" s="33">
        <f t="shared" ref="H47:N47" si="40">H42/H28</f>
        <v>4.181000549327854E-2</v>
      </c>
      <c r="I47" s="33">
        <f t="shared" si="40"/>
        <v>4.2409860293317919E-2</v>
      </c>
      <c r="J47" s="33">
        <f t="shared" si="40"/>
        <v>4.5181509333842504E-2</v>
      </c>
      <c r="K47" s="33">
        <f t="shared" si="40"/>
        <v>4.7022072299563178E-2</v>
      </c>
      <c r="L47" s="33">
        <f t="shared" si="40"/>
        <v>4.3612722529743256E-2</v>
      </c>
      <c r="M47" s="33">
        <f t="shared" si="40"/>
        <v>5.5401131626062389E-2</v>
      </c>
      <c r="N47" s="33">
        <f t="shared" si="40"/>
        <v>4.1522625942038843E-2</v>
      </c>
      <c r="O47" s="33"/>
    </row>
    <row r="49" spans="1:15" x14ac:dyDescent="0.3">
      <c r="A49" t="s">
        <v>1005</v>
      </c>
      <c r="B49">
        <v>2021</v>
      </c>
      <c r="C49">
        <v>2021</v>
      </c>
      <c r="D49">
        <v>2021</v>
      </c>
      <c r="E49">
        <v>2021</v>
      </c>
      <c r="F49">
        <v>2022</v>
      </c>
      <c r="G49">
        <v>2022</v>
      </c>
      <c r="H49">
        <v>2022</v>
      </c>
      <c r="I49">
        <v>2022</v>
      </c>
      <c r="J49">
        <v>2023</v>
      </c>
      <c r="K49">
        <v>2023</v>
      </c>
      <c r="L49">
        <v>2023</v>
      </c>
      <c r="M49">
        <v>2023</v>
      </c>
      <c r="N49">
        <v>2024</v>
      </c>
    </row>
    <row r="50" spans="1:15" x14ac:dyDescent="0.3">
      <c r="A50" t="s">
        <v>903</v>
      </c>
      <c r="B50" t="s">
        <v>916</v>
      </c>
      <c r="C50" t="s">
        <v>917</v>
      </c>
      <c r="D50" t="s">
        <v>918</v>
      </c>
      <c r="E50" s="2" t="s">
        <v>919</v>
      </c>
      <c r="F50" s="2" t="s">
        <v>920</v>
      </c>
      <c r="G50" s="2" t="s">
        <v>921</v>
      </c>
      <c r="H50" s="2" t="s">
        <v>1002</v>
      </c>
      <c r="I50" s="2" t="s">
        <v>1126</v>
      </c>
      <c r="J50" s="2" t="s">
        <v>1127</v>
      </c>
      <c r="K50" s="2" t="s">
        <v>1128</v>
      </c>
      <c r="L50" s="2" t="s">
        <v>1129</v>
      </c>
      <c r="M50" s="2" t="s">
        <v>1130</v>
      </c>
      <c r="N50" s="2" t="s">
        <v>1131</v>
      </c>
      <c r="O50" s="2"/>
    </row>
    <row r="51" spans="1:15" hidden="1" x14ac:dyDescent="0.3">
      <c r="B51" s="37">
        <f t="shared" ref="B51:H51" si="41">DATE(B$49,VLOOKUP(B50,$Q$4:$R$7,2,1),1)</f>
        <v>44256</v>
      </c>
      <c r="C51" s="37">
        <f t="shared" si="41"/>
        <v>44348</v>
      </c>
      <c r="D51" s="37">
        <f t="shared" si="41"/>
        <v>44440</v>
      </c>
      <c r="E51" s="37">
        <f t="shared" si="41"/>
        <v>44531</v>
      </c>
      <c r="F51" s="37">
        <f t="shared" si="41"/>
        <v>44621</v>
      </c>
      <c r="G51" s="37">
        <f t="shared" si="41"/>
        <v>44713</v>
      </c>
      <c r="H51" s="37">
        <f t="shared" si="41"/>
        <v>44805</v>
      </c>
      <c r="I51" s="37">
        <f t="shared" ref="I51:N51" si="42">DATE(I$49,VLOOKUP(I50,$Q$4:$R$7,2,1),1)</f>
        <v>44896</v>
      </c>
      <c r="J51" s="37">
        <f t="shared" si="42"/>
        <v>44986</v>
      </c>
      <c r="K51" s="37">
        <f t="shared" si="42"/>
        <v>45078</v>
      </c>
      <c r="L51" s="37">
        <f t="shared" si="42"/>
        <v>45170</v>
      </c>
      <c r="M51" s="37">
        <f t="shared" si="42"/>
        <v>45261</v>
      </c>
      <c r="N51" s="37">
        <f t="shared" si="42"/>
        <v>45352</v>
      </c>
      <c r="O51" s="37"/>
    </row>
    <row r="52" spans="1:15" hidden="1" x14ac:dyDescent="0.3">
      <c r="B52" s="4">
        <v>1920879</v>
      </c>
      <c r="C52" s="4">
        <v>1890981</v>
      </c>
      <c r="D52" s="4">
        <v>2126005</v>
      </c>
      <c r="E52" s="4">
        <v>2180790</v>
      </c>
      <c r="F52" s="4">
        <v>2168742</v>
      </c>
      <c r="G52" s="4">
        <v>2249179</v>
      </c>
      <c r="H52" s="4">
        <v>2312188</v>
      </c>
      <c r="I52" s="4">
        <v>2370322</v>
      </c>
      <c r="J52" s="4">
        <v>2381490</v>
      </c>
      <c r="K52" s="4">
        <v>2293795</v>
      </c>
      <c r="L52" s="4">
        <v>2399304</v>
      </c>
      <c r="M52" s="4">
        <v>2380110</v>
      </c>
      <c r="N52" s="4">
        <v>2418494</v>
      </c>
      <c r="O52" s="4"/>
    </row>
    <row r="53" spans="1:15" hidden="1" x14ac:dyDescent="0.3">
      <c r="A53" t="s">
        <v>943</v>
      </c>
      <c r="B53" s="33">
        <f>B52/B52-1</f>
        <v>0</v>
      </c>
      <c r="C53" s="33">
        <f t="shared" ref="C53:J53" si="43">C52/B52-1</f>
        <v>-1.5564749263227928E-2</v>
      </c>
      <c r="D53" s="33">
        <f t="shared" si="43"/>
        <v>0.12428681197748692</v>
      </c>
      <c r="E53" s="33">
        <f t="shared" si="43"/>
        <v>2.5768989254493668E-2</v>
      </c>
      <c r="F53" s="33">
        <f t="shared" si="43"/>
        <v>-5.5246034693849921E-3</v>
      </c>
      <c r="G53" s="33">
        <f t="shared" si="43"/>
        <v>3.7089243441589703E-2</v>
      </c>
      <c r="H53" s="33">
        <f t="shared" si="43"/>
        <v>2.8014222078367235E-2</v>
      </c>
      <c r="I53" s="33">
        <f t="shared" si="43"/>
        <v>2.5142419215046452E-2</v>
      </c>
      <c r="J53" s="33">
        <f t="shared" si="43"/>
        <v>4.7115961460089117E-3</v>
      </c>
      <c r="K53" s="33">
        <f>K52/J52-1</f>
        <v>-3.6823585234454059E-2</v>
      </c>
      <c r="L53" s="33">
        <f>L52/K52-1</f>
        <v>4.5997571709764928E-2</v>
      </c>
      <c r="M53" s="33">
        <f>M52/L52-1</f>
        <v>-7.9998199477848697E-3</v>
      </c>
      <c r="N53" s="33">
        <f>N52/M52-1</f>
        <v>1.6126985727550336E-2</v>
      </c>
      <c r="O53" s="33"/>
    </row>
    <row r="54" spans="1:15" hidden="1" x14ac:dyDescent="0.3">
      <c r="B54" s="4">
        <v>1147907</v>
      </c>
      <c r="C54" s="4">
        <f>468428+624836</f>
        <v>1093264</v>
      </c>
      <c r="D54" s="4">
        <f>508853+771381</f>
        <v>1280234</v>
      </c>
      <c r="E54" s="4">
        <f>481462+790847</f>
        <v>1272309</v>
      </c>
      <c r="F54" s="4">
        <f>757659+470855</f>
        <v>1228514</v>
      </c>
      <c r="G54" s="4">
        <f>520883+752702</f>
        <v>1273585</v>
      </c>
      <c r="H54" s="4">
        <v>1270560</v>
      </c>
      <c r="I54" s="4">
        <v>1255453</v>
      </c>
      <c r="J54" s="4">
        <v>1232363</v>
      </c>
      <c r="K54" s="4">
        <v>1097899</v>
      </c>
      <c r="L54" s="4">
        <v>1144395</v>
      </c>
      <c r="M54" s="4">
        <v>1081869</v>
      </c>
      <c r="N54" s="4">
        <v>1098789</v>
      </c>
      <c r="O54" s="4"/>
    </row>
    <row r="55" spans="1:15" hidden="1" x14ac:dyDescent="0.3">
      <c r="A55" t="s">
        <v>944</v>
      </c>
      <c r="B55" s="33">
        <f>B54/B54-1</f>
        <v>0</v>
      </c>
      <c r="C55" s="33">
        <f t="shared" ref="C55:J55" si="44">C54/B54-1</f>
        <v>-4.7602288338689513E-2</v>
      </c>
      <c r="D55" s="33">
        <f t="shared" si="44"/>
        <v>0.17101999151165681</v>
      </c>
      <c r="E55" s="33">
        <f t="shared" si="44"/>
        <v>-6.1902745904264256E-3</v>
      </c>
      <c r="F55" s="33">
        <f t="shared" si="44"/>
        <v>-3.442166957869508E-2</v>
      </c>
      <c r="G55" s="33">
        <f t="shared" si="44"/>
        <v>3.668741259765862E-2</v>
      </c>
      <c r="H55" s="33">
        <f t="shared" si="44"/>
        <v>-2.3751850092456062E-3</v>
      </c>
      <c r="I55" s="33">
        <f t="shared" si="44"/>
        <v>-1.1890032741468382E-2</v>
      </c>
      <c r="J55" s="33">
        <f t="shared" si="44"/>
        <v>-1.8391767752357069E-2</v>
      </c>
      <c r="K55" s="33">
        <f>K54/J54-1</f>
        <v>-0.10911070845197401</v>
      </c>
      <c r="L55" s="33">
        <f>L54/K54-1</f>
        <v>4.2349979369687096E-2</v>
      </c>
      <c r="M55" s="33">
        <f>M54/L54-1</f>
        <v>-5.4636729450932564E-2</v>
      </c>
      <c r="N55" s="33">
        <f>N54/M54-1</f>
        <v>1.5639601467460462E-2</v>
      </c>
      <c r="O55" s="33"/>
    </row>
    <row r="56" spans="1:15" hidden="1" x14ac:dyDescent="0.3">
      <c r="B56" s="4">
        <v>772972</v>
      </c>
      <c r="C56" s="4">
        <v>797717</v>
      </c>
      <c r="D56" s="4">
        <v>845771</v>
      </c>
      <c r="E56" s="4">
        <v>908481</v>
      </c>
      <c r="F56" s="4">
        <v>940228</v>
      </c>
      <c r="G56" s="4">
        <v>975594</v>
      </c>
      <c r="H56" s="4">
        <v>1041628</v>
      </c>
      <c r="I56" s="4">
        <v>1114869</v>
      </c>
      <c r="J56" s="4">
        <v>1149127</v>
      </c>
      <c r="K56" s="4">
        <v>1195896</v>
      </c>
      <c r="L56" s="4">
        <v>1254909</v>
      </c>
      <c r="M56" s="4">
        <v>1298241</v>
      </c>
      <c r="N56" s="4">
        <v>1319705</v>
      </c>
      <c r="O56" s="4"/>
    </row>
    <row r="57" spans="1:15" hidden="1" x14ac:dyDescent="0.3">
      <c r="A57" t="s">
        <v>945</v>
      </c>
      <c r="B57" s="33">
        <f>B56/B56-1</f>
        <v>0</v>
      </c>
      <c r="C57" s="33">
        <f t="shared" ref="C57:J57" si="45">C56/B56-1</f>
        <v>3.2012802533597506E-2</v>
      </c>
      <c r="D57" s="33">
        <f t="shared" si="45"/>
        <v>6.0239408211182566E-2</v>
      </c>
      <c r="E57" s="33">
        <f t="shared" si="45"/>
        <v>7.4145365589503465E-2</v>
      </c>
      <c r="F57" s="33">
        <f t="shared" si="45"/>
        <v>3.4945144697577701E-2</v>
      </c>
      <c r="G57" s="33">
        <f t="shared" si="45"/>
        <v>3.7614280791467669E-2</v>
      </c>
      <c r="H57" s="33">
        <f t="shared" si="45"/>
        <v>6.7685943127981485E-2</v>
      </c>
      <c r="I57" s="33">
        <f t="shared" si="45"/>
        <v>7.031397005456852E-2</v>
      </c>
      <c r="J57" s="33">
        <f t="shared" si="45"/>
        <v>3.0728273904826464E-2</v>
      </c>
      <c r="K57" s="33">
        <f>K56/J56-1</f>
        <v>4.0699591951107283E-2</v>
      </c>
      <c r="L57" s="33">
        <f>L56/K56-1</f>
        <v>4.9346264223644853E-2</v>
      </c>
      <c r="M57" s="33">
        <f>M56/L56-1</f>
        <v>3.4529993808315895E-2</v>
      </c>
      <c r="N57" s="33">
        <f>N56/M56-1</f>
        <v>1.6533139840753774E-2</v>
      </c>
      <c r="O57" s="33"/>
    </row>
    <row r="58" spans="1:15" hidden="1" x14ac:dyDescent="0.3">
      <c r="A58" t="s">
        <v>925</v>
      </c>
      <c r="B58" s="34">
        <f>(1292704/490899)</f>
        <v>2.6333400556937372</v>
      </c>
      <c r="C58" s="34">
        <f>(1243334/468428)</f>
        <v>2.6542691726369902</v>
      </c>
      <c r="D58" s="34">
        <f>(1433884/508853)</f>
        <v>2.8178747103780464</v>
      </c>
      <c r="E58" s="34">
        <f>(1426864/481462)</f>
        <v>2.9636066813164903</v>
      </c>
      <c r="F58" s="34">
        <f>(1397713/470855)</f>
        <v>2.9684573807223029</v>
      </c>
      <c r="G58" s="34">
        <f>(1471284/520883)</f>
        <v>2.8245959265324458</v>
      </c>
      <c r="H58" s="34">
        <f>(1501564/529460)</f>
        <v>2.8360291617874815</v>
      </c>
      <c r="I58" s="34">
        <v>2.7</v>
      </c>
      <c r="J58" s="34">
        <v>2.37</v>
      </c>
      <c r="K58" s="34">
        <v>2.84</v>
      </c>
      <c r="L58" s="34">
        <v>2.5</v>
      </c>
      <c r="M58" s="34">
        <v>2.91</v>
      </c>
      <c r="N58" s="34">
        <v>2.73</v>
      </c>
      <c r="O58" s="34"/>
    </row>
    <row r="59" spans="1:15" hidden="1" x14ac:dyDescent="0.3">
      <c r="B59" s="16">
        <v>369593</v>
      </c>
      <c r="C59" s="4">
        <v>425526</v>
      </c>
      <c r="D59" s="4">
        <v>458623</v>
      </c>
      <c r="E59" s="4">
        <f>1705670-Tabela68[[#This Row],[3T 2021]]-Tabela68[[#This Row],[2T 2021]]-Tabela68[[#This Row],[1T 2021]]</f>
        <v>451928</v>
      </c>
      <c r="F59" s="16">
        <v>441700</v>
      </c>
      <c r="G59" s="16">
        <v>505471</v>
      </c>
      <c r="H59" s="16">
        <v>599339</v>
      </c>
      <c r="I59" s="16">
        <v>451900</v>
      </c>
      <c r="J59" s="16">
        <v>491000</v>
      </c>
      <c r="K59" s="16">
        <v>485964</v>
      </c>
      <c r="L59" s="16">
        <v>496888</v>
      </c>
      <c r="M59" s="16">
        <v>451910</v>
      </c>
      <c r="N59" s="16">
        <v>455800</v>
      </c>
      <c r="O59" s="16"/>
    </row>
    <row r="60" spans="1:15" hidden="1" x14ac:dyDescent="0.3">
      <c r="A60" t="s">
        <v>946</v>
      </c>
      <c r="B60" s="33">
        <f>B59/B59-1</f>
        <v>0</v>
      </c>
      <c r="C60" s="33">
        <f t="shared" ref="C60:I60" si="46">C59/B59-1</f>
        <v>0.1513367406850239</v>
      </c>
      <c r="D60" s="33">
        <f t="shared" si="46"/>
        <v>7.7779031128532683E-2</v>
      </c>
      <c r="E60" s="33">
        <f t="shared" si="46"/>
        <v>-1.4598046761719274E-2</v>
      </c>
      <c r="F60" s="33">
        <f t="shared" si="46"/>
        <v>-2.2631923669257037E-2</v>
      </c>
      <c r="G60" s="33">
        <f t="shared" si="46"/>
        <v>0.14437627348879323</v>
      </c>
      <c r="H60" s="33">
        <f t="shared" si="46"/>
        <v>0.18570402654158191</v>
      </c>
      <c r="I60" s="33">
        <f t="shared" si="46"/>
        <v>-0.24600267961871325</v>
      </c>
      <c r="J60" s="33">
        <f>J59/I59-1</f>
        <v>8.6523567160876391E-2</v>
      </c>
      <c r="K60" s="33">
        <f>K59/J59-1</f>
        <v>-1.0256619144602852E-2</v>
      </c>
      <c r="L60" s="33">
        <f>L59/K59-1</f>
        <v>2.2479031368578761E-2</v>
      </c>
      <c r="M60" s="33">
        <f>M59/L59-1</f>
        <v>-9.0519392700165846E-2</v>
      </c>
      <c r="N60" s="33">
        <f>N59/M59-1</f>
        <v>8.6079086543779937E-3</v>
      </c>
      <c r="O60" s="33"/>
    </row>
    <row r="61" spans="1:15" hidden="1" x14ac:dyDescent="0.3">
      <c r="B61" s="4">
        <v>46129</v>
      </c>
      <c r="C61" s="4">
        <v>45985</v>
      </c>
      <c r="D61" s="16">
        <v>64874</v>
      </c>
      <c r="E61" s="16">
        <f>240483-Tabela68[[#This Row],[3T 2021]]-Tabela68[[#This Row],[2T 2021]]-Tabela68[[#This Row],[1T 2021]]</f>
        <v>83495</v>
      </c>
      <c r="F61" s="4">
        <v>62900</v>
      </c>
      <c r="G61" s="16">
        <v>70336</v>
      </c>
      <c r="H61" s="4">
        <v>132578</v>
      </c>
      <c r="I61" s="4">
        <f>I64-16977</f>
        <v>62391</v>
      </c>
      <c r="J61" s="4">
        <f>J64-15000</f>
        <v>91900</v>
      </c>
      <c r="K61" s="4">
        <f>K64-15309</f>
        <v>71691</v>
      </c>
      <c r="L61" s="4">
        <f>L64-16126</f>
        <v>77954</v>
      </c>
      <c r="M61" s="4">
        <f>M64-16977</f>
        <v>62709</v>
      </c>
      <c r="N61" s="4">
        <v>64050</v>
      </c>
      <c r="O61" s="4"/>
    </row>
    <row r="62" spans="1:15" hidden="1" x14ac:dyDescent="0.3">
      <c r="A62" t="s">
        <v>935</v>
      </c>
      <c r="B62" s="33">
        <f t="shared" ref="B62:G62" si="47">B61/B59</f>
        <v>0.124810264263663</v>
      </c>
      <c r="C62" s="33">
        <f t="shared" si="47"/>
        <v>0.10806625212090448</v>
      </c>
      <c r="D62" s="33">
        <f t="shared" si="47"/>
        <v>0.1414538738789812</v>
      </c>
      <c r="E62" s="33">
        <f t="shared" si="47"/>
        <v>0.1847528809898922</v>
      </c>
      <c r="F62" s="33">
        <f t="shared" si="47"/>
        <v>0.1424043468417478</v>
      </c>
      <c r="G62" s="33">
        <f t="shared" si="47"/>
        <v>0.13914942697009325</v>
      </c>
      <c r="H62" s="33">
        <f t="shared" ref="H62:N62" si="48">H61/H59</f>
        <v>0.22120702974443512</v>
      </c>
      <c r="I62" s="33">
        <f t="shared" si="48"/>
        <v>0.13806373091391902</v>
      </c>
      <c r="J62" s="33">
        <f t="shared" si="48"/>
        <v>0.18716904276985744</v>
      </c>
      <c r="K62" s="33">
        <f t="shared" si="48"/>
        <v>0.14752327332888857</v>
      </c>
      <c r="L62" s="33">
        <f t="shared" si="48"/>
        <v>0.15688444880938965</v>
      </c>
      <c r="M62" s="33">
        <f t="shared" si="48"/>
        <v>0.13876435573454893</v>
      </c>
      <c r="N62" s="33">
        <f t="shared" si="48"/>
        <v>0.14052215884159719</v>
      </c>
      <c r="O62" s="33"/>
    </row>
    <row r="63" spans="1:15" hidden="1" x14ac:dyDescent="0.3">
      <c r="A63" t="s">
        <v>936</v>
      </c>
      <c r="B63" s="33">
        <f>290198/B59</f>
        <v>0.7851826198006997</v>
      </c>
      <c r="C63" s="33">
        <f>342260/C59</f>
        <v>0.80432218007830314</v>
      </c>
      <c r="D63" s="33">
        <f>360551/D59</f>
        <v>0.78615987423221256</v>
      </c>
      <c r="E63" s="33">
        <f>(1326340-360551-342260-290198)/E59</f>
        <v>0.73757545449717654</v>
      </c>
      <c r="F63" s="33">
        <f>346699/F59</f>
        <v>0.78491962870726739</v>
      </c>
      <c r="G63" s="141">
        <f>391904/G59</f>
        <v>0.77532440041070605</v>
      </c>
      <c r="H63" s="141">
        <f>391904/H59</f>
        <v>0.65389370623303344</v>
      </c>
      <c r="I63" s="141">
        <f>339458/I59</f>
        <v>0.75117946448329276</v>
      </c>
      <c r="J63" s="141">
        <f>346733/J59</f>
        <v>0.70617718940936869</v>
      </c>
      <c r="K63" s="141">
        <f>361346/K59</f>
        <v>0.74356536698191633</v>
      </c>
      <c r="L63" s="141">
        <f>376918/L59</f>
        <v>0.758557260388659</v>
      </c>
      <c r="M63" s="141">
        <f>339436/M59</f>
        <v>0.75111415989909491</v>
      </c>
      <c r="N63" s="141">
        <f>346661/N59</f>
        <v>0.76055506801228612</v>
      </c>
      <c r="O63" s="141"/>
    </row>
    <row r="64" spans="1:15" hidden="1" x14ac:dyDescent="0.3">
      <c r="B64" s="4">
        <f>57000000/1000</f>
        <v>57000</v>
      </c>
      <c r="C64" s="4">
        <v>57100</v>
      </c>
      <c r="D64" s="4">
        <v>76428</v>
      </c>
      <c r="E64" s="4">
        <v>101800</v>
      </c>
      <c r="F64" s="4">
        <v>76500</v>
      </c>
      <c r="G64" s="4">
        <v>85000</v>
      </c>
      <c r="H64" s="4">
        <v>148200</v>
      </c>
      <c r="I64" s="4">
        <v>79368</v>
      </c>
      <c r="J64" s="4">
        <v>106900</v>
      </c>
      <c r="K64" s="4">
        <v>87000</v>
      </c>
      <c r="L64" s="4">
        <v>94080</v>
      </c>
      <c r="M64" s="4">
        <v>79686</v>
      </c>
      <c r="N64" s="4">
        <v>81200</v>
      </c>
      <c r="O64" s="4"/>
    </row>
    <row r="65" spans="1:15" x14ac:dyDescent="0.3">
      <c r="A65" t="s">
        <v>937</v>
      </c>
      <c r="B65" s="33">
        <f t="shared" ref="B65:G65" si="49">B64/B59</f>
        <v>0.15422370012419068</v>
      </c>
      <c r="C65" s="33">
        <f t="shared" si="49"/>
        <v>0.13418686519742623</v>
      </c>
      <c r="D65" s="33">
        <f t="shared" si="49"/>
        <v>0.16664667929868324</v>
      </c>
      <c r="E65" s="33">
        <f t="shared" si="49"/>
        <v>0.22525712060328193</v>
      </c>
      <c r="F65" s="33">
        <f t="shared" si="49"/>
        <v>0.17319447588861217</v>
      </c>
      <c r="G65" s="33">
        <f t="shared" si="49"/>
        <v>0.16815999335273438</v>
      </c>
      <c r="H65" s="33">
        <f t="shared" ref="H65:N65" si="50">H64/H59</f>
        <v>0.24727241177363729</v>
      </c>
      <c r="I65" s="33">
        <f t="shared" si="50"/>
        <v>0.17563177694180129</v>
      </c>
      <c r="J65" s="33">
        <f t="shared" si="50"/>
        <v>0.21771894093686353</v>
      </c>
      <c r="K65" s="33">
        <f t="shared" si="50"/>
        <v>0.17902560683507421</v>
      </c>
      <c r="L65" s="33">
        <f t="shared" si="50"/>
        <v>0.18933844246590781</v>
      </c>
      <c r="M65" s="33">
        <f t="shared" si="50"/>
        <v>0.17633157044544268</v>
      </c>
      <c r="N65" s="33">
        <f t="shared" si="50"/>
        <v>0.17814831066257131</v>
      </c>
      <c r="O65" s="33"/>
    </row>
    <row r="66" spans="1:15" hidden="1" x14ac:dyDescent="0.3">
      <c r="B66" s="16">
        <v>27405</v>
      </c>
      <c r="C66" s="4">
        <v>36195</v>
      </c>
      <c r="D66" s="4">
        <v>53999</v>
      </c>
      <c r="E66" s="16">
        <f>192716-Tabela68[[#This Row],[3T 2021]]-Tabela68[[#This Row],[2T 2021]]-Tabela68[[#This Row],[1T 2021]]</f>
        <v>75117</v>
      </c>
      <c r="F66" s="4">
        <v>38188</v>
      </c>
      <c r="G66" s="16">
        <v>52768</v>
      </c>
      <c r="H66" s="16">
        <v>84261</v>
      </c>
      <c r="I66" s="16">
        <v>63195</v>
      </c>
      <c r="J66" s="16">
        <v>75946</v>
      </c>
      <c r="K66" s="16">
        <v>62422</v>
      </c>
      <c r="L66" s="16">
        <v>76329</v>
      </c>
      <c r="M66" s="16">
        <v>63195</v>
      </c>
      <c r="N66" s="16">
        <v>60400</v>
      </c>
      <c r="O66" s="16"/>
    </row>
    <row r="67" spans="1:15" hidden="1" x14ac:dyDescent="0.3">
      <c r="A67" t="s">
        <v>938</v>
      </c>
      <c r="B67" s="33">
        <f t="shared" ref="B67:G67" si="51">B66/B59</f>
        <v>7.4149131612341143E-2</v>
      </c>
      <c r="C67" s="33">
        <f t="shared" si="51"/>
        <v>8.5059432326109338E-2</v>
      </c>
      <c r="D67" s="33">
        <f t="shared" si="51"/>
        <v>0.11774158731681578</v>
      </c>
      <c r="E67" s="33">
        <f t="shared" si="51"/>
        <v>0.16621452974810147</v>
      </c>
      <c r="F67" s="33">
        <f t="shared" si="51"/>
        <v>8.6456871179533615E-2</v>
      </c>
      <c r="G67" s="33">
        <f t="shared" si="51"/>
        <v>0.1043937238733775</v>
      </c>
      <c r="H67" s="33">
        <f t="shared" ref="H67:N67" si="52">H66/H59</f>
        <v>0.14058988318797877</v>
      </c>
      <c r="I67" s="33">
        <f t="shared" si="52"/>
        <v>0.139842885594158</v>
      </c>
      <c r="J67" s="33">
        <f t="shared" si="52"/>
        <v>0.15467617107942974</v>
      </c>
      <c r="K67" s="33">
        <f t="shared" si="52"/>
        <v>0.12844984402136783</v>
      </c>
      <c r="L67" s="33">
        <f t="shared" si="52"/>
        <v>0.15361409412181418</v>
      </c>
      <c r="M67" s="33">
        <f t="shared" si="52"/>
        <v>0.13983979110884912</v>
      </c>
      <c r="N67" s="33">
        <f t="shared" si="52"/>
        <v>0.13251426064063185</v>
      </c>
      <c r="O67" s="33"/>
    </row>
    <row r="68" spans="1:15" hidden="1" x14ac:dyDescent="0.3">
      <c r="A68" t="s">
        <v>939</v>
      </c>
      <c r="B68" s="33">
        <f t="shared" ref="B68:G68" si="53">B61/B59</f>
        <v>0.124810264263663</v>
      </c>
      <c r="C68" s="33">
        <f t="shared" si="53"/>
        <v>0.10806625212090448</v>
      </c>
      <c r="D68" s="33">
        <f t="shared" si="53"/>
        <v>0.1414538738789812</v>
      </c>
      <c r="E68" s="33">
        <f t="shared" si="53"/>
        <v>0.1847528809898922</v>
      </c>
      <c r="F68" s="33">
        <f t="shared" si="53"/>
        <v>0.1424043468417478</v>
      </c>
      <c r="G68" s="33">
        <f t="shared" si="53"/>
        <v>0.13914942697009325</v>
      </c>
      <c r="H68" s="33">
        <f t="shared" ref="H68:N68" si="54">H61/H59</f>
        <v>0.22120702974443512</v>
      </c>
      <c r="I68" s="33">
        <f t="shared" si="54"/>
        <v>0.13806373091391902</v>
      </c>
      <c r="J68" s="33">
        <f t="shared" si="54"/>
        <v>0.18716904276985744</v>
      </c>
      <c r="K68" s="33">
        <f t="shared" si="54"/>
        <v>0.14752327332888857</v>
      </c>
      <c r="L68" s="33">
        <f t="shared" si="54"/>
        <v>0.15688444880938965</v>
      </c>
      <c r="M68" s="33">
        <f t="shared" si="54"/>
        <v>0.13876435573454893</v>
      </c>
      <c r="N68" s="33">
        <f t="shared" si="54"/>
        <v>0.14052215884159719</v>
      </c>
      <c r="O68" s="33"/>
    </row>
    <row r="69" spans="1:15" hidden="1" x14ac:dyDescent="0.3">
      <c r="A69" t="s">
        <v>940</v>
      </c>
      <c r="B69" s="33">
        <f t="shared" ref="B69:G69" si="55">B66/B59</f>
        <v>7.4149131612341143E-2</v>
      </c>
      <c r="C69" s="33">
        <f t="shared" si="55"/>
        <v>8.5059432326109338E-2</v>
      </c>
      <c r="D69" s="33">
        <f t="shared" si="55"/>
        <v>0.11774158731681578</v>
      </c>
      <c r="E69" s="33">
        <f t="shared" si="55"/>
        <v>0.16621452974810147</v>
      </c>
      <c r="F69" s="33">
        <f t="shared" si="55"/>
        <v>8.6456871179533615E-2</v>
      </c>
      <c r="G69" s="33">
        <f t="shared" si="55"/>
        <v>0.1043937238733775</v>
      </c>
      <c r="H69" s="33">
        <f t="shared" ref="H69:N69" si="56">H66/H59</f>
        <v>0.14058988318797877</v>
      </c>
      <c r="I69" s="33">
        <f t="shared" si="56"/>
        <v>0.139842885594158</v>
      </c>
      <c r="J69" s="33">
        <f t="shared" si="56"/>
        <v>0.15467617107942974</v>
      </c>
      <c r="K69" s="33">
        <f t="shared" si="56"/>
        <v>0.12844984402136783</v>
      </c>
      <c r="L69" s="33">
        <f t="shared" si="56"/>
        <v>0.15361409412181418</v>
      </c>
      <c r="M69" s="33">
        <f t="shared" si="56"/>
        <v>0.13983979110884912</v>
      </c>
      <c r="N69" s="33">
        <f t="shared" si="56"/>
        <v>0.13251426064063185</v>
      </c>
      <c r="O69" s="33"/>
    </row>
    <row r="70" spans="1:15" hidden="1" x14ac:dyDescent="0.3">
      <c r="A70" t="s">
        <v>941</v>
      </c>
      <c r="B70" s="33">
        <f t="shared" ref="B70:G70" si="57">B66/B56</f>
        <v>3.545406560651615E-2</v>
      </c>
      <c r="C70" s="33">
        <f t="shared" si="57"/>
        <v>4.5373233866145515E-2</v>
      </c>
      <c r="D70" s="33">
        <f t="shared" si="57"/>
        <v>6.3845887361945491E-2</v>
      </c>
      <c r="E70" s="33">
        <f t="shared" si="57"/>
        <v>8.2684172811539267E-2</v>
      </c>
      <c r="F70" s="33">
        <f t="shared" si="57"/>
        <v>4.0615680451975479E-2</v>
      </c>
      <c r="G70" s="33">
        <f t="shared" si="57"/>
        <v>5.4088073522387384E-2</v>
      </c>
      <c r="H70" s="33">
        <f t="shared" ref="H70:N70" si="58">H66/H56</f>
        <v>8.0893562769049993E-2</v>
      </c>
      <c r="I70" s="33">
        <f t="shared" si="58"/>
        <v>5.6683789754670727E-2</v>
      </c>
      <c r="J70" s="33">
        <f t="shared" si="58"/>
        <v>6.6090171060291858E-2</v>
      </c>
      <c r="K70" s="33">
        <f t="shared" si="58"/>
        <v>5.2196846548529303E-2</v>
      </c>
      <c r="L70" s="33">
        <f t="shared" si="58"/>
        <v>6.0824330688520042E-2</v>
      </c>
      <c r="M70" s="33">
        <f t="shared" si="58"/>
        <v>4.8677402731850249E-2</v>
      </c>
      <c r="N70" s="33">
        <f t="shared" si="58"/>
        <v>4.5767804168355804E-2</v>
      </c>
      <c r="O70" s="33"/>
    </row>
    <row r="71" spans="1:15" hidden="1" x14ac:dyDescent="0.3">
      <c r="A71" t="s">
        <v>942</v>
      </c>
      <c r="B71" s="33">
        <f t="shared" ref="B71:G71" si="59">B66/B52</f>
        <v>1.4266905932127948E-2</v>
      </c>
      <c r="C71" s="33">
        <f t="shared" si="59"/>
        <v>1.9140858633693306E-2</v>
      </c>
      <c r="D71" s="33">
        <f t="shared" si="59"/>
        <v>2.539928175145402E-2</v>
      </c>
      <c r="E71" s="33">
        <f t="shared" si="59"/>
        <v>3.444485713892672E-2</v>
      </c>
      <c r="F71" s="33">
        <f t="shared" si="59"/>
        <v>1.7608364664861011E-2</v>
      </c>
      <c r="G71" s="33">
        <f t="shared" si="59"/>
        <v>2.3461005104529253E-2</v>
      </c>
      <c r="H71" s="33">
        <f t="shared" ref="H71:N71" si="60">H66/H52</f>
        <v>3.6442105918722871E-2</v>
      </c>
      <c r="I71" s="33">
        <f t="shared" si="60"/>
        <v>2.6660934674698204E-2</v>
      </c>
      <c r="J71" s="33">
        <f t="shared" si="60"/>
        <v>3.1890119211082139E-2</v>
      </c>
      <c r="K71" s="33">
        <f t="shared" si="60"/>
        <v>2.7213417066477171E-2</v>
      </c>
      <c r="L71" s="33">
        <f t="shared" si="60"/>
        <v>3.1812975762971263E-2</v>
      </c>
      <c r="M71" s="33">
        <f t="shared" si="60"/>
        <v>2.6551293847763339E-2</v>
      </c>
      <c r="N71" s="33">
        <f t="shared" si="60"/>
        <v>2.4974219493618756E-2</v>
      </c>
      <c r="O71" s="33"/>
    </row>
    <row r="73" spans="1:15" x14ac:dyDescent="0.3">
      <c r="A73" t="s">
        <v>1004</v>
      </c>
      <c r="B73">
        <v>2021</v>
      </c>
      <c r="C73">
        <v>2021</v>
      </c>
      <c r="D73">
        <v>2021</v>
      </c>
      <c r="E73">
        <v>2021</v>
      </c>
      <c r="F73">
        <v>2022</v>
      </c>
      <c r="G73">
        <v>2022</v>
      </c>
      <c r="H73">
        <v>2022</v>
      </c>
      <c r="I73">
        <v>2022</v>
      </c>
      <c r="J73">
        <v>2023</v>
      </c>
      <c r="K73">
        <v>2023</v>
      </c>
      <c r="L73">
        <v>2023</v>
      </c>
      <c r="M73">
        <v>2023</v>
      </c>
      <c r="N73">
        <v>2024</v>
      </c>
    </row>
    <row r="74" spans="1:15" x14ac:dyDescent="0.3">
      <c r="A74" t="s">
        <v>903</v>
      </c>
      <c r="B74" s="2" t="s">
        <v>916</v>
      </c>
      <c r="C74" s="2" t="s">
        <v>917</v>
      </c>
      <c r="D74" s="2" t="s">
        <v>918</v>
      </c>
      <c r="E74" s="2" t="s">
        <v>919</v>
      </c>
      <c r="F74" s="2" t="s">
        <v>920</v>
      </c>
      <c r="G74" s="2" t="s">
        <v>921</v>
      </c>
      <c r="H74" s="2" t="s">
        <v>1002</v>
      </c>
      <c r="I74" s="2" t="s">
        <v>1126</v>
      </c>
      <c r="J74" s="2" t="s">
        <v>1127</v>
      </c>
      <c r="K74" s="2" t="s">
        <v>1128</v>
      </c>
      <c r="L74" s="2" t="s">
        <v>1129</v>
      </c>
      <c r="M74" s="2" t="s">
        <v>1130</v>
      </c>
      <c r="N74" s="2" t="s">
        <v>1131</v>
      </c>
      <c r="O74" s="2"/>
    </row>
    <row r="75" spans="1:15" hidden="1" x14ac:dyDescent="0.3">
      <c r="B75" s="37">
        <f>DATE(B$49,VLOOKUP(B74,$Q$4:$R$7,2,1),1)</f>
        <v>44256</v>
      </c>
      <c r="C75" s="37">
        <f>DATE(C$49,VLOOKUP(C74,$Q$4:$R$7,2,1),1)</f>
        <v>44348</v>
      </c>
      <c r="D75" s="37">
        <f>DATE(D$49,VLOOKUP(D74,$Q$4:$R$7,2,1),1)</f>
        <v>44440</v>
      </c>
      <c r="E75" s="37">
        <f>DATE(E$49,VLOOKUP(E74,$Q$4:$R$7,2,1),1)</f>
        <v>44531</v>
      </c>
      <c r="F75" s="37">
        <f>DATE(F$49,VLOOKUP(F74,$Q$4:$R$7,2,1),1)</f>
        <v>44621</v>
      </c>
      <c r="G75" s="37">
        <f t="shared" ref="G75:N75" si="61">DATE(G$73,VLOOKUP(G74,$Q$4:$R$7,2,1),1)</f>
        <v>44713</v>
      </c>
      <c r="H75" s="37">
        <f t="shared" si="61"/>
        <v>44805</v>
      </c>
      <c r="I75" s="37">
        <f t="shared" si="61"/>
        <v>44896</v>
      </c>
      <c r="J75" s="37">
        <f t="shared" si="61"/>
        <v>44986</v>
      </c>
      <c r="K75" s="37">
        <f t="shared" si="61"/>
        <v>45078</v>
      </c>
      <c r="L75" s="37">
        <f t="shared" si="61"/>
        <v>45170</v>
      </c>
      <c r="M75" s="37">
        <f t="shared" si="61"/>
        <v>45261</v>
      </c>
      <c r="N75" s="37">
        <f t="shared" si="61"/>
        <v>45352</v>
      </c>
      <c r="O75" s="37"/>
    </row>
    <row r="76" spans="1:15" hidden="1" x14ac:dyDescent="0.3">
      <c r="B76" s="4">
        <v>951675</v>
      </c>
      <c r="C76" s="4">
        <v>1142810</v>
      </c>
      <c r="D76" s="4">
        <v>1333576</v>
      </c>
      <c r="E76" s="4">
        <v>1018396</v>
      </c>
      <c r="F76" s="4">
        <v>1040768</v>
      </c>
      <c r="G76" s="4">
        <v>1245668</v>
      </c>
      <c r="H76" s="4">
        <v>1314360</v>
      </c>
      <c r="I76" s="4">
        <v>1273778</v>
      </c>
      <c r="J76" s="4">
        <v>1305457</v>
      </c>
      <c r="K76" s="4">
        <v>1220133</v>
      </c>
      <c r="L76" s="4">
        <v>1381917</v>
      </c>
      <c r="M76" s="4">
        <v>1273778</v>
      </c>
      <c r="N76" s="4">
        <v>1471280</v>
      </c>
      <c r="O76" s="4"/>
    </row>
    <row r="77" spans="1:15" hidden="1" x14ac:dyDescent="0.3">
      <c r="A77" t="s">
        <v>943</v>
      </c>
      <c r="B77" s="33">
        <f>B76/B76-1</f>
        <v>0</v>
      </c>
      <c r="C77" s="33">
        <f t="shared" ref="C77:H77" si="62">C76/B76-1</f>
        <v>0.20084062311188178</v>
      </c>
      <c r="D77" s="33">
        <f t="shared" si="62"/>
        <v>0.16692713574434936</v>
      </c>
      <c r="E77" s="33">
        <f t="shared" si="62"/>
        <v>-0.23634198575859189</v>
      </c>
      <c r="F77" s="33">
        <f t="shared" si="62"/>
        <v>2.1967878899759929E-2</v>
      </c>
      <c r="G77" s="33">
        <f t="shared" si="62"/>
        <v>0.19687384700528843</v>
      </c>
      <c r="H77" s="33">
        <f t="shared" si="62"/>
        <v>5.5144709505261513E-2</v>
      </c>
      <c r="I77" s="33">
        <f t="shared" ref="I77:N77" si="63">I76/H76-1</f>
        <v>-3.0875863538147863E-2</v>
      </c>
      <c r="J77" s="33">
        <f t="shared" si="63"/>
        <v>2.4870110804237511E-2</v>
      </c>
      <c r="K77" s="33">
        <f t="shared" si="63"/>
        <v>-6.5359487137454542E-2</v>
      </c>
      <c r="L77" s="33">
        <f t="shared" si="63"/>
        <v>0.1325953809953504</v>
      </c>
      <c r="M77" s="33">
        <f t="shared" si="63"/>
        <v>-7.8252890730774682E-2</v>
      </c>
      <c r="N77" s="33">
        <f t="shared" si="63"/>
        <v>0.15505213624352132</v>
      </c>
      <c r="O77" s="33"/>
    </row>
    <row r="78" spans="1:15" hidden="1" x14ac:dyDescent="0.3">
      <c r="B78" s="4">
        <f>382666+34009</f>
        <v>416675</v>
      </c>
      <c r="C78" s="4">
        <f>461201+31902</f>
        <v>493103</v>
      </c>
      <c r="D78" s="4">
        <v>646433</v>
      </c>
      <c r="E78" s="4">
        <f>493432+63334</f>
        <v>556766</v>
      </c>
      <c r="F78" s="4">
        <f>482436+64982</f>
        <v>547418</v>
      </c>
      <c r="G78" s="4">
        <f>585805+105467</f>
        <v>691272</v>
      </c>
      <c r="H78" s="4">
        <f>589978+93003</f>
        <v>682981</v>
      </c>
      <c r="I78" s="4">
        <v>676508</v>
      </c>
      <c r="J78" s="4">
        <v>654728</v>
      </c>
      <c r="K78" s="4">
        <v>551479</v>
      </c>
      <c r="L78" s="4">
        <v>676508</v>
      </c>
      <c r="M78" s="4">
        <v>745077</v>
      </c>
      <c r="N78" s="4">
        <v>625993</v>
      </c>
      <c r="O78" s="4"/>
    </row>
    <row r="79" spans="1:15" hidden="1" x14ac:dyDescent="0.3">
      <c r="A79" t="s">
        <v>944</v>
      </c>
      <c r="B79" s="33">
        <f>B78/B78-1</f>
        <v>0</v>
      </c>
      <c r="C79" s="33">
        <f>C78/B78-1</f>
        <v>0.18342353152936952</v>
      </c>
      <c r="D79" s="33">
        <f>D78/C78-1</f>
        <v>0.31094923373007255</v>
      </c>
      <c r="E79" s="33">
        <f>E78/D78-1</f>
        <v>-0.13871043093406432</v>
      </c>
      <c r="F79" s="33">
        <f>F78/E78-1</f>
        <v>-1.6789818343792562E-2</v>
      </c>
      <c r="G79" s="33">
        <f t="shared" ref="G79:N79" si="64">G78/F78-1</f>
        <v>0.26278638992506642</v>
      </c>
      <c r="H79" s="33">
        <f t="shared" si="64"/>
        <v>-1.1993831661053833E-2</v>
      </c>
      <c r="I79" s="33">
        <f t="shared" si="64"/>
        <v>-9.4775696542070964E-3</v>
      </c>
      <c r="J79" s="33">
        <f t="shared" si="64"/>
        <v>-3.2194741229963242E-2</v>
      </c>
      <c r="K79" s="33">
        <f t="shared" si="64"/>
        <v>-0.15769754768392374</v>
      </c>
      <c r="L79" s="33">
        <f t="shared" si="64"/>
        <v>0.22671579516173779</v>
      </c>
      <c r="M79" s="33">
        <f t="shared" si="64"/>
        <v>0.10135726406783063</v>
      </c>
      <c r="N79" s="33">
        <f t="shared" si="64"/>
        <v>-0.159827776189575</v>
      </c>
      <c r="O79" s="33"/>
    </row>
    <row r="80" spans="1:15" hidden="1" x14ac:dyDescent="0.3">
      <c r="B80" s="4">
        <v>535000</v>
      </c>
      <c r="C80" s="4">
        <v>649707</v>
      </c>
      <c r="D80" s="4">
        <v>687143</v>
      </c>
      <c r="E80" s="4">
        <v>461630</v>
      </c>
      <c r="F80" s="4">
        <v>493350</v>
      </c>
      <c r="G80" s="4">
        <v>554396</v>
      </c>
      <c r="H80" s="4">
        <v>631379</v>
      </c>
      <c r="I80" s="4">
        <v>597270</v>
      </c>
      <c r="J80" s="4">
        <v>650729</v>
      </c>
      <c r="K80" s="4">
        <v>668654</v>
      </c>
      <c r="L80" s="4">
        <v>681618</v>
      </c>
      <c r="M80" s="4">
        <v>726203</v>
      </c>
      <c r="N80" s="4">
        <v>779763</v>
      </c>
      <c r="O80" s="4"/>
    </row>
    <row r="81" spans="1:15" hidden="1" x14ac:dyDescent="0.3">
      <c r="A81" t="s">
        <v>945</v>
      </c>
      <c r="B81" s="33">
        <f>B80/B80-1</f>
        <v>0</v>
      </c>
      <c r="C81" s="33">
        <f t="shared" ref="C81:N81" si="65">C80/B80-1</f>
        <v>0.21440560747663562</v>
      </c>
      <c r="D81" s="33">
        <f t="shared" si="65"/>
        <v>5.7619819395512195E-2</v>
      </c>
      <c r="E81" s="33">
        <f t="shared" si="65"/>
        <v>-0.32818932885876739</v>
      </c>
      <c r="F81" s="33">
        <f t="shared" si="65"/>
        <v>6.8713038580681562E-2</v>
      </c>
      <c r="G81" s="33">
        <f t="shared" si="65"/>
        <v>0.12373771156379854</v>
      </c>
      <c r="H81" s="33">
        <f t="shared" si="65"/>
        <v>0.13885922697854958</v>
      </c>
      <c r="I81" s="33">
        <f t="shared" si="65"/>
        <v>-5.402301945424226E-2</v>
      </c>
      <c r="J81" s="33">
        <f t="shared" si="65"/>
        <v>8.9505583739347472E-2</v>
      </c>
      <c r="K81" s="33">
        <f t="shared" si="65"/>
        <v>2.7546029145773421E-2</v>
      </c>
      <c r="L81" s="33">
        <f t="shared" si="65"/>
        <v>1.9388203764577838E-2</v>
      </c>
      <c r="M81" s="33">
        <f t="shared" si="65"/>
        <v>6.5410537867251151E-2</v>
      </c>
      <c r="N81" s="33">
        <f t="shared" si="65"/>
        <v>7.3753482153061878E-2</v>
      </c>
      <c r="O81" s="33"/>
    </row>
    <row r="82" spans="1:15" hidden="1" x14ac:dyDescent="0.3">
      <c r="A82" t="s">
        <v>925</v>
      </c>
      <c r="B82" s="34">
        <f>554106/382666</f>
        <v>1.4480147177956757</v>
      </c>
      <c r="C82" s="34">
        <f>745659/461201</f>
        <v>1.616776633181628</v>
      </c>
      <c r="D82" s="34">
        <f>942380/581070</f>
        <v>1.6218011599290962</v>
      </c>
      <c r="E82" s="34">
        <f>622329/493432</f>
        <v>1.2612254576111805</v>
      </c>
      <c r="F82" s="34">
        <f>665048/482436</f>
        <v>1.3785206742448739</v>
      </c>
      <c r="G82" s="34">
        <f>874726/585805</f>
        <v>1.4932033697220064</v>
      </c>
      <c r="H82" s="34">
        <f>944675/589978</f>
        <v>1.6012037737000362</v>
      </c>
      <c r="I82" s="34">
        <f>944675/589978</f>
        <v>1.6012037737000362</v>
      </c>
      <c r="J82" s="34">
        <v>1.71</v>
      </c>
      <c r="K82" s="34">
        <v>1.92</v>
      </c>
      <c r="L82" s="34">
        <v>1.68</v>
      </c>
      <c r="M82" s="34">
        <v>1.61</v>
      </c>
      <c r="N82" s="34">
        <v>1.91</v>
      </c>
      <c r="O82" s="34"/>
    </row>
    <row r="83" spans="1:15" hidden="1" x14ac:dyDescent="0.3">
      <c r="B83" s="4">
        <v>236180</v>
      </c>
      <c r="C83" s="4">
        <v>242700</v>
      </c>
      <c r="D83" s="4">
        <v>330467</v>
      </c>
      <c r="E83" s="4">
        <f>1226179-Tabela69[[#This Row],[3T 2021]]-Tabela69[[#This Row],[2T 2021]]-Tabela69[[#This Row],[1T 2021]]</f>
        <v>416832</v>
      </c>
      <c r="F83" s="16">
        <v>437595</v>
      </c>
      <c r="G83" s="4">
        <v>360074</v>
      </c>
      <c r="H83" s="4">
        <v>515754</v>
      </c>
      <c r="I83" s="4">
        <v>502000</v>
      </c>
      <c r="J83" s="4">
        <v>323100</v>
      </c>
      <c r="K83" s="4">
        <v>281200</v>
      </c>
      <c r="L83" s="4">
        <v>405628</v>
      </c>
      <c r="M83" s="4">
        <v>502206</v>
      </c>
      <c r="N83" s="4">
        <v>380300</v>
      </c>
      <c r="O83" s="4"/>
    </row>
    <row r="84" spans="1:15" hidden="1" x14ac:dyDescent="0.3">
      <c r="A84" t="s">
        <v>946</v>
      </c>
      <c r="B84" s="33">
        <f>B83/B83-1</f>
        <v>0</v>
      </c>
      <c r="C84" s="33">
        <f t="shared" ref="C84:N84" si="66">C83/B83-1</f>
        <v>2.7606063172156858E-2</v>
      </c>
      <c r="D84" s="33">
        <f t="shared" si="66"/>
        <v>0.36162752369180051</v>
      </c>
      <c r="E84" s="33">
        <f t="shared" si="66"/>
        <v>0.26134228228537193</v>
      </c>
      <c r="F84" s="33">
        <f t="shared" si="66"/>
        <v>4.981143482266237E-2</v>
      </c>
      <c r="G84" s="33">
        <f t="shared" si="66"/>
        <v>-0.17715238976679348</v>
      </c>
      <c r="H84" s="33">
        <f t="shared" si="66"/>
        <v>0.43235557135477709</v>
      </c>
      <c r="I84" s="33">
        <f t="shared" si="66"/>
        <v>-2.6667752455628024E-2</v>
      </c>
      <c r="J84" s="33">
        <f t="shared" si="66"/>
        <v>-0.35637450199203191</v>
      </c>
      <c r="K84" s="33">
        <f t="shared" si="66"/>
        <v>-0.12968121324667281</v>
      </c>
      <c r="L84" s="33">
        <f t="shared" si="66"/>
        <v>0.44248933143669977</v>
      </c>
      <c r="M84" s="33">
        <f t="shared" si="66"/>
        <v>0.2380950033035194</v>
      </c>
      <c r="N84" s="33">
        <f t="shared" si="66"/>
        <v>-0.24274102659068186</v>
      </c>
      <c r="O84" s="33"/>
    </row>
    <row r="85" spans="1:15" hidden="1" x14ac:dyDescent="0.3">
      <c r="B85" s="4">
        <v>25996</v>
      </c>
      <c r="C85" s="4">
        <v>14387</v>
      </c>
      <c r="D85" s="16">
        <v>52770</v>
      </c>
      <c r="E85" s="16">
        <f>204873-Tabela69[[#This Row],[3T 2021]]-Tabela69[[#This Row],[2T 2021]]-Tabela69[[#This Row],[1T 2021]]</f>
        <v>111720</v>
      </c>
      <c r="F85" s="4">
        <v>139512</v>
      </c>
      <c r="G85" s="16">
        <v>86856</v>
      </c>
      <c r="H85" s="16">
        <v>148322</v>
      </c>
      <c r="I85" s="16">
        <f>I88-7817</f>
        <v>148883</v>
      </c>
      <c r="J85" s="16">
        <f>J88-7727</f>
        <v>69673</v>
      </c>
      <c r="K85" s="16">
        <f>K88-8738</f>
        <v>45062</v>
      </c>
      <c r="L85" s="16">
        <v>65172</v>
      </c>
      <c r="M85" s="16">
        <v>121870</v>
      </c>
      <c r="N85" s="16">
        <v>80552</v>
      </c>
      <c r="O85" s="16"/>
    </row>
    <row r="86" spans="1:15" hidden="1" x14ac:dyDescent="0.3">
      <c r="A86" t="s">
        <v>935</v>
      </c>
      <c r="B86" s="33">
        <f t="shared" ref="B86:G86" si="67">B85/B83</f>
        <v>0.11006859175205352</v>
      </c>
      <c r="C86" s="33">
        <f t="shared" si="67"/>
        <v>5.927894519983519E-2</v>
      </c>
      <c r="D86" s="33">
        <f t="shared" si="67"/>
        <v>0.15968311510680341</v>
      </c>
      <c r="E86" s="33">
        <f t="shared" si="67"/>
        <v>0.26802164900967296</v>
      </c>
      <c r="F86" s="33">
        <f t="shared" si="67"/>
        <v>0.31881534295410141</v>
      </c>
      <c r="G86" s="33">
        <f t="shared" si="67"/>
        <v>0.24121708315512921</v>
      </c>
      <c r="H86" s="33">
        <f t="shared" ref="H86:N86" si="68">H85/H83</f>
        <v>0.28758283988102856</v>
      </c>
      <c r="I86" s="33">
        <f t="shared" si="68"/>
        <v>0.29657968127490042</v>
      </c>
      <c r="J86" s="33">
        <f t="shared" si="68"/>
        <v>0.21563912101516558</v>
      </c>
      <c r="K86" s="33">
        <f t="shared" si="68"/>
        <v>0.16024893314366997</v>
      </c>
      <c r="L86" s="33">
        <f t="shared" si="68"/>
        <v>0.16066938179810072</v>
      </c>
      <c r="M86" s="33">
        <f t="shared" si="68"/>
        <v>0.24266934285930475</v>
      </c>
      <c r="N86" s="33">
        <f t="shared" si="68"/>
        <v>0.21181172758348671</v>
      </c>
      <c r="O86" s="33"/>
    </row>
    <row r="87" spans="1:15" hidden="1" x14ac:dyDescent="0.3">
      <c r="A87" t="s">
        <v>936</v>
      </c>
      <c r="B87" s="33">
        <f>185107/B83</f>
        <v>0.7837539165043611</v>
      </c>
      <c r="C87" s="33">
        <f>198522/C83</f>
        <v>0.81797280593325095</v>
      </c>
      <c r="D87" s="33">
        <f>239625/D83</f>
        <v>0.72511022280590798</v>
      </c>
      <c r="E87" s="33">
        <f>(894690-239625-198522-185107)/E83</f>
        <v>0.65118800859818826</v>
      </c>
      <c r="F87" s="33">
        <f>267844/F83</f>
        <v>0.61208194791988024</v>
      </c>
      <c r="G87" s="33">
        <f>239419/G83</f>
        <v>0.66491610057932538</v>
      </c>
      <c r="H87" s="33">
        <f>239419/H83</f>
        <v>0.46421162026857765</v>
      </c>
      <c r="I87" s="33">
        <f>315035/I83</f>
        <v>0.62755976095617527</v>
      </c>
      <c r="J87" s="33">
        <f>220701/J83</f>
        <v>0.68307335190343543</v>
      </c>
      <c r="K87" s="33">
        <f>199116/K83</f>
        <v>0.70809388335704126</v>
      </c>
      <c r="L87" s="33">
        <f>292745/L83</f>
        <v>0.72170806749040994</v>
      </c>
      <c r="M87" s="33">
        <f>350724/M83</f>
        <v>0.69836680565345699</v>
      </c>
      <c r="N87" s="33">
        <f>258002/N83</f>
        <v>0.67841703917959506</v>
      </c>
      <c r="O87" s="33"/>
    </row>
    <row r="88" spans="1:15" hidden="1" x14ac:dyDescent="0.3">
      <c r="B88" s="4">
        <v>32900</v>
      </c>
      <c r="C88" s="4">
        <v>24000</v>
      </c>
      <c r="D88" s="4">
        <v>59873</v>
      </c>
      <c r="E88" s="4">
        <f>233169-Tabela69[[#This Row],[3T 2021]]-Tabela69[[#This Row],[2T 2021]]-Tabela69[[#This Row],[1T 2021]]</f>
        <v>116396</v>
      </c>
      <c r="F88" s="4">
        <v>148000</v>
      </c>
      <c r="G88" s="4">
        <v>94300</v>
      </c>
      <c r="H88" s="4">
        <v>155800</v>
      </c>
      <c r="I88" s="4">
        <v>156700</v>
      </c>
      <c r="J88" s="4">
        <v>77400</v>
      </c>
      <c r="K88" s="4">
        <v>53800</v>
      </c>
      <c r="L88" s="4">
        <f>L85+9073</f>
        <v>74245</v>
      </c>
      <c r="M88" s="4">
        <f>M85+9411</f>
        <v>131281</v>
      </c>
      <c r="N88" s="4">
        <v>90400</v>
      </c>
      <c r="O88" s="4"/>
    </row>
    <row r="89" spans="1:15" x14ac:dyDescent="0.3">
      <c r="A89" t="s">
        <v>937</v>
      </c>
      <c r="B89" s="33">
        <f t="shared" ref="B89:G89" si="69">B88/B83</f>
        <v>0.13930053349140487</v>
      </c>
      <c r="C89" s="33">
        <f t="shared" si="69"/>
        <v>9.8887515451174288E-2</v>
      </c>
      <c r="D89" s="33">
        <f t="shared" si="69"/>
        <v>0.18117694051145802</v>
      </c>
      <c r="E89" s="33">
        <f t="shared" si="69"/>
        <v>0.27923959772762169</v>
      </c>
      <c r="F89" s="33">
        <f t="shared" si="69"/>
        <v>0.33821227390623748</v>
      </c>
      <c r="G89" s="33">
        <f t="shared" si="69"/>
        <v>0.26189061137432862</v>
      </c>
      <c r="H89" s="33">
        <f t="shared" ref="H89:N89" si="70">H88/H83</f>
        <v>0.30208200033349231</v>
      </c>
      <c r="I89" s="33">
        <f t="shared" si="70"/>
        <v>0.31215139442231077</v>
      </c>
      <c r="J89" s="33">
        <f t="shared" si="70"/>
        <v>0.23955431754874651</v>
      </c>
      <c r="K89" s="33">
        <f t="shared" si="70"/>
        <v>0.19132290184921763</v>
      </c>
      <c r="L89" s="33">
        <f t="shared" si="70"/>
        <v>0.1830371670594732</v>
      </c>
      <c r="M89" s="33">
        <f t="shared" si="70"/>
        <v>0.26140866497015169</v>
      </c>
      <c r="N89" s="33">
        <f t="shared" si="70"/>
        <v>0.23770707336313437</v>
      </c>
      <c r="O89" s="33"/>
    </row>
    <row r="90" spans="1:15" hidden="1" x14ac:dyDescent="0.3">
      <c r="B90" s="16">
        <v>17200</v>
      </c>
      <c r="C90" s="4">
        <v>13500</v>
      </c>
      <c r="D90" s="4">
        <v>41100</v>
      </c>
      <c r="E90" s="16">
        <f>154635-Tabela69[[#This Row],[3T 2021]]-Tabela69[[#This Row],[2T 2021]]-Tabela69[[#This Row],[1T 2021]]</f>
        <v>82835</v>
      </c>
      <c r="F90" s="4">
        <v>94500</v>
      </c>
      <c r="G90" s="16">
        <v>60168</v>
      </c>
      <c r="H90" s="16">
        <v>115648</v>
      </c>
      <c r="I90" s="16">
        <v>113012</v>
      </c>
      <c r="J90" s="16">
        <v>51200</v>
      </c>
      <c r="K90" s="16">
        <v>33400</v>
      </c>
      <c r="L90" s="16">
        <v>66591</v>
      </c>
      <c r="M90" s="16">
        <v>94023</v>
      </c>
      <c r="N90" s="16">
        <v>52200</v>
      </c>
      <c r="O90" s="16"/>
    </row>
    <row r="91" spans="1:15" hidden="1" x14ac:dyDescent="0.3">
      <c r="A91" t="s">
        <v>938</v>
      </c>
      <c r="B91" s="33">
        <f t="shared" ref="B91:G91" si="71">B90/B83</f>
        <v>7.2825810822254214E-2</v>
      </c>
      <c r="C91" s="33">
        <f t="shared" si="71"/>
        <v>5.5624227441285541E-2</v>
      </c>
      <c r="D91" s="33">
        <f t="shared" si="71"/>
        <v>0.12436945292570817</v>
      </c>
      <c r="E91" s="33">
        <f t="shared" si="71"/>
        <v>0.19872514586212192</v>
      </c>
      <c r="F91" s="33">
        <f t="shared" si="71"/>
        <v>0.21595310732526651</v>
      </c>
      <c r="G91" s="33">
        <f t="shared" si="71"/>
        <v>0.16709898520859601</v>
      </c>
      <c r="H91" s="33">
        <f t="shared" ref="H91:N91" si="72">H90/H83</f>
        <v>0.22423093180081977</v>
      </c>
      <c r="I91" s="33">
        <f t="shared" si="72"/>
        <v>0.22512350597609562</v>
      </c>
      <c r="J91" s="33">
        <f t="shared" si="72"/>
        <v>0.15846487155679356</v>
      </c>
      <c r="K91" s="33">
        <f t="shared" si="72"/>
        <v>0.11877667140825035</v>
      </c>
      <c r="L91" s="33">
        <f t="shared" si="72"/>
        <v>0.16416766100959501</v>
      </c>
      <c r="M91" s="33">
        <f t="shared" si="72"/>
        <v>0.18721998542430796</v>
      </c>
      <c r="N91" s="33">
        <f t="shared" si="72"/>
        <v>0.13726005784906653</v>
      </c>
      <c r="O91" s="33"/>
    </row>
    <row r="92" spans="1:15" hidden="1" x14ac:dyDescent="0.3">
      <c r="A92" t="s">
        <v>939</v>
      </c>
      <c r="B92" s="33">
        <f t="shared" ref="B92:G92" si="73">B85/B83</f>
        <v>0.11006859175205352</v>
      </c>
      <c r="C92" s="33">
        <f t="shared" si="73"/>
        <v>5.927894519983519E-2</v>
      </c>
      <c r="D92" s="33">
        <f t="shared" si="73"/>
        <v>0.15968311510680341</v>
      </c>
      <c r="E92" s="33">
        <f t="shared" si="73"/>
        <v>0.26802164900967296</v>
      </c>
      <c r="F92" s="33">
        <f t="shared" si="73"/>
        <v>0.31881534295410141</v>
      </c>
      <c r="G92" s="33">
        <f t="shared" si="73"/>
        <v>0.24121708315512921</v>
      </c>
      <c r="H92" s="33">
        <f t="shared" ref="H92:N92" si="74">H85/H83</f>
        <v>0.28758283988102856</v>
      </c>
      <c r="I92" s="33">
        <f t="shared" si="74"/>
        <v>0.29657968127490042</v>
      </c>
      <c r="J92" s="33">
        <f t="shared" si="74"/>
        <v>0.21563912101516558</v>
      </c>
      <c r="K92" s="33">
        <f t="shared" si="74"/>
        <v>0.16024893314366997</v>
      </c>
      <c r="L92" s="33">
        <f t="shared" si="74"/>
        <v>0.16066938179810072</v>
      </c>
      <c r="M92" s="33">
        <f t="shared" si="74"/>
        <v>0.24266934285930475</v>
      </c>
      <c r="N92" s="33">
        <f t="shared" si="74"/>
        <v>0.21181172758348671</v>
      </c>
      <c r="O92" s="33"/>
    </row>
    <row r="93" spans="1:15" hidden="1" x14ac:dyDescent="0.3">
      <c r="A93" t="s">
        <v>940</v>
      </c>
      <c r="B93" s="33">
        <f t="shared" ref="B93:G93" si="75">B90/B83</f>
        <v>7.2825810822254214E-2</v>
      </c>
      <c r="C93" s="33">
        <f t="shared" si="75"/>
        <v>5.5624227441285541E-2</v>
      </c>
      <c r="D93" s="33">
        <f t="shared" si="75"/>
        <v>0.12436945292570817</v>
      </c>
      <c r="E93" s="33">
        <f t="shared" si="75"/>
        <v>0.19872514586212192</v>
      </c>
      <c r="F93" s="33">
        <f t="shared" si="75"/>
        <v>0.21595310732526651</v>
      </c>
      <c r="G93" s="33">
        <f t="shared" si="75"/>
        <v>0.16709898520859601</v>
      </c>
      <c r="H93" s="33">
        <f t="shared" ref="H93:N93" si="76">H90/H83</f>
        <v>0.22423093180081977</v>
      </c>
      <c r="I93" s="33">
        <f t="shared" si="76"/>
        <v>0.22512350597609562</v>
      </c>
      <c r="J93" s="33">
        <f t="shared" si="76"/>
        <v>0.15846487155679356</v>
      </c>
      <c r="K93" s="33">
        <f t="shared" si="76"/>
        <v>0.11877667140825035</v>
      </c>
      <c r="L93" s="33">
        <f t="shared" si="76"/>
        <v>0.16416766100959501</v>
      </c>
      <c r="M93" s="33">
        <f t="shared" si="76"/>
        <v>0.18721998542430796</v>
      </c>
      <c r="N93" s="33">
        <f t="shared" si="76"/>
        <v>0.13726005784906653</v>
      </c>
      <c r="O93" s="33"/>
    </row>
    <row r="94" spans="1:15" hidden="1" x14ac:dyDescent="0.3">
      <c r="A94" t="s">
        <v>941</v>
      </c>
      <c r="B94" s="33">
        <f t="shared" ref="B94:G94" si="77">B90/B80</f>
        <v>3.2149532710280371E-2</v>
      </c>
      <c r="C94" s="33">
        <f t="shared" si="77"/>
        <v>2.0778597121471679E-2</v>
      </c>
      <c r="D94" s="33">
        <f t="shared" si="77"/>
        <v>5.9812877377780169E-2</v>
      </c>
      <c r="E94" s="33">
        <f t="shared" si="77"/>
        <v>0.17944024435153694</v>
      </c>
      <c r="F94" s="33">
        <f t="shared" si="77"/>
        <v>0.19154758285193069</v>
      </c>
      <c r="G94" s="33">
        <f t="shared" si="77"/>
        <v>0.10852892156509066</v>
      </c>
      <c r="H94" s="33">
        <f t="shared" ref="H94:N94" si="78">H90/H80</f>
        <v>0.18316732105439046</v>
      </c>
      <c r="I94" s="33">
        <f t="shared" si="78"/>
        <v>0.18921425820818055</v>
      </c>
      <c r="J94" s="33">
        <f t="shared" si="78"/>
        <v>7.8680987016100407E-2</v>
      </c>
      <c r="K94" s="33">
        <f t="shared" si="78"/>
        <v>4.9951095783469478E-2</v>
      </c>
      <c r="L94" s="33">
        <f t="shared" si="78"/>
        <v>9.7695483393924462E-2</v>
      </c>
      <c r="M94" s="33">
        <f t="shared" si="78"/>
        <v>0.12947206221951713</v>
      </c>
      <c r="N94" s="33">
        <f t="shared" si="78"/>
        <v>6.6943417422986221E-2</v>
      </c>
      <c r="O94" s="33"/>
    </row>
    <row r="95" spans="1:15" hidden="1" x14ac:dyDescent="0.3">
      <c r="A95" t="s">
        <v>942</v>
      </c>
      <c r="B95" s="33">
        <f t="shared" ref="B95:G95" si="79">B90/B76</f>
        <v>1.807339690545617E-2</v>
      </c>
      <c r="C95" s="33">
        <f t="shared" si="79"/>
        <v>1.1812987285725536E-2</v>
      </c>
      <c r="D95" s="33">
        <f t="shared" si="79"/>
        <v>3.0819390870861503E-2</v>
      </c>
      <c r="E95" s="33">
        <f t="shared" si="79"/>
        <v>8.1338693396281997E-2</v>
      </c>
      <c r="F95" s="33">
        <f t="shared" si="79"/>
        <v>9.0798333538310169E-2</v>
      </c>
      <c r="G95" s="33">
        <f t="shared" si="79"/>
        <v>4.8301794699711319E-2</v>
      </c>
      <c r="H95" s="33">
        <f t="shared" ref="H95:N95" si="80">H90/H76</f>
        <v>8.7988070239508206E-2</v>
      </c>
      <c r="I95" s="33">
        <f t="shared" si="80"/>
        <v>8.8721896594225996E-2</v>
      </c>
      <c r="J95" s="33">
        <f t="shared" si="80"/>
        <v>3.9219981968000479E-2</v>
      </c>
      <c r="K95" s="33">
        <f t="shared" si="80"/>
        <v>2.737406495849223E-2</v>
      </c>
      <c r="L95" s="33">
        <f t="shared" si="80"/>
        <v>4.8187409229353141E-2</v>
      </c>
      <c r="M95" s="33">
        <f t="shared" si="80"/>
        <v>7.3814275328981979E-2</v>
      </c>
      <c r="N95" s="33">
        <f t="shared" si="80"/>
        <v>3.5479310532325593E-2</v>
      </c>
      <c r="O95" s="33"/>
    </row>
    <row r="97" spans="1:15" x14ac:dyDescent="0.3">
      <c r="A97" t="s">
        <v>1003</v>
      </c>
      <c r="B97">
        <v>2021</v>
      </c>
      <c r="C97">
        <v>2021</v>
      </c>
      <c r="D97">
        <v>2021</v>
      </c>
      <c r="E97">
        <v>2021</v>
      </c>
      <c r="F97">
        <v>2022</v>
      </c>
      <c r="G97">
        <v>2022</v>
      </c>
      <c r="H97">
        <v>2022</v>
      </c>
      <c r="I97">
        <v>2022</v>
      </c>
      <c r="J97">
        <v>2023</v>
      </c>
      <c r="K97">
        <v>2023</v>
      </c>
      <c r="L97">
        <v>2023</v>
      </c>
      <c r="M97">
        <v>2023</v>
      </c>
      <c r="N97">
        <v>2024</v>
      </c>
    </row>
    <row r="98" spans="1:15" x14ac:dyDescent="0.3">
      <c r="A98" t="s">
        <v>903</v>
      </c>
      <c r="B98" t="s">
        <v>916</v>
      </c>
      <c r="C98" t="s">
        <v>917</v>
      </c>
      <c r="D98" t="s">
        <v>918</v>
      </c>
      <c r="E98" s="2" t="s">
        <v>919</v>
      </c>
      <c r="F98" s="2" t="s">
        <v>920</v>
      </c>
      <c r="G98" s="2" t="s">
        <v>921</v>
      </c>
      <c r="H98" s="2" t="s">
        <v>1002</v>
      </c>
      <c r="I98" s="2" t="s">
        <v>1126</v>
      </c>
      <c r="J98" s="2" t="s">
        <v>1127</v>
      </c>
      <c r="K98" s="2" t="s">
        <v>1128</v>
      </c>
      <c r="L98" s="2" t="s">
        <v>1129</v>
      </c>
      <c r="M98" s="2" t="s">
        <v>1130</v>
      </c>
      <c r="N98" s="2" t="s">
        <v>1131</v>
      </c>
      <c r="O98" s="2"/>
    </row>
    <row r="99" spans="1:15" hidden="1" x14ac:dyDescent="0.3">
      <c r="B99" s="37">
        <f t="shared" ref="B99:H99" si="81">DATE(B$49,VLOOKUP(B98,$Q$4:$R$7,2,1),1)</f>
        <v>44256</v>
      </c>
      <c r="C99" s="37">
        <f t="shared" si="81"/>
        <v>44348</v>
      </c>
      <c r="D99" s="37">
        <f t="shared" si="81"/>
        <v>44440</v>
      </c>
      <c r="E99" s="37">
        <f t="shared" si="81"/>
        <v>44531</v>
      </c>
      <c r="F99" s="37">
        <f t="shared" si="81"/>
        <v>44621</v>
      </c>
      <c r="G99" s="37">
        <f t="shared" si="81"/>
        <v>44713</v>
      </c>
      <c r="H99" s="37">
        <f t="shared" si="81"/>
        <v>44805</v>
      </c>
      <c r="I99" s="37">
        <f t="shared" ref="I99:N99" si="82">DATE(I$49,VLOOKUP(I98,$Q$4:$R$7,2,1),1)</f>
        <v>44896</v>
      </c>
      <c r="J99" s="37">
        <f t="shared" si="82"/>
        <v>44986</v>
      </c>
      <c r="K99" s="37">
        <f t="shared" si="82"/>
        <v>45078</v>
      </c>
      <c r="L99" s="37">
        <f t="shared" si="82"/>
        <v>45170</v>
      </c>
      <c r="M99" s="37">
        <f t="shared" si="82"/>
        <v>45261</v>
      </c>
      <c r="N99" s="37">
        <f t="shared" si="82"/>
        <v>45352</v>
      </c>
      <c r="O99" s="37"/>
    </row>
    <row r="100" spans="1:15" hidden="1" x14ac:dyDescent="0.3">
      <c r="B100" s="4">
        <v>599001</v>
      </c>
      <c r="C100" s="4">
        <v>847490</v>
      </c>
      <c r="D100" s="4">
        <v>1958982</v>
      </c>
      <c r="E100" s="4">
        <v>3281487</v>
      </c>
      <c r="F100" s="4">
        <v>3207586</v>
      </c>
      <c r="G100" s="4">
        <v>2980727</v>
      </c>
      <c r="H100" s="4">
        <v>3468778</v>
      </c>
      <c r="I100" s="4">
        <v>3730975</v>
      </c>
      <c r="J100" s="4">
        <v>3760551</v>
      </c>
      <c r="K100" s="4">
        <v>3757752</v>
      </c>
      <c r="L100" s="4">
        <v>3964457</v>
      </c>
      <c r="M100" s="4">
        <v>3982727</v>
      </c>
      <c r="N100" s="4">
        <v>4720351</v>
      </c>
      <c r="O100" s="4"/>
    </row>
    <row r="101" spans="1:15" hidden="1" x14ac:dyDescent="0.3">
      <c r="A101" t="s">
        <v>943</v>
      </c>
      <c r="B101" s="33">
        <f>B100/B100-1</f>
        <v>0</v>
      </c>
      <c r="C101" s="33">
        <f t="shared" ref="C101:H101" si="83">C100/B100-1</f>
        <v>0.41483904033549202</v>
      </c>
      <c r="D101" s="33">
        <f t="shared" si="83"/>
        <v>1.3115104603004166</v>
      </c>
      <c r="E101" s="33">
        <f t="shared" si="83"/>
        <v>0.67509808665929549</v>
      </c>
      <c r="F101" s="33">
        <f t="shared" si="83"/>
        <v>-2.2520582894279384E-2</v>
      </c>
      <c r="G101" s="33">
        <f t="shared" si="83"/>
        <v>-7.0725773213874854E-2</v>
      </c>
      <c r="H101" s="33">
        <f t="shared" si="83"/>
        <v>0.16373555847281551</v>
      </c>
      <c r="I101" s="33">
        <f t="shared" ref="I101:N101" si="84">I100/H100-1</f>
        <v>7.5587714174847775E-2</v>
      </c>
      <c r="J101" s="33">
        <f t="shared" si="84"/>
        <v>7.9271504097453427E-3</v>
      </c>
      <c r="K101" s="33">
        <f t="shared" si="84"/>
        <v>-7.4430582114159982E-4</v>
      </c>
      <c r="L101" s="33">
        <f t="shared" si="84"/>
        <v>5.5007621578007315E-2</v>
      </c>
      <c r="M101" s="33">
        <f t="shared" si="84"/>
        <v>4.6084495304148376E-3</v>
      </c>
      <c r="N101" s="33">
        <f t="shared" si="84"/>
        <v>0.185205764793821</v>
      </c>
      <c r="O101" s="33"/>
    </row>
    <row r="102" spans="1:15" hidden="1" x14ac:dyDescent="0.3">
      <c r="B102" s="4">
        <v>456841</v>
      </c>
      <c r="C102" s="4">
        <f>145080+569874</f>
        <v>714954</v>
      </c>
      <c r="D102" s="4">
        <f>210781+639721</f>
        <v>850502</v>
      </c>
      <c r="E102" s="4">
        <f>311413+1857377</f>
        <v>2168790</v>
      </c>
      <c r="F102" s="4">
        <f>343407+1728944</f>
        <v>2072351</v>
      </c>
      <c r="G102" s="4">
        <f>278714+1582592</f>
        <v>1861306</v>
      </c>
      <c r="H102" s="4">
        <v>2329511</v>
      </c>
      <c r="I102" s="4">
        <v>2572454</v>
      </c>
      <c r="J102" s="4">
        <v>2620819</v>
      </c>
      <c r="K102" s="4">
        <v>2582504</v>
      </c>
      <c r="L102" s="4">
        <v>2751162</v>
      </c>
      <c r="M102" s="4">
        <v>2752785</v>
      </c>
      <c r="N102" s="4">
        <v>3449509</v>
      </c>
      <c r="O102" s="4"/>
    </row>
    <row r="103" spans="1:15" hidden="1" x14ac:dyDescent="0.3">
      <c r="A103" t="s">
        <v>944</v>
      </c>
      <c r="B103" s="33">
        <f>B102/B102-1</f>
        <v>0</v>
      </c>
      <c r="C103" s="33">
        <f t="shared" ref="C103:H103" si="85">C102/B102-1</f>
        <v>0.56499526093323493</v>
      </c>
      <c r="D103" s="33">
        <f t="shared" si="85"/>
        <v>0.18958981976462819</v>
      </c>
      <c r="E103" s="33">
        <f t="shared" si="85"/>
        <v>1.5500116401842678</v>
      </c>
      <c r="F103" s="33">
        <f t="shared" si="85"/>
        <v>-4.4466730296616963E-2</v>
      </c>
      <c r="G103" s="33">
        <f t="shared" si="85"/>
        <v>-0.10183844339110504</v>
      </c>
      <c r="H103" s="33">
        <f t="shared" si="85"/>
        <v>0.25154649477302504</v>
      </c>
      <c r="I103" s="33">
        <f t="shared" ref="I103:N103" si="86">I102/H102-1</f>
        <v>0.10428926929299753</v>
      </c>
      <c r="J103" s="33">
        <f t="shared" si="86"/>
        <v>1.8801113644792089E-2</v>
      </c>
      <c r="K103" s="33">
        <f t="shared" si="86"/>
        <v>-1.4619475820344729E-2</v>
      </c>
      <c r="L103" s="33">
        <f t="shared" si="86"/>
        <v>6.5307933695359255E-2</v>
      </c>
      <c r="M103" s="33">
        <f t="shared" si="86"/>
        <v>5.8993254486638946E-4</v>
      </c>
      <c r="N103" s="33">
        <f t="shared" si="86"/>
        <v>0.2530978627099465</v>
      </c>
      <c r="O103" s="33"/>
    </row>
    <row r="104" spans="1:15" hidden="1" x14ac:dyDescent="0.3">
      <c r="B104" s="4">
        <v>142160</v>
      </c>
      <c r="C104" s="4">
        <v>132536</v>
      </c>
      <c r="D104" s="4">
        <f>1108480</f>
        <v>1108480</v>
      </c>
      <c r="E104" s="4">
        <f>1112697</f>
        <v>1112697</v>
      </c>
      <c r="F104" s="4">
        <v>1135235</v>
      </c>
      <c r="G104" s="4">
        <v>1119421</v>
      </c>
      <c r="H104" s="4">
        <v>1139267</v>
      </c>
      <c r="I104" s="4">
        <v>1158521</v>
      </c>
      <c r="J104" s="4">
        <v>1004034</v>
      </c>
      <c r="K104" s="4">
        <v>1175248</v>
      </c>
      <c r="L104" s="4">
        <v>1213295</v>
      </c>
      <c r="M104" s="4">
        <v>1229942</v>
      </c>
      <c r="N104" s="4">
        <v>1270842</v>
      </c>
      <c r="O104" s="4"/>
    </row>
    <row r="105" spans="1:15" hidden="1" x14ac:dyDescent="0.3">
      <c r="A105" t="s">
        <v>945</v>
      </c>
      <c r="B105" s="33">
        <f>B104/B104-1</f>
        <v>0</v>
      </c>
      <c r="C105" s="33">
        <f t="shared" ref="C105:H105" si="87">C104/B104-1</f>
        <v>-6.769836803601581E-2</v>
      </c>
      <c r="D105" s="33">
        <f t="shared" si="87"/>
        <v>7.3636144141968973</v>
      </c>
      <c r="E105" s="33">
        <f t="shared" si="87"/>
        <v>3.8043086027712558E-3</v>
      </c>
      <c r="F105" s="33">
        <f t="shared" si="87"/>
        <v>2.0255289625118023E-2</v>
      </c>
      <c r="G105" s="33">
        <f t="shared" si="87"/>
        <v>-1.3930155430373459E-2</v>
      </c>
      <c r="H105" s="33">
        <f t="shared" si="87"/>
        <v>1.7728808017716258E-2</v>
      </c>
      <c r="I105" s="33">
        <f t="shared" ref="I105:N105" si="88">I104/H104-1</f>
        <v>1.6900340306530426E-2</v>
      </c>
      <c r="J105" s="33">
        <f t="shared" si="88"/>
        <v>-0.13334846757201635</v>
      </c>
      <c r="K105" s="33">
        <f t="shared" si="88"/>
        <v>0.17052609772179039</v>
      </c>
      <c r="L105" s="33">
        <f t="shared" si="88"/>
        <v>3.2373592637468862E-2</v>
      </c>
      <c r="M105" s="33">
        <f t="shared" si="88"/>
        <v>1.3720488422024335E-2</v>
      </c>
      <c r="N105" s="33">
        <f t="shared" si="88"/>
        <v>3.3253600576287345E-2</v>
      </c>
      <c r="O105" s="33"/>
    </row>
    <row r="106" spans="1:15" hidden="1" x14ac:dyDescent="0.3">
      <c r="A106" t="s">
        <v>925</v>
      </c>
      <c r="B106" s="34">
        <f>(168479/97972)</f>
        <v>1.7196648021883802</v>
      </c>
      <c r="C106" s="34">
        <f>(232095/145080)</f>
        <v>1.5997725392886684</v>
      </c>
      <c r="D106" s="34">
        <f>(1038994/210781)</f>
        <v>4.9292583297356023</v>
      </c>
      <c r="E106" s="34">
        <f>1897148/311413</f>
        <v>6.0920642362393345</v>
      </c>
      <c r="F106" s="34">
        <f>1642067/343407</f>
        <v>4.781693442474964</v>
      </c>
      <c r="G106" s="34">
        <f>(1211161/278714)</f>
        <v>4.3455334141808448</v>
      </c>
      <c r="H106" s="34">
        <f>1192038/427349</f>
        <v>2.78937823652331</v>
      </c>
      <c r="I106" s="34">
        <v>3.28</v>
      </c>
      <c r="J106" s="34">
        <v>2.84</v>
      </c>
      <c r="K106" s="34">
        <v>2.89</v>
      </c>
      <c r="L106" s="34">
        <v>2.21</v>
      </c>
      <c r="M106" s="34">
        <v>1.58</v>
      </c>
      <c r="N106" s="34">
        <v>2.4</v>
      </c>
      <c r="O106" s="34"/>
    </row>
    <row r="107" spans="1:15" hidden="1" x14ac:dyDescent="0.3">
      <c r="B107" s="16">
        <v>51755</v>
      </c>
      <c r="C107" s="4">
        <v>71591</v>
      </c>
      <c r="D107" s="4">
        <v>99346</v>
      </c>
      <c r="E107" s="4">
        <v>167062</v>
      </c>
      <c r="F107" s="4">
        <v>195416</v>
      </c>
      <c r="G107" s="16">
        <v>181121</v>
      </c>
      <c r="H107" s="16">
        <v>250597</v>
      </c>
      <c r="I107" s="16">
        <v>199545</v>
      </c>
      <c r="J107" s="16">
        <v>291491</v>
      </c>
      <c r="K107" s="16">
        <v>310900</v>
      </c>
      <c r="L107" s="16">
        <v>359500</v>
      </c>
      <c r="M107" s="16">
        <v>399076</v>
      </c>
      <c r="N107" s="16">
        <v>387787</v>
      </c>
      <c r="O107" s="16"/>
    </row>
    <row r="108" spans="1:15" hidden="1" x14ac:dyDescent="0.3">
      <c r="A108" t="s">
        <v>946</v>
      </c>
      <c r="B108" s="33">
        <f>B107/B107-1</f>
        <v>0</v>
      </c>
      <c r="C108" s="33">
        <f t="shared" ref="C108:H108" si="89">C107/B107-1</f>
        <v>0.38326731716742346</v>
      </c>
      <c r="D108" s="33">
        <f t="shared" si="89"/>
        <v>0.38768839658616305</v>
      </c>
      <c r="E108" s="33">
        <f t="shared" si="89"/>
        <v>0.6816177802830512</v>
      </c>
      <c r="F108" s="33">
        <f t="shared" si="89"/>
        <v>0.16972142078988628</v>
      </c>
      <c r="G108" s="33">
        <f t="shared" si="89"/>
        <v>-7.3151635485323663E-2</v>
      </c>
      <c r="H108" s="33">
        <f t="shared" si="89"/>
        <v>0.38358887152787369</v>
      </c>
      <c r="I108" s="33">
        <f t="shared" ref="I108:N108" si="90">I107/H107-1</f>
        <v>-0.20372151302689179</v>
      </c>
      <c r="J108" s="33">
        <f t="shared" si="90"/>
        <v>0.46077827056553655</v>
      </c>
      <c r="K108" s="33">
        <f t="shared" si="90"/>
        <v>6.6585246199711179E-2</v>
      </c>
      <c r="L108" s="33">
        <f t="shared" si="90"/>
        <v>0.15632036024445162</v>
      </c>
      <c r="M108" s="33">
        <f t="shared" si="90"/>
        <v>0.11008623087621694</v>
      </c>
      <c r="N108" s="33">
        <f t="shared" si="90"/>
        <v>-2.8287844921769278E-2</v>
      </c>
      <c r="O108" s="33"/>
    </row>
    <row r="109" spans="1:15" hidden="1" x14ac:dyDescent="0.3">
      <c r="B109" s="4">
        <v>18974</v>
      </c>
      <c r="C109" s="4">
        <v>17251</v>
      </c>
      <c r="D109" s="4">
        <v>28381</v>
      </c>
      <c r="E109" s="4">
        <v>64835</v>
      </c>
      <c r="F109" s="4">
        <v>62690</v>
      </c>
      <c r="G109" s="16">
        <v>71860</v>
      </c>
      <c r="H109" s="16">
        <v>89642</v>
      </c>
      <c r="I109" s="16">
        <v>83100</v>
      </c>
      <c r="J109" s="16">
        <v>78200</v>
      </c>
      <c r="K109" s="16">
        <v>106700</v>
      </c>
      <c r="L109" s="16">
        <v>120900</v>
      </c>
      <c r="M109" s="16">
        <v>114500</v>
      </c>
      <c r="N109" s="16">
        <v>133900</v>
      </c>
      <c r="O109" s="16"/>
    </row>
    <row r="110" spans="1:15" hidden="1" x14ac:dyDescent="0.3">
      <c r="A110" t="s">
        <v>935</v>
      </c>
      <c r="B110" s="33">
        <f t="shared" ref="B110:G110" si="91">B109/B107</f>
        <v>0.36661192155347311</v>
      </c>
      <c r="C110" s="33">
        <f t="shared" si="91"/>
        <v>0.24096604321772289</v>
      </c>
      <c r="D110" s="33">
        <f t="shared" si="91"/>
        <v>0.28567833631952971</v>
      </c>
      <c r="E110" s="33">
        <f t="shared" si="91"/>
        <v>0.38808945182028232</v>
      </c>
      <c r="F110" s="33">
        <f t="shared" si="91"/>
        <v>0.32080280018012852</v>
      </c>
      <c r="G110" s="33">
        <f t="shared" si="91"/>
        <v>0.39675134302482873</v>
      </c>
      <c r="H110" s="33">
        <f t="shared" ref="H110:N110" si="92">H109/H107</f>
        <v>0.35771377949456695</v>
      </c>
      <c r="I110" s="33">
        <f t="shared" si="92"/>
        <v>0.41644741787566714</v>
      </c>
      <c r="J110" s="33">
        <f t="shared" si="92"/>
        <v>0.26827586443492252</v>
      </c>
      <c r="K110" s="33">
        <f t="shared" si="92"/>
        <v>0.34319716950788037</v>
      </c>
      <c r="L110" s="33">
        <f t="shared" si="92"/>
        <v>0.33630041724617526</v>
      </c>
      <c r="M110" s="33">
        <f t="shared" si="92"/>
        <v>0.28691276849522396</v>
      </c>
      <c r="N110" s="33">
        <f t="shared" si="92"/>
        <v>0.34529264776797569</v>
      </c>
      <c r="O110" s="33"/>
    </row>
    <row r="111" spans="1:15" hidden="1" x14ac:dyDescent="0.3">
      <c r="A111" t="s">
        <v>936</v>
      </c>
      <c r="B111" s="33">
        <f>28443/B107</f>
        <v>0.54957008984639166</v>
      </c>
      <c r="C111" s="33">
        <f>37333/C107</f>
        <v>0.52147616320487211</v>
      </c>
      <c r="D111" s="33">
        <f>47541/D107</f>
        <v>0.47853964930646425</v>
      </c>
      <c r="E111" s="33">
        <f>(201903-47541-37333-28443)/E107</f>
        <v>0.53025822748440699</v>
      </c>
      <c r="F111" s="33">
        <f>108171/F107</f>
        <v>0.55354218692430512</v>
      </c>
      <c r="G111" s="33">
        <f>(92083/G107)</f>
        <v>0.50840598274081972</v>
      </c>
      <c r="H111" s="33">
        <f>(130307/H107)</f>
        <v>0.51998627278059995</v>
      </c>
      <c r="I111" s="33">
        <f>84928/I107</f>
        <v>0.42560825878874442</v>
      </c>
      <c r="J111" s="33">
        <f>157807/J107</f>
        <v>0.54137863604708203</v>
      </c>
      <c r="K111" s="33">
        <f>156946/K107</f>
        <v>0.50481183660340945</v>
      </c>
      <c r="L111" s="33">
        <f>190695/L107</f>
        <v>0.53044506258692625</v>
      </c>
      <c r="M111" s="33">
        <f>228689/M107</f>
        <v>0.57304623680702427</v>
      </c>
      <c r="N111" s="249" t="e">
        <f>DATE(N$49,VLOOKUP(N110,$Q$4:$R$7,2,1),1)</f>
        <v>#N/A</v>
      </c>
      <c r="O111" s="33"/>
    </row>
    <row r="112" spans="1:15" hidden="1" x14ac:dyDescent="0.3">
      <c r="B112" s="4">
        <v>27100</v>
      </c>
      <c r="C112" s="4">
        <v>38400</v>
      </c>
      <c r="D112" s="4">
        <v>53000</v>
      </c>
      <c r="E112" s="4">
        <f>195600-Tabela685[[#This Row],[3T 2021]]-Tabela685[[#This Row],[2T 2021]]-Tabela685[[#This Row],[1T 2021]]</f>
        <v>77100</v>
      </c>
      <c r="F112" s="4">
        <v>87700</v>
      </c>
      <c r="G112" s="4">
        <v>102800</v>
      </c>
      <c r="H112" s="4">
        <v>117900</v>
      </c>
      <c r="I112" s="4">
        <v>126100</v>
      </c>
      <c r="J112" s="4">
        <v>119900</v>
      </c>
      <c r="K112" s="4">
        <v>155500</v>
      </c>
      <c r="L112" s="4">
        <v>174700</v>
      </c>
      <c r="M112" s="4">
        <v>166500</v>
      </c>
      <c r="N112" s="4">
        <v>178200</v>
      </c>
      <c r="O112" s="4"/>
    </row>
    <row r="113" spans="1:15" x14ac:dyDescent="0.3">
      <c r="A113" t="s">
        <v>937</v>
      </c>
      <c r="B113" s="33">
        <f t="shared" ref="B113:G113" si="93">B112/B107</f>
        <v>0.52362090619263835</v>
      </c>
      <c r="C113" s="33">
        <f t="shared" si="93"/>
        <v>0.53638027126314758</v>
      </c>
      <c r="D113" s="33">
        <f t="shared" si="93"/>
        <v>0.53348901817888994</v>
      </c>
      <c r="E113" s="33">
        <f t="shared" si="93"/>
        <v>0.46150530940608875</v>
      </c>
      <c r="F113" s="33">
        <f t="shared" si="93"/>
        <v>0.44878617922790354</v>
      </c>
      <c r="G113" s="33">
        <f t="shared" si="93"/>
        <v>0.56757637159688823</v>
      </c>
      <c r="H113" s="33">
        <f t="shared" ref="H113:N113" si="94">H112/H107</f>
        <v>0.47047650211295428</v>
      </c>
      <c r="I113" s="33">
        <f t="shared" si="94"/>
        <v>0.63193765817234204</v>
      </c>
      <c r="J113" s="33">
        <f t="shared" si="94"/>
        <v>0.41133345454919706</v>
      </c>
      <c r="K113" s="33">
        <f t="shared" si="94"/>
        <v>0.5001608234158893</v>
      </c>
      <c r="L113" s="33">
        <f t="shared" si="94"/>
        <v>0.48595271210013907</v>
      </c>
      <c r="M113" s="33">
        <f t="shared" si="94"/>
        <v>0.41721376379436498</v>
      </c>
      <c r="N113" s="33">
        <f t="shared" si="94"/>
        <v>0.45953061861279515</v>
      </c>
      <c r="O113" s="33"/>
    </row>
    <row r="114" spans="1:15" hidden="1" x14ac:dyDescent="0.3">
      <c r="B114" s="16">
        <v>7700</v>
      </c>
      <c r="C114" s="4">
        <v>10804</v>
      </c>
      <c r="D114" s="4">
        <v>22200</v>
      </c>
      <c r="E114" s="16">
        <f>66600-Tabela685[[#This Row],[3T 2021]]-Tabela685[[#This Row],[2T 2021]]-Tabela685[[#This Row],[1T 2021]]</f>
        <v>25896</v>
      </c>
      <c r="F114" s="4">
        <v>27965</v>
      </c>
      <c r="G114" s="16">
        <v>30837</v>
      </c>
      <c r="H114" s="16">
        <v>38835</v>
      </c>
      <c r="I114" s="16">
        <v>50955</v>
      </c>
      <c r="J114" s="16">
        <v>26222</v>
      </c>
      <c r="K114" s="16">
        <v>43435</v>
      </c>
      <c r="L114" s="16">
        <v>47874</v>
      </c>
      <c r="M114" s="16">
        <v>45800</v>
      </c>
      <c r="N114" s="16">
        <v>53100</v>
      </c>
      <c r="O114" s="16"/>
    </row>
    <row r="115" spans="1:15" hidden="1" x14ac:dyDescent="0.3">
      <c r="A115" t="s">
        <v>938</v>
      </c>
      <c r="B115" s="33">
        <f t="shared" ref="B115:G115" si="95">B114/B107</f>
        <v>0.14877789585547291</v>
      </c>
      <c r="C115" s="33">
        <f t="shared" si="95"/>
        <v>0.15091282423768351</v>
      </c>
      <c r="D115" s="33">
        <f t="shared" si="95"/>
        <v>0.22346143780323313</v>
      </c>
      <c r="E115" s="33">
        <f t="shared" si="95"/>
        <v>0.155008320264333</v>
      </c>
      <c r="F115" s="33">
        <f t="shared" si="95"/>
        <v>0.14310496581651452</v>
      </c>
      <c r="G115" s="33">
        <f t="shared" si="95"/>
        <v>0.1702563479662767</v>
      </c>
      <c r="H115" s="33">
        <f t="shared" ref="H115:N115" si="96">H114/H107</f>
        <v>0.15496993180285479</v>
      </c>
      <c r="I115" s="33">
        <f t="shared" si="96"/>
        <v>0.25535593475155982</v>
      </c>
      <c r="J115" s="33">
        <f t="shared" si="96"/>
        <v>8.9958180527014556E-2</v>
      </c>
      <c r="K115" s="33">
        <f t="shared" si="96"/>
        <v>0.13970730138308138</v>
      </c>
      <c r="L115" s="33">
        <f t="shared" si="96"/>
        <v>0.1331682892906815</v>
      </c>
      <c r="M115" s="33">
        <f t="shared" si="96"/>
        <v>0.11476510739808958</v>
      </c>
      <c r="N115" s="33">
        <f t="shared" si="96"/>
        <v>0.13693084089977231</v>
      </c>
      <c r="O115" s="33"/>
    </row>
    <row r="116" spans="1:15" hidden="1" x14ac:dyDescent="0.3">
      <c r="A116" t="s">
        <v>939</v>
      </c>
      <c r="B116" s="33">
        <f t="shared" ref="B116:G116" si="97">B109/B107</f>
        <v>0.36661192155347311</v>
      </c>
      <c r="C116" s="33">
        <f t="shared" si="97"/>
        <v>0.24096604321772289</v>
      </c>
      <c r="D116" s="33">
        <f t="shared" si="97"/>
        <v>0.28567833631952971</v>
      </c>
      <c r="E116" s="33">
        <f t="shared" si="97"/>
        <v>0.38808945182028232</v>
      </c>
      <c r="F116" s="33">
        <f t="shared" si="97"/>
        <v>0.32080280018012852</v>
      </c>
      <c r="G116" s="33">
        <f t="shared" si="97"/>
        <v>0.39675134302482873</v>
      </c>
      <c r="H116" s="33">
        <f t="shared" ref="H116:N116" si="98">H109/H107</f>
        <v>0.35771377949456695</v>
      </c>
      <c r="I116" s="33">
        <f t="shared" si="98"/>
        <v>0.41644741787566714</v>
      </c>
      <c r="J116" s="33">
        <f t="shared" si="98"/>
        <v>0.26827586443492252</v>
      </c>
      <c r="K116" s="33">
        <f t="shared" si="98"/>
        <v>0.34319716950788037</v>
      </c>
      <c r="L116" s="33">
        <f t="shared" si="98"/>
        <v>0.33630041724617526</v>
      </c>
      <c r="M116" s="33">
        <f t="shared" si="98"/>
        <v>0.28691276849522396</v>
      </c>
      <c r="N116" s="33">
        <f t="shared" si="98"/>
        <v>0.34529264776797569</v>
      </c>
      <c r="O116" s="33"/>
    </row>
    <row r="117" spans="1:15" hidden="1" x14ac:dyDescent="0.3">
      <c r="A117" t="s">
        <v>940</v>
      </c>
      <c r="B117" s="33">
        <f t="shared" ref="B117:G117" si="99">B114/B107</f>
        <v>0.14877789585547291</v>
      </c>
      <c r="C117" s="33">
        <f t="shared" si="99"/>
        <v>0.15091282423768351</v>
      </c>
      <c r="D117" s="33">
        <f t="shared" si="99"/>
        <v>0.22346143780323313</v>
      </c>
      <c r="E117" s="33">
        <f t="shared" si="99"/>
        <v>0.155008320264333</v>
      </c>
      <c r="F117" s="33">
        <f t="shared" si="99"/>
        <v>0.14310496581651452</v>
      </c>
      <c r="G117" s="33">
        <f t="shared" si="99"/>
        <v>0.1702563479662767</v>
      </c>
      <c r="H117" s="33">
        <f t="shared" ref="H117:N117" si="100">H114/H107</f>
        <v>0.15496993180285479</v>
      </c>
      <c r="I117" s="33">
        <f t="shared" si="100"/>
        <v>0.25535593475155982</v>
      </c>
      <c r="J117" s="33">
        <f t="shared" si="100"/>
        <v>8.9958180527014556E-2</v>
      </c>
      <c r="K117" s="33">
        <f t="shared" si="100"/>
        <v>0.13970730138308138</v>
      </c>
      <c r="L117" s="33">
        <f t="shared" si="100"/>
        <v>0.1331682892906815</v>
      </c>
      <c r="M117" s="33">
        <f t="shared" si="100"/>
        <v>0.11476510739808958</v>
      </c>
      <c r="N117" s="33">
        <f t="shared" si="100"/>
        <v>0.13693084089977231</v>
      </c>
      <c r="O117" s="33"/>
    </row>
    <row r="118" spans="1:15" hidden="1" x14ac:dyDescent="0.3">
      <c r="A118" t="s">
        <v>941</v>
      </c>
      <c r="B118" s="33">
        <f t="shared" ref="B118:G118" si="101">B114/B104</f>
        <v>5.416432189082724E-2</v>
      </c>
      <c r="C118" s="33">
        <f t="shared" si="101"/>
        <v>8.1517474497495024E-2</v>
      </c>
      <c r="D118" s="33">
        <f t="shared" si="101"/>
        <v>2.002742494226328E-2</v>
      </c>
      <c r="E118" s="33">
        <f t="shared" si="101"/>
        <v>2.3273182187064402E-2</v>
      </c>
      <c r="F118" s="33">
        <f t="shared" si="101"/>
        <v>2.4633666157227358E-2</v>
      </c>
      <c r="G118" s="33">
        <f t="shared" si="101"/>
        <v>2.7547276672494084E-2</v>
      </c>
      <c r="H118" s="33">
        <f t="shared" ref="H118:N118" si="102">H114/H104</f>
        <v>3.408770727142979E-2</v>
      </c>
      <c r="I118" s="33">
        <f t="shared" si="102"/>
        <v>4.3982802210749739E-2</v>
      </c>
      <c r="J118" s="33">
        <f t="shared" si="102"/>
        <v>2.6116645452245641E-2</v>
      </c>
      <c r="K118" s="33">
        <f t="shared" si="102"/>
        <v>3.6958156916667803E-2</v>
      </c>
      <c r="L118" s="33">
        <f t="shared" si="102"/>
        <v>3.9457840014176272E-2</v>
      </c>
      <c r="M118" s="33">
        <f t="shared" si="102"/>
        <v>3.7237528273690958E-2</v>
      </c>
      <c r="N118" s="33">
        <f t="shared" si="102"/>
        <v>4.1783321608823129E-2</v>
      </c>
      <c r="O118" s="33"/>
    </row>
    <row r="119" spans="1:15" hidden="1" x14ac:dyDescent="0.3">
      <c r="A119" t="s">
        <v>942</v>
      </c>
      <c r="B119" s="33">
        <f t="shared" ref="B119:G119" si="103">B114/B100</f>
        <v>1.2854736469555143E-2</v>
      </c>
      <c r="C119" s="33">
        <f t="shared" si="103"/>
        <v>1.2748233017498731E-2</v>
      </c>
      <c r="D119" s="33">
        <f t="shared" si="103"/>
        <v>1.1332416530626622E-2</v>
      </c>
      <c r="E119" s="33">
        <f t="shared" si="103"/>
        <v>7.8915442907437992E-3</v>
      </c>
      <c r="F119" s="33">
        <f t="shared" si="103"/>
        <v>8.7183944561424077E-3</v>
      </c>
      <c r="G119" s="33">
        <f t="shared" si="103"/>
        <v>1.0345462700878008E-2</v>
      </c>
      <c r="H119" s="33">
        <f t="shared" ref="H119:N119" si="104">H114/H100</f>
        <v>1.1195585304104212E-2</v>
      </c>
      <c r="I119" s="33">
        <f t="shared" si="104"/>
        <v>1.3657287974323066E-2</v>
      </c>
      <c r="J119" s="33">
        <f t="shared" si="104"/>
        <v>6.9729143415419711E-3</v>
      </c>
      <c r="K119" s="33">
        <f t="shared" si="104"/>
        <v>1.1558772372418404E-2</v>
      </c>
      <c r="L119" s="33">
        <f t="shared" si="104"/>
        <v>1.2075802562620808E-2</v>
      </c>
      <c r="M119" s="33">
        <f t="shared" si="104"/>
        <v>1.1499658399885305E-2</v>
      </c>
      <c r="N119" s="33">
        <f t="shared" si="104"/>
        <v>1.1249163462632335E-2</v>
      </c>
      <c r="O119" s="33"/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656F5-04BE-4ECC-99F7-18060E65A1ED}">
  <sheetPr codeName="Planilha7">
    <pageSetUpPr autoPageBreaks="0"/>
  </sheetPr>
  <dimension ref="A1:AI89"/>
  <sheetViews>
    <sheetView showGridLines="0" workbookViewId="0">
      <selection activeCell="A4" sqref="A4"/>
    </sheetView>
  </sheetViews>
  <sheetFormatPr defaultRowHeight="14.4" x14ac:dyDescent="0.3"/>
  <cols>
    <col min="1" max="1" width="24" bestFit="1" customWidth="1"/>
    <col min="2" max="2" width="80.88671875" style="2" bestFit="1" customWidth="1"/>
    <col min="3" max="3" width="32.109375" bestFit="1" customWidth="1"/>
    <col min="4" max="4" width="26" bestFit="1" customWidth="1"/>
    <col min="5" max="5" width="22.5546875" bestFit="1" customWidth="1"/>
    <col min="6" max="6" width="24" bestFit="1" customWidth="1"/>
    <col min="7" max="7" width="25" bestFit="1" customWidth="1"/>
    <col min="8" max="9" width="11.109375" bestFit="1" customWidth="1"/>
    <col min="10" max="10" width="11.109375" customWidth="1"/>
    <col min="11" max="11" width="11.44140625" customWidth="1"/>
    <col min="12" max="12" width="11.109375" bestFit="1" customWidth="1"/>
    <col min="15" max="15" width="11.109375" bestFit="1" customWidth="1"/>
    <col min="16" max="16" width="23.109375" bestFit="1" customWidth="1"/>
    <col min="17" max="17" width="16.44140625" bestFit="1" customWidth="1"/>
    <col min="18" max="18" width="23.109375" bestFit="1" customWidth="1"/>
    <col min="19" max="19" width="16.44140625" bestFit="1" customWidth="1"/>
    <col min="20" max="20" width="15" bestFit="1" customWidth="1"/>
    <col min="21" max="21" width="37.44140625" bestFit="1" customWidth="1"/>
    <col min="22" max="22" width="10.6640625" bestFit="1" customWidth="1"/>
    <col min="23" max="23" width="24.5546875" bestFit="1" customWidth="1"/>
    <col min="24" max="24" width="5.33203125" bestFit="1" customWidth="1"/>
    <col min="25" max="25" width="17.6640625" bestFit="1" customWidth="1"/>
    <col min="26" max="28" width="15" bestFit="1" customWidth="1"/>
    <col min="30" max="30" width="11.44140625" bestFit="1" customWidth="1"/>
    <col min="31" max="35" width="11.44140625" customWidth="1"/>
  </cols>
  <sheetData>
    <row r="1" spans="1:35" x14ac:dyDescent="0.3">
      <c r="A1" s="22" t="s">
        <v>157</v>
      </c>
      <c r="F1" s="293">
        <f>K12/K13-1</f>
        <v>0</v>
      </c>
      <c r="H1" t="s">
        <v>192</v>
      </c>
      <c r="I1" t="s">
        <v>193</v>
      </c>
      <c r="J1" t="s">
        <v>194</v>
      </c>
      <c r="K1" t="s">
        <v>195</v>
      </c>
      <c r="L1" t="s">
        <v>947</v>
      </c>
      <c r="O1">
        <f>IFERROR(MATCH(MENU!AB21,listaPeriodos,0),"SEM DADOS")</f>
        <v>117</v>
      </c>
      <c r="P1" s="290" t="str">
        <f>"AUXILIAR IMPOSTOS GERADO MÊS: "&amp;IF(MONTH(MENU!AB21)=13,MENU!AB21,VLOOKUP(MONTH(MENU!AB21),$A$31:$B$42,2,FALSE)&amp;" "&amp;MENU!AC19)</f>
        <v>AUXILIAR IMPOSTOS GERADO MÊS: Junho 2026</v>
      </c>
      <c r="Q1" s="290"/>
      <c r="R1" s="290"/>
      <c r="S1" s="290"/>
      <c r="T1" s="290"/>
      <c r="U1" s="290"/>
      <c r="W1" s="155" t="s">
        <v>158</v>
      </c>
      <c r="X1" s="155" t="s">
        <v>159</v>
      </c>
      <c r="Y1" s="155" t="s">
        <v>959</v>
      </c>
      <c r="Z1" s="155" t="s">
        <v>960</v>
      </c>
      <c r="AA1" s="155" t="s">
        <v>961</v>
      </c>
      <c r="AB1" s="155" t="s">
        <v>962</v>
      </c>
      <c r="AD1" s="156">
        <f t="shared" ref="AD1:AI1" si="0">IFERROR((P3/P7)-1,0)</f>
        <v>-2.178999632055671</v>
      </c>
      <c r="AE1" s="156">
        <f t="shared" si="0"/>
        <v>-2.1978037237627257</v>
      </c>
      <c r="AF1" s="156">
        <f t="shared" si="0"/>
        <v>-0.66075386755846721</v>
      </c>
      <c r="AG1" s="156">
        <f t="shared" si="0"/>
        <v>-0.23749899616641224</v>
      </c>
      <c r="AH1" s="156">
        <f t="shared" si="0"/>
        <v>0</v>
      </c>
      <c r="AI1" s="156">
        <f t="shared" si="0"/>
        <v>0</v>
      </c>
    </row>
    <row r="2" spans="1:35" x14ac:dyDescent="0.3">
      <c r="A2" s="2">
        <f>COUNTA(DB!4:4)-3</f>
        <v>117</v>
      </c>
      <c r="F2" s="293"/>
      <c r="H2" s="14">
        <f>(1-(Q25/U25))*-1</f>
        <v>8.9529998360988738E-2</v>
      </c>
      <c r="I2" s="14">
        <f>(1-(Q26/U26))*-1</f>
        <v>-0.37148919591454055</v>
      </c>
      <c r="J2" s="14">
        <f>(1-(Q27/U27))*-1</f>
        <v>-0.12268700728421944</v>
      </c>
      <c r="K2" s="14">
        <f>IFERROR((1-(Q28/U28))*-1,0)</f>
        <v>0</v>
      </c>
      <c r="L2" s="14">
        <f>IFERROR((1-(Q29/U29))*-1,0)</f>
        <v>1.2342488886513232</v>
      </c>
      <c r="P2" s="155" t="s">
        <v>158</v>
      </c>
      <c r="Q2" s="155" t="s">
        <v>159</v>
      </c>
      <c r="R2" s="155" t="s">
        <v>959</v>
      </c>
      <c r="S2" s="155" t="s">
        <v>960</v>
      </c>
      <c r="T2" s="155" t="s">
        <v>961</v>
      </c>
      <c r="U2" s="155" t="s">
        <v>962</v>
      </c>
      <c r="W2" s="155">
        <v>7</v>
      </c>
      <c r="X2" s="155">
        <v>6</v>
      </c>
      <c r="Y2" s="155" t="s">
        <v>963</v>
      </c>
      <c r="Z2" s="155" t="s">
        <v>964</v>
      </c>
      <c r="AA2" s="155" t="s">
        <v>965</v>
      </c>
      <c r="AB2" s="155" t="s">
        <v>966</v>
      </c>
    </row>
    <row r="3" spans="1:35" x14ac:dyDescent="0.3">
      <c r="A3" s="1" t="s">
        <v>154</v>
      </c>
      <c r="F3" s="293"/>
      <c r="O3" t="s">
        <v>967</v>
      </c>
      <c r="P3" s="157" cm="1">
        <f t="array" ref="P3">IFERROR(INDEX(TBBP[],MATCH(W2,planoContas,0)+1,$O$1)*-1,0)</f>
        <v>275600.81999999966</v>
      </c>
      <c r="Q3" s="157" cm="1">
        <f t="array" ref="Q3">IFERROR(INDEX(TBBP[],MATCH(X2,planoContas,0)+1,$O$1)*-1,0)</f>
        <v>99936.295199999877</v>
      </c>
      <c r="R3" s="157" cm="1">
        <f t="array" ref="R3">IFERROR(INDEX(TBBP[],MATCH(Y2,planoContas,0)+1,$O$1),0)</f>
        <v>24861.3</v>
      </c>
      <c r="S3" s="157" cm="1">
        <f t="array" ref="S3">IFERROR(INDEX(TBBP[],MATCH(Z2,planoContas,0)+1,$O$1),0)</f>
        <v>9020.1200000000008</v>
      </c>
      <c r="T3" s="157" cm="1">
        <f t="array" ref="T3">IFERROR(INDEX(TBBP[],MATCH(AA2,planoContas,0)+1,$O$1),0)</f>
        <v>79159.22</v>
      </c>
      <c r="U3" s="157" cm="1">
        <f t="array" ref="U3">IFERROR(INDEX(TBBP[],MATCH(AB2,planoContas,0)+1,$O$1),0)</f>
        <v>927275.09</v>
      </c>
      <c r="W3" s="155"/>
      <c r="X3" s="155"/>
      <c r="Y3" s="155" t="s">
        <v>968</v>
      </c>
      <c r="Z3" s="155" t="s">
        <v>969</v>
      </c>
      <c r="AA3" s="155" t="s">
        <v>970</v>
      </c>
      <c r="AB3" s="155" t="s">
        <v>971</v>
      </c>
    </row>
    <row r="4" spans="1:35" x14ac:dyDescent="0.3">
      <c r="A4" s="5" t="str">
        <f>IFERROR(IF(MID(DB!$A4,1,1)="1",VLOOKUP(DB!$A4,[2]!TABELABP,9,FALSE),(IF(MID(DB!$A4,1,1)="2",VLOOKUP(DB!$A4,[2]!TABELABP,9,FALSE),(IF(MID(DB!$A4,1,1)="3",VLOOKUP(DB!$A4,[2]!TABELABP,10,FALSE),IF(MID(DB!$A4,1,1)&gt;="4",-VLOOKUP(DB!$A4,[2]!TABELABP,10,FALSE))))))),"Verificar")</f>
        <v>Verificar</v>
      </c>
      <c r="F4" s="293"/>
      <c r="H4" s="287" t="s">
        <v>654</v>
      </c>
      <c r="I4" s="287"/>
      <c r="J4" s="287"/>
      <c r="K4" s="287"/>
      <c r="O4" t="s">
        <v>972</v>
      </c>
      <c r="P4" s="157" cm="1">
        <f t="array" ref="P4">IFERROR(INDEX(TBBP[],MATCH(W3,planoContas,0)+1,$O$1)*-1,0)</f>
        <v>0</v>
      </c>
      <c r="Q4" s="157" cm="1">
        <f t="array" ref="Q4">IFERROR(INDEX(TBBP[],MATCH(X3,planoContas,0)+1,$O$1)*-1,0)</f>
        <v>0</v>
      </c>
      <c r="R4" s="157" cm="1">
        <f t="array" ref="R4">IFERROR(INDEX(TBBP[],MATCH(Y3,planoContas,0)+1,$O$1),0)</f>
        <v>660273.39</v>
      </c>
      <c r="S4" s="157" cm="1">
        <f t="array" ref="S4">IFERROR(INDEX(TBBP[],MATCH(Z3,planoContas,0)+1,$O$1),0)</f>
        <v>183204.74</v>
      </c>
      <c r="T4" s="157" cm="1">
        <f t="array" ref="T4">IFERROR(INDEX(TBBP[],MATCH(AA3,planoContas,0)+1,$O$1),0)</f>
        <v>0</v>
      </c>
      <c r="U4" s="157" cm="1">
        <f t="array" ref="U4">IFERROR(INDEX(TBBP[],MATCH(AB3,planoContas,0)+1,$O$1),0)</f>
        <v>557265.29</v>
      </c>
    </row>
    <row r="5" spans="1:35" x14ac:dyDescent="0.3">
      <c r="F5" s="293"/>
      <c r="H5" t="s">
        <v>663</v>
      </c>
      <c r="I5" t="s">
        <v>666</v>
      </c>
      <c r="J5" t="s">
        <v>664</v>
      </c>
      <c r="K5" t="s">
        <v>665</v>
      </c>
      <c r="L5" t="s">
        <v>667</v>
      </c>
      <c r="O5">
        <f>MATCH(MENU!AC21,listaPeriodos,0)</f>
        <v>104</v>
      </c>
      <c r="P5" s="290" t="str">
        <f>"AUXILIAR IMPOSTOS GERADO MÊS: "&amp;IF(MONTH(MENU!AB21)=13,MENU!AB21,VLOOKUP(MONTH(MENU!AB21),$A$31:$B$42,2,FALSE)&amp;" "&amp;MENU!AC19-1)</f>
        <v>AUXILIAR IMPOSTOS GERADO MÊS: Junho 2025</v>
      </c>
      <c r="Q5" s="290"/>
      <c r="R5" s="290"/>
      <c r="S5" s="290"/>
      <c r="T5" s="290"/>
      <c r="U5" s="290"/>
      <c r="Y5" s="290" t="s">
        <v>985</v>
      </c>
      <c r="Z5" s="290"/>
    </row>
    <row r="6" spans="1:35" x14ac:dyDescent="0.3">
      <c r="F6" s="293"/>
      <c r="H6" s="14">
        <f>(1-(A19/A21))*-1</f>
        <v>-0.44688302604827468</v>
      </c>
      <c r="I6" s="14">
        <f>(1-(B19/B21))*-1</f>
        <v>-0.22461548081594707</v>
      </c>
      <c r="J6" s="14">
        <f>(1-(C19/C21))*-1</f>
        <v>-0.27566405594853294</v>
      </c>
      <c r="K6" s="14">
        <f>(1-(D19/D21))*-1</f>
        <v>1.1392160677674039</v>
      </c>
      <c r="L6" s="14">
        <f>IFERROR((1-(E19/E21))*-1,0)</f>
        <v>-12.99268530013757</v>
      </c>
      <c r="P6" s="155" t="s">
        <v>158</v>
      </c>
      <c r="Q6" s="155" t="s">
        <v>159</v>
      </c>
      <c r="R6" s="155" t="s">
        <v>959</v>
      </c>
      <c r="S6" s="155" t="s">
        <v>960</v>
      </c>
      <c r="T6" s="155" t="s">
        <v>961</v>
      </c>
      <c r="U6" s="155" t="s">
        <v>962</v>
      </c>
      <c r="W6" t="str">
        <f>IF(MONTH(MENU!AB21)=13,MENU!AB21,VLOOKUP(MONTH(MENU!AB21),$A$31:$B$42,2,FALSE)&amp;" "&amp;MENU!AC19)</f>
        <v>Junho 2026</v>
      </c>
      <c r="Y6" s="158" t="s">
        <v>987</v>
      </c>
      <c r="Z6" s="157" cm="1">
        <f t="array" ref="Z6">IFERROR(INDEX(TBBP[],MATCH(AA6,planoContas,0)+1,$O$1),0)</f>
        <v>1461558.96</v>
      </c>
      <c r="AA6" s="2" t="s">
        <v>981</v>
      </c>
    </row>
    <row r="7" spans="1:35" x14ac:dyDescent="0.3">
      <c r="A7" s="291" t="s">
        <v>168</v>
      </c>
      <c r="B7" s="291"/>
      <c r="C7" s="291"/>
      <c r="D7" s="291"/>
      <c r="E7" s="291"/>
      <c r="F7" s="291"/>
      <c r="O7" t="s">
        <v>967</v>
      </c>
      <c r="P7" s="157" cm="1">
        <f t="array" ref="P7">IFERROR(INDEX(TBBP[],MATCH(W2,planoContas,0)+1,$O$5)*-1,0)</f>
        <v>-233758.19</v>
      </c>
      <c r="Q7" s="157" cm="1">
        <f t="array" ref="Q7">IFERROR(INDEX(TBBP[],MATCH(X2,planoContas,0)+1,$O$5)*-1,0)</f>
        <v>-83432.947499999907</v>
      </c>
      <c r="R7" s="157" cm="1">
        <f t="array" ref="R7">IFERROR(INDEX(TBBP[],MATCH(Y2,planoContas,0)+1,$O$5),0)</f>
        <v>73283.960000000006</v>
      </c>
      <c r="S7" s="157" cm="1">
        <f t="array" ref="S7">IFERROR(INDEX(TBBP[],MATCH(Z2,planoContas,0)+1,$O$5),0)</f>
        <v>11829.65</v>
      </c>
      <c r="T7" s="157" cm="1">
        <f t="array" ref="T7">IFERROR(INDEX(TBBP[],MATCH(AA2,planoContas,0)+1,$O$5),0)</f>
        <v>0</v>
      </c>
      <c r="U7" s="157" cm="1">
        <f t="array" ref="U7">IFERROR(INDEX(TBBP[],MATCH(AB2,planoContas,0)+1,$O$5),0)</f>
        <v>0</v>
      </c>
      <c r="W7" t="str">
        <f>IF(MONTH(MENU!AB21)=13,MENU!AB21,VLOOKUP(MONTH(MENU!AB21),$A$31:$B$42,2,FALSE)&amp;" "&amp;MENU!AC19)&amp;" X "&amp;IF(MONTH(MENU!AB21)=13,MENU!AB21,VLOOKUP(MONTH(MENU!AB21),$A$31:$B$42,2,FALSE)&amp;" "&amp;MENU!AC19-1)</f>
        <v>Junho 2026 X Junho 2025</v>
      </c>
      <c r="Y7" s="158" t="s">
        <v>986</v>
      </c>
      <c r="Z7" s="157" cm="1">
        <f t="array" ref="Z7">IFERROR(INDEX(TBBP[],MATCH(AA7,planoContas,0)+1,$O$1),0)</f>
        <v>252839.23</v>
      </c>
      <c r="AA7" s="2" t="s">
        <v>982</v>
      </c>
    </row>
    <row r="8" spans="1:35" x14ac:dyDescent="0.3">
      <c r="A8" t="s">
        <v>155</v>
      </c>
      <c r="B8" s="2" t="s">
        <v>156</v>
      </c>
      <c r="C8" t="s">
        <v>160</v>
      </c>
      <c r="D8" t="s">
        <v>158</v>
      </c>
      <c r="E8" t="s">
        <v>159</v>
      </c>
      <c r="F8" t="s">
        <v>161</v>
      </c>
      <c r="H8" s="287" t="s">
        <v>662</v>
      </c>
      <c r="I8" s="287"/>
      <c r="J8" s="287"/>
      <c r="K8" s="287"/>
      <c r="L8" s="287"/>
      <c r="O8" t="s">
        <v>972</v>
      </c>
      <c r="P8" s="157" cm="1">
        <f t="array" ref="P8">IFERROR(INDEX(TBBP[],MATCH(W3,planoContas,0)+1,$O$5)*-1,0)</f>
        <v>0</v>
      </c>
      <c r="Q8" s="157" cm="1">
        <f t="array" ref="Q8">IFERROR(INDEX(TBBP[],MATCH(X3,planoContas,0)+1,$O$5)*-1,0)</f>
        <v>0</v>
      </c>
      <c r="R8" s="157" cm="1">
        <f t="array" ref="R8">IFERROR(INDEX(TBBP[],MATCH(Y3,planoContas,0)+1,$O$5),0)</f>
        <v>264444.96000000002</v>
      </c>
      <c r="S8" s="157" cm="1">
        <f t="array" ref="S8">IFERROR(INDEX(TBBP[],MATCH(Z3,planoContas,0)+1,$O$5),0)</f>
        <v>138361.12</v>
      </c>
      <c r="T8" s="157" cm="1">
        <f t="array" ref="T8">IFERROR(INDEX(TBBP[],MATCH(AA3,planoContas,0)+1,$O$5),0)</f>
        <v>24667.72</v>
      </c>
      <c r="U8" s="157" cm="1">
        <f t="array" ref="U8">IFERROR(INDEX(TBBP[],MATCH(AB3,planoContas,0)+1,$O$5),0)</f>
        <v>103949.8</v>
      </c>
      <c r="Y8" s="158" t="s">
        <v>1046</v>
      </c>
      <c r="Z8" s="157" cm="1">
        <f t="array" ref="Z8">IFERROR(INDEX(TBBP[],MATCH(AA8,planoContas,0)+1,$O$1),0)</f>
        <v>140819.43</v>
      </c>
      <c r="AA8" s="2" t="s">
        <v>1044</v>
      </c>
    </row>
    <row r="9" spans="1:35" x14ac:dyDescent="0.3">
      <c r="A9" s="4">
        <f>IFERROR(VLOOKUP("3",[2]!TABELABP,10,FALSE),"VERIFICAR")</f>
        <v>10851648.739999998</v>
      </c>
      <c r="B9" s="16">
        <f>IFERROR(VLOOKUP("4",[2]!TABELABP,10,FALSE),"VERIFICAR")</f>
        <v>10112211.33</v>
      </c>
      <c r="C9" s="4">
        <f>A9-B9</f>
        <v>739437.40999999829</v>
      </c>
      <c r="D9" s="4">
        <f>VLOOKUP(6,TBBP[],$A$2,FALSE)</f>
        <v>-99936.295199999877</v>
      </c>
      <c r="E9" s="4">
        <f>VLOOKUP(7,TBBP[],$A$2,FALSE)</f>
        <v>-275600.81999999966</v>
      </c>
      <c r="F9" s="9">
        <f>C9+D9+E9</f>
        <v>363900.29479999881</v>
      </c>
      <c r="O9">
        <f>MATCH($A$25,listaPeriodos,0)</f>
        <v>117</v>
      </c>
      <c r="P9" s="294" t="str">
        <f>"AUXILIAR IMPOSTOS CREDOR: "&amp;$D$25</f>
        <v>AUXILIAR IMPOSTOS CREDOR: 2026</v>
      </c>
      <c r="Q9" s="295"/>
      <c r="R9" s="295"/>
      <c r="S9" s="295"/>
      <c r="T9" s="295"/>
      <c r="U9" s="296"/>
    </row>
    <row r="10" spans="1:35" x14ac:dyDescent="0.3">
      <c r="P10" s="155" t="s">
        <v>158</v>
      </c>
      <c r="Q10" s="155" t="s">
        <v>159</v>
      </c>
      <c r="R10" s="155" t="s">
        <v>959</v>
      </c>
      <c r="S10" s="155" t="s">
        <v>960</v>
      </c>
      <c r="T10" s="155" t="s">
        <v>961</v>
      </c>
      <c r="U10" s="155" t="s">
        <v>962</v>
      </c>
    </row>
    <row r="11" spans="1:35" x14ac:dyDescent="0.3">
      <c r="A11" s="287" t="s">
        <v>251</v>
      </c>
      <c r="B11" s="287"/>
      <c r="C11" s="287"/>
      <c r="D11" s="287"/>
      <c r="H11" s="287" t="s">
        <v>1032</v>
      </c>
      <c r="I11" s="287"/>
      <c r="J11" s="287"/>
      <c r="K11" s="287"/>
      <c r="L11" s="287"/>
      <c r="O11" t="s">
        <v>967</v>
      </c>
      <c r="P11" s="157"/>
      <c r="Q11" s="157"/>
      <c r="R11" s="157"/>
      <c r="S11" s="157"/>
      <c r="T11" s="157"/>
      <c r="U11" s="157"/>
    </row>
    <row r="12" spans="1:35" x14ac:dyDescent="0.3">
      <c r="A12" t="s">
        <v>169</v>
      </c>
      <c r="B12" s="2" t="s">
        <v>170</v>
      </c>
      <c r="C12" t="s">
        <v>171</v>
      </c>
      <c r="D12" t="s">
        <v>172</v>
      </c>
      <c r="E12" s="9"/>
      <c r="G12">
        <f>H12-2013+1</f>
        <v>14</v>
      </c>
      <c r="H12">
        <f>D25</f>
        <v>2026</v>
      </c>
      <c r="I12">
        <f>MATCH("AC. EBIT ANUAL",tbIndicadoresCol1,0)+G12</f>
        <v>3130</v>
      </c>
      <c r="J12" s="4" cm="1">
        <f t="array" ref="J12">INDEX(tbindicadores,I12,5)</f>
        <v>12714823.559999995</v>
      </c>
      <c r="K12" s="10" cm="1">
        <f t="array" ref="K12">INDEX(tbindicadores,I12,7)</f>
        <v>0.114059084360842</v>
      </c>
      <c r="O12" t="s">
        <v>972</v>
      </c>
      <c r="P12" s="157"/>
      <c r="Q12" s="157"/>
      <c r="R12" s="157"/>
      <c r="S12" s="157"/>
      <c r="T12" s="157"/>
      <c r="U12" s="157"/>
    </row>
    <row r="13" spans="1:35" x14ac:dyDescent="0.3">
      <c r="A13" s="4">
        <f>IFERROR(VLOOKUP("3.1.1.1.01.00001",TBBP[],FORMULAS!$A$2,FALSE),"Verificar")</f>
        <v>11581833.029999999</v>
      </c>
      <c r="B13" s="16">
        <f>IFERROR(VLOOKUP("3.1.1.1.01.00002",TBBP[],FORMULAS!$A$2,FALSE),"Verificar")</f>
        <v>2514125.0299999998</v>
      </c>
      <c r="C13" s="4">
        <f>IFERROR(VLOOKUP("3.1.1.1.01.00003",TBBP[],FORMULAS!$A$2,FALSE),"Verificar")</f>
        <v>45122.53</v>
      </c>
      <c r="D13" s="4">
        <f>IFERROR(VLOOKUP("3.1.1.1.01.00004",TBBP[],FORMULAS!$A$2,FALSE),"Verificar")</f>
        <v>0</v>
      </c>
      <c r="E13" s="10"/>
      <c r="G13">
        <f>H13-2013+1</f>
        <v>13</v>
      </c>
      <c r="H13">
        <f>D27</f>
        <v>2025</v>
      </c>
      <c r="I13">
        <f>MATCH("AC. EBIT ANUAL",tbIndicadoresCol1,0)+G13</f>
        <v>3129</v>
      </c>
      <c r="J13" s="4" cm="1">
        <f t="array" ref="J13">INDEX(tbindicadores,I13,5)</f>
        <v>12714823.559999995</v>
      </c>
      <c r="K13" s="10" cm="1">
        <f t="array" ref="K13">INDEX(tbindicadores,I13,7)</f>
        <v>0.114059084360842</v>
      </c>
      <c r="O13">
        <f>MATCH($A$27,listaPeriodos,0)</f>
        <v>104</v>
      </c>
      <c r="P13" s="294" t="str">
        <f>"AUXILIAR IMPOSTOS CREDOR: "&amp;D27</f>
        <v>AUXILIAR IMPOSTOS CREDOR: 2025</v>
      </c>
      <c r="Q13" s="295"/>
      <c r="R13" s="295"/>
      <c r="S13" s="295"/>
      <c r="T13" s="295"/>
      <c r="U13" s="296"/>
    </row>
    <row r="14" spans="1:35" x14ac:dyDescent="0.3">
      <c r="A14" t="s">
        <v>189</v>
      </c>
      <c r="B14" s="2" t="s">
        <v>622</v>
      </c>
      <c r="C14" t="s">
        <v>190</v>
      </c>
      <c r="D14" t="s">
        <v>191</v>
      </c>
      <c r="E14" s="9"/>
      <c r="P14" s="155" t="s">
        <v>158</v>
      </c>
      <c r="Q14" s="155" t="s">
        <v>159</v>
      </c>
      <c r="R14" s="155" t="s">
        <v>959</v>
      </c>
      <c r="S14" s="155" t="s">
        <v>960</v>
      </c>
      <c r="T14" s="155" t="s">
        <v>961</v>
      </c>
      <c r="U14" s="155" t="s">
        <v>962</v>
      </c>
    </row>
    <row r="15" spans="1:35" x14ac:dyDescent="0.3">
      <c r="A15" s="4">
        <f>IFERROR(VLOOKUP("3.1.1.1.01.00001",TBBP[],FORMULAS!$A$2-13,FALSE),"Verificar")</f>
        <v>9258494.9600000009</v>
      </c>
      <c r="B15" s="16">
        <f>IFERROR(VLOOKUP("3.1.1.1.01.00002",TBBP[],FORMULAS!$A$2-13,FALSE),"Verificar")</f>
        <v>4629585.9800000004</v>
      </c>
      <c r="C15" s="4">
        <f>IFERROR(VLOOKUP("3.1.1.1.01.00003",TBBP[],FORMULAS!$A$2-13,FALSE),"Verificar")</f>
        <v>63654.400000000001</v>
      </c>
      <c r="D15" s="4">
        <f>IFERROR(VLOOKUP("3.1.1.1.01.00004",TBBP[],FORMULAS!$A$2-13,FALSE),"Verificar")</f>
        <v>0</v>
      </c>
      <c r="E15" s="10"/>
      <c r="O15" t="s">
        <v>967</v>
      </c>
      <c r="P15" s="157"/>
      <c r="Q15" s="157"/>
      <c r="R15" s="157"/>
      <c r="S15" s="157"/>
      <c r="T15" s="157"/>
      <c r="U15" s="157"/>
    </row>
    <row r="16" spans="1:35" x14ac:dyDescent="0.3">
      <c r="E16" s="10"/>
      <c r="O16" t="s">
        <v>972</v>
      </c>
      <c r="P16" s="157"/>
      <c r="Q16" s="157"/>
      <c r="R16" s="157"/>
      <c r="S16" s="157"/>
      <c r="T16" s="157"/>
      <c r="U16" s="157"/>
    </row>
    <row r="17" spans="1:25" x14ac:dyDescent="0.3">
      <c r="A17" s="297" t="s">
        <v>253</v>
      </c>
      <c r="B17" s="297"/>
      <c r="C17" s="297"/>
      <c r="D17" s="297"/>
      <c r="E17" s="297"/>
      <c r="H17" t="str">
        <f>"Diferença entre (%) "&amp;H12&amp;" / "&amp;H13</f>
        <v>Diferença entre (%) 2026 / 2025</v>
      </c>
    </row>
    <row r="18" spans="1:25" x14ac:dyDescent="0.3">
      <c r="A18" t="s">
        <v>651</v>
      </c>
      <c r="B18" s="2" t="s">
        <v>657</v>
      </c>
      <c r="C18" t="s">
        <v>658</v>
      </c>
      <c r="D18" t="s">
        <v>659</v>
      </c>
      <c r="E18" t="s">
        <v>660</v>
      </c>
    </row>
    <row r="19" spans="1:25" x14ac:dyDescent="0.3">
      <c r="A19" s="24">
        <f>IFERROR(VLOOKUP("4.2.1.2",TBBP[],FORMULAS!$A$2,FALSE),"Verificar")</f>
        <v>-714950.29999999993</v>
      </c>
      <c r="B19" s="24">
        <f>IFERROR(VLOOKUP("4.2.1.1",TBBP[],FORMULAS!$A$2,FALSE),"Verificar")</f>
        <v>-865280.91</v>
      </c>
      <c r="C19" s="24">
        <f>IFERROR(VLOOKUP("4.1.1.1.20",TBBP[],FORMULAS!$A$2,FALSE),"Verificar")</f>
        <v>-995177.46</v>
      </c>
      <c r="D19" s="24">
        <f>IFERROR(VLOOKUP("4.1.1.1.13",TBBP[],FORMULAS!$A$2,FALSE),"Verificar")</f>
        <v>-5849927.3199999994</v>
      </c>
      <c r="E19" s="24">
        <f>IFERROR(VLOOKUP("4.1.1.2",TBBP[],FORMULAS!$A$2,FALSE),"Verificar")</f>
        <v>-3574.18</v>
      </c>
    </row>
    <row r="20" spans="1:25" x14ac:dyDescent="0.3">
      <c r="A20" t="s">
        <v>652</v>
      </c>
      <c r="B20" s="2" t="s">
        <v>653</v>
      </c>
      <c r="C20" t="s">
        <v>655</v>
      </c>
      <c r="D20" t="s">
        <v>656</v>
      </c>
      <c r="E20" t="s">
        <v>661</v>
      </c>
      <c r="T20" s="29">
        <f>DATE(S23,1,1)</f>
        <v>45658</v>
      </c>
    </row>
    <row r="21" spans="1:25" x14ac:dyDescent="0.3">
      <c r="A21" s="24">
        <f>IFERROR(VLOOKUP("4.2.1.2",TBBP[],FORMULAS!$A$2-13,FALSE),"Verificar")</f>
        <v>-1292584.27</v>
      </c>
      <c r="B21" s="24">
        <f>IFERROR(VLOOKUP("4.2.1.1",TBBP[],FORMULAS!$A$2-13,FALSE),"Verificar")</f>
        <v>-1115937.8199999998</v>
      </c>
      <c r="C21" s="24">
        <f>IFERROR(VLOOKUP("4.1.1.1.20",TBBP[],FORMULAS!$A$2-13,FALSE),"Verificar")</f>
        <v>-1373916.99</v>
      </c>
      <c r="D21" s="24">
        <f>IFERROR(VLOOKUP("4.1.1.1.13",TBBP[],FORMULAS!$A$2-13,FALSE),"Verificar")</f>
        <v>-2734612.6499999994</v>
      </c>
      <c r="E21" s="24">
        <f>IFERROR(VLOOKUP("4.1.1.2",TBBP[],FORMULAS!$A$2-13,FALSE),"Verificar")</f>
        <v>298.02999999999997</v>
      </c>
      <c r="S21" t="s">
        <v>998</v>
      </c>
      <c r="T21">
        <f>MATCH(T20,listaPeriodos,0)</f>
        <v>99</v>
      </c>
      <c r="U21" t="str">
        <f>ADDRESS(4,T21,4)</f>
        <v>CU4</v>
      </c>
      <c r="V21">
        <f>T20</f>
        <v>45658</v>
      </c>
      <c r="W21" s="292"/>
    </row>
    <row r="22" spans="1:25" x14ac:dyDescent="0.3">
      <c r="A22" s="4"/>
      <c r="B22" s="16"/>
      <c r="C22" s="4"/>
      <c r="D22" s="4"/>
      <c r="E22" s="10"/>
      <c r="S22" t="s">
        <v>999</v>
      </c>
      <c r="T22">
        <f>T21+R23-1</f>
        <v>104</v>
      </c>
      <c r="U22" t="str">
        <f>ADDRESS(4,T22,4)</f>
        <v>CZ4</v>
      </c>
      <c r="V22" cm="1">
        <f t="array" ref="V22">INDEX(listaPeriodos,1,T22)</f>
        <v>45809</v>
      </c>
      <c r="W22" s="292"/>
    </row>
    <row r="23" spans="1:25" ht="14.25" customHeight="1" x14ac:dyDescent="0.3">
      <c r="A23" s="287" t="s">
        <v>252</v>
      </c>
      <c r="B23" s="287"/>
      <c r="C23" s="287"/>
      <c r="D23" s="287"/>
      <c r="R23" s="2">
        <f>MONTH(A25)</f>
        <v>6</v>
      </c>
      <c r="S23">
        <f>YEAR(A27)</f>
        <v>2025</v>
      </c>
    </row>
    <row r="24" spans="1:25" x14ac:dyDescent="0.3">
      <c r="A24" s="2" t="s">
        <v>173</v>
      </c>
      <c r="B24" s="2" t="s">
        <v>187</v>
      </c>
      <c r="C24" t="s">
        <v>187</v>
      </c>
      <c r="D24" t="s">
        <v>174</v>
      </c>
      <c r="E24" s="288" t="str">
        <f>"Acumulados "&amp;D25</f>
        <v>Acumulados 2026</v>
      </c>
      <c r="F24" s="288"/>
      <c r="G24" s="267" t="str">
        <f>IF(MONTH($A$25)=13,"Receita: "&amp;$A$25,"Receita: "&amp;VLOOKUP(MONTH($A$25),$A$31:$B$42,2,FALSE)&amp;" "&amp;$D$25)</f>
        <v>Receita: Junho 2026</v>
      </c>
      <c r="H24" s="267"/>
      <c r="J24" s="7" t="str">
        <f>IF(MONTH($A$25)=13,"Despesas: "&amp;$A$25,"Despesas: "&amp;VLOOKUP(MONTH($A$25),$A$31:$B$42,2,FALSE)&amp;" "&amp;$D$25)</f>
        <v>Despesas: Junho 2026</v>
      </c>
      <c r="M24" s="7" t="str">
        <f>IF(MONTH($A$25)=13,"Custos: "&amp;$A$25,"Custos: "&amp;VLOOKUP(MONTH($A$25),$A$31:$B$42,2,FALSE)&amp;" "&amp;$D$25)</f>
        <v>Custos: Junho 2026</v>
      </c>
      <c r="P24" s="267" t="str">
        <f>"Acumulados "&amp;$D$25</f>
        <v>Acumulados 2026</v>
      </c>
      <c r="Q24" s="267"/>
      <c r="R24" s="267" t="str">
        <f>"Acumulados "&amp;$D$27</f>
        <v>Acumulados 2025</v>
      </c>
      <c r="S24" s="267"/>
      <c r="U24" t="s">
        <v>1000</v>
      </c>
      <c r="V24" s="2" t="s">
        <v>891</v>
      </c>
      <c r="W24" s="2" t="s">
        <v>892</v>
      </c>
      <c r="X24" s="2" t="s">
        <v>948</v>
      </c>
      <c r="Y24" s="2" t="s">
        <v>949</v>
      </c>
    </row>
    <row r="25" spans="1:25" x14ac:dyDescent="0.3">
      <c r="A25" s="3">
        <f>IF(VLOOKUP("CONTA CONTABIL",TBBP[],$A$2,FALSE)&gt;3000,VLOOKUP("CONTA CONTABIL",TBBP[],$A$2,FALSE),VLOOKUP("CONTA CONTABIL",TBBP[],$A$2-1,FALSE))</f>
        <v>46174</v>
      </c>
      <c r="B25" s="2" t="str">
        <f>IF(MONTH($A$25)=$R$23,"Receitas: Anual de"&amp;" "&amp;$D$25,"Receitas: "&amp;VLOOKUP(MONTH($A$25),$A$31:$B$42,2,FALSE)&amp;" "&amp;$D$25)</f>
        <v>Receitas: Anual de 2026</v>
      </c>
      <c r="C25" s="7" t="str">
        <f>IF(MONTH($A$25)=13,"Despesas / Custos: "&amp;$A$25,"Despesas / Custos: "&amp;VLOOKUP(MONTH($A$25),$A$31:$B$42,2,FALSE)&amp;" "&amp;$D$25)</f>
        <v>Despesas / Custos: Junho 2026</v>
      </c>
      <c r="D25" s="2">
        <f>IF(YEAR($A$25)=1905,$A$25,YEAR($A$25))</f>
        <v>2026</v>
      </c>
      <c r="E25" t="s">
        <v>155</v>
      </c>
      <c r="F25" s="9">
        <f>DB!DP102</f>
        <v>57261561.039999992</v>
      </c>
      <c r="G25" s="288">
        <f>SUM(A13:D13)</f>
        <v>14141080.589999998</v>
      </c>
      <c r="H25" s="288"/>
      <c r="I25" s="14">
        <f>(1-(G25/G27))*-1</f>
        <v>1.3571447951505888E-2</v>
      </c>
      <c r="J25" s="289">
        <f>SUM(A19:B19)</f>
        <v>-1580231.21</v>
      </c>
      <c r="K25" s="267"/>
      <c r="L25" s="14">
        <f>(1-(J25/J27))*-1</f>
        <v>-0.34390005532396839</v>
      </c>
      <c r="M25" s="289">
        <f>SUM(C19:E19)</f>
        <v>-6848678.959999999</v>
      </c>
      <c r="N25" s="267"/>
      <c r="O25" s="14">
        <f>(1-(M25/M27))*-1</f>
        <v>0.66706252474407091</v>
      </c>
      <c r="P25" t="s">
        <v>109</v>
      </c>
      <c r="Q25" s="4">
        <f>DB!DP93</f>
        <v>59297811.560000002</v>
      </c>
      <c r="R25" t="s">
        <v>109</v>
      </c>
      <c r="S25" s="4" cm="1">
        <f t="array" ref="S25">INDEX(TBBP[],MATCH(T25,planoContas,0)+1,MATCH($D$27,listaPeriodos,0))</f>
        <v>96719952.139999986</v>
      </c>
      <c r="T25" t="s">
        <v>148</v>
      </c>
      <c r="U25" s="4">
        <f>SUMIFS(DB!93:93,listaPeriodos,"&gt;="&amp;$V$21,listaPeriodos,"&lt;="&amp;$V$22)</f>
        <v>54425129.780000001</v>
      </c>
      <c r="V25">
        <f>MATCH(T25,planoContas,0)</f>
        <v>89</v>
      </c>
      <c r="W25">
        <f>MATCH($A$27,listaPeriodos,0)</f>
        <v>104</v>
      </c>
      <c r="X25" t="str">
        <f>ADDRESS(V25,W25,4)</f>
        <v>CZ89</v>
      </c>
      <c r="Y25" t="str">
        <f>ADDRESS(V25,W25-$R$23+1,4)</f>
        <v>CU89</v>
      </c>
    </row>
    <row r="26" spans="1:25" x14ac:dyDescent="0.3">
      <c r="A26" s="2" t="s">
        <v>188</v>
      </c>
      <c r="B26" s="2" t="s">
        <v>187</v>
      </c>
      <c r="C26" t="s">
        <v>187</v>
      </c>
      <c r="D26" t="s">
        <v>174</v>
      </c>
      <c r="E26" t="s">
        <v>669</v>
      </c>
      <c r="F26" s="9">
        <f>DB!DP110</f>
        <v>-9635455.629999999</v>
      </c>
      <c r="G26" s="267" t="str">
        <f>IF(MONTH($A$27)=13,"Receita: "&amp;$A$27,"Receita: "&amp;VLOOKUP(MONTH($A$27),$A$31:$B$42,2,FALSE)&amp;" "&amp;$D$27)</f>
        <v>Receita: Junho 2025</v>
      </c>
      <c r="H26" s="267"/>
      <c r="I26" s="14"/>
      <c r="J26" s="7" t="str">
        <f>IF(MONTH($A$27)=13,"Despesas: "&amp;$A$27,"Despesas: "&amp;VLOOKUP(MONTH($A$27),$A$31:$B$42,2,FALSE)&amp;" "&amp;$D$27)</f>
        <v>Despesas: Junho 2025</v>
      </c>
      <c r="M26" s="7" t="str">
        <f>IF(MONTH($A$27)=13,"Custos: "&amp;$A$27,"Custos: "&amp;VLOOKUP(MONTH($A$27),$A$31:$B$42,2,FALSE)&amp;" "&amp;$D$27)</f>
        <v>Custos: Junho 2025</v>
      </c>
      <c r="P26" t="s">
        <v>110</v>
      </c>
      <c r="Q26" s="4">
        <f>DB!DP94</f>
        <v>16726788.899999999</v>
      </c>
      <c r="R26" t="s">
        <v>110</v>
      </c>
      <c r="S26" s="4" cm="1">
        <f t="array" ref="S26">INDEX(TBBP[],MATCH(T26,planoContas,0)+1,MATCH($D$27,listaPeriodos,0))</f>
        <v>47581534.310000002</v>
      </c>
      <c r="T26" t="s">
        <v>147</v>
      </c>
      <c r="U26" s="4">
        <f>SUMIFS(DB!94:94,listaPeriodos,"&gt;="&amp;$V$21,listaPeriodos,"&lt;="&amp;$V$22)</f>
        <v>26613367.330000002</v>
      </c>
      <c r="V26">
        <f>MATCH(T26,planoContas,0)</f>
        <v>90</v>
      </c>
      <c r="W26">
        <f>MATCH($A$27,listaPeriodos,0)</f>
        <v>104</v>
      </c>
      <c r="X26" t="str">
        <f>ADDRESS(V26,W26,4)</f>
        <v>CZ90</v>
      </c>
      <c r="Y26" t="str">
        <f>ADDRESS(V26,W26-$R$23+1,4)</f>
        <v>CU90</v>
      </c>
    </row>
    <row r="27" spans="1:25" x14ac:dyDescent="0.3">
      <c r="A27" s="3">
        <f>IF(VLOOKUP("CONTA CONTABIL",TBBP[],$A$2-13,FALSE)&gt;3000,VLOOKUP("CONTA CONTABIL",TBBP[],$A$2-13,FALSE),VLOOKUP("CONTA CONTABIL",TBBP[],$A$2-14,FALSE))</f>
        <v>45809</v>
      </c>
      <c r="B27" s="2" t="str">
        <f>IF(MONTH($A$27)=$R$23,"Receitas: Anual de"&amp;" "&amp;$D$27,"Receitas: "&amp;VLOOKUP(MONTH($A$27),$A$31:$B$42,2,FALSE)&amp;" "&amp;$D$27)</f>
        <v>Receitas: Anual de 2025</v>
      </c>
      <c r="C27" s="7" t="str">
        <f>IF(MONTH($A$27)=13,"Despesas / Custos: "&amp;$A$27,"Despesas / Custos: "&amp;VLOOKUP(MONTH($A$27),$A$31:$B$42,2,FALSE)&amp;" "&amp;$D$27)</f>
        <v>Despesas / Custos: Junho 2025</v>
      </c>
      <c r="D27" s="2">
        <f>IF(YEAR($A$27)=1905,$A$27,YEAR($A$27))</f>
        <v>2025</v>
      </c>
      <c r="E27" t="s">
        <v>668</v>
      </c>
      <c r="F27" s="9">
        <f>DB!DP103</f>
        <v>-42476223.149999999</v>
      </c>
      <c r="G27" s="288">
        <f>SUM(A15:D15)</f>
        <v>13951735.340000002</v>
      </c>
      <c r="H27" s="267"/>
      <c r="I27" s="14"/>
      <c r="J27" s="289">
        <f>SUM(A21:B21)</f>
        <v>-2408522.09</v>
      </c>
      <c r="K27" s="267"/>
      <c r="M27" s="289">
        <f>SUM(C21:E21)</f>
        <v>-4108231.61</v>
      </c>
      <c r="N27" s="267"/>
      <c r="P27" t="s">
        <v>111</v>
      </c>
      <c r="Q27" s="4">
        <f>DB!DP95</f>
        <v>303792.39</v>
      </c>
      <c r="R27" t="s">
        <v>111</v>
      </c>
      <c r="S27" s="4" cm="1">
        <f t="array" ref="S27">INDEX(TBBP[],MATCH(T27,planoContas,0)+1,MATCH($D$27,listaPeriodos,0))</f>
        <v>764656.40999999992</v>
      </c>
      <c r="T27" t="s">
        <v>124</v>
      </c>
      <c r="U27" s="4">
        <f>SUMIFS(DB!95:95,listaPeriodos,"&gt;="&amp;$V$21,listaPeriodos,"&lt;="&amp;$V$22)</f>
        <v>346275.95</v>
      </c>
      <c r="V27">
        <f>MATCH(T27,planoContas,0)</f>
        <v>91</v>
      </c>
      <c r="W27">
        <f>MATCH($A$27,listaPeriodos,0)</f>
        <v>104</v>
      </c>
      <c r="X27" t="str">
        <f>ADDRESS(V27,W27,4)</f>
        <v>CZ91</v>
      </c>
      <c r="Y27" t="str">
        <f>ADDRESS(V27,W27-$R$23+1,4)</f>
        <v>CU91</v>
      </c>
    </row>
    <row r="28" spans="1:25" x14ac:dyDescent="0.3">
      <c r="A28" s="3"/>
      <c r="C28" s="7"/>
      <c r="D28" s="2"/>
      <c r="P28" t="s">
        <v>112</v>
      </c>
      <c r="Q28" s="4">
        <f>DB!DP96</f>
        <v>0</v>
      </c>
      <c r="R28" t="s">
        <v>112</v>
      </c>
      <c r="S28" s="4" cm="1">
        <f t="array" ref="S28">INDEX(TBBP[],MATCH(T28,planoContas,0)+1,MATCH($D$27,listaPeriodos,0))</f>
        <v>0</v>
      </c>
      <c r="T28" t="s">
        <v>125</v>
      </c>
      <c r="U28" s="4">
        <f>SUMIFS(DB!96:96,listaPeriodos,"&gt;="&amp;$V$21,listaPeriodos,"&lt;="&amp;$V$22)</f>
        <v>0</v>
      </c>
      <c r="V28">
        <f>MATCH(T28,planoContas,0)</f>
        <v>92</v>
      </c>
      <c r="W28">
        <f>MATCH($A$27,listaPeriodos,0)</f>
        <v>104</v>
      </c>
      <c r="X28" t="str">
        <f>ADDRESS(V28,W28,4)</f>
        <v>CZ92</v>
      </c>
      <c r="Y28" t="str">
        <f>ADDRESS(V28,W28-$R$23+1,4)</f>
        <v>CU92</v>
      </c>
    </row>
    <row r="29" spans="1:25" x14ac:dyDescent="0.3">
      <c r="A29" s="3" t="str">
        <f>VLOOKUP(MONTH($A$25),$A$31:$B$42,2,FALSE)&amp;" "&amp;YEAR($A$25)</f>
        <v>Junho 2026</v>
      </c>
      <c r="C29" s="7"/>
      <c r="D29" s="2"/>
      <c r="P29" t="s">
        <v>113</v>
      </c>
      <c r="Q29" s="4">
        <f>DB!DP97</f>
        <v>1484696.19</v>
      </c>
      <c r="R29" t="s">
        <v>113</v>
      </c>
      <c r="S29" s="4" cm="1">
        <f t="array" ref="S29">INDEX(TBBP[],MATCH(T29,planoContas,0)+1,MATCH($D$27,listaPeriodos,0))</f>
        <v>2792419.73</v>
      </c>
      <c r="T29" t="s">
        <v>126</v>
      </c>
      <c r="U29" s="4">
        <f>SUMIFS(DB!97:97,listaPeriodos,"&gt;="&amp;$V$21,listaPeriodos,"&lt;="&amp;$V$22)</f>
        <v>664516.91999999993</v>
      </c>
      <c r="V29">
        <f>MATCH(T29,planoContas,0)</f>
        <v>93</v>
      </c>
      <c r="W29">
        <f>MATCH($A$27,listaPeriodos,0)</f>
        <v>104</v>
      </c>
      <c r="X29" t="str">
        <f>ADDRESS(V29,W29,4)</f>
        <v>CZ93</v>
      </c>
      <c r="Y29" t="str">
        <f>ADDRESS(V29,W29-$R$23+1,4)</f>
        <v>CU93</v>
      </c>
    </row>
    <row r="30" spans="1:25" x14ac:dyDescent="0.3">
      <c r="A30" s="287" t="s">
        <v>254</v>
      </c>
      <c r="B30" s="287"/>
      <c r="C30" s="287"/>
      <c r="D30" s="287"/>
      <c r="E30" s="287"/>
      <c r="F30" s="287"/>
      <c r="H30" s="2" t="s">
        <v>175</v>
      </c>
      <c r="I30">
        <v>1</v>
      </c>
      <c r="J30">
        <v>1</v>
      </c>
      <c r="K30" s="2" t="s">
        <v>175</v>
      </c>
      <c r="L30">
        <v>1</v>
      </c>
      <c r="M30">
        <v>1</v>
      </c>
    </row>
    <row r="31" spans="1:25" x14ac:dyDescent="0.3">
      <c r="A31" s="7">
        <v>1</v>
      </c>
      <c r="B31" s="2" t="s">
        <v>175</v>
      </c>
      <c r="C31">
        <v>2013</v>
      </c>
      <c r="E31" s="29">
        <v>41275</v>
      </c>
      <c r="F31">
        <f>E31</f>
        <v>41275</v>
      </c>
      <c r="H31" s="2" t="s">
        <v>176</v>
      </c>
      <c r="I31">
        <v>2</v>
      </c>
      <c r="J31">
        <v>1</v>
      </c>
      <c r="K31" s="2" t="s">
        <v>176</v>
      </c>
      <c r="L31">
        <v>2</v>
      </c>
      <c r="M31">
        <v>1</v>
      </c>
    </row>
    <row r="32" spans="1:25" x14ac:dyDescent="0.3">
      <c r="A32" s="7">
        <v>2</v>
      </c>
      <c r="B32" s="2" t="s">
        <v>176</v>
      </c>
      <c r="C32">
        <v>2014</v>
      </c>
      <c r="E32" s="29">
        <v>41640</v>
      </c>
      <c r="F32">
        <f t="shared" ref="F32:F45" si="1">E32</f>
        <v>41640</v>
      </c>
      <c r="H32" s="2" t="s">
        <v>177</v>
      </c>
      <c r="I32">
        <v>3</v>
      </c>
      <c r="J32">
        <v>1</v>
      </c>
      <c r="K32" s="2" t="s">
        <v>177</v>
      </c>
      <c r="L32">
        <v>3</v>
      </c>
      <c r="M32">
        <v>1</v>
      </c>
    </row>
    <row r="33" spans="1:13" x14ac:dyDescent="0.3">
      <c r="A33" s="7">
        <v>3</v>
      </c>
      <c r="B33" s="2" t="s">
        <v>177</v>
      </c>
      <c r="C33">
        <v>2015</v>
      </c>
      <c r="E33" s="29">
        <v>42005</v>
      </c>
      <c r="F33">
        <f t="shared" si="1"/>
        <v>42005</v>
      </c>
      <c r="H33" s="2" t="s">
        <v>178</v>
      </c>
      <c r="I33">
        <v>4</v>
      </c>
      <c r="J33">
        <v>2</v>
      </c>
      <c r="K33" s="2" t="s">
        <v>178</v>
      </c>
      <c r="L33">
        <v>4</v>
      </c>
      <c r="M33">
        <v>1</v>
      </c>
    </row>
    <row r="34" spans="1:13" x14ac:dyDescent="0.3">
      <c r="A34" s="7">
        <v>4</v>
      </c>
      <c r="B34" s="2" t="s">
        <v>178</v>
      </c>
      <c r="C34">
        <v>2016</v>
      </c>
      <c r="E34" s="29">
        <v>42370</v>
      </c>
      <c r="F34">
        <f t="shared" si="1"/>
        <v>42370</v>
      </c>
      <c r="H34" s="2" t="s">
        <v>179</v>
      </c>
      <c r="I34">
        <v>5</v>
      </c>
      <c r="J34">
        <v>2</v>
      </c>
      <c r="K34" s="2" t="s">
        <v>179</v>
      </c>
      <c r="L34">
        <v>5</v>
      </c>
      <c r="M34">
        <v>1</v>
      </c>
    </row>
    <row r="35" spans="1:13" x14ac:dyDescent="0.3">
      <c r="A35" s="7">
        <v>5</v>
      </c>
      <c r="B35" s="2" t="s">
        <v>179</v>
      </c>
      <c r="C35">
        <v>2017</v>
      </c>
      <c r="E35" s="29">
        <v>42736</v>
      </c>
      <c r="F35">
        <f t="shared" si="1"/>
        <v>42736</v>
      </c>
      <c r="H35" s="2" t="s">
        <v>180</v>
      </c>
      <c r="I35">
        <v>6</v>
      </c>
      <c r="J35">
        <v>2</v>
      </c>
      <c r="K35" s="2" t="s">
        <v>180</v>
      </c>
      <c r="L35">
        <v>6</v>
      </c>
      <c r="M35">
        <v>1</v>
      </c>
    </row>
    <row r="36" spans="1:13" x14ac:dyDescent="0.3">
      <c r="A36" s="7">
        <v>6</v>
      </c>
      <c r="B36" s="2" t="s">
        <v>180</v>
      </c>
      <c r="C36">
        <v>2018</v>
      </c>
      <c r="E36" s="29">
        <v>43101</v>
      </c>
      <c r="F36">
        <f t="shared" si="1"/>
        <v>43101</v>
      </c>
      <c r="H36" s="2" t="s">
        <v>181</v>
      </c>
      <c r="I36">
        <v>7</v>
      </c>
      <c r="J36">
        <v>3</v>
      </c>
      <c r="K36" s="2" t="s">
        <v>181</v>
      </c>
      <c r="L36">
        <v>7</v>
      </c>
      <c r="M36">
        <v>2</v>
      </c>
    </row>
    <row r="37" spans="1:13" x14ac:dyDescent="0.3">
      <c r="A37" s="7">
        <v>7</v>
      </c>
      <c r="B37" s="2" t="s">
        <v>181</v>
      </c>
      <c r="C37">
        <v>2019</v>
      </c>
      <c r="E37" s="29">
        <v>43466</v>
      </c>
      <c r="F37">
        <f t="shared" si="1"/>
        <v>43466</v>
      </c>
      <c r="H37" s="2" t="s">
        <v>182</v>
      </c>
      <c r="I37">
        <v>8</v>
      </c>
      <c r="J37">
        <v>3</v>
      </c>
      <c r="K37" s="2" t="s">
        <v>182</v>
      </c>
      <c r="L37">
        <v>8</v>
      </c>
      <c r="M37">
        <v>2</v>
      </c>
    </row>
    <row r="38" spans="1:13" x14ac:dyDescent="0.3">
      <c r="A38" s="7">
        <v>8</v>
      </c>
      <c r="B38" s="2" t="s">
        <v>182</v>
      </c>
      <c r="C38">
        <v>2020</v>
      </c>
      <c r="E38" s="29">
        <v>43831</v>
      </c>
      <c r="F38">
        <f t="shared" si="1"/>
        <v>43831</v>
      </c>
      <c r="H38" s="2" t="s">
        <v>183</v>
      </c>
      <c r="I38">
        <v>9</v>
      </c>
      <c r="J38">
        <v>3</v>
      </c>
      <c r="K38" s="2" t="s">
        <v>183</v>
      </c>
      <c r="L38">
        <v>9</v>
      </c>
      <c r="M38">
        <v>2</v>
      </c>
    </row>
    <row r="39" spans="1:13" x14ac:dyDescent="0.3">
      <c r="A39" s="7">
        <v>9</v>
      </c>
      <c r="B39" s="2" t="s">
        <v>183</v>
      </c>
      <c r="C39">
        <v>2021</v>
      </c>
      <c r="E39" s="29">
        <v>44197</v>
      </c>
      <c r="F39">
        <f t="shared" si="1"/>
        <v>44197</v>
      </c>
      <c r="H39" s="2" t="s">
        <v>184</v>
      </c>
      <c r="I39">
        <v>10</v>
      </c>
      <c r="J39">
        <v>4</v>
      </c>
      <c r="K39" s="2" t="s">
        <v>184</v>
      </c>
      <c r="L39">
        <v>10</v>
      </c>
      <c r="M39">
        <v>2</v>
      </c>
    </row>
    <row r="40" spans="1:13" x14ac:dyDescent="0.3">
      <c r="A40" s="7">
        <v>10</v>
      </c>
      <c r="B40" s="2" t="s">
        <v>184</v>
      </c>
      <c r="C40">
        <v>2022</v>
      </c>
      <c r="E40" s="29">
        <v>44562</v>
      </c>
      <c r="F40">
        <f t="shared" si="1"/>
        <v>44562</v>
      </c>
      <c r="H40" s="2" t="s">
        <v>185</v>
      </c>
      <c r="I40">
        <v>11</v>
      </c>
      <c r="J40">
        <v>4</v>
      </c>
      <c r="K40" s="2" t="s">
        <v>185</v>
      </c>
      <c r="L40">
        <v>11</v>
      </c>
      <c r="M40">
        <v>2</v>
      </c>
    </row>
    <row r="41" spans="1:13" x14ac:dyDescent="0.3">
      <c r="A41" s="7">
        <v>11</v>
      </c>
      <c r="B41" s="2" t="s">
        <v>185</v>
      </c>
      <c r="C41">
        <v>2023</v>
      </c>
      <c r="E41" s="29">
        <v>44927</v>
      </c>
      <c r="F41">
        <f t="shared" si="1"/>
        <v>44927</v>
      </c>
      <c r="H41" s="2" t="s">
        <v>186</v>
      </c>
      <c r="I41">
        <v>12</v>
      </c>
      <c r="J41">
        <v>4</v>
      </c>
      <c r="K41" s="2" t="s">
        <v>186</v>
      </c>
      <c r="L41">
        <v>12</v>
      </c>
      <c r="M41">
        <v>2</v>
      </c>
    </row>
    <row r="42" spans="1:13" x14ac:dyDescent="0.3">
      <c r="A42" s="7">
        <v>12</v>
      </c>
      <c r="B42" s="2" t="s">
        <v>186</v>
      </c>
      <c r="C42">
        <v>2024</v>
      </c>
      <c r="E42" s="29">
        <v>45292</v>
      </c>
      <c r="F42">
        <f t="shared" si="1"/>
        <v>45292</v>
      </c>
      <c r="H42" s="2" t="s">
        <v>731</v>
      </c>
      <c r="I42">
        <v>13</v>
      </c>
      <c r="K42" s="2" t="s">
        <v>912</v>
      </c>
    </row>
    <row r="43" spans="1:13" x14ac:dyDescent="0.3">
      <c r="A43" s="7"/>
      <c r="C43">
        <v>2025</v>
      </c>
      <c r="E43" s="29">
        <v>45658</v>
      </c>
      <c r="F43">
        <f t="shared" si="1"/>
        <v>45658</v>
      </c>
      <c r="H43" s="2"/>
      <c r="K43" s="2"/>
    </row>
    <row r="44" spans="1:13" x14ac:dyDescent="0.3">
      <c r="A44" s="7"/>
      <c r="C44">
        <v>2026</v>
      </c>
      <c r="E44" s="29">
        <v>46023</v>
      </c>
      <c r="F44">
        <f t="shared" si="1"/>
        <v>46023</v>
      </c>
      <c r="H44" s="2"/>
      <c r="K44" s="2"/>
    </row>
    <row r="45" spans="1:13" x14ac:dyDescent="0.3">
      <c r="A45" s="7"/>
      <c r="C45">
        <v>2027</v>
      </c>
      <c r="E45" s="29">
        <v>46388</v>
      </c>
      <c r="F45">
        <f t="shared" si="1"/>
        <v>46388</v>
      </c>
      <c r="H45" s="2"/>
      <c r="K45" s="2"/>
    </row>
    <row r="46" spans="1:13" x14ac:dyDescent="0.3">
      <c r="A46" s="287" t="s">
        <v>255</v>
      </c>
      <c r="B46" s="287"/>
      <c r="C46" s="287"/>
      <c r="D46" s="287"/>
      <c r="E46" s="287"/>
      <c r="K46" s="2" t="s">
        <v>731</v>
      </c>
    </row>
    <row r="47" spans="1:13" x14ac:dyDescent="0.3">
      <c r="A47" t="s">
        <v>196</v>
      </c>
    </row>
    <row r="48" spans="1:13" x14ac:dyDescent="0.3">
      <c r="C48" t="s">
        <v>68</v>
      </c>
      <c r="D48" t="s">
        <v>68</v>
      </c>
      <c r="E48" t="s">
        <v>256</v>
      </c>
    </row>
    <row r="49" spans="1:5" x14ac:dyDescent="0.3">
      <c r="A49" t="s">
        <v>197</v>
      </c>
    </row>
    <row r="50" spans="1:5" x14ac:dyDescent="0.3">
      <c r="A50" t="s">
        <v>198</v>
      </c>
      <c r="B50" s="2" t="s">
        <v>199</v>
      </c>
      <c r="C50" t="s">
        <v>35</v>
      </c>
      <c r="D50" t="s">
        <v>96</v>
      </c>
      <c r="E50" t="e">
        <f>INDEX(TBBP[],MATCH("1.1",planoContas,)+1,MATCH($A2,listaPeriodos,))-INDEX(TBBP[],MATCH("2.1",planoContas,)+1,MATCH($A2,listaPeriodos,))</f>
        <v>#N/A</v>
      </c>
    </row>
    <row r="51" spans="1:5" x14ac:dyDescent="0.3">
      <c r="A51" t="s">
        <v>200</v>
      </c>
      <c r="B51" s="2" t="s">
        <v>201</v>
      </c>
      <c r="C51" t="s">
        <v>92</v>
      </c>
      <c r="D51" t="s">
        <v>676</v>
      </c>
    </row>
    <row r="52" spans="1:5" x14ac:dyDescent="0.3">
      <c r="A52" t="s">
        <v>678</v>
      </c>
      <c r="B52" s="2" t="s">
        <v>203</v>
      </c>
      <c r="C52" t="s">
        <v>677</v>
      </c>
    </row>
    <row r="53" spans="1:5" x14ac:dyDescent="0.3">
      <c r="A53" t="s">
        <v>679</v>
      </c>
      <c r="B53" s="2" t="s">
        <v>205</v>
      </c>
      <c r="C53" t="s">
        <v>680</v>
      </c>
    </row>
    <row r="55" spans="1:5" x14ac:dyDescent="0.3">
      <c r="A55" t="s">
        <v>206</v>
      </c>
    </row>
    <row r="56" spans="1:5" x14ac:dyDescent="0.3">
      <c r="A56" t="s">
        <v>693</v>
      </c>
      <c r="B56" s="2" t="s">
        <v>208</v>
      </c>
      <c r="C56" t="s">
        <v>696</v>
      </c>
    </row>
    <row r="57" spans="1:5" x14ac:dyDescent="0.3">
      <c r="A57" t="s">
        <v>694</v>
      </c>
      <c r="B57" s="2" t="s">
        <v>210</v>
      </c>
      <c r="C57" t="s">
        <v>697</v>
      </c>
    </row>
    <row r="58" spans="1:5" x14ac:dyDescent="0.3">
      <c r="A58" t="s">
        <v>695</v>
      </c>
      <c r="B58" s="2" t="s">
        <v>212</v>
      </c>
      <c r="C58" t="s">
        <v>700</v>
      </c>
    </row>
    <row r="60" spans="1:5" x14ac:dyDescent="0.3">
      <c r="A60" t="s">
        <v>213</v>
      </c>
    </row>
    <row r="61" spans="1:5" x14ac:dyDescent="0.3">
      <c r="A61" t="s">
        <v>214</v>
      </c>
      <c r="B61" s="2" t="s">
        <v>215</v>
      </c>
      <c r="C61" t="s">
        <v>699</v>
      </c>
    </row>
    <row r="62" spans="1:5" x14ac:dyDescent="0.3">
      <c r="A62" t="s">
        <v>216</v>
      </c>
      <c r="B62" s="2" t="s">
        <v>217</v>
      </c>
      <c r="C62" s="41" t="s">
        <v>701</v>
      </c>
    </row>
    <row r="63" spans="1:5" x14ac:dyDescent="0.3">
      <c r="A63" t="s">
        <v>218</v>
      </c>
      <c r="B63" s="2" t="s">
        <v>219</v>
      </c>
      <c r="C63" s="41" t="s">
        <v>702</v>
      </c>
    </row>
    <row r="64" spans="1:5" x14ac:dyDescent="0.3">
      <c r="A64" t="s">
        <v>220</v>
      </c>
      <c r="B64" s="2" t="s">
        <v>221</v>
      </c>
      <c r="C64" t="s">
        <v>703</v>
      </c>
    </row>
    <row r="66" spans="1:3" x14ac:dyDescent="0.3">
      <c r="A66" t="s">
        <v>222</v>
      </c>
    </row>
    <row r="67" spans="1:3" x14ac:dyDescent="0.3">
      <c r="A67" t="s">
        <v>223</v>
      </c>
      <c r="B67" s="2" t="s">
        <v>224</v>
      </c>
      <c r="C67" t="s">
        <v>704</v>
      </c>
    </row>
    <row r="68" spans="1:3" x14ac:dyDescent="0.3">
      <c r="A68" t="s">
        <v>225</v>
      </c>
      <c r="B68" s="2" t="s">
        <v>226</v>
      </c>
      <c r="C68" t="s">
        <v>705</v>
      </c>
    </row>
    <row r="69" spans="1:3" x14ac:dyDescent="0.3">
      <c r="A69" t="s">
        <v>227</v>
      </c>
      <c r="B69" s="2" t="s">
        <v>228</v>
      </c>
    </row>
    <row r="70" spans="1:3" x14ac:dyDescent="0.3">
      <c r="A70" t="s">
        <v>229</v>
      </c>
      <c r="B70" s="2" t="s">
        <v>230</v>
      </c>
    </row>
    <row r="72" spans="1:3" x14ac:dyDescent="0.3">
      <c r="A72" t="s">
        <v>231</v>
      </c>
    </row>
    <row r="74" spans="1:3" x14ac:dyDescent="0.3">
      <c r="A74" t="s">
        <v>197</v>
      </c>
    </row>
    <row r="75" spans="1:3" x14ac:dyDescent="0.3">
      <c r="A75" t="s">
        <v>198</v>
      </c>
      <c r="B75" s="2" t="s">
        <v>232</v>
      </c>
    </row>
    <row r="76" spans="1:3" x14ac:dyDescent="0.3">
      <c r="A76" t="s">
        <v>200</v>
      </c>
      <c r="B76" s="2" t="s">
        <v>233</v>
      </c>
    </row>
    <row r="77" spans="1:3" x14ac:dyDescent="0.3">
      <c r="A77" t="s">
        <v>202</v>
      </c>
      <c r="B77" s="2" t="s">
        <v>234</v>
      </c>
    </row>
    <row r="78" spans="1:3" x14ac:dyDescent="0.3">
      <c r="A78" t="s">
        <v>204</v>
      </c>
      <c r="B78" s="2" t="s">
        <v>235</v>
      </c>
    </row>
    <row r="80" spans="1:3" x14ac:dyDescent="0.3">
      <c r="A80" t="s">
        <v>206</v>
      </c>
    </row>
    <row r="81" spans="1:2" x14ac:dyDescent="0.3">
      <c r="A81" t="s">
        <v>207</v>
      </c>
      <c r="B81" s="2" t="s">
        <v>236</v>
      </c>
    </row>
    <row r="82" spans="1:2" x14ac:dyDescent="0.3">
      <c r="A82" t="s">
        <v>209</v>
      </c>
      <c r="B82" s="2" t="s">
        <v>237</v>
      </c>
    </row>
    <row r="83" spans="1:2" x14ac:dyDescent="0.3">
      <c r="A83" t="s">
        <v>211</v>
      </c>
      <c r="B83" s="2" t="s">
        <v>238</v>
      </c>
    </row>
    <row r="85" spans="1:2" x14ac:dyDescent="0.3">
      <c r="A85" t="s">
        <v>213</v>
      </c>
    </row>
    <row r="86" spans="1:2" x14ac:dyDescent="0.3">
      <c r="A86" t="s">
        <v>214</v>
      </c>
      <c r="B86" s="2" t="s">
        <v>239</v>
      </c>
    </row>
    <row r="87" spans="1:2" x14ac:dyDescent="0.3">
      <c r="A87" t="s">
        <v>216</v>
      </c>
      <c r="B87" s="2" t="s">
        <v>240</v>
      </c>
    </row>
    <row r="88" spans="1:2" x14ac:dyDescent="0.3">
      <c r="A88" t="s">
        <v>218</v>
      </c>
      <c r="B88" s="2" t="s">
        <v>241</v>
      </c>
    </row>
    <row r="89" spans="1:2" x14ac:dyDescent="0.3">
      <c r="A89" t="s">
        <v>220</v>
      </c>
      <c r="B89" s="2" t="s">
        <v>242</v>
      </c>
    </row>
  </sheetData>
  <mergeCells count="27">
    <mergeCell ref="Y5:Z5"/>
    <mergeCell ref="H4:K4"/>
    <mergeCell ref="A7:F7"/>
    <mergeCell ref="A11:D11"/>
    <mergeCell ref="A23:D23"/>
    <mergeCell ref="H8:L8"/>
    <mergeCell ref="W21:W22"/>
    <mergeCell ref="H11:L11"/>
    <mergeCell ref="F1:F6"/>
    <mergeCell ref="P1:U1"/>
    <mergeCell ref="P5:U5"/>
    <mergeCell ref="P9:U9"/>
    <mergeCell ref="P13:U13"/>
    <mergeCell ref="A17:E17"/>
    <mergeCell ref="R24:S24"/>
    <mergeCell ref="A46:E46"/>
    <mergeCell ref="A30:F30"/>
    <mergeCell ref="E24:F24"/>
    <mergeCell ref="G24:H24"/>
    <mergeCell ref="M25:N25"/>
    <mergeCell ref="M27:N27"/>
    <mergeCell ref="P24:Q24"/>
    <mergeCell ref="G27:H27"/>
    <mergeCell ref="J27:K27"/>
    <mergeCell ref="G25:H25"/>
    <mergeCell ref="G26:H26"/>
    <mergeCell ref="J25:K25"/>
  </mergeCells>
  <phoneticPr fontId="6" type="noConversion"/>
  <conditionalFormatting sqref="H2:K2">
    <cfRule type="cellIs" dxfId="20" priority="25" operator="greaterThan">
      <formula>0</formula>
    </cfRule>
    <cfRule type="cellIs" dxfId="19" priority="26" operator="lessThan">
      <formula>0</formula>
    </cfRule>
  </conditionalFormatting>
  <conditionalFormatting sqref="H6:K6">
    <cfRule type="cellIs" dxfId="18" priority="22" operator="greaterThan">
      <formula>0</formula>
    </cfRule>
    <cfRule type="cellIs" dxfId="17" priority="23" operator="lessThan">
      <formula>0</formula>
    </cfRule>
  </conditionalFormatting>
  <conditionalFormatting sqref="L6">
    <cfRule type="cellIs" dxfId="16" priority="19" operator="greaterThan">
      <formula>0</formula>
    </cfRule>
    <cfRule type="cellIs" dxfId="15" priority="20" operator="lessThan">
      <formula>0</formula>
    </cfRule>
  </conditionalFormatting>
  <conditionalFormatting sqref="I25:I27">
    <cfRule type="cellIs" dxfId="14" priority="13" operator="greaterThan">
      <formula>0</formula>
    </cfRule>
    <cfRule type="cellIs" dxfId="13" priority="14" operator="lessThan">
      <formula>0</formula>
    </cfRule>
  </conditionalFormatting>
  <conditionalFormatting sqref="O25">
    <cfRule type="cellIs" dxfId="12" priority="7" operator="greaterThan">
      <formula>0</formula>
    </cfRule>
    <cfRule type="cellIs" dxfId="11" priority="8" operator="lessThan">
      <formula>0</formula>
    </cfRule>
  </conditionalFormatting>
  <conditionalFormatting sqref="L25">
    <cfRule type="cellIs" dxfId="10" priority="10" operator="greaterThan">
      <formula>0</formula>
    </cfRule>
    <cfRule type="cellIs" dxfId="9" priority="11" operator="lessThan">
      <formula>0</formula>
    </cfRule>
  </conditionalFormatting>
  <conditionalFormatting sqref="L2">
    <cfRule type="cellIs" dxfId="8" priority="4" operator="greaterThan">
      <formula>0</formula>
    </cfRule>
    <cfRule type="cellIs" dxfId="7" priority="5" operator="lessThan">
      <formula>0</formula>
    </cfRule>
  </conditionalFormatting>
  <conditionalFormatting sqref="AD1:AI1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:F6">
    <cfRule type="iconSet" priority="1">
      <iconSet iconSet="3Arrows">
        <cfvo type="percent" val="0"/>
        <cfvo type="num" val="0"/>
        <cfvo type="num" val="0" gte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37365A6A-B062-476C-B7B5-4934DB0853D5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H2:K2</xm:sqref>
        </x14:conditionalFormatting>
        <x14:conditionalFormatting xmlns:xm="http://schemas.microsoft.com/office/excel/2006/main">
          <x14:cfRule type="iconSet" priority="21" id="{7DD9DB46-713F-490F-B97B-AA72206039E2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H6:K6</xm:sqref>
        </x14:conditionalFormatting>
        <x14:conditionalFormatting xmlns:xm="http://schemas.microsoft.com/office/excel/2006/main">
          <x14:cfRule type="iconSet" priority="18" id="{B9BD34D2-F286-41D6-B40F-FCF99896D736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L6</xm:sqref>
        </x14:conditionalFormatting>
        <x14:conditionalFormatting xmlns:xm="http://schemas.microsoft.com/office/excel/2006/main">
          <x14:cfRule type="iconSet" priority="12" id="{66A1D297-CEE0-427E-8796-687AD2B4DF41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I25:I27</xm:sqref>
        </x14:conditionalFormatting>
        <x14:conditionalFormatting xmlns:xm="http://schemas.microsoft.com/office/excel/2006/main">
          <x14:cfRule type="iconSet" priority="9" id="{1C13A23C-FD1B-4464-AC52-E71885E1E17C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L25</xm:sqref>
        </x14:conditionalFormatting>
        <x14:conditionalFormatting xmlns:xm="http://schemas.microsoft.com/office/excel/2006/main">
          <x14:cfRule type="iconSet" priority="6" id="{B03F0A31-0425-45D5-8937-847CEC73FF99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O25</xm:sqref>
        </x14:conditionalFormatting>
        <x14:conditionalFormatting xmlns:xm="http://schemas.microsoft.com/office/excel/2006/main">
          <x14:cfRule type="iconSet" priority="3" id="{CDF56057-3B07-4F83-A377-ABADE39B3176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L2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02F3-15AB-4D45-AA5E-4980D296996F}">
  <dimension ref="U6:AK48"/>
  <sheetViews>
    <sheetView showGridLines="0" view="pageLayout" topLeftCell="A19" zoomScale="70" zoomScaleNormal="100" zoomScaleSheetLayoutView="100" zoomScalePageLayoutView="70" workbookViewId="0">
      <selection activeCell="O49" sqref="O49"/>
    </sheetView>
  </sheetViews>
  <sheetFormatPr defaultRowHeight="14.4" x14ac:dyDescent="0.3"/>
  <cols>
    <col min="21" max="21" width="38.33203125" bestFit="1" customWidth="1"/>
    <col min="22" max="22" width="15.44140625" bestFit="1" customWidth="1"/>
    <col min="23" max="23" width="7.6640625" bestFit="1" customWidth="1"/>
    <col min="24" max="24" width="39.44140625" bestFit="1" customWidth="1"/>
    <col min="25" max="25" width="15.44140625" bestFit="1" customWidth="1"/>
    <col min="27" max="27" width="39.44140625" bestFit="1" customWidth="1"/>
    <col min="28" max="28" width="17.44140625" bestFit="1" customWidth="1"/>
    <col min="29" max="29" width="7.6640625" bestFit="1" customWidth="1"/>
    <col min="30" max="30" width="54" bestFit="1" customWidth="1"/>
    <col min="31" max="31" width="16.33203125" bestFit="1" customWidth="1"/>
    <col min="32" max="32" width="54" bestFit="1" customWidth="1"/>
    <col min="33" max="33" width="16.33203125" bestFit="1" customWidth="1"/>
    <col min="34" max="34" width="18.33203125" bestFit="1" customWidth="1"/>
    <col min="35" max="35" width="24" bestFit="1" customWidth="1"/>
    <col min="36" max="36" width="25.88671875" bestFit="1" customWidth="1"/>
    <col min="37" max="37" width="25.109375" bestFit="1" customWidth="1"/>
  </cols>
  <sheetData>
    <row r="6" spans="21:37" x14ac:dyDescent="0.3">
      <c r="U6" s="96" t="s">
        <v>1086</v>
      </c>
      <c r="V6" s="96" t="s">
        <v>730</v>
      </c>
      <c r="W6" s="96" t="s">
        <v>248</v>
      </c>
      <c r="X6" s="96" t="s">
        <v>1086</v>
      </c>
      <c r="Y6" s="96" t="s">
        <v>730</v>
      </c>
      <c r="Z6" s="96" t="s">
        <v>248</v>
      </c>
      <c r="AA6" s="96" t="s">
        <v>1087</v>
      </c>
      <c r="AB6" s="96" t="s">
        <v>730</v>
      </c>
      <c r="AC6" s="96" t="s">
        <v>248</v>
      </c>
      <c r="AD6" s="286" t="s">
        <v>1088</v>
      </c>
      <c r="AE6" s="286"/>
    </row>
    <row r="7" spans="21:37" x14ac:dyDescent="0.3">
      <c r="U7" s="48"/>
      <c r="V7" s="48"/>
      <c r="W7" s="48"/>
      <c r="X7" s="48"/>
      <c r="Y7" s="48"/>
      <c r="Z7" s="48"/>
      <c r="AA7" s="48"/>
      <c r="AB7" s="48"/>
      <c r="AC7" s="48"/>
      <c r="AD7" s="286" t="s">
        <v>900</v>
      </c>
      <c r="AE7" s="286"/>
    </row>
    <row r="8" spans="21:37" ht="15" thickBot="1" x14ac:dyDescent="0.35">
      <c r="U8" s="101" t="s">
        <v>623</v>
      </c>
      <c r="V8" s="102">
        <v>75205256.280000001</v>
      </c>
      <c r="W8" s="103">
        <v>0.88060000000000005</v>
      </c>
      <c r="X8" s="101" t="s">
        <v>625</v>
      </c>
      <c r="Y8" s="102">
        <v>15097779.859999999</v>
      </c>
      <c r="Z8" s="103">
        <v>0.17677999999999999</v>
      </c>
      <c r="AA8" s="48" t="s">
        <v>109</v>
      </c>
      <c r="AB8" s="104">
        <v>43652864.380000003</v>
      </c>
      <c r="AC8" s="105">
        <v>0.84418507331481418</v>
      </c>
      <c r="AD8" s="133" t="s">
        <v>1089</v>
      </c>
    </row>
    <row r="9" spans="21:37" ht="15" thickTop="1" x14ac:dyDescent="0.3">
      <c r="U9" s="48" t="s">
        <v>721</v>
      </c>
      <c r="V9" s="104">
        <v>853917.66</v>
      </c>
      <c r="W9" s="105">
        <v>0.01</v>
      </c>
      <c r="X9" s="48" t="s">
        <v>70</v>
      </c>
      <c r="Y9" s="104">
        <v>3717769.43</v>
      </c>
      <c r="Z9" s="105">
        <v>4.3499999999999997E-2</v>
      </c>
      <c r="AA9" s="48" t="s">
        <v>110</v>
      </c>
      <c r="AB9" s="104">
        <v>20483633.079999998</v>
      </c>
      <c r="AC9" s="105">
        <v>0.3961246882419025</v>
      </c>
      <c r="AD9" s="95" t="s">
        <v>848</v>
      </c>
      <c r="AE9" s="95"/>
      <c r="AF9" s="282" t="s">
        <v>868</v>
      </c>
      <c r="AG9" s="282"/>
    </row>
    <row r="10" spans="21:37" x14ac:dyDescent="0.3">
      <c r="U10" s="48" t="s">
        <v>8</v>
      </c>
      <c r="V10" s="104">
        <v>14095094.91</v>
      </c>
      <c r="W10" s="105">
        <v>0.16500000000000001</v>
      </c>
      <c r="X10" s="48" t="s">
        <v>75</v>
      </c>
      <c r="Y10" s="104">
        <v>2263210.14</v>
      </c>
      <c r="Z10" s="105">
        <v>2.6499999999999999E-2</v>
      </c>
      <c r="AA10" s="48" t="s">
        <v>111</v>
      </c>
      <c r="AB10" s="104">
        <v>533142.19999999995</v>
      </c>
      <c r="AC10" s="105">
        <v>1.0310221186777968E-2</v>
      </c>
      <c r="AF10" t="s">
        <v>869</v>
      </c>
      <c r="AG10" s="9">
        <v>0</v>
      </c>
    </row>
    <row r="11" spans="21:37" x14ac:dyDescent="0.3">
      <c r="U11" s="48" t="s">
        <v>9</v>
      </c>
      <c r="V11" s="104">
        <v>31600399.239999998</v>
      </c>
      <c r="W11" s="105">
        <v>0.37</v>
      </c>
      <c r="X11" s="48" t="s">
        <v>76</v>
      </c>
      <c r="Y11" s="104">
        <v>2501859.02</v>
      </c>
      <c r="Z11" s="105">
        <v>2.93E-2</v>
      </c>
      <c r="AA11" s="48" t="s">
        <v>112</v>
      </c>
      <c r="AB11" s="104">
        <v>0</v>
      </c>
      <c r="AC11" s="105">
        <v>0</v>
      </c>
      <c r="AD11" s="242" t="s">
        <v>849</v>
      </c>
      <c r="AE11" s="242"/>
      <c r="AF11" t="s">
        <v>870</v>
      </c>
      <c r="AG11" s="9">
        <v>-671204.80999999959</v>
      </c>
    </row>
    <row r="12" spans="21:37" x14ac:dyDescent="0.3">
      <c r="U12" s="48" t="s">
        <v>738</v>
      </c>
      <c r="V12" s="104">
        <v>1040998.02</v>
      </c>
      <c r="W12" s="105">
        <v>1.2200000000000001E-2</v>
      </c>
      <c r="X12" s="48" t="s">
        <v>77</v>
      </c>
      <c r="Y12" s="104">
        <v>814259.67</v>
      </c>
      <c r="Z12" s="105">
        <v>9.4999999999999998E-3</v>
      </c>
      <c r="AA12" s="48" t="s">
        <v>113</v>
      </c>
      <c r="AB12" s="104">
        <v>626878.93999999994</v>
      </c>
      <c r="AC12" s="105">
        <v>1.2122958056467702E-2</v>
      </c>
      <c r="AD12" t="s">
        <v>913</v>
      </c>
      <c r="AE12" s="9">
        <v>4682183.0200000014</v>
      </c>
      <c r="AF12" t="s">
        <v>1033</v>
      </c>
      <c r="AG12" s="9">
        <v>-40935.939999999944</v>
      </c>
    </row>
    <row r="13" spans="21:37" ht="15" thickBot="1" x14ac:dyDescent="0.35">
      <c r="U13" s="48" t="s">
        <v>10</v>
      </c>
      <c r="V13" s="104">
        <v>-375935.77</v>
      </c>
      <c r="W13" s="105">
        <v>-4.4000000000000003E-3</v>
      </c>
      <c r="X13" s="48" t="s">
        <v>78</v>
      </c>
      <c r="Y13" s="104">
        <v>782367.85</v>
      </c>
      <c r="Z13" s="105">
        <v>9.1999999999999998E-3</v>
      </c>
      <c r="AA13" s="101" t="s">
        <v>99</v>
      </c>
      <c r="AB13" s="102">
        <v>65296518.599999994</v>
      </c>
      <c r="AC13" s="103">
        <v>1.2627429407999622</v>
      </c>
      <c r="AD13" t="s">
        <v>120</v>
      </c>
      <c r="AE13" s="9">
        <v>240594.02</v>
      </c>
      <c r="AF13" s="127" t="s">
        <v>871</v>
      </c>
      <c r="AG13" s="129">
        <v>-712140.74999999953</v>
      </c>
    </row>
    <row r="14" spans="21:37" ht="15" thickTop="1" x14ac:dyDescent="0.3">
      <c r="U14" s="48" t="s">
        <v>11</v>
      </c>
      <c r="V14" s="104">
        <v>1718727</v>
      </c>
      <c r="W14" s="105">
        <v>2.01E-2</v>
      </c>
      <c r="X14" s="48" t="s">
        <v>79</v>
      </c>
      <c r="Y14" s="104">
        <v>2666343.17</v>
      </c>
      <c r="Z14" s="105">
        <v>3.1199999999999999E-2</v>
      </c>
      <c r="AA14" s="48" t="s">
        <v>114</v>
      </c>
      <c r="AB14" s="104">
        <v>-11451864.310000001</v>
      </c>
      <c r="AC14" s="105">
        <v>-0.22146296811070004</v>
      </c>
      <c r="AD14" t="s">
        <v>10</v>
      </c>
      <c r="AE14" s="9">
        <v>29673.700000000012</v>
      </c>
    </row>
    <row r="15" spans="21:37" x14ac:dyDescent="0.3">
      <c r="U15" s="48" t="s">
        <v>0</v>
      </c>
      <c r="V15" s="104">
        <v>22842595.829999998</v>
      </c>
      <c r="W15" s="105">
        <v>0.26750000000000002</v>
      </c>
      <c r="X15" s="48" t="s">
        <v>71</v>
      </c>
      <c r="Y15" s="104">
        <v>0</v>
      </c>
      <c r="Z15" s="105">
        <v>0</v>
      </c>
      <c r="AA15" s="48" t="s">
        <v>115</v>
      </c>
      <c r="AB15" s="104">
        <v>-2134590.04</v>
      </c>
      <c r="AC15" s="105">
        <v>-4.1279972689262326E-2</v>
      </c>
      <c r="AD15" t="s">
        <v>850</v>
      </c>
      <c r="AE15" s="9">
        <v>-3</v>
      </c>
      <c r="AF15" s="95" t="s">
        <v>872</v>
      </c>
      <c r="AG15" s="95"/>
      <c r="AH15" s="245"/>
      <c r="AI15" s="245"/>
      <c r="AJ15" s="245"/>
      <c r="AK15" s="245"/>
    </row>
    <row r="16" spans="21:37" ht="15" thickBot="1" x14ac:dyDescent="0.35">
      <c r="U16" s="48" t="s">
        <v>1</v>
      </c>
      <c r="V16" s="104">
        <v>552272.85</v>
      </c>
      <c r="W16" s="105">
        <v>6.4999999999999997E-3</v>
      </c>
      <c r="X16" s="48" t="s">
        <v>146</v>
      </c>
      <c r="Y16" s="104">
        <v>2351970.58</v>
      </c>
      <c r="Z16" s="105">
        <v>2.75E-2</v>
      </c>
      <c r="AA16" s="101" t="s">
        <v>100</v>
      </c>
      <c r="AB16" s="102">
        <v>51710064.25</v>
      </c>
      <c r="AC16" s="103">
        <v>1</v>
      </c>
      <c r="AD16" t="s">
        <v>851</v>
      </c>
      <c r="AE16" s="9">
        <v>0</v>
      </c>
      <c r="AF16" t="s">
        <v>873</v>
      </c>
      <c r="AG16" s="9">
        <v>-803971.99</v>
      </c>
      <c r="AH16" s="245"/>
      <c r="AI16" s="245"/>
      <c r="AJ16" s="245"/>
      <c r="AK16" s="245"/>
    </row>
    <row r="17" spans="21:37" ht="15" thickTop="1" x14ac:dyDescent="0.3">
      <c r="U17" s="48" t="s">
        <v>149</v>
      </c>
      <c r="V17" s="104">
        <v>0</v>
      </c>
      <c r="W17" s="105">
        <v>0</v>
      </c>
      <c r="X17" s="48" t="s">
        <v>165</v>
      </c>
      <c r="Y17" s="104">
        <v>0</v>
      </c>
      <c r="Z17" s="105">
        <v>0</v>
      </c>
      <c r="AA17" s="48" t="s">
        <v>116</v>
      </c>
      <c r="AB17" s="104">
        <v>-34305799.170000002</v>
      </c>
      <c r="AC17" s="105">
        <v>-0.66342596296425993</v>
      </c>
      <c r="AD17" s="126" t="s">
        <v>852</v>
      </c>
      <c r="AE17" s="128">
        <v>4952447.7400000012</v>
      </c>
      <c r="AF17" t="s">
        <v>874</v>
      </c>
      <c r="AG17" s="9">
        <v>-1009535.1399999997</v>
      </c>
      <c r="AH17" s="245"/>
      <c r="AI17" s="245"/>
      <c r="AJ17" s="245"/>
      <c r="AK17" s="245"/>
    </row>
    <row r="18" spans="21:37" ht="15" thickBot="1" x14ac:dyDescent="0.35">
      <c r="U18" s="48" t="s">
        <v>150</v>
      </c>
      <c r="V18" s="104">
        <v>3746.39</v>
      </c>
      <c r="W18" s="105">
        <v>0</v>
      </c>
      <c r="X18" s="48"/>
      <c r="Y18" s="48"/>
      <c r="Z18" s="48"/>
      <c r="AA18" s="101" t="s">
        <v>101</v>
      </c>
      <c r="AB18" s="102">
        <v>17404265.079999998</v>
      </c>
      <c r="AC18" s="103">
        <v>0.33657403703574007</v>
      </c>
      <c r="AG18" s="9"/>
      <c r="AH18" s="245"/>
      <c r="AI18" s="245"/>
      <c r="AJ18" s="245"/>
      <c r="AK18" s="245"/>
    </row>
    <row r="19" spans="21:37" ht="15.6" thickTop="1" thickBot="1" x14ac:dyDescent="0.35">
      <c r="U19" s="48" t="s">
        <v>14</v>
      </c>
      <c r="V19" s="104">
        <v>535391.96</v>
      </c>
      <c r="W19" s="105">
        <v>6.3E-3</v>
      </c>
      <c r="X19" s="101" t="s">
        <v>626</v>
      </c>
      <c r="Y19" s="102">
        <v>964335.28</v>
      </c>
      <c r="Z19" s="103">
        <v>1.1299999999999999E-2</v>
      </c>
      <c r="AA19" s="48" t="s">
        <v>117</v>
      </c>
      <c r="AB19" s="104">
        <v>-3978485.08</v>
      </c>
      <c r="AC19" s="105">
        <v>-7.693831244852882E-2</v>
      </c>
      <c r="AD19" s="242" t="s">
        <v>853</v>
      </c>
      <c r="AE19" s="242"/>
      <c r="AF19" s="127" t="s">
        <v>875</v>
      </c>
      <c r="AG19" s="129">
        <v>-1813507.1299999997</v>
      </c>
      <c r="AH19" s="245"/>
      <c r="AI19" s="245"/>
      <c r="AJ19" s="245"/>
      <c r="AK19" s="245"/>
    </row>
    <row r="20" spans="21:37" ht="15" thickTop="1" x14ac:dyDescent="0.3">
      <c r="U20" s="48" t="s">
        <v>15</v>
      </c>
      <c r="V20" s="104">
        <v>1965436.92</v>
      </c>
      <c r="W20" s="105">
        <v>2.3E-2</v>
      </c>
      <c r="X20" s="48" t="s">
        <v>733</v>
      </c>
      <c r="Y20" s="104">
        <v>964335.28</v>
      </c>
      <c r="Z20" s="105">
        <v>1.1299999999999999E-2</v>
      </c>
      <c r="AA20" s="48" t="s">
        <v>118</v>
      </c>
      <c r="AB20" s="104">
        <v>-2656298.9099999997</v>
      </c>
      <c r="AC20" s="105">
        <v>-5.1369089335447878E-2</v>
      </c>
      <c r="AD20" t="s">
        <v>854</v>
      </c>
      <c r="AE20" s="9">
        <v>-6508063.2599999979</v>
      </c>
      <c r="AH20" s="298" t="s">
        <v>1090</v>
      </c>
      <c r="AI20" s="299"/>
      <c r="AJ20" s="299"/>
      <c r="AK20" s="300"/>
    </row>
    <row r="21" spans="21:37" x14ac:dyDescent="0.3">
      <c r="U21" s="48" t="s">
        <v>151</v>
      </c>
      <c r="V21" s="104">
        <v>25000</v>
      </c>
      <c r="W21" s="105">
        <v>2.9999999999999997E-4</v>
      </c>
      <c r="X21" s="48" t="s">
        <v>732</v>
      </c>
      <c r="Y21" s="104">
        <v>0</v>
      </c>
      <c r="Z21" s="105">
        <v>0</v>
      </c>
      <c r="AA21" s="48" t="s">
        <v>119</v>
      </c>
      <c r="AB21" s="104">
        <v>-134049.41</v>
      </c>
      <c r="AC21" s="105">
        <v>-2.5923272760195806E-3</v>
      </c>
      <c r="AD21" t="s">
        <v>855</v>
      </c>
      <c r="AE21" s="9">
        <v>-992157.27</v>
      </c>
      <c r="AF21" s="95" t="s">
        <v>876</v>
      </c>
      <c r="AG21" s="95"/>
      <c r="AH21" s="246" t="s">
        <v>747</v>
      </c>
      <c r="AI21" s="246" t="s">
        <v>748</v>
      </c>
      <c r="AJ21" s="246" t="s">
        <v>749</v>
      </c>
      <c r="AK21" s="246" t="s">
        <v>730</v>
      </c>
    </row>
    <row r="22" spans="21:37" ht="15" thickBot="1" x14ac:dyDescent="0.35">
      <c r="U22" s="48" t="s">
        <v>766</v>
      </c>
      <c r="V22" s="104">
        <v>17000</v>
      </c>
      <c r="W22" s="105">
        <v>2.0000000000000001E-4</v>
      </c>
      <c r="X22" s="48" t="s">
        <v>71</v>
      </c>
      <c r="Y22" s="104">
        <v>0</v>
      </c>
      <c r="Z22" s="105">
        <v>0</v>
      </c>
      <c r="AA22" s="48" t="s">
        <v>120</v>
      </c>
      <c r="AB22" s="104">
        <v>-654709.41000000015</v>
      </c>
      <c r="AC22" s="105">
        <v>-1.2661160249863742E-2</v>
      </c>
      <c r="AD22" t="s">
        <v>856</v>
      </c>
      <c r="AE22" s="9">
        <v>-14649.669999999998</v>
      </c>
      <c r="AF22" s="241">
        <v>217877.57000000472</v>
      </c>
      <c r="AG22" s="241"/>
      <c r="AH22" s="244" t="s">
        <v>1091</v>
      </c>
      <c r="AI22" s="243">
        <v>9735973.9000000004</v>
      </c>
      <c r="AJ22" s="244" t="s">
        <v>1092</v>
      </c>
      <c r="AK22" s="243">
        <v>7493221.3399999999</v>
      </c>
    </row>
    <row r="23" spans="21:37" x14ac:dyDescent="0.3">
      <c r="U23" s="48" t="s">
        <v>744</v>
      </c>
      <c r="V23" s="104">
        <v>25000.03</v>
      </c>
      <c r="W23" s="105">
        <v>2.9999999999999997E-4</v>
      </c>
      <c r="X23" s="48"/>
      <c r="Y23" s="48"/>
      <c r="Z23" s="48"/>
      <c r="AA23" s="48" t="s">
        <v>992</v>
      </c>
      <c r="AB23" s="104">
        <v>0</v>
      </c>
      <c r="AC23" s="105">
        <v>0</v>
      </c>
      <c r="AD23" t="s">
        <v>0</v>
      </c>
      <c r="AE23" s="9">
        <v>1419275.120000001</v>
      </c>
      <c r="AH23" s="244" t="s">
        <v>1093</v>
      </c>
      <c r="AI23" s="243">
        <v>6393781.0799999991</v>
      </c>
      <c r="AJ23" s="244" t="s">
        <v>1094</v>
      </c>
      <c r="AK23" s="243">
        <v>6733634.4800000004</v>
      </c>
    </row>
    <row r="24" spans="21:37" ht="15" thickBot="1" x14ac:dyDescent="0.35">
      <c r="U24" s="48" t="s">
        <v>16</v>
      </c>
      <c r="V24" s="104">
        <v>13302.39</v>
      </c>
      <c r="W24" s="105">
        <v>2.0000000000000001E-4</v>
      </c>
      <c r="X24" s="101" t="s">
        <v>74</v>
      </c>
      <c r="Y24" s="102">
        <v>69343992.899999991</v>
      </c>
      <c r="Z24" s="103">
        <v>0.81189999999999996</v>
      </c>
      <c r="AA24" s="101" t="s">
        <v>102</v>
      </c>
      <c r="AB24" s="102">
        <v>-7424917.8100000005</v>
      </c>
      <c r="AC24" s="103">
        <v>-0.14358747987825216</v>
      </c>
      <c r="AD24" t="s">
        <v>857</v>
      </c>
      <c r="AE24" s="9">
        <v>-931517.7200000002</v>
      </c>
      <c r="AF24" s="134" t="s">
        <v>877</v>
      </c>
      <c r="AG24" s="135">
        <v>15511923.190000001</v>
      </c>
      <c r="AH24" s="244" t="s">
        <v>1095</v>
      </c>
      <c r="AI24" s="243">
        <v>7959266.4799999995</v>
      </c>
      <c r="AJ24" s="244" t="s">
        <v>1096</v>
      </c>
      <c r="AK24" s="243">
        <v>10939339.299999999</v>
      </c>
    </row>
    <row r="25" spans="21:37" ht="15.6" thickTop="1" thickBot="1" x14ac:dyDescent="0.35">
      <c r="U25" s="48" t="s">
        <v>162</v>
      </c>
      <c r="V25" s="104">
        <v>0</v>
      </c>
      <c r="W25" s="105">
        <v>0</v>
      </c>
      <c r="X25" s="48" t="s">
        <v>72</v>
      </c>
      <c r="Y25" s="104">
        <v>1000000</v>
      </c>
      <c r="Z25" s="105">
        <v>1.17E-2</v>
      </c>
      <c r="AA25" s="101" t="s">
        <v>103</v>
      </c>
      <c r="AB25" s="102">
        <v>9979347.2699999996</v>
      </c>
      <c r="AC25" s="103">
        <v>0.19298655715748794</v>
      </c>
      <c r="AD25" t="s">
        <v>858</v>
      </c>
      <c r="AE25" s="9">
        <v>48435.270000000019</v>
      </c>
      <c r="AF25" s="134" t="s">
        <v>878</v>
      </c>
      <c r="AG25" s="135">
        <v>14949012.57</v>
      </c>
      <c r="AH25" s="244" t="s">
        <v>1097</v>
      </c>
      <c r="AI25" s="243">
        <v>6707966.1399999997</v>
      </c>
      <c r="AJ25" s="244" t="s">
        <v>1098</v>
      </c>
      <c r="AK25" s="243">
        <v>9850871.1600000001</v>
      </c>
    </row>
    <row r="26" spans="21:37" ht="15" thickTop="1" x14ac:dyDescent="0.3">
      <c r="U26" s="48" t="s">
        <v>12</v>
      </c>
      <c r="V26" s="104">
        <v>292308.84999999998</v>
      </c>
      <c r="W26" s="105">
        <v>3.3999999999999998E-3</v>
      </c>
      <c r="X26" s="48" t="s">
        <v>770</v>
      </c>
      <c r="Y26" s="104">
        <v>63315063.969999999</v>
      </c>
      <c r="Z26" s="105">
        <v>0.74129999999999996</v>
      </c>
      <c r="AA26" s="48" t="s">
        <v>121</v>
      </c>
      <c r="AB26" s="104">
        <v>1338418.17</v>
      </c>
      <c r="AC26" s="105">
        <v>2.5883127190274181E-2</v>
      </c>
      <c r="AD26" t="s">
        <v>164</v>
      </c>
      <c r="AE26" s="9">
        <v>0</v>
      </c>
      <c r="AF26" s="134" t="s">
        <v>879</v>
      </c>
      <c r="AG26" s="135">
        <v>217877.5700000003</v>
      </c>
      <c r="AH26" s="244" t="s">
        <v>1099</v>
      </c>
      <c r="AI26" s="243">
        <v>5529777.29</v>
      </c>
      <c r="AJ26" s="244" t="s">
        <v>1100</v>
      </c>
      <c r="AK26" s="243">
        <v>6408614.8900000006</v>
      </c>
    </row>
    <row r="27" spans="21:37" x14ac:dyDescent="0.3">
      <c r="U27" s="48"/>
      <c r="V27" s="48"/>
      <c r="W27" s="106"/>
      <c r="X27" s="48" t="s">
        <v>163</v>
      </c>
      <c r="Y27" s="104">
        <v>0</v>
      </c>
      <c r="Z27" s="105">
        <v>0</v>
      </c>
      <c r="AA27" s="48" t="s">
        <v>122</v>
      </c>
      <c r="AB27" s="104">
        <v>-1425840.2</v>
      </c>
      <c r="AC27" s="105">
        <v>-2.7573746439504762E-2</v>
      </c>
      <c r="AD27" s="125" t="s">
        <v>859</v>
      </c>
      <c r="AE27" s="128">
        <v>-6978677.5299999975</v>
      </c>
      <c r="AH27" s="246" t="s">
        <v>1101</v>
      </c>
      <c r="AI27" s="247">
        <v>6050645.5199999996</v>
      </c>
      <c r="AJ27" s="244" t="s">
        <v>1102</v>
      </c>
      <c r="AK27" s="243">
        <v>9732445.9199999981</v>
      </c>
    </row>
    <row r="28" spans="21:37" ht="15" thickBot="1" x14ac:dyDescent="0.35">
      <c r="U28" s="101" t="s">
        <v>624</v>
      </c>
      <c r="V28" s="102">
        <v>10200851.76</v>
      </c>
      <c r="W28" s="103">
        <v>0.11940000000000001</v>
      </c>
      <c r="X28" s="48" t="s">
        <v>81</v>
      </c>
      <c r="Y28" s="104">
        <v>0</v>
      </c>
      <c r="Z28" s="105">
        <v>0</v>
      </c>
      <c r="AA28" s="48" t="s">
        <v>123</v>
      </c>
      <c r="AB28" s="104">
        <v>100517.7</v>
      </c>
      <c r="AC28" s="105">
        <v>1.9438711101582124E-3</v>
      </c>
      <c r="AH28" s="301" t="s">
        <v>764</v>
      </c>
      <c r="AI28" s="301"/>
      <c r="AJ28" s="302"/>
      <c r="AK28" s="248">
        <v>93535537.5</v>
      </c>
    </row>
    <row r="29" spans="21:37" ht="15" thickTop="1" x14ac:dyDescent="0.3">
      <c r="U29" s="48"/>
      <c r="V29" s="48"/>
      <c r="W29" s="106"/>
      <c r="X29" s="48" t="s">
        <v>1036</v>
      </c>
      <c r="Y29" s="104">
        <v>0</v>
      </c>
      <c r="Z29" s="105">
        <v>0</v>
      </c>
      <c r="AA29" s="48" t="s">
        <v>166</v>
      </c>
      <c r="AB29" s="104">
        <v>0</v>
      </c>
      <c r="AC29" s="105">
        <v>0</v>
      </c>
      <c r="AD29" s="242" t="s">
        <v>860</v>
      </c>
      <c r="AE29" s="242"/>
    </row>
    <row r="30" spans="21:37" ht="15" thickBot="1" x14ac:dyDescent="0.35">
      <c r="U30" s="101" t="s">
        <v>2</v>
      </c>
      <c r="V30" s="102">
        <v>76687.360000000001</v>
      </c>
      <c r="W30" s="103">
        <v>8.9999999999999998E-4</v>
      </c>
      <c r="X30" s="48" t="s">
        <v>993</v>
      </c>
      <c r="Y30" s="104">
        <v>5560810.8000000007</v>
      </c>
      <c r="Z30" s="105">
        <v>6.5100000000000005E-2</v>
      </c>
      <c r="AA30" s="101" t="s">
        <v>104</v>
      </c>
      <c r="AB30" s="102">
        <v>13095.669999999882</v>
      </c>
      <c r="AC30" s="103">
        <v>2.5325186092763134E-4</v>
      </c>
      <c r="AD30" t="s">
        <v>861</v>
      </c>
      <c r="AE30" s="9">
        <v>2167313.2100000004</v>
      </c>
    </row>
    <row r="31" spans="21:37" ht="15.6" thickTop="1" thickBot="1" x14ac:dyDescent="0.35">
      <c r="U31" s="48" t="s">
        <v>13</v>
      </c>
      <c r="V31" s="104">
        <v>76687.360000000001</v>
      </c>
      <c r="W31" s="105">
        <v>8.9999999999999998E-4</v>
      </c>
      <c r="X31" s="48" t="s">
        <v>82</v>
      </c>
      <c r="Y31" s="104">
        <v>-531881.87</v>
      </c>
      <c r="Z31" s="105">
        <v>-6.1999999999999998E-3</v>
      </c>
      <c r="AA31" s="101" t="s">
        <v>105</v>
      </c>
      <c r="AB31" s="102">
        <v>362793.39</v>
      </c>
      <c r="AC31" s="103">
        <v>7.0159145083638144E-3</v>
      </c>
      <c r="AD31" t="s">
        <v>862</v>
      </c>
      <c r="AE31" s="9">
        <v>223560.52000000002</v>
      </c>
    </row>
    <row r="32" spans="21:37" ht="15.6" thickTop="1" thickBot="1" x14ac:dyDescent="0.35">
      <c r="U32" s="48" t="s">
        <v>164</v>
      </c>
      <c r="V32" s="104">
        <v>0</v>
      </c>
      <c r="W32" s="105">
        <v>0</v>
      </c>
      <c r="X32" s="48"/>
      <c r="Y32" s="48"/>
      <c r="Z32" s="48"/>
      <c r="AA32" s="101" t="s">
        <v>106</v>
      </c>
      <c r="AB32" s="102">
        <v>10355236.329999998</v>
      </c>
      <c r="AC32" s="103">
        <v>0.20025572352677937</v>
      </c>
      <c r="AD32" t="s">
        <v>863</v>
      </c>
      <c r="AE32" s="9">
        <v>2582953.41</v>
      </c>
    </row>
    <row r="33" spans="21:31" ht="15.6" thickTop="1" thickBot="1" x14ac:dyDescent="0.35">
      <c r="U33" s="48"/>
      <c r="V33" s="48"/>
      <c r="W33" s="106"/>
      <c r="X33" s="107" t="s">
        <v>73</v>
      </c>
      <c r="Y33" s="102">
        <v>85406108.039999992</v>
      </c>
      <c r="Z33" s="103">
        <v>1</v>
      </c>
      <c r="AA33" s="48" t="s">
        <v>107</v>
      </c>
      <c r="AB33" s="104">
        <v>14710.619999999999</v>
      </c>
      <c r="AC33" s="105">
        <v>2.8448272523660614E-4</v>
      </c>
      <c r="AD33" t="s">
        <v>864</v>
      </c>
      <c r="AE33" s="9">
        <v>-204071.89999999991</v>
      </c>
    </row>
    <row r="34" spans="21:31" ht="15.6" thickTop="1" thickBot="1" x14ac:dyDescent="0.35">
      <c r="U34" s="101" t="s">
        <v>3</v>
      </c>
      <c r="V34" s="102">
        <v>3893291.1799999997</v>
      </c>
      <c r="W34" s="103">
        <v>4.5600000000000002E-2</v>
      </c>
      <c r="AA34" s="101" t="s">
        <v>108</v>
      </c>
      <c r="AB34" s="102">
        <v>10369946.949999999</v>
      </c>
      <c r="AC34" s="103">
        <v>0.20054020625201602</v>
      </c>
      <c r="AD34" t="s">
        <v>865</v>
      </c>
      <c r="AE34" s="9">
        <v>0</v>
      </c>
    </row>
    <row r="35" spans="21:31" ht="15" thickTop="1" x14ac:dyDescent="0.3">
      <c r="U35" s="48" t="s">
        <v>996</v>
      </c>
      <c r="V35" s="104">
        <v>2771247</v>
      </c>
      <c r="W35" s="105">
        <v>3.2399999999999998E-2</v>
      </c>
      <c r="AA35" s="48" t="s">
        <v>142</v>
      </c>
      <c r="AB35" s="104">
        <v>-2535656.9</v>
      </c>
      <c r="AC35" s="105">
        <v>-4.9036042340635848E-2</v>
      </c>
      <c r="AD35" s="125" t="s">
        <v>866</v>
      </c>
      <c r="AE35" s="128">
        <v>4769755.24</v>
      </c>
    </row>
    <row r="36" spans="21:31" x14ac:dyDescent="0.3">
      <c r="U36" s="48" t="s">
        <v>997</v>
      </c>
      <c r="V36" s="104">
        <v>1122044.18</v>
      </c>
      <c r="W36" s="105">
        <v>1.3100000000000001E-2</v>
      </c>
      <c r="AA36" s="48" t="s">
        <v>143</v>
      </c>
      <c r="AB36" s="104">
        <v>-918596.47</v>
      </c>
      <c r="AC36" s="105">
        <v>-1.7764365280207518E-2</v>
      </c>
    </row>
    <row r="37" spans="21:31" ht="15" thickBot="1" x14ac:dyDescent="0.35">
      <c r="U37" s="48"/>
      <c r="V37" s="48"/>
      <c r="W37" s="106"/>
      <c r="AA37" s="101" t="s">
        <v>144</v>
      </c>
      <c r="AB37" s="102">
        <v>6915693.5799999991</v>
      </c>
      <c r="AC37" s="103">
        <v>0.13373979863117264</v>
      </c>
      <c r="AD37" s="127" t="s">
        <v>867</v>
      </c>
      <c r="AE37" s="129">
        <v>2743525.4500000039</v>
      </c>
    </row>
    <row r="38" spans="21:31" ht="15.6" thickTop="1" thickBot="1" x14ac:dyDescent="0.35">
      <c r="U38" s="101" t="s">
        <v>17</v>
      </c>
      <c r="V38" s="102">
        <v>5610642.3799999999</v>
      </c>
      <c r="W38" s="103">
        <v>6.5699999999999995E-2</v>
      </c>
      <c r="AA38" s="48" t="s">
        <v>843</v>
      </c>
      <c r="AB38" s="104">
        <v>1000000</v>
      </c>
      <c r="AC38" s="105">
        <v>1.9338595194261433E-2</v>
      </c>
    </row>
    <row r="39" spans="21:31" ht="15.6" thickTop="1" thickBot="1" x14ac:dyDescent="0.35">
      <c r="U39" s="48"/>
      <c r="V39" s="104"/>
      <c r="W39" s="105"/>
      <c r="AA39" s="101" t="s">
        <v>835</v>
      </c>
      <c r="AB39" s="102">
        <v>7915693.5799999991</v>
      </c>
      <c r="AC39" s="103">
        <v>0.15307839382543406</v>
      </c>
    </row>
    <row r="40" spans="21:31" ht="15.6" thickTop="1" thickBot="1" x14ac:dyDescent="0.35">
      <c r="U40" s="101" t="s">
        <v>28</v>
      </c>
      <c r="V40" s="102">
        <v>620230.84000000008</v>
      </c>
      <c r="W40" s="103">
        <v>7.3000000000000001E-3</v>
      </c>
    </row>
    <row r="41" spans="21:31" ht="15" thickTop="1" x14ac:dyDescent="0.3">
      <c r="U41" s="48" t="s">
        <v>29</v>
      </c>
      <c r="V41" s="104">
        <v>550000</v>
      </c>
      <c r="W41" s="105">
        <v>6.4000000000000003E-3</v>
      </c>
    </row>
    <row r="42" spans="21:31" x14ac:dyDescent="0.3">
      <c r="U42" s="48" t="s">
        <v>30</v>
      </c>
      <c r="V42" s="104">
        <v>507795.34</v>
      </c>
      <c r="W42" s="105">
        <v>5.8999999999999999E-3</v>
      </c>
    </row>
    <row r="43" spans="21:31" x14ac:dyDescent="0.3">
      <c r="U43" s="48" t="s">
        <v>7</v>
      </c>
      <c r="V43" s="104">
        <v>355</v>
      </c>
      <c r="W43" s="105">
        <v>0</v>
      </c>
    </row>
    <row r="44" spans="21:31" x14ac:dyDescent="0.3">
      <c r="U44" s="48" t="s">
        <v>31</v>
      </c>
      <c r="V44" s="104">
        <v>6000</v>
      </c>
      <c r="W44" s="105">
        <v>1E-4</v>
      </c>
    </row>
    <row r="45" spans="21:31" x14ac:dyDescent="0.3">
      <c r="U45" s="48" t="s">
        <v>32</v>
      </c>
      <c r="V45" s="104">
        <v>-443919.5</v>
      </c>
      <c r="W45" s="105">
        <v>-5.1999999999999998E-3</v>
      </c>
    </row>
    <row r="46" spans="21:31" x14ac:dyDescent="0.3">
      <c r="U46" s="48"/>
      <c r="V46" s="48"/>
      <c r="W46" s="48"/>
    </row>
    <row r="47" spans="21:31" ht="15" thickBot="1" x14ac:dyDescent="0.35">
      <c r="U47" s="107" t="s">
        <v>33</v>
      </c>
      <c r="V47" s="102">
        <v>85406108.040000007</v>
      </c>
      <c r="W47" s="103">
        <v>1</v>
      </c>
    </row>
    <row r="48" spans="21:31" ht="15" thickTop="1" x14ac:dyDescent="0.3"/>
  </sheetData>
  <mergeCells count="5">
    <mergeCell ref="AH20:AK20"/>
    <mergeCell ref="AH28:AJ28"/>
    <mergeCell ref="AF9:AG9"/>
    <mergeCell ref="AD7:AE7"/>
    <mergeCell ref="AD6:AE6"/>
  </mergeCells>
  <printOptions horizontalCentered="1" verticalCentered="1"/>
  <pageMargins left="0" right="0" top="0" bottom="0" header="0.19685039370078741" footer="0"/>
  <pageSetup paperSize="9" orientation="portrait" r:id="rId1"/>
  <headerFooter differentFirst="1">
    <oddHeader>&amp;C&amp;G</oddHeader>
    <oddFooter>&amp;C&amp;G</oddFooter>
  </headerFooter>
  <colBreaks count="7" manualBreakCount="7">
    <brk id="23" max="1048575" man="1"/>
    <brk id="26" max="1048575" man="1"/>
    <brk id="29" max="1048575" man="1"/>
    <brk id="31" max="1048575" man="1"/>
    <brk id="33" max="1048575" man="1"/>
    <brk id="37" max="1048575" man="1"/>
    <brk id="47" max="1048575" man="1"/>
  </colBreaks>
  <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3689B-74B0-44B8-9D1B-4E5D19D314E8}">
  <sheetPr codeName="planAdmin">
    <pageSetUpPr autoPageBreaks="0"/>
  </sheetPr>
  <dimension ref="A1:E3"/>
  <sheetViews>
    <sheetView workbookViewId="0">
      <selection activeCell="S21" sqref="S21"/>
    </sheetView>
  </sheetViews>
  <sheetFormatPr defaultRowHeight="14.4" x14ac:dyDescent="0.3"/>
  <cols>
    <col min="1" max="1" width="9.109375" customWidth="1"/>
    <col min="3" max="3" width="10.44140625" customWidth="1"/>
  </cols>
  <sheetData>
    <row r="1" spans="1:5" x14ac:dyDescent="0.3">
      <c r="A1" s="131" t="s">
        <v>740</v>
      </c>
      <c r="B1" s="132" t="s">
        <v>742</v>
      </c>
      <c r="E1" t="s">
        <v>771</v>
      </c>
    </row>
    <row r="2" spans="1:5" x14ac:dyDescent="0.3">
      <c r="A2" s="2"/>
      <c r="E2" t="s">
        <v>742</v>
      </c>
    </row>
    <row r="3" spans="1:5" x14ac:dyDescent="0.3">
      <c r="A3" s="94" t="s">
        <v>741</v>
      </c>
      <c r="B3" s="31" t="s">
        <v>742</v>
      </c>
      <c r="C3" s="62"/>
    </row>
  </sheetData>
  <sheetProtection selectLockedCells="1" selectUnlockedCells="1"/>
  <dataValidations count="1">
    <dataValidation type="list" allowBlank="1" showInputMessage="1" showErrorMessage="1" sqref="B1 B3" xr:uid="{10B265E9-1BEB-475F-A24C-B70416CCD881}">
      <formula1>$E$1:$E$2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CCC43-1F5E-4D98-B78F-DF4F38D95D2D}">
  <dimension ref="A1:G69"/>
  <sheetViews>
    <sheetView topLeftCell="A31" zoomScale="70" zoomScaleNormal="70" workbookViewId="0">
      <selection activeCell="I64" sqref="I64"/>
    </sheetView>
  </sheetViews>
  <sheetFormatPr defaultRowHeight="14.4" x14ac:dyDescent="0.3"/>
  <cols>
    <col min="1" max="1" width="15.6640625" bestFit="1" customWidth="1"/>
    <col min="2" max="2" width="18.44140625" bestFit="1" customWidth="1"/>
    <col min="3" max="3" width="16.44140625" style="2" bestFit="1" customWidth="1"/>
    <col min="4" max="4" width="21.5546875" customWidth="1"/>
    <col min="5" max="5" width="14.5546875" bestFit="1" customWidth="1"/>
    <col min="6" max="6" width="18.6640625" customWidth="1"/>
    <col min="7" max="7" width="12.5546875" bestFit="1" customWidth="1"/>
  </cols>
  <sheetData>
    <row r="1" spans="1:7" x14ac:dyDescent="0.3">
      <c r="B1" t="s">
        <v>141</v>
      </c>
      <c r="C1" s="2" t="s">
        <v>323</v>
      </c>
      <c r="D1" t="s">
        <v>374</v>
      </c>
      <c r="E1" t="s">
        <v>398</v>
      </c>
      <c r="F1" t="s">
        <v>426</v>
      </c>
    </row>
    <row r="2" spans="1:7" x14ac:dyDescent="0.3">
      <c r="A2" t="s">
        <v>729</v>
      </c>
      <c r="B2" t="s">
        <v>1123</v>
      </c>
      <c r="C2" s="2" t="s">
        <v>1118</v>
      </c>
      <c r="D2" t="s">
        <v>1119</v>
      </c>
      <c r="E2" t="s">
        <v>1120</v>
      </c>
      <c r="F2" t="s">
        <v>1121</v>
      </c>
      <c r="G2" t="s">
        <v>1124</v>
      </c>
    </row>
    <row r="3" spans="1:7" x14ac:dyDescent="0.3">
      <c r="A3" s="29">
        <v>43831</v>
      </c>
      <c r="B3" s="16" cm="1">
        <f t="array" ref="B3">(INDEX(TBBP[],MATCH($B$1,planoContas,0)+1,MATCH(Tabela7[[#This Row],[PERIODO]],listaPeriodos,0)))</f>
        <v>2941337.78</v>
      </c>
      <c r="C3" s="33" cm="1">
        <f t="array" ref="C3">((INDEX(TBBP[],MATCH($C$1,planoContas,0)+1,MATCH(A3,listaPeriodos,0)))*-1)/Tabela7[[#This Row],[RECEITA LIQUIDA]]</f>
        <v>9.3594061814960952E-2</v>
      </c>
      <c r="D3" s="33" cm="1">
        <f t="array" ref="D3">IFERROR(((INDEX(TBBP[],MATCH($D$1,planoContas,0)+1,MATCH(A3,listaPeriodos,0))*-1)/Tabela7[[#This Row],[RECEITA LIQUIDA]]),0)</f>
        <v>2.9070826404711675E-2</v>
      </c>
      <c r="E3" s="33" cm="1">
        <f t="array" ref="E3">(INDEX(TBBP[],MATCH($E$1,planoContas,0)+1,MATCH(A3,listaPeriodos,0))*-1)/Tabela7[[#This Row],[RECEITA LIQUIDA]]</f>
        <v>7.9491822255110065E-3</v>
      </c>
      <c r="F3" s="33" cm="1">
        <f t="array" ref="F3">(INDEX(TBBP[],MATCH($F$1,planoContas,0)+1,MATCH(A3,listaPeriodos,0))*-1)/Tabela7[[#This Row],[RECEITA LIQUIDA]]</f>
        <v>1.0722053146850751E-2</v>
      </c>
      <c r="G3" s="33">
        <f>SUM(Tabela7[[#This Row],[PRODUCAO]:[ADMINISTRATIVO]])</f>
        <v>0.1413361235920344</v>
      </c>
    </row>
    <row r="4" spans="1:7" x14ac:dyDescent="0.3">
      <c r="A4" s="29">
        <v>43862</v>
      </c>
      <c r="B4" s="9" cm="1">
        <f t="array" ref="B4">(INDEX(TBBP[],MATCH($B$1,planoContas,0)+1,MATCH(Tabela7[[#This Row],[PERIODO]],listaPeriodos,0)))</f>
        <v>2349456.3899999997</v>
      </c>
      <c r="C4" s="33" cm="1">
        <f t="array" ref="C4">((INDEX(TBBP[],MATCH($C$1,planoContas,0)+1,MATCH(A4,listaPeriodos,0)))*-1)/Tabela7[[#This Row],[RECEITA LIQUIDA]]</f>
        <v>0.11066476530768891</v>
      </c>
      <c r="D4" s="33" cm="1">
        <f t="array" ref="D4">IFERROR(((INDEX(TBBP[],MATCH($D$1,planoContas,0)+1,MATCH(A4,listaPeriodos,0))*-1)/Tabela7[[#This Row],[RECEITA LIQUIDA]]),0)</f>
        <v>2.6703947460799651E-2</v>
      </c>
      <c r="E4" s="33" cm="1">
        <f t="array" ref="E4">(INDEX(TBBP[],MATCH($E$1,planoContas,0)+1,MATCH(A4,listaPeriodos,0))*-1)/Tabela7[[#This Row],[RECEITA LIQUIDA]]</f>
        <v>1.2774767868749421E-2</v>
      </c>
      <c r="F4" s="33" cm="1">
        <f t="array" ref="F4">(INDEX(TBBP[],MATCH($F$1,planoContas,0)+1,MATCH(A4,listaPeriodos,0))*-1)/Tabela7[[#This Row],[RECEITA LIQUIDA]]</f>
        <v>1.0996109614956506E-2</v>
      </c>
      <c r="G4" s="33">
        <f>SUM(Tabela7[[#This Row],[PRODUCAO]:[ADMINISTRATIVO]])</f>
        <v>0.16113959025219449</v>
      </c>
    </row>
    <row r="5" spans="1:7" x14ac:dyDescent="0.3">
      <c r="A5" s="29">
        <v>43891</v>
      </c>
      <c r="B5" s="9" cm="1">
        <f t="array" ref="B5">(INDEX(TBBP[],MATCH($B$1,planoContas,0)+1,MATCH(Tabela7[[#This Row],[PERIODO]],listaPeriodos,0)))</f>
        <v>1776143.5799999998</v>
      </c>
      <c r="C5" s="33" cm="1">
        <f t="array" ref="C5">((INDEX(TBBP[],MATCH($C$1,planoContas,0)+1,MATCH(A5,listaPeriodos,0)))*-1)/Tabela7[[#This Row],[RECEITA LIQUIDA]]</f>
        <v>8.8119705953051394E-2</v>
      </c>
      <c r="D5" s="33" cm="1">
        <f t="array" ref="D5">IFERROR(((INDEX(TBBP[],MATCH($D$1,planoContas,0)+1,MATCH(A5,listaPeriodos,0))*-1)/Tabela7[[#This Row],[RECEITA LIQUIDA]]),0)</f>
        <v>3.8151864952269236E-2</v>
      </c>
      <c r="E5" s="33" cm="1">
        <f t="array" ref="E5">(INDEX(TBBP[],MATCH($E$1,planoContas,0)+1,MATCH(A5,listaPeriodos,0))*-1)/Tabela7[[#This Row],[RECEITA LIQUIDA]]</f>
        <v>7.7852827641332915E-3</v>
      </c>
      <c r="F5" s="33" cm="1">
        <f t="array" ref="F5">(INDEX(TBBP[],MATCH($F$1,planoContas,0)+1,MATCH(A5,listaPeriodos,0))*-1)/Tabela7[[#This Row],[RECEITA LIQUIDA]]</f>
        <v>1.4096636264056987E-2</v>
      </c>
      <c r="G5" s="33">
        <f>SUM(Tabela7[[#This Row],[PRODUCAO]:[ADMINISTRATIVO]])</f>
        <v>0.14815348993351091</v>
      </c>
    </row>
    <row r="6" spans="1:7" x14ac:dyDescent="0.3">
      <c r="A6" s="29">
        <v>43922</v>
      </c>
      <c r="B6" s="9" cm="1">
        <f t="array" ref="B6">(INDEX(TBBP[],MATCH($B$1,planoContas,0)+1,MATCH(Tabela7[[#This Row],[PERIODO]],listaPeriodos,0)))</f>
        <v>1758110.85</v>
      </c>
      <c r="C6" s="33" cm="1">
        <f t="array" ref="C6">((INDEX(TBBP[],MATCH($C$1,planoContas,0)+1,MATCH(A6,listaPeriodos,0)))*-1)/Tabela7[[#This Row],[RECEITA LIQUIDA]]</f>
        <v>0.11591868055418689</v>
      </c>
      <c r="D6" s="33" cm="1">
        <f t="array" ref="D6">IFERROR(((INDEX(TBBP[],MATCH($D$1,planoContas,0)+1,MATCH(A6,listaPeriodos,0))*-1)/Tabela7[[#This Row],[RECEITA LIQUIDA]]),0)</f>
        <v>3.8162081759520461E-2</v>
      </c>
      <c r="E6" s="33" cm="1">
        <f t="array" ref="E6">(INDEX(TBBP[],MATCH($E$1,planoContas,0)+1,MATCH(A6,listaPeriodos,0))*-1)/Tabela7[[#This Row],[RECEITA LIQUIDA]]</f>
        <v>1.0968307260034258E-2</v>
      </c>
      <c r="F6" s="33" cm="1">
        <f t="array" ref="F6">(INDEX(TBBP[],MATCH($F$1,planoContas,0)+1,MATCH(A6,listaPeriodos,0))*-1)/Tabela7[[#This Row],[RECEITA LIQUIDA]]</f>
        <v>1.0766454231256238E-2</v>
      </c>
      <c r="G6" s="33">
        <f>SUM(Tabela7[[#This Row],[PRODUCAO]:[ADMINISTRATIVO]])</f>
        <v>0.17581552380499785</v>
      </c>
    </row>
    <row r="7" spans="1:7" x14ac:dyDescent="0.3">
      <c r="A7" s="29">
        <v>43952</v>
      </c>
      <c r="B7" s="9" cm="1">
        <f t="array" ref="B7">(INDEX(TBBP[],MATCH($B$1,planoContas,0)+1,MATCH(Tabela7[[#This Row],[PERIODO]],listaPeriodos,0)))</f>
        <v>2559944.39</v>
      </c>
      <c r="C7" s="33" cm="1">
        <f t="array" ref="C7">((INDEX(TBBP[],MATCH($C$1,planoContas,0)+1,MATCH(A7,listaPeriodos,0)))*-1)/Tabela7[[#This Row],[RECEITA LIQUIDA]]</f>
        <v>6.81946532440105E-2</v>
      </c>
      <c r="D7" s="33" cm="1">
        <f t="array" ref="D7">IFERROR(((INDEX(TBBP[],MATCH($D$1,planoContas,0)+1,MATCH(A7,listaPeriodos,0))*-1)/Tabela7[[#This Row],[RECEITA LIQUIDA]]),0)</f>
        <v>2.2526868249665374E-2</v>
      </c>
      <c r="E7" s="33" cm="1">
        <f t="array" ref="E7">(INDEX(TBBP[],MATCH($E$1,planoContas,0)+1,MATCH(A7,listaPeriodos,0))*-1)/Tabela7[[#This Row],[RECEITA LIQUIDA]]</f>
        <v>6.4960590804083824E-3</v>
      </c>
      <c r="F7" s="33" cm="1">
        <f t="array" ref="F7">(INDEX(TBBP[],MATCH($F$1,planoContas,0)+1,MATCH(A7,listaPeriodos,0))*-1)/Tabela7[[#This Row],[RECEITA LIQUIDA]]</f>
        <v>7.3215692001809465E-3</v>
      </c>
      <c r="G7" s="33">
        <f>SUM(Tabela7[[#This Row],[PRODUCAO]:[ADMINISTRATIVO]])</f>
        <v>0.10453914977426521</v>
      </c>
    </row>
    <row r="8" spans="1:7" x14ac:dyDescent="0.3">
      <c r="A8" s="29">
        <v>43983</v>
      </c>
      <c r="B8" s="9" cm="1">
        <f t="array" ref="B8">(INDEX(TBBP[],MATCH($B$1,planoContas,0)+1,MATCH(Tabela7[[#This Row],[PERIODO]],listaPeriodos,0)))</f>
        <v>3887509.5300000003</v>
      </c>
      <c r="C8" s="33" cm="1">
        <f t="array" ref="C8">((INDEX(TBBP[],MATCH($C$1,planoContas,0)+1,MATCH(A8,listaPeriodos,0)))*-1)/Tabela7[[#This Row],[RECEITA LIQUIDA]]</f>
        <v>4.4860340188027779E-2</v>
      </c>
      <c r="D8" s="33" cm="1">
        <f t="array" ref="D8">IFERROR(((INDEX(TBBP[],MATCH($D$1,planoContas,0)+1,MATCH(A8,listaPeriodos,0))*-1)/Tabela7[[#This Row],[RECEITA LIQUIDA]]),0)</f>
        <v>1.7405341254558931E-2</v>
      </c>
      <c r="E8" s="33" cm="1">
        <f t="array" ref="E8">(INDEX(TBBP[],MATCH($E$1,planoContas,0)+1,MATCH(A8,listaPeriodos,0))*-1)/Tabela7[[#This Row],[RECEITA LIQUIDA]]</f>
        <v>4.5872119058187879E-3</v>
      </c>
      <c r="F8" s="33" cm="1">
        <f t="array" ref="F8">(INDEX(TBBP[],MATCH($F$1,planoContas,0)+1,MATCH(A8,listaPeriodos,0))*-1)/Tabela7[[#This Row],[RECEITA LIQUIDA]]</f>
        <v>9.1426579731111301E-3</v>
      </c>
      <c r="G8" s="33">
        <f>SUM(Tabela7[[#This Row],[PRODUCAO]:[ADMINISTRATIVO]])</f>
        <v>7.5995551321516627E-2</v>
      </c>
    </row>
    <row r="9" spans="1:7" x14ac:dyDescent="0.3">
      <c r="A9" s="29">
        <v>44013</v>
      </c>
      <c r="B9" s="9" cm="1">
        <f t="array" ref="B9">(INDEX(TBBP[],MATCH($B$1,planoContas,0)+1,MATCH(Tabela7[[#This Row],[PERIODO]],listaPeriodos,0)))</f>
        <v>4143176.64</v>
      </c>
      <c r="C9" s="33" cm="1">
        <f t="array" ref="C9">((INDEX(TBBP[],MATCH($C$1,planoContas,0)+1,MATCH(A9,listaPeriodos,0)))*-1)/Tabela7[[#This Row],[RECEITA LIQUIDA]]</f>
        <v>5.9413382867499469E-2</v>
      </c>
      <c r="D9" s="33" cm="1">
        <f t="array" ref="D9">IFERROR(((INDEX(TBBP[],MATCH($D$1,planoContas,0)+1,MATCH(A9,listaPeriodos,0))*-1)/Tabela7[[#This Row],[RECEITA LIQUIDA]]),0)</f>
        <v>1.5212112703937238E-2</v>
      </c>
      <c r="E9" s="33" cm="1">
        <f t="array" ref="E9">(INDEX(TBBP[],MATCH($E$1,planoContas,0)+1,MATCH(A9,listaPeriodos,0))*-1)/Tabela7[[#This Row],[RECEITA LIQUIDA]]</f>
        <v>4.6974415264129316E-3</v>
      </c>
      <c r="F9" s="33" cm="1">
        <f t="array" ref="F9">(INDEX(TBBP[],MATCH($F$1,planoContas,0)+1,MATCH(A9,listaPeriodos,0))*-1)/Tabela7[[#This Row],[RECEITA LIQUIDA]]</f>
        <v>7.327727644264764E-3</v>
      </c>
      <c r="G9" s="33">
        <f>SUM(Tabela7[[#This Row],[PRODUCAO]:[ADMINISTRATIVO]])</f>
        <v>8.66506647421144E-2</v>
      </c>
    </row>
    <row r="10" spans="1:7" x14ac:dyDescent="0.3">
      <c r="A10" s="29">
        <v>44044</v>
      </c>
      <c r="B10" s="9" cm="1">
        <f t="array" ref="B10">(INDEX(TBBP[],MATCH($B$1,planoContas,0)+1,MATCH(Tabela7[[#This Row],[PERIODO]],listaPeriodos,0)))</f>
        <v>4467793.6800000006</v>
      </c>
      <c r="C10" s="33" cm="1">
        <f t="array" ref="C10">((INDEX(TBBP[],MATCH($C$1,planoContas,0)+1,MATCH(A10,listaPeriodos,0)))*-1)/Tabela7[[#This Row],[RECEITA LIQUIDA]]</f>
        <v>6.3861082322852467E-2</v>
      </c>
      <c r="D10" s="33" cm="1">
        <f t="array" ref="D10">IFERROR(((INDEX(TBBP[],MATCH($D$1,planoContas,0)+1,MATCH(A10,listaPeriodos,0))*-1)/Tabela7[[#This Row],[RECEITA LIQUIDA]]),0)</f>
        <v>1.7730397971286803E-2</v>
      </c>
      <c r="E10" s="33" cm="1">
        <f t="array" ref="E10">(INDEX(TBBP[],MATCH($E$1,planoContas,0)+1,MATCH(A10,listaPeriodos,0))*-1)/Tabela7[[#This Row],[RECEITA LIQUIDA]]</f>
        <v>4.9313669291908748E-3</v>
      </c>
      <c r="F10" s="33" cm="1">
        <f t="array" ref="F10">(INDEX(TBBP[],MATCH($F$1,planoContas,0)+1,MATCH(A10,listaPeriodos,0))*-1)/Tabela7[[#This Row],[RECEITA LIQUIDA]]</f>
        <v>7.9528761945873907E-3</v>
      </c>
      <c r="G10" s="33">
        <f>SUM(Tabela7[[#This Row],[PRODUCAO]:[ADMINISTRATIVO]])</f>
        <v>9.4475723417917518E-2</v>
      </c>
    </row>
    <row r="11" spans="1:7" x14ac:dyDescent="0.3">
      <c r="A11" s="29">
        <v>44075</v>
      </c>
      <c r="B11" s="9" cm="1">
        <f t="array" ref="B11">(INDEX(TBBP[],MATCH($B$1,planoContas,0)+1,MATCH(Tabela7[[#This Row],[PERIODO]],listaPeriodos,0)))</f>
        <v>4802256.0000000009</v>
      </c>
      <c r="C11" s="33" cm="1">
        <f t="array" ref="C11">((INDEX(TBBP[],MATCH($C$1,planoContas,0)+1,MATCH(A11,listaPeriodos,0)))*-1)/Tabela7[[#This Row],[RECEITA LIQUIDA]]</f>
        <v>5.9591294175071044E-2</v>
      </c>
      <c r="D11" s="33" cm="1">
        <f t="array" ref="D11">IFERROR(((INDEX(TBBP[],MATCH($D$1,planoContas,0)+1,MATCH(A11,listaPeriodos,0))*-1)/Tabela7[[#This Row],[RECEITA LIQUIDA]]),0)</f>
        <v>2.0462318127146901E-2</v>
      </c>
      <c r="E11" s="33" cm="1">
        <f t="array" ref="E11">(INDEX(TBBP[],MATCH($E$1,planoContas,0)+1,MATCH(A11,listaPeriodos,0))*-1)/Tabela7[[#This Row],[RECEITA LIQUIDA]]</f>
        <v>4.4504978493441405E-3</v>
      </c>
      <c r="F11" s="33" cm="1">
        <f t="array" ref="F11">(INDEX(TBBP[],MATCH($F$1,planoContas,0)+1,MATCH(A11,listaPeriodos,0))*-1)/Tabela7[[#This Row],[RECEITA LIQUIDA]]</f>
        <v>6.1331174348056398E-3</v>
      </c>
      <c r="G11" s="33">
        <f>SUM(Tabela7[[#This Row],[PRODUCAO]:[ADMINISTRATIVO]])</f>
        <v>9.0637227586367719E-2</v>
      </c>
    </row>
    <row r="12" spans="1:7" x14ac:dyDescent="0.3">
      <c r="A12" s="29">
        <v>44105</v>
      </c>
      <c r="B12" s="9" cm="1">
        <f t="array" ref="B12">(INDEX(TBBP[],MATCH($B$1,planoContas,0)+1,MATCH(Tabela7[[#This Row],[PERIODO]],listaPeriodos,0)))</f>
        <v>5685928.0300000003</v>
      </c>
      <c r="C12" s="33" cm="1">
        <f t="array" ref="C12">((INDEX(TBBP[],MATCH($C$1,planoContas,0)+1,MATCH(A12,listaPeriodos,0)))*-1)/Tabela7[[#This Row],[RECEITA LIQUIDA]]</f>
        <v>5.5136958882682156E-2</v>
      </c>
      <c r="D12" s="33" cm="1">
        <f t="array" ref="D12">IFERROR(((INDEX(TBBP[],MATCH($D$1,planoContas,0)+1,MATCH(A12,listaPeriodos,0))*-1)/Tabela7[[#This Row],[RECEITA LIQUIDA]]),0)</f>
        <v>1.236089687192189E-2</v>
      </c>
      <c r="E12" s="33" cm="1">
        <f t="array" ref="E12">(INDEX(TBBP[],MATCH($E$1,planoContas,0)+1,MATCH(A12,listaPeriodos,0))*-1)/Tabela7[[#This Row],[RECEITA LIQUIDA]]</f>
        <v>3.4177692537553984E-3</v>
      </c>
      <c r="F12" s="33" cm="1">
        <f t="array" ref="F12">(INDEX(TBBP[],MATCH($F$1,planoContas,0)+1,MATCH(A12,listaPeriodos,0))*-1)/Tabela7[[#This Row],[RECEITA LIQUIDA]]</f>
        <v>6.9793109920879524E-3</v>
      </c>
      <c r="G12" s="33">
        <f>SUM(Tabela7[[#This Row],[PRODUCAO]:[ADMINISTRATIVO]])</f>
        <v>7.789493600044739E-2</v>
      </c>
    </row>
    <row r="13" spans="1:7" x14ac:dyDescent="0.3">
      <c r="A13" s="29">
        <v>44136</v>
      </c>
      <c r="B13" s="9" cm="1">
        <f t="array" ref="B13">(INDEX(TBBP[],MATCH($B$1,planoContas,0)+1,MATCH(Tabela7[[#This Row],[PERIODO]],listaPeriodos,0)))</f>
        <v>4644331.2300000004</v>
      </c>
      <c r="C13" s="33" cm="1">
        <f t="array" ref="C13">((INDEX(TBBP[],MATCH($C$1,planoContas,0)+1,MATCH(A13,listaPeriodos,0)))*-1)/Tabela7[[#This Row],[RECEITA LIQUIDA]]</f>
        <v>7.6667537771633043E-2</v>
      </c>
      <c r="D13" s="33" cm="1">
        <f t="array" ref="D13">IFERROR(((INDEX(TBBP[],MATCH($D$1,planoContas,0)+1,MATCH(A13,listaPeriodos,0))*-1)/Tabela7[[#This Row],[RECEITA LIQUIDA]]),0)</f>
        <v>1.5460912765259424E-2</v>
      </c>
      <c r="E13" s="33" cm="1">
        <f t="array" ref="E13">(INDEX(TBBP[],MATCH($E$1,planoContas,0)+1,MATCH(A13,listaPeriodos,0))*-1)/Tabela7[[#This Row],[RECEITA LIQUIDA]]</f>
        <v>4.4861808876624837E-3</v>
      </c>
      <c r="F13" s="33" cm="1">
        <f t="array" ref="F13">(INDEX(TBBP[],MATCH($F$1,planoContas,0)+1,MATCH(A13,listaPeriodos,0))*-1)/Tabela7[[#This Row],[RECEITA LIQUIDA]]</f>
        <v>7.6991214082721641E-3</v>
      </c>
      <c r="G13" s="33">
        <f>SUM(Tabela7[[#This Row],[PRODUCAO]:[ADMINISTRATIVO]])</f>
        <v>0.10431375283282711</v>
      </c>
    </row>
    <row r="14" spans="1:7" x14ac:dyDescent="0.3">
      <c r="A14" s="29">
        <v>44166</v>
      </c>
      <c r="B14" s="9" cm="1">
        <f t="array" ref="B14">(INDEX(TBBP[],MATCH($B$1,planoContas,0)+1,MATCH(Tabela7[[#This Row],[PERIODO]],listaPeriodos,0)))</f>
        <v>4473220.9900000012</v>
      </c>
      <c r="C14" s="33" cm="1">
        <f t="array" ref="C14">((INDEX(TBBP[],MATCH($C$1,planoContas,0)+1,MATCH(A14,listaPeriodos,0)))*-1)/Tabela7[[#This Row],[RECEITA LIQUIDA]]</f>
        <v>4.6386530078407762E-2</v>
      </c>
      <c r="D14" s="33" cm="1">
        <f t="array" ref="D14">IFERROR(((INDEX(TBBP[],MATCH($D$1,planoContas,0)+1,MATCH(A14,listaPeriodos,0))*-1)/Tabela7[[#This Row],[RECEITA LIQUIDA]]),0)</f>
        <v>1.5709507792504566E-2</v>
      </c>
      <c r="E14" s="33" cm="1">
        <f t="array" ref="E14">(INDEX(TBBP[],MATCH($E$1,planoContas,0)+1,MATCH(A14,listaPeriodos,0))*-1)/Tabela7[[#This Row],[RECEITA LIQUIDA]]</f>
        <v>2.6222871676187848E-3</v>
      </c>
      <c r="F14" s="33" cm="1">
        <f t="array" ref="F14">(INDEX(TBBP[],MATCH($F$1,planoContas,0)+1,MATCH(A14,listaPeriodos,0))*-1)/Tabela7[[#This Row],[RECEITA LIQUIDA]]</f>
        <v>1.1189111852933514E-2</v>
      </c>
      <c r="G14" s="33">
        <f>SUM(Tabela7[[#This Row],[PRODUCAO]:[ADMINISTRATIVO]])</f>
        <v>7.5907436891464633E-2</v>
      </c>
    </row>
    <row r="15" spans="1:7" x14ac:dyDescent="0.3">
      <c r="A15" s="29">
        <v>44197</v>
      </c>
      <c r="B15" s="9" cm="1">
        <f t="array" ref="B15">(INDEX(TBBP[],MATCH($B$1,planoContas,0)+1,MATCH(Tabela7[[#This Row],[PERIODO]],listaPeriodos,0)))</f>
        <v>4944925.6000000015</v>
      </c>
      <c r="C15" s="33" cm="1">
        <f t="array" ref="C15">((INDEX(TBBP[],MATCH($C$1,planoContas,0)+1,MATCH(A15,listaPeriodos,0)))*-1)/Tabela7[[#This Row],[RECEITA LIQUIDA]]</f>
        <v>7.8898717909931734E-2</v>
      </c>
      <c r="D15" s="33" cm="1">
        <f t="array" ref="D15">IFERROR(((INDEX(TBBP[],MATCH($D$1,planoContas,0)+1,MATCH(A15,listaPeriodos,0))*-1)/Tabela7[[#This Row],[RECEITA LIQUIDA]]),0)</f>
        <v>1.6877105289511328E-2</v>
      </c>
      <c r="E15" s="33" cm="1">
        <f t="array" ref="E15">(INDEX(TBBP[],MATCH($E$1,planoContas,0)+1,MATCH(A15,listaPeriodos,0))*-1)/Tabela7[[#This Row],[RECEITA LIQUIDA]]</f>
        <v>4.1144198408162086E-3</v>
      </c>
      <c r="F15" s="33" cm="1">
        <f t="array" ref="F15">(INDEX(TBBP[],MATCH($F$1,planoContas,0)+1,MATCH(A15,listaPeriodos,0))*-1)/Tabela7[[#This Row],[RECEITA LIQUIDA]]</f>
        <v>8.1517606655194148E-3</v>
      </c>
      <c r="G15" s="33">
        <f>SUM(Tabela7[[#This Row],[PRODUCAO]:[ADMINISTRATIVO]])</f>
        <v>0.10804200370577867</v>
      </c>
    </row>
    <row r="16" spans="1:7" x14ac:dyDescent="0.3">
      <c r="A16" s="29">
        <v>44228</v>
      </c>
      <c r="B16" s="9" cm="1">
        <f t="array" ref="B16">(INDEX(TBBP[],MATCH($B$1,planoContas,0)+1,MATCH(Tabela7[[#This Row],[PERIODO]],listaPeriodos,0)))</f>
        <v>5234248.620000001</v>
      </c>
      <c r="C16" s="33" cm="1">
        <f t="array" ref="C16">((INDEX(TBBP[],MATCH($C$1,planoContas,0)+1,MATCH(A16,listaPeriodos,0)))*-1)/Tabela7[[#This Row],[RECEITA LIQUIDA]]</f>
        <v>9.5436702813707752E-2</v>
      </c>
      <c r="D16" s="33" cm="1">
        <f t="array" ref="D16">IFERROR(((INDEX(TBBP[],MATCH($D$1,planoContas,0)+1,MATCH(A16,listaPeriodos,0))*-1)/Tabela7[[#This Row],[RECEITA LIQUIDA]]),0)</f>
        <v>1.3111711915587222E-2</v>
      </c>
      <c r="E16" s="33" cm="1">
        <f t="array" ref="E16">(INDEX(TBBP[],MATCH($E$1,planoContas,0)+1,MATCH(A16,listaPeriodos,0))*-1)/Tabela7[[#This Row],[RECEITA LIQUIDA]]</f>
        <v>3.7279390828783366E-3</v>
      </c>
      <c r="F16" s="33" cm="1">
        <f t="array" ref="F16">(INDEX(TBBP[],MATCH($F$1,planoContas,0)+1,MATCH(A16,listaPeriodos,0))*-1)/Tabela7[[#This Row],[RECEITA LIQUIDA]]</f>
        <v>4.9610711842724801E-3</v>
      </c>
      <c r="G16" s="33">
        <f>SUM(Tabela7[[#This Row],[PRODUCAO]:[ADMINISTRATIVO]])</f>
        <v>0.11723742499644579</v>
      </c>
    </row>
    <row r="17" spans="1:7" x14ac:dyDescent="0.3">
      <c r="A17" s="29">
        <v>44256</v>
      </c>
      <c r="B17" s="9" cm="1">
        <f t="array" ref="B17">(INDEX(TBBP[],MATCH($B$1,planoContas,0)+1,MATCH(Tabela7[[#This Row],[PERIODO]],listaPeriodos,0)))</f>
        <v>6030259.7299999995</v>
      </c>
      <c r="C17" s="33" cm="1">
        <f t="array" ref="C17">((INDEX(TBBP[],MATCH($C$1,planoContas,0)+1,MATCH(A17,listaPeriodos,0)))*-1)/Tabela7[[#This Row],[RECEITA LIQUIDA]]</f>
        <v>6.8726147555173395E-2</v>
      </c>
      <c r="D17" s="33" cm="1">
        <f t="array" ref="D17">IFERROR(((INDEX(TBBP[],MATCH($D$1,planoContas,0)+1,MATCH(A17,listaPeriodos,0))*-1)/Tabela7[[#This Row],[RECEITA LIQUIDA]]),0)</f>
        <v>1.0221801839371188E-2</v>
      </c>
      <c r="E17" s="33" cm="1">
        <f t="array" ref="E17">(INDEX(TBBP[],MATCH($E$1,planoContas,0)+1,MATCH(A17,listaPeriodos,0))*-1)/Tabela7[[#This Row],[RECEITA LIQUIDA]]</f>
        <v>3.3168936157912392E-3</v>
      </c>
      <c r="F17" s="33" cm="1">
        <f t="array" ref="F17">(INDEX(TBBP[],MATCH($F$1,planoContas,0)+1,MATCH(A17,listaPeriodos,0))*-1)/Tabela7[[#This Row],[RECEITA LIQUIDA]]</f>
        <v>5.6382712391063131E-3</v>
      </c>
      <c r="G17" s="33">
        <f>SUM(Tabela7[[#This Row],[PRODUCAO]:[ADMINISTRATIVO]])</f>
        <v>8.7903114249442138E-2</v>
      </c>
    </row>
    <row r="18" spans="1:7" x14ac:dyDescent="0.3">
      <c r="A18" s="29">
        <v>44287</v>
      </c>
      <c r="B18" s="9" cm="1">
        <f t="array" ref="B18">(INDEX(TBBP[],MATCH($B$1,planoContas,0)+1,MATCH(Tabela7[[#This Row],[PERIODO]],listaPeriodos,0)))</f>
        <v>7105290.3500000006</v>
      </c>
      <c r="C18" s="33" cm="1">
        <f t="array" ref="C18">((INDEX(TBBP[],MATCH($C$1,planoContas,0)+1,MATCH(A18,listaPeriodos,0)))*-1)/Tabela7[[#This Row],[RECEITA LIQUIDA]]</f>
        <v>6.0658022229872696E-2</v>
      </c>
      <c r="D18" s="33" cm="1">
        <f t="array" ref="D18">IFERROR(((INDEX(TBBP[],MATCH($D$1,planoContas,0)+1,MATCH(A18,listaPeriodos,0))*-1)/Tabela7[[#This Row],[RECEITA LIQUIDA]]),0)</f>
        <v>8.1335887983803486E-3</v>
      </c>
      <c r="E18" s="33" cm="1">
        <f t="array" ref="E18">(INDEX(TBBP[],MATCH($E$1,planoContas,0)+1,MATCH(A18,listaPeriodos,0))*-1)/Tabela7[[#This Row],[RECEITA LIQUIDA]]</f>
        <v>3.4896096821715383E-3</v>
      </c>
      <c r="F18" s="33" cm="1">
        <f t="array" ref="F18">(INDEX(TBBP[],MATCH($F$1,planoContas,0)+1,MATCH(A18,listaPeriodos,0))*-1)/Tabela7[[#This Row],[RECEITA LIQUIDA]]</f>
        <v>5.4886511428769401E-3</v>
      </c>
      <c r="G18" s="33">
        <f>SUM(Tabela7[[#This Row],[PRODUCAO]:[ADMINISTRATIVO]])</f>
        <v>7.7769871853301517E-2</v>
      </c>
    </row>
    <row r="19" spans="1:7" x14ac:dyDescent="0.3">
      <c r="A19" s="29">
        <v>44317</v>
      </c>
      <c r="B19" s="9" cm="1">
        <f t="array" ref="B19">(INDEX(TBBP[],MATCH($B$1,planoContas,0)+1,MATCH(Tabela7[[#This Row],[PERIODO]],listaPeriodos,0)))</f>
        <v>7918709.8200000003</v>
      </c>
      <c r="C19" s="33" cm="1">
        <f t="array" ref="C19">((INDEX(TBBP[],MATCH($C$1,planoContas,0)+1,MATCH(A19,listaPeriodos,0)))*-1)/Tabela7[[#This Row],[RECEITA LIQUIDA]]</f>
        <v>6.1370656463832891E-2</v>
      </c>
      <c r="D19" s="33" cm="1">
        <f t="array" ref="D19">IFERROR(((INDEX(TBBP[],MATCH($D$1,planoContas,0)+1,MATCH(A19,listaPeriodos,0))*-1)/Tabela7[[#This Row],[RECEITA LIQUIDA]]),0)</f>
        <v>9.9729907769243141E-3</v>
      </c>
      <c r="E19" s="33" cm="1">
        <f t="array" ref="E19">(INDEX(TBBP[],MATCH($E$1,planoContas,0)+1,MATCH(A19,listaPeriodos,0))*-1)/Tabela7[[#This Row],[RECEITA LIQUIDA]]</f>
        <v>2.9093274692063411E-3</v>
      </c>
      <c r="F19" s="33" cm="1">
        <f t="array" ref="F19">(INDEX(TBBP[],MATCH($F$1,planoContas,0)+1,MATCH(A19,listaPeriodos,0))*-1)/Tabela7[[#This Row],[RECEITA LIQUIDA]]</f>
        <v>6.152583073185525E-3</v>
      </c>
      <c r="G19" s="33">
        <f>SUM(Tabela7[[#This Row],[PRODUCAO]:[ADMINISTRATIVO]])</f>
        <v>8.0405557783149076E-2</v>
      </c>
    </row>
    <row r="20" spans="1:7" x14ac:dyDescent="0.3">
      <c r="A20" s="29">
        <v>44348</v>
      </c>
      <c r="B20" s="9" cm="1">
        <f t="array" ref="B20">(INDEX(TBBP[],MATCH($B$1,planoContas,0)+1,MATCH(Tabela7[[#This Row],[PERIODO]],listaPeriodos,0)))</f>
        <v>8868518.3300000001</v>
      </c>
      <c r="C20" s="33" cm="1">
        <f t="array" ref="C20">((INDEX(TBBP[],MATCH($C$1,planoContas,0)+1,MATCH(A20,listaPeriodos,0)))*-1)/Tabela7[[#This Row],[RECEITA LIQUIDA]]</f>
        <v>5.2753179571992839E-2</v>
      </c>
      <c r="D20" s="33" cm="1">
        <f t="array" ref="D20">IFERROR(((INDEX(TBBP[],MATCH($D$1,planoContas,0)+1,MATCH(A20,listaPeriodos,0))*-1)/Tabela7[[#This Row],[RECEITA LIQUIDA]]),0)</f>
        <v>7.942385343189565E-3</v>
      </c>
      <c r="E20" s="33" cm="1">
        <f t="array" ref="E20">(INDEX(TBBP[],MATCH($E$1,planoContas,0)+1,MATCH(A20,listaPeriodos,0))*-1)/Tabela7[[#This Row],[RECEITA LIQUIDA]]</f>
        <v>2.1743451704632154E-3</v>
      </c>
      <c r="F20" s="33" cm="1">
        <f t="array" ref="F20">(INDEX(TBBP[],MATCH($F$1,planoContas,0)+1,MATCH(A20,listaPeriodos,0))*-1)/Tabela7[[#This Row],[RECEITA LIQUIDA]]</f>
        <v>7.4487560990359938E-3</v>
      </c>
      <c r="G20" s="33">
        <f>SUM(Tabela7[[#This Row],[PRODUCAO]:[ADMINISTRATIVO]])</f>
        <v>7.0318666184681605E-2</v>
      </c>
    </row>
    <row r="21" spans="1:7" x14ac:dyDescent="0.3">
      <c r="A21" s="29">
        <v>44378</v>
      </c>
      <c r="B21" s="9" cm="1">
        <f t="array" ref="B21">(INDEX(TBBP[],MATCH($B$1,planoContas,0)+1,MATCH(Tabela7[[#This Row],[PERIODO]],listaPeriodos,0)))</f>
        <v>9403531.2600000016</v>
      </c>
      <c r="C21" s="33" cm="1">
        <f t="array" ref="C21">((INDEX(TBBP[],MATCH($C$1,planoContas,0)+1,MATCH(A21,listaPeriodos,0)))*-1)/Tabela7[[#This Row],[RECEITA LIQUIDA]]</f>
        <v>5.3657513975234016E-2</v>
      </c>
      <c r="D21" s="33" cm="1">
        <f t="array" ref="D21">IFERROR(((INDEX(TBBP[],MATCH($D$1,planoContas,0)+1,MATCH(A21,listaPeriodos,0))*-1)/Tabela7[[#This Row],[RECEITA LIQUIDA]]),0)</f>
        <v>8.7742920950315412E-3</v>
      </c>
      <c r="E21" s="33" cm="1">
        <f t="array" ref="E21">(INDEX(TBBP[],MATCH($E$1,planoContas,0)+1,MATCH(A21,listaPeriodos,0))*-1)/Tabela7[[#This Row],[RECEITA LIQUIDA]]</f>
        <v>2.8719477027611853E-3</v>
      </c>
      <c r="F21" s="33" cm="1">
        <f t="array" ref="F21">(INDEX(TBBP[],MATCH($F$1,planoContas,0)+1,MATCH(A21,listaPeriodos,0))*-1)/Tabela7[[#This Row],[RECEITA LIQUIDA]]</f>
        <v>4.2291888972781477E-3</v>
      </c>
      <c r="G21" s="33">
        <f>SUM(Tabela7[[#This Row],[PRODUCAO]:[ADMINISTRATIVO]])</f>
        <v>6.9532942670304895E-2</v>
      </c>
    </row>
    <row r="22" spans="1:7" x14ac:dyDescent="0.3">
      <c r="A22" s="29">
        <v>44409</v>
      </c>
      <c r="B22" s="9" cm="1">
        <f t="array" ref="B22">(INDEX(TBBP[],MATCH($B$1,planoContas,0)+1,MATCH(Tabela7[[#This Row],[PERIODO]],listaPeriodos,0)))</f>
        <v>8700462.6600000001</v>
      </c>
      <c r="C22" s="33" cm="1">
        <f t="array" ref="C22">((INDEX(TBBP[],MATCH($C$1,planoContas,0)+1,MATCH(A22,listaPeriodos,0)))*-1)/Tabela7[[#This Row],[RECEITA LIQUIDA]]</f>
        <v>5.4568596930223479E-2</v>
      </c>
      <c r="D22" s="33" cm="1">
        <f t="array" ref="D22">IFERROR(((INDEX(TBBP[],MATCH($D$1,planoContas,0)+1,MATCH(A22,listaPeriodos,0))*-1)/Tabela7[[#This Row],[RECEITA LIQUIDA]]),0)</f>
        <v>1.009737567220362E-2</v>
      </c>
      <c r="E22" s="33" cm="1">
        <f t="array" ref="E22">(INDEX(TBBP[],MATCH($E$1,planoContas,0)+1,MATCH(A22,listaPeriodos,0))*-1)/Tabela7[[#This Row],[RECEITA LIQUIDA]]</f>
        <v>2.3618870401542528E-3</v>
      </c>
      <c r="F22" s="33" cm="1">
        <f t="array" ref="F22">(INDEX(TBBP[],MATCH($F$1,planoContas,0)+1,MATCH(A22,listaPeriodos,0))*-1)/Tabela7[[#This Row],[RECEITA LIQUIDA]]</f>
        <v>4.6184325558613452E-3</v>
      </c>
      <c r="G22" s="33">
        <f>SUM(Tabela7[[#This Row],[PRODUCAO]:[ADMINISTRATIVO]])</f>
        <v>7.1646292198442693E-2</v>
      </c>
    </row>
    <row r="23" spans="1:7" x14ac:dyDescent="0.3">
      <c r="A23" s="29">
        <v>44440</v>
      </c>
      <c r="B23" s="9" cm="1">
        <f t="array" ref="B23">(INDEX(TBBP[],MATCH($B$1,planoContas,0)+1,MATCH(Tabela7[[#This Row],[PERIODO]],listaPeriodos,0)))</f>
        <v>8607862.3599999994</v>
      </c>
      <c r="C23" s="33" cm="1">
        <f t="array" ref="C23">((INDEX(TBBP[],MATCH($C$1,planoContas,0)+1,MATCH(A23,listaPeriodos,0)))*-1)/Tabela7[[#This Row],[RECEITA LIQUIDA]]</f>
        <v>5.407401635079119E-2</v>
      </c>
      <c r="D23" s="33" cm="1">
        <f t="array" ref="D23">IFERROR(((INDEX(TBBP[],MATCH($D$1,planoContas,0)+1,MATCH(A23,listaPeriodos,0))*-1)/Tabela7[[#This Row],[RECEITA LIQUIDA]]),0)</f>
        <v>8.7585136526276905E-3</v>
      </c>
      <c r="E23" s="33" cm="1">
        <f t="array" ref="E23">(INDEX(TBBP[],MATCH($E$1,planoContas,0)+1,MATCH(A23,listaPeriodos,0))*-1)/Tabela7[[#This Row],[RECEITA LIQUIDA]]</f>
        <v>1.8766029618531217E-3</v>
      </c>
      <c r="F23" s="33" cm="1">
        <f t="array" ref="F23">(INDEX(TBBP[],MATCH($F$1,planoContas,0)+1,MATCH(A23,listaPeriodos,0))*-1)/Tabela7[[#This Row],[RECEITA LIQUIDA]]</f>
        <v>5.3377537974480345E-3</v>
      </c>
      <c r="G23" s="33">
        <f>SUM(Tabela7[[#This Row],[PRODUCAO]:[ADMINISTRATIVO]])</f>
        <v>7.0046886762720029E-2</v>
      </c>
    </row>
    <row r="24" spans="1:7" x14ac:dyDescent="0.3">
      <c r="A24" s="29">
        <v>44470</v>
      </c>
      <c r="B24" s="9" cm="1">
        <f t="array" ref="B24">(INDEX(TBBP[],MATCH($B$1,planoContas,0)+1,MATCH(Tabela7[[#This Row],[PERIODO]],listaPeriodos,0)))</f>
        <v>7463338.209999999</v>
      </c>
      <c r="C24" s="33" cm="1">
        <f t="array" ref="C24">((INDEX(TBBP[],MATCH($C$1,planoContas,0)+1,MATCH(A24,listaPeriodos,0)))*-1)/Tabela7[[#This Row],[RECEITA LIQUIDA]]</f>
        <v>6.079938456922751E-2</v>
      </c>
      <c r="D24" s="33" cm="1">
        <f t="array" ref="D24">IFERROR(((INDEX(TBBP[],MATCH($D$1,planoContas,0)+1,MATCH(A24,listaPeriodos,0))*-1)/Tabela7[[#This Row],[RECEITA LIQUIDA]]),0)</f>
        <v>1.4357037961435223E-2</v>
      </c>
      <c r="E24" s="33" cm="1">
        <f t="array" ref="E24">(INDEX(TBBP[],MATCH($E$1,planoContas,0)+1,MATCH(A24,listaPeriodos,0))*-1)/Tabela7[[#This Row],[RECEITA LIQUIDA]]</f>
        <v>2.1741986686678642E-3</v>
      </c>
      <c r="F24" s="33" cm="1">
        <f t="array" ref="F24">(INDEX(TBBP[],MATCH($F$1,planoContas,0)+1,MATCH(A24,listaPeriodos,0))*-1)/Tabela7[[#This Row],[RECEITA LIQUIDA]]</f>
        <v>7.2690515254031354E-3</v>
      </c>
      <c r="G24" s="33">
        <f>SUM(Tabela7[[#This Row],[PRODUCAO]:[ADMINISTRATIVO]])</f>
        <v>8.4599672724733732E-2</v>
      </c>
    </row>
    <row r="25" spans="1:7" x14ac:dyDescent="0.3">
      <c r="A25" s="29">
        <v>44501</v>
      </c>
      <c r="B25" s="9" cm="1">
        <f t="array" ref="B25">(INDEX(TBBP[],MATCH($B$1,planoContas,0)+1,MATCH(Tabela7[[#This Row],[PERIODO]],listaPeriodos,0)))</f>
        <v>6165662.4399999995</v>
      </c>
      <c r="C25" s="33" cm="1">
        <f t="array" ref="C25">((INDEX(TBBP[],MATCH($C$1,planoContas,0)+1,MATCH(A25,listaPeriodos,0)))*-1)/Tabela7[[#This Row],[RECEITA LIQUIDA]]</f>
        <v>7.8835232179853179E-2</v>
      </c>
      <c r="D25" s="33" cm="1">
        <f t="array" ref="D25">IFERROR(((INDEX(TBBP[],MATCH($D$1,planoContas,0)+1,MATCH(A25,listaPeriodos,0))*-1)/Tabela7[[#This Row],[RECEITA LIQUIDA]]),0)</f>
        <v>1.9556043032417456E-2</v>
      </c>
      <c r="E25" s="33" cm="1">
        <f t="array" ref="E25">(INDEX(TBBP[],MATCH($E$1,planoContas,0)+1,MATCH(A25,listaPeriodos,0))*-1)/Tabela7[[#This Row],[RECEITA LIQUIDA]]</f>
        <v>3.7503253259515128E-3</v>
      </c>
      <c r="F25" s="33" cm="1">
        <f t="array" ref="F25">(INDEX(TBBP[],MATCH($F$1,planoContas,0)+1,MATCH(A25,listaPeriodos,0))*-1)/Tabela7[[#This Row],[RECEITA LIQUIDA]]</f>
        <v>9.3561884974033716E-3</v>
      </c>
      <c r="G25" s="33">
        <f>SUM(Tabela7[[#This Row],[PRODUCAO]:[ADMINISTRATIVO]])</f>
        <v>0.11149778903562552</v>
      </c>
    </row>
    <row r="26" spans="1:7" x14ac:dyDescent="0.3">
      <c r="A26" s="29">
        <v>44531</v>
      </c>
      <c r="B26" s="9" cm="1">
        <f t="array" ref="B26">(INDEX(TBBP[],MATCH($B$1,planoContas,0)+1,MATCH(Tabela7[[#This Row],[PERIODO]],listaPeriodos,0)))</f>
        <v>5516988.5500000007</v>
      </c>
      <c r="C26" s="33" cm="1">
        <f t="array" ref="C26">((INDEX(TBBP[],MATCH($C$1,planoContas,0)+1,MATCH(A26,listaPeriodos,0)))*-1)/Tabela7[[#This Row],[RECEITA LIQUIDA]]</f>
        <v>8.3342880963564805E-2</v>
      </c>
      <c r="D26" s="33" cm="1">
        <f t="array" ref="D26">IFERROR(((INDEX(TBBP[],MATCH($D$1,planoContas,0)+1,MATCH(A26,listaPeriodos,0))*-1)/Tabela7[[#This Row],[RECEITA LIQUIDA]]),0)</f>
        <v>1.5589697027738074E-2</v>
      </c>
      <c r="E26" s="33" cm="1">
        <f t="array" ref="E26">(INDEX(TBBP[],MATCH($E$1,planoContas,0)+1,MATCH(A26,listaPeriodos,0))*-1)/Tabela7[[#This Row],[RECEITA LIQUIDA]]</f>
        <v>2.54090975048335E-3</v>
      </c>
      <c r="F26" s="33" cm="1">
        <f t="array" ref="F26">(INDEX(TBBP[],MATCH($F$1,planoContas,0)+1,MATCH(A26,listaPeriodos,0))*-1)/Tabela7[[#This Row],[RECEITA LIQUIDA]]</f>
        <v>6.6524354124316591E-3</v>
      </c>
      <c r="G26" s="33">
        <f>SUM(Tabela7[[#This Row],[PRODUCAO]:[ADMINISTRATIVO]])</f>
        <v>0.10812592315421789</v>
      </c>
    </row>
    <row r="27" spans="1:7" x14ac:dyDescent="0.3">
      <c r="A27" s="29">
        <v>44562</v>
      </c>
      <c r="B27" s="9" cm="1">
        <f t="array" ref="B27">(INDEX(TBBP[],MATCH($B$1,planoContas,0)+1,MATCH(Tabela7[[#This Row],[PERIODO]],listaPeriodos,0)))</f>
        <v>5346830.53</v>
      </c>
      <c r="C27" s="33" cm="1">
        <f t="array" ref="C27">((INDEX(TBBP[],MATCH($C$1,planoContas,0)+1,MATCH(A27,listaPeriodos,0)))*-1)/Tabela7[[#This Row],[RECEITA LIQUIDA]]</f>
        <v>9.2834223417961978E-2</v>
      </c>
      <c r="D27" s="33" cm="1">
        <f t="array" ref="D27">IFERROR(((INDEX(TBBP[],MATCH($D$1,planoContas,0)+1,MATCH(A27,listaPeriodos,0))*-1)/Tabela7[[#This Row],[RECEITA LIQUIDA]]),0)</f>
        <v>1.8088989253975847E-2</v>
      </c>
      <c r="E27" s="33" cm="1">
        <f t="array" ref="E27">(INDEX(TBBP[],MATCH($E$1,planoContas,0)+1,MATCH(A27,listaPeriodos,0))*-1)/Tabela7[[#This Row],[RECEITA LIQUIDA]]</f>
        <v>3.7756629627084884E-3</v>
      </c>
      <c r="F27" s="33" cm="1">
        <f t="array" ref="F27">(INDEX(TBBP[],MATCH($F$1,planoContas,0)+1,MATCH(A27,listaPeriodos,0))*-1)/Tabela7[[#This Row],[RECEITA LIQUIDA]]</f>
        <v>1.0574851715002831E-2</v>
      </c>
      <c r="G27" s="33">
        <f>SUM(Tabela7[[#This Row],[PRODUCAO]:[ADMINISTRATIVO]])</f>
        <v>0.12527372734964914</v>
      </c>
    </row>
    <row r="28" spans="1:7" x14ac:dyDescent="0.3">
      <c r="A28" s="29">
        <v>44593</v>
      </c>
      <c r="B28" s="9" cm="1">
        <f t="array" ref="B28">(INDEX(TBBP[],MATCH($B$1,planoContas,0)+1,MATCH(Tabela7[[#This Row],[PERIODO]],listaPeriodos,0)))</f>
        <v>6667938.8199999994</v>
      </c>
      <c r="C28" s="33" cm="1">
        <f t="array" ref="C28">((INDEX(TBBP[],MATCH($C$1,planoContas,0)+1,MATCH(A28,listaPeriodos,0)))*-1)/Tabela7[[#This Row],[RECEITA LIQUIDA]]</f>
        <v>7.7430978888315613E-2</v>
      </c>
      <c r="D28" s="33" cm="1">
        <f t="array" ref="D28">IFERROR(((INDEX(TBBP[],MATCH($D$1,planoContas,0)+1,MATCH(A28,listaPeriodos,0))*-1)/Tabela7[[#This Row],[RECEITA LIQUIDA]]),0)</f>
        <v>1.1262850789023888E-4</v>
      </c>
      <c r="E28" s="33" cm="1">
        <f t="array" ref="E28">(INDEX(TBBP[],MATCH($E$1,planoContas,0)+1,MATCH(A28,listaPeriodos,0))*-1)/Tabela7[[#This Row],[RECEITA LIQUIDA]]</f>
        <v>3.9575903007460405E-3</v>
      </c>
      <c r="F28" s="33" cm="1">
        <f t="array" ref="F28">(INDEX(TBBP[],MATCH($F$1,planoContas,0)+1,MATCH(A28,listaPeriodos,0))*-1)/Tabela7[[#This Row],[RECEITA LIQUIDA]]</f>
        <v>1.1195227193161322E-2</v>
      </c>
      <c r="G28" s="33">
        <f>SUM(Tabela7[[#This Row],[PRODUCAO]:[ADMINISTRATIVO]])</f>
        <v>9.2696424890113205E-2</v>
      </c>
    </row>
    <row r="29" spans="1:7" x14ac:dyDescent="0.3">
      <c r="A29" s="29">
        <v>44621</v>
      </c>
      <c r="B29" s="9" cm="1">
        <f t="array" ref="B29">(INDEX(TBBP[],MATCH($B$1,planoContas,0)+1,MATCH(Tabela7[[#This Row],[PERIODO]],listaPeriodos,0)))</f>
        <v>10398348.879999999</v>
      </c>
      <c r="C29" s="33" cm="1">
        <f t="array" ref="C29">((INDEX(TBBP[],MATCH($C$1,planoContas,0)+1,MATCH(A29,listaPeriodos,0)))*-1)/Tabela7[[#This Row],[RECEITA LIQUIDA]]</f>
        <v>5.0899654945987929E-2</v>
      </c>
      <c r="D29" s="33" cm="1">
        <f t="array" ref="D29">IFERROR(((INDEX(TBBP[],MATCH($D$1,planoContas,0)+1,MATCH(A29,listaPeriodos,0))*-1)/Tabela7[[#This Row],[RECEITA LIQUIDA]]),0)</f>
        <v>1.6156411170539608E-5</v>
      </c>
      <c r="E29" s="33" cm="1">
        <f t="array" ref="E29">(INDEX(TBBP[],MATCH($E$1,planoContas,0)+1,MATCH(A29,listaPeriodos,0))*-1)/Tabela7[[#This Row],[RECEITA LIQUIDA]]</f>
        <v>2.3643696017246921E-3</v>
      </c>
      <c r="F29" s="33" cm="1">
        <f t="array" ref="F29">(INDEX(TBBP[],MATCH($F$1,planoContas,0)+1,MATCH(A29,listaPeriodos,0))*-1)/Tabela7[[#This Row],[RECEITA LIQUIDA]]</f>
        <v>6.6586302112994697E-3</v>
      </c>
      <c r="G29" s="33">
        <f>SUM(Tabela7[[#This Row],[PRODUCAO]:[ADMINISTRATIVO]])</f>
        <v>5.9938811170182626E-2</v>
      </c>
    </row>
    <row r="30" spans="1:7" x14ac:dyDescent="0.3">
      <c r="A30" s="29">
        <v>44652</v>
      </c>
      <c r="B30" s="9" cm="1">
        <f t="array" ref="B30">(INDEX(TBBP[],MATCH($B$1,planoContas,0)+1,MATCH(Tabela7[[#This Row],[PERIODO]],listaPeriodos,0)))</f>
        <v>7242034.71</v>
      </c>
      <c r="C30" s="33" cm="1">
        <f t="array" ref="C30">((INDEX(TBBP[],MATCH($C$1,planoContas,0)+1,MATCH(A30,listaPeriodos,0)))*-1)/Tabela7[[#This Row],[RECEITA LIQUIDA]]</f>
        <v>7.4799974274080777E-2</v>
      </c>
      <c r="D30" s="33" cm="1">
        <f t="array" ref="D30">IFERROR(((INDEX(TBBP[],MATCH($D$1,planoContas,0)+1,MATCH(A30,listaPeriodos,0))*-1)/Tabela7[[#This Row],[RECEITA LIQUIDA]]),0)</f>
        <v>0</v>
      </c>
      <c r="E30" s="33" cm="1">
        <f t="array" ref="E30">(INDEX(TBBP[],MATCH($E$1,planoContas,0)+1,MATCH(A30,listaPeriodos,0))*-1)/Tabela7[[#This Row],[RECEITA LIQUIDA]]</f>
        <v>3.0816698474509245E-3</v>
      </c>
      <c r="F30" s="33" cm="1">
        <f t="array" ref="F30">(INDEX(TBBP[],MATCH($F$1,planoContas,0)+1,MATCH(A30,listaPeriodos,0))*-1)/Tabela7[[#This Row],[RECEITA LIQUIDA]]</f>
        <v>8.8339924567967174E-3</v>
      </c>
      <c r="G30" s="33">
        <f>SUM(Tabela7[[#This Row],[PRODUCAO]:[ADMINISTRATIVO]])</f>
        <v>8.6715636578328426E-2</v>
      </c>
    </row>
    <row r="31" spans="1:7" x14ac:dyDescent="0.3">
      <c r="A31" s="29">
        <v>44682</v>
      </c>
      <c r="B31" s="9" cm="1">
        <f t="array" ref="B31">(INDEX(TBBP[],MATCH($B$1,planoContas,0)+1,MATCH(Tabela7[[#This Row],[PERIODO]],listaPeriodos,0)))</f>
        <v>7832280.7899999982</v>
      </c>
      <c r="C31" s="33" cm="1">
        <f t="array" ref="C31">((INDEX(TBBP[],MATCH($C$1,planoContas,0)+1,MATCH(A31,listaPeriodos,0)))*-1)/Tabela7[[#This Row],[RECEITA LIQUIDA]]</f>
        <v>7.0806365970441681E-2</v>
      </c>
      <c r="D31" s="33" cm="1">
        <f t="array" ref="D31">IFERROR(((INDEX(TBBP[],MATCH($D$1,planoContas,0)+1,MATCH(A31,listaPeriodos,0))*-1)/Tabela7[[#This Row],[RECEITA LIQUIDA]]),0)</f>
        <v>0</v>
      </c>
      <c r="E31" s="33" cm="1">
        <f t="array" ref="E31">(INDEX(TBBP[],MATCH($E$1,planoContas,0)+1,MATCH(A31,listaPeriodos,0))*-1)/Tabela7[[#This Row],[RECEITA LIQUIDA]]</f>
        <v>2.9087491384485985E-3</v>
      </c>
      <c r="F31" s="33" cm="1">
        <f t="array" ref="F31">(INDEX(TBBP[],MATCH($F$1,planoContas,0)+1,MATCH(A31,listaPeriodos,0))*-1)/Tabela7[[#This Row],[RECEITA LIQUIDA]]</f>
        <v>1.0697236507017519E-2</v>
      </c>
      <c r="G31" s="33">
        <f>SUM(Tabela7[[#This Row],[PRODUCAO]:[ADMINISTRATIVO]])</f>
        <v>8.4412351615907807E-2</v>
      </c>
    </row>
    <row r="32" spans="1:7" x14ac:dyDescent="0.3">
      <c r="A32" s="29">
        <v>44713</v>
      </c>
      <c r="B32" s="9" cm="1">
        <f t="array" ref="B32">(INDEX(TBBP[],MATCH($B$1,planoContas,0)+1,MATCH(Tabela7[[#This Row],[PERIODO]],listaPeriodos,0)))</f>
        <v>7871509.620000001</v>
      </c>
      <c r="C32" s="33" cm="1">
        <f t="array" ref="C32">((INDEX(TBBP[],MATCH($C$1,planoContas,0)+1,MATCH(A32,listaPeriodos,0)))*-1)/Tabela7[[#This Row],[RECEITA LIQUIDA]]</f>
        <v>6.7463714793757693E-2</v>
      </c>
      <c r="D32" s="33" cm="1">
        <f t="array" ref="D32">IFERROR(((INDEX(TBBP[],MATCH($D$1,planoContas,0)+1,MATCH(A32,listaPeriodos,0))*-1)/Tabela7[[#This Row],[RECEITA LIQUIDA]]),0)</f>
        <v>1.3471964733494156E-3</v>
      </c>
      <c r="E32" s="33" cm="1">
        <f t="array" ref="E32">(INDEX(TBBP[],MATCH($E$1,planoContas,0)+1,MATCH(A32,listaPeriodos,0))*-1)/Tabela7[[#This Row],[RECEITA LIQUIDA]]</f>
        <v>2.8402480692134371E-3</v>
      </c>
      <c r="F32" s="33" cm="1">
        <f t="array" ref="F32">(INDEX(TBBP[],MATCH($F$1,planoContas,0)+1,MATCH(A32,listaPeriodos,0))*-1)/Tabela7[[#This Row],[RECEITA LIQUIDA]]</f>
        <v>9.2595440415659414E-3</v>
      </c>
      <c r="G32" s="33">
        <f>SUM(Tabela7[[#This Row],[PRODUCAO]:[ADMINISTRATIVO]])</f>
        <v>8.0910703377886486E-2</v>
      </c>
    </row>
    <row r="33" spans="1:7" x14ac:dyDescent="0.3">
      <c r="A33" s="29">
        <v>44743</v>
      </c>
      <c r="B33" s="9" cm="1">
        <f t="array" ref="B33">(INDEX(TBBP[],MATCH($B$1,planoContas,0)+1,MATCH(Tabela7[[#This Row],[PERIODO]],listaPeriodos,0)))</f>
        <v>7133374.0699999994</v>
      </c>
      <c r="C33" s="33" cm="1">
        <f t="array" ref="C33">((INDEX(TBBP[],MATCH($C$1,planoContas,0)+1,MATCH(A33,listaPeriodos,0)))*-1)/Tabela7[[#This Row],[RECEITA LIQUIDA]]</f>
        <v>6.8874520693683466E-2</v>
      </c>
      <c r="D33" s="33" cm="1">
        <f t="array" ref="D33">IFERROR(((INDEX(TBBP[],MATCH($D$1,planoContas,0)+1,MATCH(A33,listaPeriodos,0))*-1)/Tabela7[[#This Row],[RECEITA LIQUIDA]]),0)</f>
        <v>0</v>
      </c>
      <c r="E33" s="33" cm="1">
        <f t="array" ref="E33">(INDEX(TBBP[],MATCH($E$1,planoContas,0)+1,MATCH(A33,listaPeriodos,0))*-1)/Tabela7[[#This Row],[RECEITA LIQUIDA]]</f>
        <v>3.3693424407785196E-3</v>
      </c>
      <c r="F33" s="33" cm="1">
        <f t="array" ref="F33">(INDEX(TBBP[],MATCH($F$1,planoContas,0)+1,MATCH(A33,listaPeriodos,0))*-1)/Tabela7[[#This Row],[RECEITA LIQUIDA]]</f>
        <v>1.0059960307114526E-2</v>
      </c>
      <c r="G33" s="33">
        <f>SUM(Tabela7[[#This Row],[PRODUCAO]:[ADMINISTRATIVO]])</f>
        <v>8.230382344157651E-2</v>
      </c>
    </row>
    <row r="34" spans="1:7" x14ac:dyDescent="0.3">
      <c r="A34" s="29">
        <v>44774</v>
      </c>
      <c r="B34" s="9" cm="1">
        <f t="array" ref="B34">(INDEX(TBBP[],MATCH($B$1,planoContas,0)+1,MATCH(Tabela7[[#This Row],[PERIODO]],listaPeriodos,0)))</f>
        <v>7753457.120000002</v>
      </c>
      <c r="C34" s="33" cm="1">
        <f t="array" ref="C34">((INDEX(TBBP[],MATCH($C$1,planoContas,0)+1,MATCH(A34,listaPeriodos,0)))*-1)/Tabela7[[#This Row],[RECEITA LIQUIDA]]</f>
        <v>6.7758803830206757E-2</v>
      </c>
      <c r="D34" s="33" cm="1">
        <f t="array" ref="D34">IFERROR(((INDEX(TBBP[],MATCH($D$1,planoContas,0)+1,MATCH(A34,listaPeriodos,0))*-1)/Tabela7[[#This Row],[RECEITA LIQUIDA]]),0)</f>
        <v>0</v>
      </c>
      <c r="E34" s="33" cm="1">
        <f t="array" ref="E34">(INDEX(TBBP[],MATCH($E$1,planoContas,0)+1,MATCH(A34,listaPeriodos,0))*-1)/Tabela7[[#This Row],[RECEITA LIQUIDA]]</f>
        <v>2.9041561269381204E-3</v>
      </c>
      <c r="F34" s="33" cm="1">
        <f t="array" ref="F34">(INDEX(TBBP[],MATCH($F$1,planoContas,0)+1,MATCH(A34,listaPeriodos,0))*-1)/Tabela7[[#This Row],[RECEITA LIQUIDA]]</f>
        <v>9.339012117990533E-3</v>
      </c>
      <c r="G34" s="33">
        <f>SUM(Tabela7[[#This Row],[PRODUCAO]:[ADMINISTRATIVO]])</f>
        <v>8.0001972075135402E-2</v>
      </c>
    </row>
    <row r="35" spans="1:7" x14ac:dyDescent="0.3">
      <c r="A35" s="29">
        <v>44805</v>
      </c>
      <c r="B35" s="9" cm="1">
        <f t="array" ref="B35">(INDEX(TBBP[],MATCH($B$1,planoContas,0)+1,MATCH(Tabela7[[#This Row],[PERIODO]],listaPeriodos,0)))</f>
        <v>7901820.9700000007</v>
      </c>
      <c r="C35" s="33" cm="1">
        <f t="array" ref="C35">((INDEX(TBBP[],MATCH($C$1,planoContas,0)+1,MATCH(A35,listaPeriodos,0)))*-1)/Tabela7[[#This Row],[RECEITA LIQUIDA]]</f>
        <v>6.6282506524568838E-2</v>
      </c>
      <c r="D35" s="33" cm="1">
        <f t="array" ref="D35">IFERROR(((INDEX(TBBP[],MATCH($D$1,planoContas,0)+1,MATCH(A35,listaPeriodos,0))*-1)/Tabela7[[#This Row],[RECEITA LIQUIDA]]),0)</f>
        <v>0</v>
      </c>
      <c r="E35" s="33" cm="1">
        <f t="array" ref="E35">(INDEX(TBBP[],MATCH($E$1,planoContas,0)+1,MATCH(A35,listaPeriodos,0))*-1)/Tabela7[[#This Row],[RECEITA LIQUIDA]]</f>
        <v>3.9144306252233401E-3</v>
      </c>
      <c r="F35" s="33" cm="1">
        <f t="array" ref="F35">(INDEX(TBBP[],MATCH($F$1,planoContas,0)+1,MATCH(A35,listaPeriodos,0))*-1)/Tabela7[[#This Row],[RECEITA LIQUIDA]]</f>
        <v>9.5709837374359039E-3</v>
      </c>
      <c r="G35" s="33">
        <f>SUM(Tabela7[[#This Row],[PRODUCAO]:[ADMINISTRATIVO]])</f>
        <v>7.9767920887228089E-2</v>
      </c>
    </row>
    <row r="36" spans="1:7" x14ac:dyDescent="0.3">
      <c r="A36" s="29">
        <v>44835</v>
      </c>
      <c r="B36" s="9" cm="1">
        <f t="array" ref="B36">(INDEX(TBBP[],MATCH($B$1,planoContas,0)+1,MATCH(Tabela7[[#This Row],[PERIODO]],listaPeriodos,0)))</f>
        <v>5212976.3499999996</v>
      </c>
      <c r="C36" s="33" cm="1">
        <f t="array" ref="C36">((INDEX(TBBP[],MATCH($C$1,planoContas,0)+1,MATCH(A36,listaPeriodos,0)))*-1)/Tabela7[[#This Row],[RECEITA LIQUIDA]]</f>
        <v>0.10742734714305772</v>
      </c>
      <c r="D36" s="33" cm="1">
        <f t="array" ref="D36">IFERROR(((INDEX(TBBP[],MATCH($D$1,planoContas,0)+1,MATCH(A36,listaPeriodos,0))*-1)/Tabela7[[#This Row],[RECEITA LIQUIDA]]),0)</f>
        <v>0</v>
      </c>
      <c r="E36" s="33" cm="1">
        <f t="array" ref="E36">(INDEX(TBBP[],MATCH($E$1,planoContas,0)+1,MATCH(A36,listaPeriodos,0))*-1)/Tabela7[[#This Row],[RECEITA LIQUIDA]]</f>
        <v>4.7414276107352769E-3</v>
      </c>
      <c r="F36" s="33" cm="1">
        <f t="array" ref="F36">(INDEX(TBBP[],MATCH($F$1,planoContas,0)+1,MATCH(A36,listaPeriodos,0))*-1)/Tabela7[[#This Row],[RECEITA LIQUIDA]]</f>
        <v>1.4287920182104797E-2</v>
      </c>
      <c r="G36" s="33">
        <f>SUM(Tabela7[[#This Row],[PRODUCAO]:[ADMINISTRATIVO]])</f>
        <v>0.12645669493589778</v>
      </c>
    </row>
    <row r="37" spans="1:7" x14ac:dyDescent="0.3">
      <c r="A37" s="29">
        <v>44866</v>
      </c>
      <c r="B37" s="9" cm="1">
        <f t="array" ref="B37">(INDEX(TBBP[],MATCH($B$1,planoContas,0)+1,MATCH(Tabela7[[#This Row],[PERIODO]],listaPeriodos,0)))</f>
        <v>6633932.3399999989</v>
      </c>
      <c r="C37" s="33" cm="1">
        <f t="array" ref="C37">((INDEX(TBBP[],MATCH($C$1,planoContas,0)+1,MATCH(A37,listaPeriodos,0)))*-1)/Tabela7[[#This Row],[RECEITA LIQUIDA]]</f>
        <v>8.0203480037301683E-2</v>
      </c>
      <c r="D37" s="33" cm="1">
        <f t="array" ref="D37">IFERROR(((INDEX(TBBP[],MATCH($D$1,planoContas,0)+1,MATCH(A37,listaPeriodos,0))*-1)/Tabela7[[#This Row],[RECEITA LIQUIDA]]),0)</f>
        <v>0</v>
      </c>
      <c r="E37" s="33" cm="1">
        <f t="array" ref="E37">(INDEX(TBBP[],MATCH($E$1,planoContas,0)+1,MATCH(A37,listaPeriodos,0))*-1)/Tabela7[[#This Row],[RECEITA LIQUIDA]]</f>
        <v>4.0363721888667927E-3</v>
      </c>
      <c r="F37" s="33" cm="1">
        <f t="array" ref="F37">(INDEX(TBBP[],MATCH($F$1,planoContas,0)+1,MATCH(A37,listaPeriodos,0))*-1)/Tabela7[[#This Row],[RECEITA LIQUIDA]]</f>
        <v>9.623837978425932E-3</v>
      </c>
      <c r="G37" s="33">
        <f>SUM(Tabela7[[#This Row],[PRODUCAO]:[ADMINISTRATIVO]])</f>
        <v>9.386369020459441E-2</v>
      </c>
    </row>
    <row r="38" spans="1:7" x14ac:dyDescent="0.3">
      <c r="A38" s="29">
        <v>44896</v>
      </c>
      <c r="B38" s="9" cm="1">
        <f t="array" ref="B38">(INDEX(TBBP[],MATCH($B$1,planoContas,0)+1,MATCH(Tabela7[[#This Row],[PERIODO]],listaPeriodos,0)))</f>
        <v>5522329.4800000004</v>
      </c>
      <c r="C38" s="33" cm="1">
        <f t="array" ref="C38">((INDEX(TBBP[],MATCH($C$1,planoContas,0)+1,MATCH(A38,listaPeriodos,0)))*-1)/Tabela7[[#This Row],[RECEITA LIQUIDA]]</f>
        <v>6.2363611451883155E-2</v>
      </c>
      <c r="D38" s="33" cm="1">
        <f t="array" ref="D38">IFERROR(((INDEX(TBBP[],MATCH($D$1,planoContas,0)+1,MATCH(A38,listaPeriodos,0))*-1)/Tabela7[[#This Row],[RECEITA LIQUIDA]]),0)</f>
        <v>0</v>
      </c>
      <c r="E38" s="33" cm="1">
        <f t="array" ref="E38">(INDEX(TBBP[],MATCH($E$1,planoContas,0)+1,MATCH(A38,listaPeriodos,0))*-1)/Tabela7[[#This Row],[RECEITA LIQUIDA]]</f>
        <v>4.1804858046970419E-3</v>
      </c>
      <c r="F38" s="33" cm="1">
        <f t="array" ref="F38">(INDEX(TBBP[],MATCH($F$1,planoContas,0)+1,MATCH(A38,listaPeriodos,0))*-1)/Tabela7[[#This Row],[RECEITA LIQUIDA]]</f>
        <v>1.108998480112418E-2</v>
      </c>
      <c r="G38" s="33">
        <f>SUM(Tabela7[[#This Row],[PRODUCAO]:[ADMINISTRATIVO]])</f>
        <v>7.7634082057704376E-2</v>
      </c>
    </row>
    <row r="39" spans="1:7" x14ac:dyDescent="0.3">
      <c r="A39" s="29">
        <v>44927</v>
      </c>
      <c r="B39" s="9" cm="1">
        <f t="array" ref="B39">(INDEX(TBBP[],MATCH($B$1,planoContas,0)+1,MATCH(Tabela7[[#This Row],[PERIODO]],listaPeriodos,0)))</f>
        <v>4523362.28</v>
      </c>
      <c r="C39" s="33" cm="1">
        <f t="array" ref="C39">((INDEX(TBBP[],MATCH($C$1,planoContas,0)+1,MATCH(A39,listaPeriodos,0)))*-1)/Tabela7[[#This Row],[RECEITA LIQUIDA]]</f>
        <v>0.14190059081449471</v>
      </c>
      <c r="D39" s="33" cm="1">
        <f t="array" ref="D39">IFERROR(((INDEX(TBBP[],MATCH($D$1,planoContas,0)+1,MATCH(A39,listaPeriodos,0))*-1)/Tabela7[[#This Row],[RECEITA LIQUIDA]]),0)</f>
        <v>0</v>
      </c>
      <c r="E39" s="33" cm="1">
        <f t="array" ref="E39">(INDEX(TBBP[],MATCH($E$1,planoContas,0)+1,MATCH(A39,listaPeriodos,0))*-1)/Tabela7[[#This Row],[RECEITA LIQUIDA]]</f>
        <v>5.7614774998742749E-3</v>
      </c>
      <c r="F39" s="33" cm="1">
        <f t="array" ref="F39">(INDEX(TBBP[],MATCH($F$1,planoContas,0)+1,MATCH(A39,listaPeriodos,0))*-1)/Tabela7[[#This Row],[RECEITA LIQUIDA]]</f>
        <v>1.5509018658571827E-2</v>
      </c>
      <c r="G39" s="33">
        <f>SUM(Tabela7[[#This Row],[PRODUCAO]:[ADMINISTRATIVO]])</f>
        <v>0.1631710869729408</v>
      </c>
    </row>
    <row r="40" spans="1:7" x14ac:dyDescent="0.3">
      <c r="A40" s="29">
        <v>44958</v>
      </c>
      <c r="B40" s="9" cm="1">
        <f t="array" ref="B40">(INDEX(TBBP[],MATCH($B$1,planoContas,0)+1,MATCH(Tabela7[[#This Row],[PERIODO]],listaPeriodos,0)))</f>
        <v>5020605.1399999997</v>
      </c>
      <c r="C40" s="33" cm="1">
        <f t="array" ref="C40">((INDEX(TBBP[],MATCH($C$1,planoContas,0)+1,MATCH(A40,listaPeriodos,0)))*-1)/Tabela7[[#This Row],[RECEITA LIQUIDA]]</f>
        <v>0.11374929198275889</v>
      </c>
      <c r="D40" s="33" cm="1">
        <f t="array" ref="D40">IFERROR(((INDEX(TBBP[],MATCH($D$1,planoContas,0)+1,MATCH(A40,listaPeriodos,0))*-1)/Tabela7[[#This Row],[RECEITA LIQUIDA]]),0)</f>
        <v>0</v>
      </c>
      <c r="E40" s="33" cm="1">
        <f t="array" ref="E40">(INDEX(TBBP[],MATCH($E$1,planoContas,0)+1,MATCH(A40,listaPeriodos,0))*-1)/Tabela7[[#This Row],[RECEITA LIQUIDA]]</f>
        <v>6.6750439569521706E-3</v>
      </c>
      <c r="F40" s="33" cm="1">
        <f t="array" ref="F40">(INDEX(TBBP[],MATCH($F$1,planoContas,0)+1,MATCH(A40,listaPeriodos,0))*-1)/Tabela7[[#This Row],[RECEITA LIQUIDA]]</f>
        <v>1.4235220258727617E-2</v>
      </c>
      <c r="G40" s="33">
        <f>SUM(Tabela7[[#This Row],[PRODUCAO]:[ADMINISTRATIVO]])</f>
        <v>0.1346595561984387</v>
      </c>
    </row>
    <row r="41" spans="1:7" x14ac:dyDescent="0.3">
      <c r="A41" s="29">
        <v>44986</v>
      </c>
      <c r="B41" s="9" cm="1">
        <f t="array" ref="B41">(INDEX(TBBP[],MATCH($B$1,planoContas,0)+1,MATCH(Tabela7[[#This Row],[PERIODO]],listaPeriodos,0)))</f>
        <v>6163399.0099999998</v>
      </c>
      <c r="C41" s="33" cm="1">
        <f t="array" ref="C41">((INDEX(TBBP[],MATCH($C$1,planoContas,0)+1,MATCH(A41,listaPeriodos,0)))*-1)/Tabela7[[#This Row],[RECEITA LIQUIDA]]</f>
        <v>9.092489859747048E-2</v>
      </c>
      <c r="D41" s="33" cm="1">
        <f t="array" ref="D41">IFERROR(((INDEX(TBBP[],MATCH($D$1,planoContas,0)+1,MATCH(A41,listaPeriodos,0))*-1)/Tabela7[[#This Row],[RECEITA LIQUIDA]]),0)</f>
        <v>0</v>
      </c>
      <c r="E41" s="33" cm="1">
        <f t="array" ref="E41">(INDEX(TBBP[],MATCH($E$1,planoContas,0)+1,MATCH(A41,listaPeriodos,0))*-1)/Tabela7[[#This Row],[RECEITA LIQUIDA]]</f>
        <v>3.7142492256070896E-3</v>
      </c>
      <c r="F41" s="33" cm="1">
        <f t="array" ref="F41">(INDEX(TBBP[],MATCH($F$1,planoContas,0)+1,MATCH(A41,listaPeriodos,0))*-1)/Tabela7[[#This Row],[RECEITA LIQUIDA]]</f>
        <v>1.2281517045575799E-2</v>
      </c>
      <c r="G41" s="33">
        <f>SUM(Tabela7[[#This Row],[PRODUCAO]:[ADMINISTRATIVO]])</f>
        <v>0.10692066486865337</v>
      </c>
    </row>
    <row r="42" spans="1:7" x14ac:dyDescent="0.3">
      <c r="A42" s="29">
        <v>45017</v>
      </c>
      <c r="B42" s="9" cm="1">
        <f t="array" ref="B42">(INDEX(TBBP[],MATCH($B$1,planoContas,0)+1,MATCH(Tabela7[[#This Row],[PERIODO]],listaPeriodos,0)))</f>
        <v>5450287.8899999997</v>
      </c>
      <c r="C42" s="33" cm="1">
        <f t="array" ref="C42">((INDEX(TBBP[],MATCH($C$1,planoContas,0)+1,MATCH(A42,listaPeriodos,0)))*-1)/Tabela7[[#This Row],[RECEITA LIQUIDA]]</f>
        <v>0.10166352698847987</v>
      </c>
      <c r="D42" s="33" cm="1">
        <f t="array" ref="D42">IFERROR(((INDEX(TBBP[],MATCH($D$1,planoContas,0)+1,MATCH(A42,listaPeriodos,0))*-1)/Tabela7[[#This Row],[RECEITA LIQUIDA]]),0)</f>
        <v>0</v>
      </c>
      <c r="E42" s="33" cm="1">
        <f t="array" ref="E42">(INDEX(TBBP[],MATCH($E$1,planoContas,0)+1,MATCH(A42,listaPeriodos,0))*-1)/Tabela7[[#This Row],[RECEITA LIQUIDA]]</f>
        <v>3.6805578723291999E-3</v>
      </c>
      <c r="F42" s="33" cm="1">
        <f t="array" ref="F42">(INDEX(TBBP[],MATCH($F$1,planoContas,0)+1,MATCH(A42,listaPeriodos,0))*-1)/Tabela7[[#This Row],[RECEITA LIQUIDA]]</f>
        <v>1.1680538952227716E-2</v>
      </c>
      <c r="G42" s="33">
        <f>SUM(Tabela7[[#This Row],[PRODUCAO]:[ADMINISTRATIVO]])</f>
        <v>0.11702462381303678</v>
      </c>
    </row>
    <row r="43" spans="1:7" x14ac:dyDescent="0.3">
      <c r="A43" s="29">
        <v>45047</v>
      </c>
      <c r="B43" s="9" cm="1">
        <f t="array" ref="B43">(INDEX(TBBP[],MATCH($B$1,planoContas,0)+1,MATCH(Tabela7[[#This Row],[PERIODO]],listaPeriodos,0)))</f>
        <v>9087903.75</v>
      </c>
      <c r="C43" s="33" cm="1">
        <f t="array" ref="C43">((INDEX(TBBP[],MATCH($C$1,planoContas,0)+1,MATCH(A43,listaPeriodos,0)))*-1)/Tabela7[[#This Row],[RECEITA LIQUIDA]]</f>
        <v>6.2204365885807265E-2</v>
      </c>
      <c r="D43" s="33" cm="1">
        <f t="array" ref="D43">IFERROR(((INDEX(TBBP[],MATCH($D$1,planoContas,0)+1,MATCH(A43,listaPeriodos,0))*-1)/Tabela7[[#This Row],[RECEITA LIQUIDA]]),0)</f>
        <v>0</v>
      </c>
      <c r="E43" s="33" cm="1">
        <f t="array" ref="E43">(INDEX(TBBP[],MATCH($E$1,planoContas,0)+1,MATCH(A43,listaPeriodos,0))*-1)/Tabela7[[#This Row],[RECEITA LIQUIDA]]</f>
        <v>3.0583488519010777E-3</v>
      </c>
      <c r="F43" s="33" cm="1">
        <f t="array" ref="F43">(INDEX(TBBP[],MATCH($F$1,planoContas,0)+1,MATCH(A43,listaPeriodos,0))*-1)/Tabela7[[#This Row],[RECEITA LIQUIDA]]</f>
        <v>9.6773428085657268E-3</v>
      </c>
      <c r="G43" s="33">
        <f>SUM(Tabela7[[#This Row],[PRODUCAO]:[ADMINISTRATIVO]])</f>
        <v>7.4940057546274058E-2</v>
      </c>
    </row>
    <row r="44" spans="1:7" x14ac:dyDescent="0.3">
      <c r="A44" s="29">
        <v>45078</v>
      </c>
      <c r="B44" s="9" cm="1">
        <f t="array" ref="B44">(INDEX(TBBP[],MATCH($B$1,planoContas,0)+1,MATCH(Tabela7[[#This Row],[PERIODO]],listaPeriodos,0)))</f>
        <v>8277075.1100000013</v>
      </c>
      <c r="C44" s="33" cm="1">
        <f t="array" ref="C44">((INDEX(TBBP[],MATCH($C$1,planoContas,0)+1,MATCH(A44,listaPeriodos,0)))*-1)/Tabela7[[#This Row],[RECEITA LIQUIDA]]</f>
        <v>7.4265840508966938E-2</v>
      </c>
      <c r="D44" s="33" cm="1">
        <f t="array" ref="D44">IFERROR(((INDEX(TBBP[],MATCH($D$1,planoContas,0)+1,MATCH(A44,listaPeriodos,0))*-1)/Tabela7[[#This Row],[RECEITA LIQUIDA]]),0)</f>
        <v>0</v>
      </c>
      <c r="E44" s="33" cm="1">
        <f t="array" ref="E44">(INDEX(TBBP[],MATCH($E$1,planoContas,0)+1,MATCH(A44,listaPeriodos,0))*-1)/Tabela7[[#This Row],[RECEITA LIQUIDA]]</f>
        <v>3.0998848819193568E-3</v>
      </c>
      <c r="F44" s="33" cm="1">
        <f t="array" ref="F44">(INDEX(TBBP[],MATCH($F$1,planoContas,0)+1,MATCH(A44,listaPeriodos,0))*-1)/Tabela7[[#This Row],[RECEITA LIQUIDA]]</f>
        <v>8.8014822907653903E-3</v>
      </c>
      <c r="G44" s="33">
        <f>SUM(Tabela7[[#This Row],[PRODUCAO]:[ADMINISTRATIVO]])</f>
        <v>8.6167207681651675E-2</v>
      </c>
    </row>
    <row r="45" spans="1:7" x14ac:dyDescent="0.3">
      <c r="A45" s="29">
        <v>45108</v>
      </c>
      <c r="B45" s="9" cm="1">
        <f t="array" ref="B45">(INDEX(TBBP[],MATCH($B$1,planoContas,0)+1,MATCH(Tabela7[[#This Row],[PERIODO]],listaPeriodos,0)))</f>
        <v>5198444.16</v>
      </c>
      <c r="C45" s="33" cm="1">
        <f t="array" ref="C45">((INDEX(TBBP[],MATCH($C$1,planoContas,0)+1,MATCH(A45,listaPeriodos,0)))*-1)/Tabela7[[#This Row],[RECEITA LIQUIDA]]</f>
        <v>0.11320654639868249</v>
      </c>
      <c r="D45" s="33" cm="1">
        <f t="array" ref="D45">IFERROR(((INDEX(TBBP[],MATCH($D$1,planoContas,0)+1,MATCH(A45,listaPeriodos,0))*-1)/Tabela7[[#This Row],[RECEITA LIQUIDA]]),0)</f>
        <v>0</v>
      </c>
      <c r="E45" s="33" cm="1">
        <f t="array" ref="E45">(INDEX(TBBP[],MATCH($E$1,planoContas,0)+1,MATCH(A45,listaPeriodos,0))*-1)/Tabela7[[#This Row],[RECEITA LIQUIDA]]</f>
        <v>5.1047888912978141E-3</v>
      </c>
      <c r="F45" s="33" cm="1">
        <f t="array" ref="F45">(INDEX(TBBP[],MATCH($F$1,planoContas,0)+1,MATCH(A45,listaPeriodos,0))*-1)/Tabela7[[#This Row],[RECEITA LIQUIDA]]</f>
        <v>1.5624496003050268E-2</v>
      </c>
      <c r="G45" s="33">
        <f>SUM(Tabela7[[#This Row],[PRODUCAO]:[ADMINISTRATIVO]])</f>
        <v>0.13393583129303058</v>
      </c>
    </row>
    <row r="46" spans="1:7" x14ac:dyDescent="0.3">
      <c r="A46" s="29">
        <v>45139</v>
      </c>
      <c r="B46" s="9" cm="1">
        <f t="array" ref="B46">(INDEX(TBBP[],MATCH($B$1,planoContas,0)+1,MATCH(Tabela7[[#This Row],[PERIODO]],listaPeriodos,0)))</f>
        <v>7988986.9099999983</v>
      </c>
      <c r="C46" s="33" cm="1">
        <f t="array" ref="C46">((INDEX(TBBP[],MATCH($C$1,planoContas,0)+1,MATCH(A46,listaPeriodos,0)))*-1)/Tabela7[[#This Row],[RECEITA LIQUIDA]]</f>
        <v>8.3643579283321182E-2</v>
      </c>
      <c r="D46" s="33" cm="1">
        <f t="array" ref="D46">IFERROR(((INDEX(TBBP[],MATCH($D$1,planoContas,0)+1,MATCH(A46,listaPeriodos,0))*-1)/Tabela7[[#This Row],[RECEITA LIQUIDA]]),0)</f>
        <v>0</v>
      </c>
      <c r="E46" s="33" cm="1">
        <f t="array" ref="E46">(INDEX(TBBP[],MATCH($E$1,planoContas,0)+1,MATCH(A46,listaPeriodos,0))*-1)/Tabela7[[#This Row],[RECEITA LIQUIDA]]</f>
        <v>3.6135658156936454E-3</v>
      </c>
      <c r="F46" s="33" cm="1">
        <f t="array" ref="F46">(INDEX(TBBP[],MATCH($F$1,planoContas,0)+1,MATCH(A46,listaPeriodos,0))*-1)/Tabela7[[#This Row],[RECEITA LIQUIDA]]</f>
        <v>9.6691484001943384E-3</v>
      </c>
      <c r="G46" s="33">
        <f>SUM(Tabela7[[#This Row],[PRODUCAO]:[ADMINISTRATIVO]])</f>
        <v>9.6926293499209171E-2</v>
      </c>
    </row>
    <row r="47" spans="1:7" x14ac:dyDescent="0.3">
      <c r="A47" s="29">
        <v>45170</v>
      </c>
      <c r="B47" s="9" cm="1">
        <f t="array" ref="B47">(INDEX(TBBP[],MATCH($B$1,planoContas,0)+1,MATCH(Tabela7[[#This Row],[PERIODO]],listaPeriodos,0)))</f>
        <v>7305588.3999999994</v>
      </c>
      <c r="C47" s="33" cm="1">
        <f t="array" ref="C47">((INDEX(TBBP[],MATCH($C$1,planoContas,0)+1,MATCH(A47,listaPeriodos,0)))*-1)/Tabela7[[#This Row],[RECEITA LIQUIDA]]</f>
        <v>8.3408465771217022E-2</v>
      </c>
      <c r="D47" s="33" cm="1">
        <f t="array" ref="D47">IFERROR(((INDEX(TBBP[],MATCH($D$1,planoContas,0)+1,MATCH(A47,listaPeriodos,0))*-1)/Tabela7[[#This Row],[RECEITA LIQUIDA]]),0)</f>
        <v>0</v>
      </c>
      <c r="E47" s="33" cm="1">
        <f t="array" ref="E47">(INDEX(TBBP[],MATCH($E$1,planoContas,0)+1,MATCH(A47,listaPeriodos,0))*-1)/Tabela7[[#This Row],[RECEITA LIQUIDA]]</f>
        <v>3.4095145573763779E-3</v>
      </c>
      <c r="F47" s="33" cm="1">
        <f t="array" ref="F47">(INDEX(TBBP[],MATCH($F$1,planoContas,0)+1,MATCH(A47,listaPeriodos,0))*-1)/Tabela7[[#This Row],[RECEITA LIQUIDA]]</f>
        <v>1.063866121995047E-2</v>
      </c>
      <c r="G47" s="33">
        <f>SUM(Tabela7[[#This Row],[PRODUCAO]:[ADMINISTRATIVO]])</f>
        <v>9.7456641548543874E-2</v>
      </c>
    </row>
    <row r="48" spans="1:7" x14ac:dyDescent="0.3">
      <c r="A48" s="29">
        <v>45200</v>
      </c>
      <c r="B48" s="9" cm="1">
        <f t="array" ref="B48">(INDEX(TBBP[],MATCH($B$1,planoContas,0)+1,MATCH(Tabela7[[#This Row],[PERIODO]],listaPeriodos,0)))</f>
        <v>8831749.629999999</v>
      </c>
      <c r="C48" s="33" cm="1">
        <f t="array" ref="C48">((INDEX(TBBP[],MATCH($C$1,planoContas,0)+1,MATCH(A48,listaPeriodos,0)))*-1)/Tabela7[[#This Row],[RECEITA LIQUIDA]]</f>
        <v>7.6545626667634606E-2</v>
      </c>
      <c r="D48" s="33" cm="1">
        <f t="array" ref="D48">IFERROR(((INDEX(TBBP[],MATCH($D$1,planoContas,0)+1,MATCH(A48,listaPeriodos,0))*-1)/Tabela7[[#This Row],[RECEITA LIQUIDA]]),0)</f>
        <v>0</v>
      </c>
      <c r="E48" s="33" cm="1">
        <f t="array" ref="E48">(INDEX(TBBP[],MATCH($E$1,planoContas,0)+1,MATCH(A48,listaPeriodos,0))*-1)/Tabela7[[#This Row],[RECEITA LIQUIDA]]</f>
        <v>3.4559788579513894E-3</v>
      </c>
      <c r="F48" s="33" cm="1">
        <f t="array" ref="F48">(INDEX(TBBP[],MATCH($F$1,planoContas,0)+1,MATCH(A48,listaPeriodos,0))*-1)/Tabela7[[#This Row],[RECEITA LIQUIDA]]</f>
        <v>8.9382685546080202E-3</v>
      </c>
      <c r="G48" s="33">
        <f>SUM(Tabela7[[#This Row],[PRODUCAO]:[ADMINISTRATIVO]])</f>
        <v>8.893987408019402E-2</v>
      </c>
    </row>
    <row r="49" spans="1:7" x14ac:dyDescent="0.3">
      <c r="A49" s="29">
        <v>45231</v>
      </c>
      <c r="B49" s="9" cm="1">
        <f t="array" ref="B49">(INDEX(TBBP[],MATCH($B$1,planoContas,0)+1,MATCH(Tabela7[[#This Row],[PERIODO]],listaPeriodos,0)))</f>
        <v>5971298.0200000005</v>
      </c>
      <c r="C49" s="33" cm="1">
        <f t="array" ref="C49">((INDEX(TBBP[],MATCH($C$1,planoContas,0)+1,MATCH(A49,listaPeriodos,0)))*-1)/Tabela7[[#This Row],[RECEITA LIQUIDA]]</f>
        <v>0.14036098134656491</v>
      </c>
      <c r="D49" s="33" cm="1">
        <f t="array" ref="D49">IFERROR(((INDEX(TBBP[],MATCH($D$1,planoContas,0)+1,MATCH(A49,listaPeriodos,0))*-1)/Tabela7[[#This Row],[RECEITA LIQUIDA]]),0)</f>
        <v>0</v>
      </c>
      <c r="E49" s="33" cm="1">
        <f t="array" ref="E49">(INDEX(TBBP[],MATCH($E$1,planoContas,0)+1,MATCH(A49,listaPeriodos,0))*-1)/Tabela7[[#This Row],[RECEITA LIQUIDA]]</f>
        <v>4.6592164562571934E-3</v>
      </c>
      <c r="F49" s="33" cm="1">
        <f t="array" ref="F49">(INDEX(TBBP[],MATCH($F$1,planoContas,0)+1,MATCH(A49,listaPeriodos,0))*-1)/Tabela7[[#This Row],[RECEITA LIQUIDA]]</f>
        <v>1.4823040100081956E-2</v>
      </c>
      <c r="G49" s="33">
        <f>SUM(Tabela7[[#This Row],[PRODUCAO]:[ADMINISTRATIVO]])</f>
        <v>0.15984323790290406</v>
      </c>
    </row>
    <row r="50" spans="1:7" x14ac:dyDescent="0.3">
      <c r="A50" s="29">
        <v>45261</v>
      </c>
      <c r="B50" s="9" cm="1">
        <f t="array" ref="B50">(INDEX(TBBP[],MATCH($B$1,planoContas,0)+1,MATCH(Tabela7[[#This Row],[PERIODO]],listaPeriodos,0)))</f>
        <v>8232901.5800000001</v>
      </c>
      <c r="C50" s="33" cm="1">
        <f t="array" ref="C50">((INDEX(TBBP[],MATCH($C$1,planoContas,0)+1,MATCH(A50,listaPeriodos,0)))*-1)/Tabela7[[#This Row],[RECEITA LIQUIDA]]</f>
        <v>7.7458479711353473E-2</v>
      </c>
      <c r="D50" s="33" cm="1">
        <f t="array" ref="D50">IFERROR(((INDEX(TBBP[],MATCH($D$1,planoContas,0)+1,MATCH(A50,listaPeriodos,0))*-1)/Tabela7[[#This Row],[RECEITA LIQUIDA]]),0)</f>
        <v>0</v>
      </c>
      <c r="E50" s="33" cm="1">
        <f t="array" ref="E50">(INDEX(TBBP[],MATCH($E$1,planoContas,0)+1,MATCH(A50,listaPeriodos,0))*-1)/Tabela7[[#This Row],[RECEITA LIQUIDA]]</f>
        <v>3.4922499340748828E-3</v>
      </c>
      <c r="F50" s="33" cm="1">
        <f t="array" ref="F50">(INDEX(TBBP[],MATCH($F$1,planoContas,0)+1,MATCH(A50,listaPeriodos,0))*-1)/Tabela7[[#This Row],[RECEITA LIQUIDA]]</f>
        <v>1.0438744975255735E-2</v>
      </c>
      <c r="G50" s="33">
        <f>SUM(Tabela7[[#This Row],[PRODUCAO]:[ADMINISTRATIVO]])</f>
        <v>9.1389474620684086E-2</v>
      </c>
    </row>
    <row r="51" spans="1:7" x14ac:dyDescent="0.3">
      <c r="A51" s="29">
        <v>45292</v>
      </c>
      <c r="B51" s="9" cm="1">
        <f t="array" ref="B51">(INDEX(TBBP[],MATCH($B$1,planoContas,0)+1,MATCH(Tabela7[[#This Row],[PERIODO]],listaPeriodos,0)))</f>
        <v>7481410.8899999997</v>
      </c>
      <c r="C51" s="33" cm="1">
        <f t="array" ref="C51">((INDEX(TBBP[],MATCH($C$1,planoContas,0)+1,MATCH(A51,listaPeriodos,0)))*-1)/Tabela7[[#This Row],[RECEITA LIQUIDA]]</f>
        <v>0.12753582098736993</v>
      </c>
      <c r="D51" s="33" cm="1">
        <f t="array" ref="D51">IFERROR(((INDEX(TBBP[],MATCH($D$1,planoContas,0)+1,MATCH(A51,listaPeriodos,0))*-1)/Tabela7[[#This Row],[RECEITA LIQUIDA]]),0)</f>
        <v>0</v>
      </c>
      <c r="E51" s="33" cm="1">
        <f t="array" ref="E51">(INDEX(TBBP[],MATCH($E$1,planoContas,0)+1,MATCH(A51,listaPeriodos,0))*-1)/Tabela7[[#This Row],[RECEITA LIQUIDA]]</f>
        <v>4.5879113585218416E-3</v>
      </c>
      <c r="F51" s="33" cm="1">
        <f t="array" ref="F51">(INDEX(TBBP[],MATCH($F$1,planoContas,0)+1,MATCH(A51,listaPeriodos,0))*-1)/Tabela7[[#This Row],[RECEITA LIQUIDA]]</f>
        <v>1.0570431321410821E-2</v>
      </c>
      <c r="G51" s="33">
        <f>SUM(Tabela7[[#This Row],[PRODUCAO]:[ADMINISTRATIVO]])</f>
        <v>0.14269416366730261</v>
      </c>
    </row>
    <row r="52" spans="1:7" x14ac:dyDescent="0.3">
      <c r="A52" s="29">
        <v>45323</v>
      </c>
      <c r="B52" s="9" cm="1">
        <f t="array" ref="B52">(INDEX(TBBP[],MATCH($B$1,planoContas,0)+1,MATCH(Tabela7[[#This Row],[PERIODO]],listaPeriodos,0)))</f>
        <v>8407937.3199999984</v>
      </c>
      <c r="C52" s="33" cm="1">
        <f t="array" ref="C52">((INDEX(TBBP[],MATCH($C$1,planoContas,0)+1,MATCH(A52,listaPeriodos,0)))*-1)/Tabela7[[#This Row],[RECEITA LIQUIDA]]</f>
        <v>9.4232811193221439E-2</v>
      </c>
      <c r="D52" s="33" cm="1">
        <f t="array" ref="D52">IFERROR(((INDEX(TBBP[],MATCH($D$1,planoContas,0)+1,MATCH(A52,listaPeriodos,0))*-1)/Tabela7[[#This Row],[RECEITA LIQUIDA]]),0)</f>
        <v>0</v>
      </c>
      <c r="E52" s="33" cm="1">
        <f t="array" ref="E52">(INDEX(TBBP[],MATCH($E$1,planoContas,0)+1,MATCH(A52,listaPeriodos,0))*-1)/Tabela7[[#This Row],[RECEITA LIQUIDA]]</f>
        <v>3.8832330400864609E-3</v>
      </c>
      <c r="F52" s="33" cm="1">
        <f t="array" ref="F52">(INDEX(TBBP[],MATCH($F$1,planoContas,0)+1,MATCH(A52,listaPeriodos,0))*-1)/Tabela7[[#This Row],[RECEITA LIQUIDA]]</f>
        <v>9.4538644824245684E-3</v>
      </c>
      <c r="G52" s="33">
        <f>SUM(Tabela7[[#This Row],[PRODUCAO]:[ADMINISTRATIVO]])</f>
        <v>0.10756990871573247</v>
      </c>
    </row>
    <row r="53" spans="1:7" x14ac:dyDescent="0.3">
      <c r="A53" s="29">
        <v>45352</v>
      </c>
      <c r="B53" s="9" cm="1">
        <f t="array" ref="B53">(INDEX(TBBP[],MATCH($B$1,planoContas,0)+1,MATCH(Tabela7[[#This Row],[PERIODO]],listaPeriodos,0)))</f>
        <v>7671402.7999999998</v>
      </c>
      <c r="C53" s="33" cm="1">
        <f t="array" ref="C53">((INDEX(TBBP[],MATCH($C$1,planoContas,0)+1,MATCH(A53,listaPeriodos,0)))*-1)/Tabela7[[#This Row],[RECEITA LIQUIDA]]</f>
        <v>0.10648667151202125</v>
      </c>
      <c r="D53" s="33" cm="1">
        <f t="array" ref="D53">IFERROR(((INDEX(TBBP[],MATCH($D$1,planoContas,0)+1,MATCH(A53,listaPeriodos,0))*-1)/Tabela7[[#This Row],[RECEITA LIQUIDA]]),0)</f>
        <v>0</v>
      </c>
      <c r="E53" s="33" cm="1">
        <f t="array" ref="E53">(INDEX(TBBP[],MATCH($E$1,planoContas,0)+1,MATCH(A53,listaPeriodos,0))*-1)/Tabela7[[#This Row],[RECEITA LIQUIDA]]</f>
        <v>3.5139492349430534E-3</v>
      </c>
      <c r="F53" s="33" cm="1">
        <f t="array" ref="F53">(INDEX(TBBP[],MATCH($F$1,planoContas,0)+1,MATCH(A53,listaPeriodos,0))*-1)/Tabela7[[#This Row],[RECEITA LIQUIDA]]</f>
        <v>1.0553009939720545E-2</v>
      </c>
      <c r="G53" s="33">
        <f>SUM(Tabela7[[#This Row],[PRODUCAO]:[ADMINISTRATIVO]])</f>
        <v>0.12055363068668484</v>
      </c>
    </row>
    <row r="54" spans="1:7" x14ac:dyDescent="0.3">
      <c r="A54" s="29">
        <v>45383</v>
      </c>
      <c r="B54" s="9" cm="1">
        <f t="array" ref="B54">(INDEX(TBBP[],MATCH($B$1,planoContas,0)+1,MATCH(Tabela7[[#This Row],[PERIODO]],listaPeriodos,0)))</f>
        <v>10589146.889999999</v>
      </c>
      <c r="C54" s="33" cm="1">
        <f t="array" ref="C54">((INDEX(TBBP[],MATCH($C$1,planoContas,0)+1,MATCH(A54,listaPeriodos,0)))*-1)/Tabela7[[#This Row],[RECEITA LIQUIDA]]</f>
        <v>8.1234981338520279E-2</v>
      </c>
      <c r="D54" s="33" cm="1">
        <f t="array" ref="D54">IFERROR(((INDEX(TBBP[],MATCH($D$1,planoContas,0)+1,MATCH(A54,listaPeriodos,0))*-1)/Tabela7[[#This Row],[RECEITA LIQUIDA]]),0)</f>
        <v>0</v>
      </c>
      <c r="E54" s="33" cm="1">
        <f t="array" ref="E54">(INDEX(TBBP[],MATCH($E$1,planoContas,0)+1,MATCH(A54,listaPeriodos,0))*-1)/Tabela7[[#This Row],[RECEITA LIQUIDA]]</f>
        <v>3.7020810464930675E-3</v>
      </c>
      <c r="F54" s="33" cm="1">
        <f t="array" ref="F54">(INDEX(TBBP[],MATCH($F$1,planoContas,0)+1,MATCH(A54,listaPeriodos,0))*-1)/Tabela7[[#This Row],[RECEITA LIQUIDA]]</f>
        <v>7.9998248093052938E-3</v>
      </c>
      <c r="G54" s="33">
        <f>SUM(Tabela7[[#This Row],[PRODUCAO]:[ADMINISTRATIVO]])</f>
        <v>9.293688719431864E-2</v>
      </c>
    </row>
    <row r="55" spans="1:7" x14ac:dyDescent="0.3">
      <c r="A55" s="29">
        <v>45413</v>
      </c>
      <c r="B55" s="9" cm="1">
        <f t="array" ref="B55">(INDEX(TBBP[],MATCH($B$1,planoContas,0)+1,MATCH(Tabela7[[#This Row],[PERIODO]],listaPeriodos,0)))</f>
        <v>11809586.859999999</v>
      </c>
      <c r="C55" s="33" cm="1">
        <f t="array" ref="C55">((INDEX(TBBP[],MATCH($C$1,planoContas,0)+1,MATCH(A55,listaPeriodos,0)))*-1)/Tabela7[[#This Row],[RECEITA LIQUIDA]]</f>
        <v>7.6803236281882944E-2</v>
      </c>
      <c r="D55" s="33" cm="1">
        <f t="array" ref="D55">IFERROR(((INDEX(TBBP[],MATCH($D$1,planoContas,0)+1,MATCH(A55,listaPeriodos,0))*-1)/Tabela7[[#This Row],[RECEITA LIQUIDA]]),0)</f>
        <v>0</v>
      </c>
      <c r="E55" s="33" cm="1">
        <f t="array" ref="E55">(INDEX(TBBP[],MATCH($E$1,planoContas,0)+1,MATCH(A55,listaPeriodos,0))*-1)/Tabela7[[#This Row],[RECEITA LIQUIDA]]</f>
        <v>3.3837288699191635E-3</v>
      </c>
      <c r="F55" s="33" cm="1">
        <f t="array" ref="F55">(INDEX(TBBP[],MATCH($F$1,planoContas,0)+1,MATCH(A55,listaPeriodos,0))*-1)/Tabela7[[#This Row],[RECEITA LIQUIDA]]</f>
        <v>7.0787836180071081E-3</v>
      </c>
      <c r="G55" s="33">
        <f>SUM(Tabela7[[#This Row],[PRODUCAO]:[ADMINISTRATIVO]])</f>
        <v>8.726574876980922E-2</v>
      </c>
    </row>
    <row r="56" spans="1:7" x14ac:dyDescent="0.3">
      <c r="A56" s="29">
        <v>45444</v>
      </c>
      <c r="B56" s="9" cm="1">
        <f t="array" ref="B56">(INDEX(TBBP[],MATCH($B$1,planoContas,0)+1,MATCH(Tabela7[[#This Row],[PERIODO]],listaPeriodos,0)))</f>
        <v>10610189.169999998</v>
      </c>
      <c r="C56" s="33" cm="1">
        <f t="array" ref="C56">((INDEX(TBBP[],MATCH($C$1,planoContas,0)+1,MATCH(A56,listaPeriodos,0)))*-1)/Tabela7[[#This Row],[RECEITA LIQUIDA]]</f>
        <v>9.3110934609283699E-2</v>
      </c>
      <c r="D56" s="33" cm="1">
        <f t="array" ref="D56">IFERROR(((INDEX(TBBP[],MATCH($D$1,planoContas,0)+1,MATCH(A56,listaPeriodos,0))*-1)/Tabela7[[#This Row],[RECEITA LIQUIDA]]),0)</f>
        <v>0</v>
      </c>
      <c r="E56" s="33" cm="1">
        <f t="array" ref="E56">(INDEX(TBBP[],MATCH($E$1,planoContas,0)+1,MATCH(A56,listaPeriodos,0))*-1)/Tabela7[[#This Row],[RECEITA LIQUIDA]]</f>
        <v>2.7177366527575309E-3</v>
      </c>
      <c r="F56" s="33" cm="1">
        <f t="array" ref="F56">(INDEX(TBBP[],MATCH($F$1,planoContas,0)+1,MATCH(A56,listaPeriodos,0))*-1)/Tabela7[[#This Row],[RECEITA LIQUIDA]]</f>
        <v>8.4789223414006316E-3</v>
      </c>
      <c r="G56" s="33">
        <f>SUM(Tabela7[[#This Row],[PRODUCAO]:[ADMINISTRATIVO]])</f>
        <v>0.10430759360344186</v>
      </c>
    </row>
    <row r="57" spans="1:7" x14ac:dyDescent="0.3">
      <c r="A57" s="29">
        <v>45474</v>
      </c>
      <c r="B57" s="9" cm="1">
        <f t="array" ref="B57">(INDEX(TBBP[],MATCH($B$1,planoContas,0)+1,MATCH(Tabela7[[#This Row],[PERIODO]],listaPeriodos,0)))</f>
        <v>11950053.750000002</v>
      </c>
      <c r="C57" s="33" cm="1">
        <f t="array" ref="C57">((INDEX(TBBP[],MATCH($C$1,planoContas,0)+1,MATCH(A57,listaPeriodos,0)))*-1)/Tabela7[[#This Row],[RECEITA LIQUIDA]]</f>
        <v>9.0857103467003222E-2</v>
      </c>
      <c r="D57" s="33" cm="1">
        <f t="array" ref="D57">IFERROR(((INDEX(TBBP[],MATCH($D$1,planoContas,0)+1,MATCH(A57,listaPeriodos,0))*-1)/Tabela7[[#This Row],[RECEITA LIQUIDA]]),0)</f>
        <v>0</v>
      </c>
      <c r="E57" s="33" cm="1">
        <f t="array" ref="E57">(INDEX(TBBP[],MATCH($E$1,planoContas,0)+1,MATCH(A57,listaPeriodos,0))*-1)/Tabela7[[#This Row],[RECEITA LIQUIDA]]</f>
        <v>3.2977734514374039E-3</v>
      </c>
      <c r="F57" s="33" cm="1">
        <f t="array" ref="F57">(INDEX(TBBP[],MATCH($F$1,planoContas,0)+1,MATCH(A57,listaPeriodos,0))*-1)/Tabela7[[#This Row],[RECEITA LIQUIDA]]</f>
        <v>8.3912133031200792E-3</v>
      </c>
      <c r="G57" s="33">
        <f>SUM(Tabela7[[#This Row],[PRODUCAO]:[ADMINISTRATIVO]])</f>
        <v>0.10254609022156071</v>
      </c>
    </row>
    <row r="58" spans="1:7" x14ac:dyDescent="0.3">
      <c r="A58" s="29">
        <v>45505</v>
      </c>
      <c r="B58" s="9" cm="1">
        <f t="array" ref="B58">(INDEX(TBBP[],MATCH($B$1,planoContas,0)+1,MATCH(Tabela7[[#This Row],[PERIODO]],listaPeriodos,0)))</f>
        <v>9379852.1500000004</v>
      </c>
      <c r="C58" s="33" cm="1">
        <f t="array" ref="C58">((INDEX(TBBP[],MATCH($C$1,planoContas,0)+1,MATCH(A58,listaPeriodos,0)))*-1)/Tabela7[[#This Row],[RECEITA LIQUIDA]]</f>
        <v>0.11264644187381993</v>
      </c>
      <c r="D58" s="33" cm="1">
        <f t="array" ref="D58">IFERROR(((INDEX(TBBP[],MATCH($D$1,planoContas,0)+1,MATCH(A58,listaPeriodos,0))*-1)/Tabela7[[#This Row],[RECEITA LIQUIDA]]),0)</f>
        <v>0</v>
      </c>
      <c r="E58" s="33" cm="1">
        <f t="array" ref="E58">(INDEX(TBBP[],MATCH($E$1,planoContas,0)+1,MATCH(A58,listaPeriodos,0))*-1)/Tabela7[[#This Row],[RECEITA LIQUIDA]]</f>
        <v>3.692356707349592E-3</v>
      </c>
      <c r="F58" s="33" cm="1">
        <f t="array" ref="F58">(INDEX(TBBP[],MATCH($F$1,planoContas,0)+1,MATCH(A58,listaPeriodos,0))*-1)/Tabela7[[#This Row],[RECEITA LIQUIDA]]</f>
        <v>9.5652136691728121E-3</v>
      </c>
      <c r="G58" s="33">
        <f>SUM(Tabela7[[#This Row],[PRODUCAO]:[ADMINISTRATIVO]])</f>
        <v>0.12590401225034234</v>
      </c>
    </row>
    <row r="59" spans="1:7" x14ac:dyDescent="0.3">
      <c r="A59" s="29">
        <v>45536</v>
      </c>
      <c r="B59" s="9" cm="1">
        <f t="array" ref="B59">(INDEX(TBBP[],MATCH($B$1,planoContas,0)+1,MATCH(Tabela7[[#This Row],[PERIODO]],listaPeriodos,0)))</f>
        <v>10391320.409999998</v>
      </c>
      <c r="C59" s="250" cm="1">
        <f t="array" ref="C59">((INDEX(TBBP[],MATCH($C$1,planoContas,0)+1,MATCH(A59,listaPeriodos,0)))*-1)/Tabela7[[#This Row],[RECEITA LIQUIDA]]</f>
        <v>0.10302973710344865</v>
      </c>
      <c r="D59" s="33" cm="1">
        <f t="array" ref="D59">IFERROR(((INDEX(TBBP[],MATCH($D$1,planoContas,0)+1,MATCH(A59,listaPeriodos,0))*-1)/Tabela7[[#This Row],[RECEITA LIQUIDA]]),0)</f>
        <v>0</v>
      </c>
      <c r="E59" s="250" cm="1">
        <f t="array" ref="E59">(INDEX(TBBP[],MATCH($E$1,planoContas,0)+1,MATCH(A59,listaPeriodos,0))*-1)/Tabela7[[#This Row],[RECEITA LIQUIDA]]</f>
        <v>4.3994476347784953E-3</v>
      </c>
      <c r="F59" s="250" cm="1">
        <f t="array" ref="F59">(INDEX(TBBP[],MATCH($F$1,planoContas,0)+1,MATCH(A59,listaPeriodos,0))*-1)/Tabela7[[#This Row],[RECEITA LIQUIDA]]</f>
        <v>8.2041363980999617E-3</v>
      </c>
      <c r="G59" s="250">
        <f>SUM(Tabela7[[#This Row],[PRODUCAO]:[ADMINISTRATIVO]])</f>
        <v>0.1156333211363271</v>
      </c>
    </row>
    <row r="60" spans="1:7" x14ac:dyDescent="0.3">
      <c r="A60" s="29">
        <v>45566</v>
      </c>
      <c r="B60" s="9" cm="1">
        <f t="array" ref="B60">(INDEX(TBBP[],MATCH($B$1,planoContas,0)+1,MATCH(Tabela7[[#This Row],[PERIODO]],listaPeriodos,0)))</f>
        <v>10922850.24</v>
      </c>
      <c r="C60" s="250" cm="1">
        <f t="array" ref="C60">((INDEX(TBBP[],MATCH($C$1,planoContas,0)+1,MATCH(A60,listaPeriodos,0)))*-1)/Tabela7[[#This Row],[RECEITA LIQUIDA]]</f>
        <v>9.1041757247419697E-2</v>
      </c>
      <c r="D60" s="33" cm="1">
        <f t="array" ref="D60">IFERROR(((INDEX(TBBP[],MATCH($D$1,planoContas,0)+1,MATCH(A60,listaPeriodos,0))*-1)/Tabela7[[#This Row],[RECEITA LIQUIDA]]),0)</f>
        <v>0</v>
      </c>
      <c r="E60" s="250" cm="1">
        <f t="array" ref="E60">(INDEX(TBBP[],MATCH($E$1,planoContas,0)+1,MATCH(A60,listaPeriodos,0))*-1)/Tabela7[[#This Row],[RECEITA LIQUIDA]]</f>
        <v>3.602754696378589E-3</v>
      </c>
      <c r="F60" s="250" cm="1">
        <f t="array" ref="F60">(INDEX(TBBP[],MATCH($F$1,planoContas,0)+1,MATCH(A60,listaPeriodos,0))*-1)/Tabela7[[#This Row],[RECEITA LIQUIDA]]</f>
        <v>8.5536666664029985E-3</v>
      </c>
      <c r="G60" s="250">
        <f>SUM(Tabela7[[#This Row],[PRODUCAO]:[ADMINISTRATIVO]])</f>
        <v>0.10319817861020129</v>
      </c>
    </row>
    <row r="61" spans="1:7" x14ac:dyDescent="0.3">
      <c r="A61" s="29">
        <v>45597</v>
      </c>
      <c r="B61" s="9" cm="1">
        <f t="array" ref="B61">(INDEX(TBBP[],MATCH($B$1,planoContas,0)+1,MATCH(Tabela7[[#This Row],[PERIODO]],listaPeriodos,0)))</f>
        <v>8432311.2100000028</v>
      </c>
      <c r="C61" s="250" cm="1">
        <f t="array" ref="C61">((INDEX(TBBP[],MATCH($C$1,planoContas,0)+1,MATCH(A61,listaPeriodos,0)))*-1)/Tabela7[[#This Row],[RECEITA LIQUIDA]]</f>
        <v>0.13556735057931996</v>
      </c>
      <c r="D61" s="33" cm="1">
        <f t="array" ref="D61">IFERROR(((INDEX(TBBP[],MATCH($D$1,planoContas,0)+1,MATCH(A61,listaPeriodos,0))*-1)/Tabela7[[#This Row],[RECEITA LIQUIDA]]),0)</f>
        <v>0</v>
      </c>
      <c r="E61" s="250" cm="1">
        <f t="array" ref="E61">(INDEX(TBBP[],MATCH($E$1,planoContas,0)+1,MATCH(A61,listaPeriodos,0))*-1)/Tabela7[[#This Row],[RECEITA LIQUIDA]]</f>
        <v>5.9150188789106588E-3</v>
      </c>
      <c r="F61" s="250" cm="1">
        <f t="array" ref="F61">(INDEX(TBBP[],MATCH($F$1,planoContas,0)+1,MATCH(A61,listaPeriodos,0))*-1)/Tabela7[[#This Row],[RECEITA LIQUIDA]]</f>
        <v>1.0504166389750689E-2</v>
      </c>
      <c r="G61" s="250">
        <f>SUM(Tabela7[[#This Row],[PRODUCAO]:[ADMINISTRATIVO]])</f>
        <v>0.1519865358479813</v>
      </c>
    </row>
    <row r="62" spans="1:7" x14ac:dyDescent="0.3">
      <c r="A62" s="29">
        <v>45627</v>
      </c>
      <c r="B62" s="9" cm="1">
        <f t="array" ref="B62">(INDEX(TBBP[],MATCH($B$1,planoContas,0)+1,MATCH(Tabela7[[#This Row],[PERIODO]],listaPeriodos,0)))</f>
        <v>12856176.879999999</v>
      </c>
      <c r="C62" s="250" cm="1">
        <f t="array" ref="C62">((INDEX(TBBP[],MATCH($C$1,planoContas,0)+1,MATCH(A62,listaPeriodos,0)))*-1)/Tabela7[[#This Row],[RECEITA LIQUIDA]]</f>
        <v>6.9321368111108325E-2</v>
      </c>
      <c r="D62" s="33" cm="1">
        <f t="array" ref="D62">IFERROR(((INDEX(TBBP[],MATCH($D$1,planoContas,0)+1,MATCH(A62,listaPeriodos,0))*-1)/Tabela7[[#This Row],[RECEITA LIQUIDA]]),0)</f>
        <v>0</v>
      </c>
      <c r="E62" s="250" cm="1">
        <f t="array" ref="E62">(INDEX(TBBP[],MATCH($E$1,planoContas,0)+1,MATCH(A62,listaPeriodos,0))*-1)/Tabela7[[#This Row],[RECEITA LIQUIDA]]</f>
        <v>2.4896017143161775E-3</v>
      </c>
      <c r="F62" s="250" cm="1">
        <f t="array" ref="F62">(INDEX(TBBP[],MATCH($F$1,planoContas,0)+1,MATCH(A62,listaPeriodos,0))*-1)/Tabela7[[#This Row],[RECEITA LIQUIDA]]</f>
        <v>6.2991129288196288E-3</v>
      </c>
      <c r="G62" s="250">
        <f>SUM(Tabela7[[#This Row],[PRODUCAO]:[ADMINISTRATIVO]])</f>
        <v>7.8110082754244137E-2</v>
      </c>
    </row>
    <row r="63" spans="1:7" x14ac:dyDescent="0.3">
      <c r="A63" s="29">
        <v>45658</v>
      </c>
      <c r="B63" s="9" cm="1">
        <f t="array" ref="B63">(INDEX(TBBP[],MATCH($B$1,planoContas,0)+1,MATCH(Tabela7[[#This Row],[PERIODO]],listaPeriodos,0)))</f>
        <v>8076456.3199999984</v>
      </c>
      <c r="C63" s="250" cm="1">
        <f t="array" ref="C63">((INDEX(TBBP[],MATCH($C$1,planoContas,0)+1,MATCH(A63,listaPeriodos,0)))*-1)/Tabela7[[#This Row],[RECEITA LIQUIDA]]</f>
        <v>0.12215821530004883</v>
      </c>
      <c r="D63" s="33" cm="1">
        <f t="array" ref="D63">IFERROR(((INDEX(TBBP[],MATCH($D$1,planoContas,0)+1,MATCH(A63,listaPeriodos,0))*-1)/Tabela7[[#This Row],[RECEITA LIQUIDA]]),0)</f>
        <v>0</v>
      </c>
      <c r="E63" s="250" cm="1">
        <f t="array" ref="E63">(INDEX(TBBP[],MATCH($E$1,planoContas,0)+1,MATCH(A63,listaPeriodos,0))*-1)/Tabela7[[#This Row],[RECEITA LIQUIDA]]</f>
        <v>5.8556560112740146E-3</v>
      </c>
      <c r="F63" s="250" cm="1">
        <f t="array" ref="F63">(INDEX(TBBP[],MATCH($F$1,planoContas,0)+1,MATCH(A63,listaPeriodos,0))*-1)/Tabela7[[#This Row],[RECEITA LIQUIDA]]</f>
        <v>1.8061143925062421E-2</v>
      </c>
      <c r="G63" s="250">
        <f>SUM(Tabela7[[#This Row],[PRODUCAO]:[ADMINISTRATIVO]])</f>
        <v>0.14607501523638527</v>
      </c>
    </row>
    <row r="64" spans="1:7" x14ac:dyDescent="0.3">
      <c r="A64" s="29">
        <v>45689</v>
      </c>
      <c r="B64" s="9" cm="1">
        <f t="array" ref="B64">(INDEX(TBBP[],MATCH($B$1,planoContas,0)+1,MATCH(Tabela7[[#This Row],[PERIODO]],listaPeriodos,0)))</f>
        <v>9308880.3099999987</v>
      </c>
      <c r="C64" s="250" cm="1">
        <f t="array" ref="C64">((INDEX(TBBP[],MATCH($C$1,planoContas,0)+1,MATCH(A64,listaPeriodos,0)))*-1)/Tabela7[[#This Row],[RECEITA LIQUIDA]]</f>
        <v>0.10806474747766955</v>
      </c>
      <c r="D64" s="33" cm="1">
        <f t="array" ref="D64">IFERROR(((INDEX(TBBP[],MATCH($D$1,planoContas,0)+1,MATCH(A64,listaPeriodos,0))*-1)/Tabela7[[#This Row],[RECEITA LIQUIDA]]),0)</f>
        <v>0</v>
      </c>
      <c r="E64" s="250" cm="1">
        <f t="array" ref="E64">(INDEX(TBBP[],MATCH($E$1,planoContas,0)+1,MATCH(A64,listaPeriodos,0))*-1)/Tabela7[[#This Row],[RECEITA LIQUIDA]]</f>
        <v>4.326453736518179E-3</v>
      </c>
      <c r="F64" s="250" cm="1">
        <f t="array" ref="F64">(INDEX(TBBP[],MATCH($F$1,planoContas,0)+1,MATCH(A64,listaPeriodos,0))*-1)/Tabela7[[#This Row],[RECEITA LIQUIDA]]</f>
        <v>1.4783964925637766E-2</v>
      </c>
      <c r="G64" s="250">
        <f>SUM(Tabela7[[#This Row],[PRODUCAO]:[ADMINISTRATIVO]])</f>
        <v>0.12717516613982549</v>
      </c>
    </row>
    <row r="65" spans="1:7" x14ac:dyDescent="0.3">
      <c r="A65" s="29">
        <v>45717</v>
      </c>
      <c r="B65" s="9" cm="1">
        <f t="array" ref="B65">(INDEX(TBBP[],MATCH($B$1,planoContas,0)+1,MATCH(Tabela7[[#This Row],[PERIODO]],listaPeriodos,0)))</f>
        <v>9248184.4199999981</v>
      </c>
      <c r="C65" s="250" cm="1">
        <f t="array" ref="C65">((INDEX(TBBP[],MATCH($C$1,planoContas,0)+1,MATCH(A65,listaPeriodos,0)))*-1)/Tabela7[[#This Row],[RECEITA LIQUIDA]]</f>
        <v>0.10109978105302533</v>
      </c>
      <c r="D65" s="33" cm="1">
        <f t="array" ref="D65">IFERROR(((INDEX(TBBP[],MATCH($D$1,planoContas,0)+1,MATCH(A65,listaPeriodos,0))*-1)/Tabela7[[#This Row],[RECEITA LIQUIDA]]),0)</f>
        <v>0</v>
      </c>
      <c r="E65" s="250" cm="1">
        <f t="array" ref="E65">(INDEX(TBBP[],MATCH($E$1,planoContas,0)+1,MATCH(A65,listaPeriodos,0))*-1)/Tabela7[[#This Row],[RECEITA LIQUIDA]]</f>
        <v>4.4237147684388425E-3</v>
      </c>
      <c r="F65" s="250" cm="1">
        <f t="array" ref="F65">(INDEX(TBBP[],MATCH($F$1,planoContas,0)+1,MATCH(A65,listaPeriodos,0))*-1)/Tabela7[[#This Row],[RECEITA LIQUIDA]]</f>
        <v>1.4395615826181807E-2</v>
      </c>
      <c r="G65" s="250">
        <f>SUM(Tabela7[[#This Row],[PRODUCAO]:[ADMINISTRATIVO]])</f>
        <v>0.11991911164764597</v>
      </c>
    </row>
    <row r="66" spans="1:7" x14ac:dyDescent="0.3">
      <c r="A66" s="29">
        <v>45748</v>
      </c>
      <c r="B66" s="9" cm="1">
        <f t="array" ref="B66">(INDEX(TBBP[],MATCH($B$1,planoContas,0)+1,MATCH(Tabela7[[#This Row],[PERIODO]],listaPeriodos,0)))</f>
        <v>13159013.07</v>
      </c>
      <c r="C66" s="250" cm="1">
        <f t="array" ref="C66">((INDEX(TBBP[],MATCH($C$1,planoContas,0)+1,MATCH(A66,listaPeriodos,0)))*-1)/Tabela7[[#This Row],[RECEITA LIQUIDA]]</f>
        <v>6.7003591022347084E-2</v>
      </c>
      <c r="D66" s="33" cm="1">
        <f t="array" ref="D66">IFERROR(((INDEX(TBBP[],MATCH($D$1,planoContas,0)+1,MATCH(A66,listaPeriodos,0))*-1)/Tabela7[[#This Row],[RECEITA LIQUIDA]]),0)</f>
        <v>0</v>
      </c>
      <c r="E66" s="250" cm="1">
        <f t="array" ref="E66">(INDEX(TBBP[],MATCH($E$1,planoContas,0)+1,MATCH(A66,listaPeriodos,0))*-1)/Tabela7[[#This Row],[RECEITA LIQUIDA]]</f>
        <v>3.5925224595889853E-3</v>
      </c>
      <c r="F66" s="250" cm="1">
        <f t="array" ref="F66">(INDEX(TBBP[],MATCH($F$1,planoContas,0)+1,MATCH(A66,listaPeriodos,0))*-1)/Tabela7[[#This Row],[RECEITA LIQUIDA]]</f>
        <v>1.030257962955272E-2</v>
      </c>
      <c r="G66" s="250">
        <f>SUM(Tabela7[[#This Row],[PRODUCAO]:[ADMINISTRATIVO]])</f>
        <v>8.0898693111488784E-2</v>
      </c>
    </row>
    <row r="67" spans="1:7" x14ac:dyDescent="0.3">
      <c r="A67" s="29">
        <v>45778</v>
      </c>
      <c r="B67" s="9" cm="1">
        <f t="array" ref="B67">(INDEX(TBBP[],MATCH($B$1,planoContas,0)+1,MATCH(Tabela7[[#This Row],[PERIODO]],listaPeriodos,0)))</f>
        <v>13959973</v>
      </c>
      <c r="C67" s="250" cm="1">
        <f t="array" ref="C67">((INDEX(TBBP[],MATCH($C$1,planoContas,0)+1,MATCH(A67,listaPeriodos,0)))*-1)/Tabela7[[#This Row],[RECEITA LIQUIDA]]</f>
        <v>6.5953646901752608E-2</v>
      </c>
      <c r="D67" s="33" cm="1">
        <f t="array" ref="D67">IFERROR(((INDEX(TBBP[],MATCH($D$1,planoContas,0)+1,MATCH(A67,listaPeriodos,0))*-1)/Tabela7[[#This Row],[RECEITA LIQUIDA]]),0)</f>
        <v>0</v>
      </c>
      <c r="E67" s="250" cm="1">
        <f t="array" ref="E67">(INDEX(TBBP[],MATCH($E$1,planoContas,0)+1,MATCH(A67,listaPeriodos,0))*-1)/Tabela7[[#This Row],[RECEITA LIQUIDA]]</f>
        <v>3.3269620220612172E-3</v>
      </c>
      <c r="F67" s="250" cm="1">
        <f t="array" ref="F67">(INDEX(TBBP[],MATCH($F$1,planoContas,0)+1,MATCH(A67,listaPeriodos,0))*-1)/Tabela7[[#This Row],[RECEITA LIQUIDA]]</f>
        <v>7.485212901199737E-3</v>
      </c>
      <c r="G67" s="250">
        <f>SUM(Tabela7[[#This Row],[PRODUCAO]:[ADMINISTRATIVO]])</f>
        <v>7.6765821825013555E-2</v>
      </c>
    </row>
    <row r="68" spans="1:7" x14ac:dyDescent="0.3">
      <c r="A68" s="29">
        <v>45809</v>
      </c>
      <c r="B68" s="9" cm="1">
        <f t="array" ref="B68">(INDEX(TBBP[],MATCH($B$1,planoContas,0)+1,MATCH(Tabela7[[#This Row],[PERIODO]],listaPeriodos,0)))</f>
        <v>7586097.6900000004</v>
      </c>
      <c r="C68" s="250" cm="1">
        <f t="array" ref="C68">((INDEX(TBBP[],MATCH($C$1,planoContas,0)+1,MATCH(A68,listaPeriodos,0)))*-1)/Tabela7[[#This Row],[RECEITA LIQUIDA]]</f>
        <v>0.13857304017923872</v>
      </c>
      <c r="D68" s="33" cm="1">
        <f t="array" ref="D68">IFERROR(((INDEX(TBBP[],MATCH($D$1,planoContas,0)+1,MATCH(A68,listaPeriodos,0))*-1)/Tabela7[[#This Row],[RECEITA LIQUIDA]]),0)</f>
        <v>0</v>
      </c>
      <c r="E68" s="250" cm="1">
        <f t="array" ref="E68">(INDEX(TBBP[],MATCH($E$1,planoContas,0)+1,MATCH(A68,listaPeriodos,0))*-1)/Tabela7[[#This Row],[RECEITA LIQUIDA]]</f>
        <v>6.2608579457932084E-3</v>
      </c>
      <c r="F68" s="250" cm="1">
        <f t="array" ref="F68">(INDEX(TBBP[],MATCH($F$1,planoContas,0)+1,MATCH(A68,listaPeriodos,0))*-1)/Tabela7[[#This Row],[RECEITA LIQUIDA]]</f>
        <v>2.1019204670959097E-2</v>
      </c>
      <c r="G68" s="250">
        <f>SUM(Tabela7[[#This Row],[PRODUCAO]:[ADMINISTRATIVO]])</f>
        <v>0.16585310279599103</v>
      </c>
    </row>
    <row r="69" spans="1:7" x14ac:dyDescent="0.3">
      <c r="A69" s="29">
        <v>45839</v>
      </c>
      <c r="B69" s="9" cm="1">
        <f t="array" ref="B69">(INDEX(TBBP[],MATCH($B$1,planoContas,0)+1,MATCH(Tabela7[[#This Row],[PERIODO]],listaPeriodos,0)))</f>
        <v>8540811.4299999978</v>
      </c>
      <c r="C69" s="250" cm="1">
        <f t="array" ref="C69">((INDEX(TBBP[],MATCH($C$1,planoContas,0)+1,MATCH(A69,listaPeriodos,0)))*-1)/Tabela7[[#This Row],[RECEITA LIQUIDA]]</f>
        <v>0.11148744563723499</v>
      </c>
      <c r="D69" s="33" cm="1">
        <f t="array" ref="D69">IFERROR(((INDEX(TBBP[],MATCH($D$1,planoContas,0)+1,MATCH(A69,listaPeriodos,0))*-1)/Tabela7[[#This Row],[RECEITA LIQUIDA]]),0)</f>
        <v>0</v>
      </c>
      <c r="E69" s="250" cm="1">
        <f t="array" ref="E69">(INDEX(TBBP[],MATCH($E$1,planoContas,0)+1,MATCH(A69,listaPeriodos,0))*-1)/Tabela7[[#This Row],[RECEITA LIQUIDA]]</f>
        <v>5.635073481536872E-3</v>
      </c>
      <c r="F69" s="250" cm="1">
        <f t="array" ref="F69">(INDEX(TBBP[],MATCH($F$1,planoContas,0)+1,MATCH(A69,listaPeriodos,0))*-1)/Tabela7[[#This Row],[RECEITA LIQUIDA]]</f>
        <v>1.6938287560342501E-2</v>
      </c>
      <c r="G69" s="250">
        <f>SUM(Tabela7[[#This Row],[PRODUCAO]:[ADMINISTRATIVO]])</f>
        <v>0.13406080667911435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43</vt:i4>
      </vt:variant>
    </vt:vector>
  </HeadingPairs>
  <TitlesOfParts>
    <vt:vector size="56" baseType="lpstr">
      <vt:lpstr>HabilitarMacros</vt:lpstr>
      <vt:lpstr>INDICADORES-EMPRESAS</vt:lpstr>
      <vt:lpstr>BALANCOTRIM</vt:lpstr>
      <vt:lpstr>BALANCOSEME</vt:lpstr>
      <vt:lpstr>DRETRIM</vt:lpstr>
      <vt:lpstr>DRESEME</vt:lpstr>
      <vt:lpstr>BDDRE</vt:lpstr>
      <vt:lpstr>dinDRE</vt:lpstr>
      <vt:lpstr>TBFatMensal</vt:lpstr>
      <vt:lpstr>DFC</vt:lpstr>
      <vt:lpstr>VALOREMPRESAS</vt:lpstr>
      <vt:lpstr>PrintRelatorio</vt:lpstr>
      <vt:lpstr>EVOLUCAO MO</vt:lpstr>
      <vt:lpstr>ACUMULADOATUAL</vt:lpstr>
      <vt:lpstr>DFC!Area_de_impressao</vt:lpstr>
      <vt:lpstr>Print!Area_de_impressao</vt:lpstr>
      <vt:lpstr>RelacaoFaturamento!Area_de_impressao</vt:lpstr>
      <vt:lpstr>LISTAANO</vt:lpstr>
      <vt:lpstr>LISTAANODFC</vt:lpstr>
      <vt:lpstr>LISTAIND</vt:lpstr>
      <vt:lpstr>LISTAMES</vt:lpstr>
      <vt:lpstr>ListaMes2</vt:lpstr>
      <vt:lpstr>LISTAMES3</vt:lpstr>
      <vt:lpstr>LISTAMES4</vt:lpstr>
      <vt:lpstr>LISTAMESDFC</vt:lpstr>
      <vt:lpstr>listaPeriodos</vt:lpstr>
      <vt:lpstr>LISTASEMESTRE</vt:lpstr>
      <vt:lpstr>LISTATRIMESTRE</vt:lpstr>
      <vt:lpstr>numanos</vt:lpstr>
      <vt:lpstr>NUMMESES</vt:lpstr>
      <vt:lpstr>planoContas</vt:lpstr>
      <vt:lpstr>PrintDFC</vt:lpstr>
      <vt:lpstr>SELECDB</vt:lpstr>
      <vt:lpstr>dinDRE!TBFatMensalData</vt:lpstr>
      <vt:lpstr>TBFatMensalData</vt:lpstr>
      <vt:lpstr>BALANCOSEME!tbindicadores</vt:lpstr>
      <vt:lpstr>BALANCOTRIM!tbindicadores</vt:lpstr>
      <vt:lpstr>dinDRE!tbindicadores</vt:lpstr>
      <vt:lpstr>DRESEME!tbindicadores</vt:lpstr>
      <vt:lpstr>tbindicadores</vt:lpstr>
      <vt:lpstr>dinDRE!tbIndicadoresCol1</vt:lpstr>
      <vt:lpstr>tbIndicadoresCol1</vt:lpstr>
      <vt:lpstr>TELABALANCO</vt:lpstr>
      <vt:lpstr>TELABALANCOSEM</vt:lpstr>
      <vt:lpstr>TELABALANCOTRIM</vt:lpstr>
      <vt:lpstr>TELADADOS</vt:lpstr>
      <vt:lpstr>TELADRE</vt:lpstr>
      <vt:lpstr>DRESEME!TELADRETRIM</vt:lpstr>
      <vt:lpstr>TELADRETRIM</vt:lpstr>
      <vt:lpstr>TELAINDEMPRESAS</vt:lpstr>
      <vt:lpstr>'INDICADORES-EMPRESAS'!TelaIndicadores</vt:lpstr>
      <vt:lpstr>TelaIndicadores</vt:lpstr>
      <vt:lpstr>TELAMENU</vt:lpstr>
      <vt:lpstr>dinDRE!teste</vt:lpstr>
      <vt:lpstr>DRESEME!teste</vt:lpstr>
      <vt:lpstr>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</dc:creator>
  <cp:lastModifiedBy>Danilo Machado</cp:lastModifiedBy>
  <cp:lastPrinted>2026-07-08T12:48:07Z</cp:lastPrinted>
  <dcterms:created xsi:type="dcterms:W3CDTF">2020-03-21T12:29:23Z</dcterms:created>
  <dcterms:modified xsi:type="dcterms:W3CDTF">2026-08-06T19:59:21Z</dcterms:modified>
</cp:coreProperties>
</file>